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2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3.xml" ContentType="application/vnd.openxmlformats-officedocument.spreadsheetml.comments+xml"/>
  <Override PartName="/xl/drawings/drawing35.xml" ContentType="application/vnd.openxmlformats-officedocument.drawing+xml"/>
  <Override PartName="/xl/comments14.xml" ContentType="application/vnd.openxmlformats-officedocument.spreadsheetml.comments+xml"/>
  <Override PartName="/xl/drawings/drawing36.xml" ContentType="application/vnd.openxmlformats-officedocument.drawing+xml"/>
  <Override PartName="/xl/comments15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6.xml" ContentType="application/vnd.openxmlformats-officedocument.spreadsheetml.comments+xml"/>
  <Override PartName="/xl/drawings/drawing42.xml" ContentType="application/vnd.openxmlformats-officedocument.drawing+xml"/>
  <Override PartName="/xl/comments17.xml" ContentType="application/vnd.openxmlformats-officedocument.spreadsheetml.comment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iancolombia-my.sharepoint.com/personal/fmorenos1_dian_gov_co/Documents/Documentos/Botón de Transparencia/Documentos a subir/TBG/"/>
    </mc:Choice>
  </mc:AlternateContent>
  <xr:revisionPtr revIDLastSave="0" documentId="8_{3352F205-24D0-4BAF-85B5-77482E9790FB}" xr6:coauthVersionLast="47" xr6:coauthVersionMax="47" xr10:uidLastSave="{00000000-0000-0000-0000-000000000000}"/>
  <bookViews>
    <workbookView xWindow="-120" yWindow="-120" windowWidth="29040" windowHeight="15720" activeTab="13" xr2:uid="{00000000-000D-0000-FFFF-FFFF00000000}"/>
  </bookViews>
  <sheets>
    <sheet name="Consolidado " sheetId="10" r:id="rId1"/>
    <sheet name="IMPUESTOS BARRANQU. " sheetId="52" r:id="rId2"/>
    <sheet name="IMPUESTOS BOGOTA " sheetId="53" r:id="rId3"/>
    <sheet name="IMPUESTOS CALI  " sheetId="54" r:id="rId4"/>
    <sheet name="IMPUESTOS CARTAGENA " sheetId="55" r:id="rId5"/>
    <sheet name="IMPUESTOS CUCUTA " sheetId="56" r:id="rId6"/>
    <sheet name="IMPUES. MEDELLIN " sheetId="57" r:id="rId7"/>
    <sheet name="GRANDES CONTRIBU.  " sheetId="146" r:id="rId8"/>
    <sheet name="ADUANAS BARRANQUILLA" sheetId="58" r:id="rId9"/>
    <sheet name="ADUANAS DE BOGOTA " sheetId="59" r:id="rId10"/>
    <sheet name="ADUANAS CALI " sheetId="60" r:id="rId11"/>
    <sheet name="ADUANAS CARTAGENA " sheetId="61" r:id="rId12"/>
    <sheet name="ADUANAS CUCUTA " sheetId="62" r:id="rId13"/>
    <sheet name="ADUANAS DE MEDELLIN " sheetId="63" r:id="rId14"/>
    <sheet name="ARAUCA" sheetId="64" r:id="rId15"/>
    <sheet name="ARMENIA " sheetId="65" r:id="rId16"/>
    <sheet name="BARRANCABERMEJA " sheetId="66" r:id="rId17"/>
    <sheet name="BUCARAMANGA" sheetId="68" r:id="rId18"/>
    <sheet name="BUENAVENTURA " sheetId="74" r:id="rId19"/>
    <sheet name="FLORENCIA " sheetId="75" r:id="rId20"/>
    <sheet name="GIRARDOT " sheetId="76" r:id="rId21"/>
    <sheet name="IBAGUE " sheetId="77" r:id="rId22"/>
    <sheet name="IPIALES " sheetId="78" r:id="rId23"/>
    <sheet name="LETICIA " sheetId="79" r:id="rId24"/>
    <sheet name="MAICAO " sheetId="80" r:id="rId25"/>
    <sheet name="MANIZALES " sheetId="81" r:id="rId26"/>
    <sheet name="MONTERIA " sheetId="82" r:id="rId27"/>
    <sheet name="NEIVA " sheetId="83" r:id="rId28"/>
    <sheet name="PALMIRA " sheetId="84" r:id="rId29"/>
    <sheet name="PASTO" sheetId="85" r:id="rId30"/>
    <sheet name="PEREIRA " sheetId="88" r:id="rId31"/>
    <sheet name="POPAYAN" sheetId="89" r:id="rId32"/>
    <sheet name="QUIBDO" sheetId="90" r:id="rId33"/>
    <sheet name="RIOHACHA " sheetId="91" r:id="rId34"/>
    <sheet name="SAN ANDRES " sheetId="92" r:id="rId35"/>
    <sheet name="SANTA MARTA" sheetId="93" r:id="rId36"/>
    <sheet name="SINCELEJO" sheetId="94" r:id="rId37"/>
    <sheet name="SOGAMOSO" sheetId="95" r:id="rId38"/>
    <sheet name="TULUA " sheetId="96" r:id="rId39"/>
    <sheet name="TUNJA" sheetId="97" r:id="rId40"/>
    <sheet name="URABA " sheetId="98" r:id="rId41"/>
    <sheet name="VALLEDUPAR " sheetId="99" r:id="rId42"/>
    <sheet name="VILLAVICENCIO " sheetId="100" r:id="rId43"/>
    <sheet name="YOPAL" sheetId="101" r:id="rId44"/>
    <sheet name="PUERTO ASIS " sheetId="102" r:id="rId45"/>
    <sheet name="TUMACO" sheetId="103" r:id="rId46"/>
    <sheet name="INIRIDA" sheetId="104" r:id="rId47"/>
    <sheet name="PUERTO CARREÑO " sheetId="105" r:id="rId48"/>
    <sheet name="SAN JOSE DEL GUAVIARE" sheetId="106" r:id="rId49"/>
    <sheet name="PAMPLONA" sheetId="107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ESP">'[1]EVACUACION DE EXPEDIENTES ENERO'!#REF!</definedName>
    <definedName name="hoja_2">'[2] RECLASIFICADOS'!#REF!</definedName>
    <definedName name="METAS">#REF!</definedName>
    <definedName name="REC">'[1] RECLASIFICADOS'!#REF!</definedName>
    <definedName name="secc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47" i="63" l="1"/>
  <c r="AY47" i="63" s="1"/>
  <c r="AW47" i="63"/>
  <c r="AT47" i="63"/>
  <c r="AQ47" i="63"/>
  <c r="AN47" i="63"/>
  <c r="AK47" i="63"/>
  <c r="AH47" i="63"/>
  <c r="AD47" i="63"/>
  <c r="AE47" i="63" s="1"/>
  <c r="AC47" i="63"/>
  <c r="Z47" i="63"/>
  <c r="W47" i="63"/>
  <c r="T47" i="63"/>
  <c r="Q47" i="63"/>
  <c r="N47" i="63"/>
  <c r="AX45" i="63"/>
  <c r="AY45" i="63" s="1"/>
  <c r="AW45" i="63"/>
  <c r="AT45" i="63"/>
  <c r="AQ45" i="63"/>
  <c r="AN45" i="63"/>
  <c r="AK45" i="63"/>
  <c r="AH45" i="63"/>
  <c r="AD45" i="63"/>
  <c r="AE45" i="63" s="1"/>
  <c r="AC45" i="63"/>
  <c r="Z45" i="63"/>
  <c r="W45" i="63"/>
  <c r="T45" i="63"/>
  <c r="Q45" i="63"/>
  <c r="N45" i="63"/>
  <c r="AX44" i="63"/>
  <c r="AY44" i="63" s="1"/>
  <c r="AW44" i="63"/>
  <c r="AT44" i="63"/>
  <c r="AQ44" i="63"/>
  <c r="AN44" i="63"/>
  <c r="AK44" i="63"/>
  <c r="AH44" i="63"/>
  <c r="AD44" i="63"/>
  <c r="AE44" i="63" s="1"/>
  <c r="AC44" i="63"/>
  <c r="Z44" i="63"/>
  <c r="W44" i="63"/>
  <c r="T44" i="63"/>
  <c r="Q44" i="63"/>
  <c r="N44" i="63"/>
  <c r="AV42" i="63"/>
  <c r="AW42" i="63" s="1"/>
  <c r="AS42" i="63"/>
  <c r="AT42" i="63" s="1"/>
  <c r="AP42" i="63"/>
  <c r="AQ42" i="63" s="1"/>
  <c r="AM42" i="63"/>
  <c r="AN42" i="63" s="1"/>
  <c r="AJ42" i="63"/>
  <c r="AK42" i="63" s="1"/>
  <c r="AG42" i="63"/>
  <c r="AH42" i="63" s="1"/>
  <c r="AB42" i="63"/>
  <c r="AC42" i="63" s="1"/>
  <c r="Y42" i="63"/>
  <c r="Z42" i="63" s="1"/>
  <c r="W42" i="63"/>
  <c r="S42" i="63"/>
  <c r="T42" i="63" s="1"/>
  <c r="Q42" i="63"/>
  <c r="P42" i="63"/>
  <c r="M42" i="63"/>
  <c r="AY41" i="63"/>
  <c r="AX41" i="63"/>
  <c r="AW41" i="63"/>
  <c r="AT41" i="63"/>
  <c r="AQ41" i="63"/>
  <c r="AN41" i="63"/>
  <c r="AK41" i="63"/>
  <c r="AH41" i="63"/>
  <c r="AE41" i="63"/>
  <c r="AD41" i="63"/>
  <c r="AC41" i="63"/>
  <c r="Z41" i="63"/>
  <c r="W41" i="63"/>
  <c r="T41" i="63"/>
  <c r="Q41" i="63"/>
  <c r="N41" i="63"/>
  <c r="AY40" i="63"/>
  <c r="AX40" i="63"/>
  <c r="AW40" i="63"/>
  <c r="AT40" i="63"/>
  <c r="AQ40" i="63"/>
  <c r="AN40" i="63"/>
  <c r="AK40" i="63"/>
  <c r="AH40" i="63"/>
  <c r="AE40" i="63"/>
  <c r="AD40" i="63"/>
  <c r="AC40" i="63"/>
  <c r="Z40" i="63"/>
  <c r="W40" i="63"/>
  <c r="T40" i="63"/>
  <c r="Q40" i="63"/>
  <c r="N40" i="63"/>
  <c r="AY39" i="63"/>
  <c r="AX39" i="63"/>
  <c r="AW39" i="63"/>
  <c r="AT39" i="63"/>
  <c r="AQ39" i="63"/>
  <c r="AN39" i="63"/>
  <c r="AK39" i="63"/>
  <c r="AH39" i="63"/>
  <c r="AE39" i="63"/>
  <c r="AD39" i="63"/>
  <c r="AC39" i="63"/>
  <c r="Z39" i="63"/>
  <c r="W39" i="63"/>
  <c r="T39" i="63"/>
  <c r="Q39" i="63"/>
  <c r="N39" i="63"/>
  <c r="AW38" i="63"/>
  <c r="AT38" i="63"/>
  <c r="AQ38" i="63"/>
  <c r="AP38" i="63"/>
  <c r="AX38" i="63" s="1"/>
  <c r="AY38" i="63" s="1"/>
  <c r="AN38" i="63"/>
  <c r="AK38" i="63"/>
  <c r="AH38" i="63"/>
  <c r="AE38" i="63"/>
  <c r="AD38" i="63"/>
  <c r="AC38" i="63"/>
  <c r="Z38" i="63"/>
  <c r="W38" i="63"/>
  <c r="T38" i="63"/>
  <c r="Q38" i="63"/>
  <c r="N38" i="63"/>
  <c r="AV37" i="63"/>
  <c r="AW37" i="63" s="1"/>
  <c r="AT37" i="63"/>
  <c r="AP37" i="63"/>
  <c r="AQ37" i="63" s="1"/>
  <c r="AN37" i="63"/>
  <c r="AK37" i="63"/>
  <c r="AH37" i="63"/>
  <c r="AD37" i="63"/>
  <c r="AE37" i="63" s="1"/>
  <c r="AC37" i="63"/>
  <c r="Z37" i="63"/>
  <c r="W37" i="63"/>
  <c r="T37" i="63"/>
  <c r="Q37" i="63"/>
  <c r="N37" i="63"/>
  <c r="AV36" i="63"/>
  <c r="AW36" i="63" s="1"/>
  <c r="AS36" i="63"/>
  <c r="AT36" i="63" s="1"/>
  <c r="AQ36" i="63"/>
  <c r="AP36" i="63"/>
  <c r="AM36" i="63"/>
  <c r="AN36" i="63" s="1"/>
  <c r="AK36" i="63"/>
  <c r="AH36" i="63"/>
  <c r="AC36" i="63"/>
  <c r="Z36" i="63"/>
  <c r="W36" i="63"/>
  <c r="T36" i="63"/>
  <c r="S36" i="63"/>
  <c r="P36" i="63"/>
  <c r="Q36" i="63" s="1"/>
  <c r="M36" i="63"/>
  <c r="N36" i="63" s="1"/>
  <c r="AV35" i="63"/>
  <c r="AX35" i="63" s="1"/>
  <c r="AY35" i="63" s="1"/>
  <c r="AS35" i="63"/>
  <c r="AT35" i="63" s="1"/>
  <c r="AP35" i="63"/>
  <c r="AQ35" i="63" s="1"/>
  <c r="AM35" i="63"/>
  <c r="AN35" i="63" s="1"/>
  <c r="AK35" i="63"/>
  <c r="AH35" i="63"/>
  <c r="AD35" i="63"/>
  <c r="AE35" i="63" s="1"/>
  <c r="AC35" i="63"/>
  <c r="Z35" i="63"/>
  <c r="W35" i="63"/>
  <c r="T35" i="63"/>
  <c r="Q35" i="63"/>
  <c r="N35" i="63"/>
  <c r="AW34" i="63"/>
  <c r="AV34" i="63"/>
  <c r="AS34" i="63"/>
  <c r="AT34" i="63" s="1"/>
  <c r="AP34" i="63"/>
  <c r="AQ34" i="63" s="1"/>
  <c r="AM34" i="63"/>
  <c r="AN34" i="63" s="1"/>
  <c r="AJ34" i="63"/>
  <c r="AK34" i="63" s="1"/>
  <c r="AG34" i="63"/>
  <c r="AX34" i="63" s="1"/>
  <c r="AY34" i="63" s="1"/>
  <c r="AB34" i="63"/>
  <c r="AC34" i="63" s="1"/>
  <c r="Z34" i="63"/>
  <c r="Y34" i="63"/>
  <c r="V34" i="63"/>
  <c r="W34" i="63" s="1"/>
  <c r="T34" i="63"/>
  <c r="S34" i="63"/>
  <c r="P34" i="63"/>
  <c r="Q34" i="63" s="1"/>
  <c r="N34" i="63"/>
  <c r="M34" i="63"/>
  <c r="AW33" i="63"/>
  <c r="AV33" i="63"/>
  <c r="AS33" i="63"/>
  <c r="AT33" i="63" s="1"/>
  <c r="AQ33" i="63"/>
  <c r="AP33" i="63"/>
  <c r="AM33" i="63"/>
  <c r="AN33" i="63" s="1"/>
  <c r="AK33" i="63"/>
  <c r="AJ33" i="63"/>
  <c r="AG33" i="63"/>
  <c r="AH33" i="63" s="1"/>
  <c r="AB33" i="63"/>
  <c r="AC33" i="63" s="1"/>
  <c r="Y33" i="63"/>
  <c r="Z33" i="63" s="1"/>
  <c r="V33" i="63"/>
  <c r="W33" i="63" s="1"/>
  <c r="S33" i="63"/>
  <c r="T33" i="63" s="1"/>
  <c r="P33" i="63"/>
  <c r="Q33" i="63" s="1"/>
  <c r="N33" i="63"/>
  <c r="M33" i="63"/>
  <c r="AX32" i="63"/>
  <c r="AY32" i="63" s="1"/>
  <c r="AW32" i="63"/>
  <c r="AT32" i="63"/>
  <c r="AQ32" i="63"/>
  <c r="AN32" i="63"/>
  <c r="AK32" i="63"/>
  <c r="AH32" i="63"/>
  <c r="AD32" i="63"/>
  <c r="AE32" i="63" s="1"/>
  <c r="AC32" i="63"/>
  <c r="Z32" i="63"/>
  <c r="W32" i="63"/>
  <c r="T32" i="63"/>
  <c r="Q32" i="63"/>
  <c r="N32" i="63"/>
  <c r="AX31" i="63"/>
  <c r="AY31" i="63" s="1"/>
  <c r="AW31" i="63"/>
  <c r="AT31" i="63"/>
  <c r="AQ31" i="63"/>
  <c r="AN31" i="63"/>
  <c r="AK31" i="63"/>
  <c r="AH31" i="63"/>
  <c r="AD31" i="63"/>
  <c r="AE31" i="63" s="1"/>
  <c r="AC31" i="63"/>
  <c r="Z31" i="63"/>
  <c r="W31" i="63"/>
  <c r="T31" i="63"/>
  <c r="Q31" i="63"/>
  <c r="N31" i="63"/>
  <c r="AW30" i="63"/>
  <c r="AT30" i="63"/>
  <c r="AQ30" i="63"/>
  <c r="AN30" i="63"/>
  <c r="AK30" i="63"/>
  <c r="AH30" i="63"/>
  <c r="AD30" i="63"/>
  <c r="AE30" i="63" s="1"/>
  <c r="AC30" i="63"/>
  <c r="Z30" i="63"/>
  <c r="W30" i="63"/>
  <c r="T30" i="63"/>
  <c r="Q30" i="63"/>
  <c r="N30" i="63"/>
  <c r="AX29" i="63"/>
  <c r="AY29" i="63" s="1"/>
  <c r="AW29" i="63"/>
  <c r="AT29" i="63"/>
  <c r="AQ29" i="63"/>
  <c r="AN29" i="63"/>
  <c r="AK29" i="63"/>
  <c r="AH29" i="63"/>
  <c r="AD29" i="63"/>
  <c r="AE29" i="63" s="1"/>
  <c r="AC29" i="63"/>
  <c r="Z29" i="63"/>
  <c r="W29" i="63"/>
  <c r="T29" i="63"/>
  <c r="Q29" i="63"/>
  <c r="N29" i="63"/>
  <c r="AX28" i="63"/>
  <c r="AY28" i="63" s="1"/>
  <c r="AW28" i="63"/>
  <c r="AT28" i="63"/>
  <c r="AQ28" i="63"/>
  <c r="AN28" i="63"/>
  <c r="AK28" i="63"/>
  <c r="AH28" i="63"/>
  <c r="AD28" i="63"/>
  <c r="AE28" i="63" s="1"/>
  <c r="AC28" i="63"/>
  <c r="Z28" i="63"/>
  <c r="W28" i="63"/>
  <c r="T28" i="63"/>
  <c r="Q28" i="63"/>
  <c r="N28" i="63"/>
  <c r="AX27" i="63"/>
  <c r="AY27" i="63" s="1"/>
  <c r="AW27" i="63"/>
  <c r="AT27" i="63"/>
  <c r="AQ27" i="63"/>
  <c r="AN27" i="63"/>
  <c r="AK27" i="63"/>
  <c r="AH27" i="63"/>
  <c r="AD27" i="63"/>
  <c r="AE27" i="63" s="1"/>
  <c r="AC27" i="63"/>
  <c r="Z27" i="63"/>
  <c r="W27" i="63"/>
  <c r="T27" i="63"/>
  <c r="Q27" i="63"/>
  <c r="N27" i="63"/>
  <c r="AX26" i="63"/>
  <c r="AY26" i="63" s="1"/>
  <c r="AW26" i="63"/>
  <c r="AT26" i="63"/>
  <c r="AQ26" i="63"/>
  <c r="AN26" i="63"/>
  <c r="AK26" i="63"/>
  <c r="AH26" i="63"/>
  <c r="AD26" i="63"/>
  <c r="AE26" i="63" s="1"/>
  <c r="AC26" i="63"/>
  <c r="Z26" i="63"/>
  <c r="W26" i="63"/>
  <c r="T26" i="63"/>
  <c r="Q26" i="63"/>
  <c r="N26" i="63"/>
  <c r="AX25" i="63"/>
  <c r="AY25" i="63" s="1"/>
  <c r="AW25" i="63"/>
  <c r="AT25" i="63"/>
  <c r="AQ25" i="63"/>
  <c r="AN25" i="63"/>
  <c r="AK25" i="63"/>
  <c r="AH25" i="63"/>
  <c r="AD25" i="63"/>
  <c r="AE25" i="63" s="1"/>
  <c r="AC25" i="63"/>
  <c r="Z25" i="63"/>
  <c r="W25" i="63"/>
  <c r="T25" i="63"/>
  <c r="Q25" i="63"/>
  <c r="N25" i="63"/>
  <c r="AX24" i="63"/>
  <c r="AY24" i="63" s="1"/>
  <c r="AW24" i="63"/>
  <c r="AT24" i="63"/>
  <c r="AQ24" i="63"/>
  <c r="AN24" i="63"/>
  <c r="AK24" i="63"/>
  <c r="AH24" i="63"/>
  <c r="AD24" i="63"/>
  <c r="AE24" i="63" s="1"/>
  <c r="AC24" i="63"/>
  <c r="Z24" i="63"/>
  <c r="W24" i="63"/>
  <c r="T24" i="63"/>
  <c r="Q24" i="63"/>
  <c r="N24" i="63"/>
  <c r="AX23" i="63"/>
  <c r="AY23" i="63" s="1"/>
  <c r="AW23" i="63"/>
  <c r="AT23" i="63"/>
  <c r="AQ23" i="63"/>
  <c r="AN23" i="63"/>
  <c r="AK23" i="63"/>
  <c r="AH23" i="63"/>
  <c r="AD23" i="63"/>
  <c r="AE23" i="63" s="1"/>
  <c r="AC23" i="63"/>
  <c r="Z23" i="63"/>
  <c r="W23" i="63"/>
  <c r="T23" i="63"/>
  <c r="Q23" i="63"/>
  <c r="N23" i="63"/>
  <c r="AX22" i="63"/>
  <c r="AY22" i="63" s="1"/>
  <c r="AW22" i="63"/>
  <c r="AT22" i="63"/>
  <c r="AQ22" i="63"/>
  <c r="AN22" i="63"/>
  <c r="AK22" i="63"/>
  <c r="AH22" i="63"/>
  <c r="AD22" i="63"/>
  <c r="AE22" i="63" s="1"/>
  <c r="AC22" i="63"/>
  <c r="Z22" i="63"/>
  <c r="W22" i="63"/>
  <c r="T22" i="63"/>
  <c r="Q22" i="63"/>
  <c r="N22" i="63"/>
  <c r="AX21" i="63"/>
  <c r="AY21" i="63" s="1"/>
  <c r="AW21" i="63"/>
  <c r="AT21" i="63"/>
  <c r="AQ21" i="63"/>
  <c r="AN21" i="63"/>
  <c r="AK21" i="63"/>
  <c r="AH21" i="63"/>
  <c r="AD21" i="63"/>
  <c r="AE21" i="63" s="1"/>
  <c r="AC21" i="63"/>
  <c r="Z21" i="63"/>
  <c r="W21" i="63"/>
  <c r="T21" i="63"/>
  <c r="Q21" i="63"/>
  <c r="N21" i="63"/>
  <c r="AX20" i="63"/>
  <c r="AY20" i="63" s="1"/>
  <c r="AW20" i="63"/>
  <c r="AT20" i="63"/>
  <c r="AQ20" i="63"/>
  <c r="AN20" i="63"/>
  <c r="AK20" i="63"/>
  <c r="AH20" i="63"/>
  <c r="AD20" i="63"/>
  <c r="AE20" i="63" s="1"/>
  <c r="AC20" i="63"/>
  <c r="Z20" i="63"/>
  <c r="W20" i="63"/>
  <c r="T20" i="63"/>
  <c r="Q20" i="63"/>
  <c r="N20" i="63"/>
  <c r="AX19" i="63"/>
  <c r="AY19" i="63" s="1"/>
  <c r="AW19" i="63"/>
  <c r="AT19" i="63"/>
  <c r="AQ19" i="63"/>
  <c r="AN19" i="63"/>
  <c r="AK19" i="63"/>
  <c r="AH19" i="63"/>
  <c r="AD19" i="63"/>
  <c r="AE19" i="63" s="1"/>
  <c r="AC19" i="63"/>
  <c r="Z19" i="63"/>
  <c r="W19" i="63"/>
  <c r="T19" i="63"/>
  <c r="Q19" i="63"/>
  <c r="N19" i="63"/>
  <c r="AX18" i="63"/>
  <c r="AY18" i="63" s="1"/>
  <c r="AW18" i="63"/>
  <c r="AT18" i="63"/>
  <c r="AQ18" i="63"/>
  <c r="AN18" i="63"/>
  <c r="AK18" i="63"/>
  <c r="AH18" i="63"/>
  <c r="AD18" i="63"/>
  <c r="AE18" i="63" s="1"/>
  <c r="AC18" i="63"/>
  <c r="Z18" i="63"/>
  <c r="W18" i="63"/>
  <c r="T18" i="63"/>
  <c r="Q18" i="63"/>
  <c r="N18" i="63"/>
  <c r="AX17" i="63"/>
  <c r="AY17" i="63" s="1"/>
  <c r="AW17" i="63"/>
  <c r="AT17" i="63"/>
  <c r="AQ17" i="63"/>
  <c r="AN17" i="63"/>
  <c r="AK17" i="63"/>
  <c r="AH17" i="63"/>
  <c r="AD17" i="63"/>
  <c r="AE17" i="63" s="1"/>
  <c r="AC17" i="63"/>
  <c r="Z17" i="63"/>
  <c r="W17" i="63"/>
  <c r="T17" i="63"/>
  <c r="Q17" i="63"/>
  <c r="N17" i="63"/>
  <c r="AX16" i="63"/>
  <c r="AY16" i="63" s="1"/>
  <c r="AW16" i="63"/>
  <c r="AT16" i="63"/>
  <c r="AQ16" i="63"/>
  <c r="AN16" i="63"/>
  <c r="AK16" i="63"/>
  <c r="AH16" i="63"/>
  <c r="AD16" i="63"/>
  <c r="AE16" i="63" s="1"/>
  <c r="AC16" i="63"/>
  <c r="Z16" i="63"/>
  <c r="W16" i="63"/>
  <c r="T16" i="63"/>
  <c r="Q16" i="63"/>
  <c r="N16" i="63"/>
  <c r="AX15" i="63"/>
  <c r="AY15" i="63" s="1"/>
  <c r="AW15" i="63"/>
  <c r="AT15" i="63"/>
  <c r="AQ15" i="63"/>
  <c r="AN15" i="63"/>
  <c r="AK15" i="63"/>
  <c r="AH15" i="63"/>
  <c r="AD15" i="63"/>
  <c r="AE15" i="63" s="1"/>
  <c r="AC15" i="63"/>
  <c r="Z15" i="63"/>
  <c r="W15" i="63"/>
  <c r="T15" i="63"/>
  <c r="Q15" i="63"/>
  <c r="N15" i="63"/>
  <c r="AX14" i="63"/>
  <c r="AY14" i="63" s="1"/>
  <c r="AW14" i="63"/>
  <c r="AT14" i="63"/>
  <c r="AQ14" i="63"/>
  <c r="AN14" i="63"/>
  <c r="AK14" i="63"/>
  <c r="AH14" i="63"/>
  <c r="AD14" i="63"/>
  <c r="AE14" i="63" s="1"/>
  <c r="AC14" i="63"/>
  <c r="Z14" i="63"/>
  <c r="W14" i="63"/>
  <c r="T14" i="63"/>
  <c r="Q14" i="63"/>
  <c r="N14" i="63"/>
  <c r="AX13" i="63"/>
  <c r="AY13" i="63" s="1"/>
  <c r="AW13" i="63"/>
  <c r="AT13" i="63"/>
  <c r="AQ13" i="63"/>
  <c r="AN13" i="63"/>
  <c r="AK13" i="63"/>
  <c r="AH13" i="63"/>
  <c r="AD13" i="63"/>
  <c r="AE13" i="63" s="1"/>
  <c r="AC13" i="63"/>
  <c r="Z13" i="63"/>
  <c r="W13" i="63"/>
  <c r="T13" i="63"/>
  <c r="Q13" i="63"/>
  <c r="N13" i="63"/>
  <c r="AX12" i="63"/>
  <c r="AY12" i="63" s="1"/>
  <c r="AW12" i="63"/>
  <c r="AT12" i="63"/>
  <c r="AQ12" i="63"/>
  <c r="AN12" i="63"/>
  <c r="AK12" i="63"/>
  <c r="AH12" i="63"/>
  <c r="AD12" i="63"/>
  <c r="AE12" i="63" s="1"/>
  <c r="AC12" i="63"/>
  <c r="Z12" i="63"/>
  <c r="W12" i="63"/>
  <c r="T12" i="63"/>
  <c r="Q12" i="63"/>
  <c r="N12" i="63"/>
  <c r="AX11" i="63"/>
  <c r="AY11" i="63" s="1"/>
  <c r="AW11" i="63"/>
  <c r="AT11" i="63"/>
  <c r="AQ11" i="63"/>
  <c r="AN11" i="63"/>
  <c r="AK11" i="63"/>
  <c r="AH11" i="63"/>
  <c r="AD11" i="63"/>
  <c r="AE11" i="63" s="1"/>
  <c r="AC11" i="63"/>
  <c r="Z11" i="63"/>
  <c r="W11" i="63"/>
  <c r="T11" i="63"/>
  <c r="Q11" i="63"/>
  <c r="N11" i="63"/>
  <c r="AX10" i="63"/>
  <c r="AY10" i="63" s="1"/>
  <c r="AW10" i="63"/>
  <c r="AT10" i="63"/>
  <c r="AQ10" i="63"/>
  <c r="AN10" i="63"/>
  <c r="AK10" i="63"/>
  <c r="AH10" i="63"/>
  <c r="AD10" i="63"/>
  <c r="AE10" i="63" s="1"/>
  <c r="AC10" i="63"/>
  <c r="Z10" i="63"/>
  <c r="W10" i="63"/>
  <c r="T10" i="63"/>
  <c r="Q10" i="63"/>
  <c r="N10" i="63"/>
  <c r="AX9" i="63"/>
  <c r="AW9" i="63"/>
  <c r="AT9" i="63"/>
  <c r="AQ9" i="63"/>
  <c r="AN9" i="63"/>
  <c r="AK9" i="63"/>
  <c r="AH9" i="63"/>
  <c r="AD9" i="63"/>
  <c r="AC9" i="63"/>
  <c r="Z9" i="63"/>
  <c r="W9" i="63"/>
  <c r="T9" i="63"/>
  <c r="Q9" i="63"/>
  <c r="N9" i="63"/>
  <c r="G9" i="63"/>
  <c r="AY9" i="63" s="1"/>
  <c r="AX42" i="63" l="1"/>
  <c r="AY42" i="63" s="1"/>
  <c r="AD34" i="63"/>
  <c r="AE34" i="63" s="1"/>
  <c r="AW35" i="63"/>
  <c r="AD36" i="63"/>
  <c r="AE36" i="63" s="1"/>
  <c r="AD33" i="63"/>
  <c r="AE33" i="63" s="1"/>
  <c r="AD42" i="63"/>
  <c r="AE42" i="63" s="1"/>
  <c r="AX33" i="63"/>
  <c r="AY33" i="63" s="1"/>
  <c r="AH34" i="63"/>
  <c r="AX37" i="63"/>
  <c r="AY37" i="63" s="1"/>
  <c r="N42" i="63"/>
  <c r="AE9" i="63"/>
  <c r="AX36" i="63"/>
  <c r="AY36" i="63" s="1"/>
  <c r="AX46" i="92" l="1"/>
  <c r="AY46" i="92" s="1"/>
  <c r="AW46" i="92"/>
  <c r="AT46" i="92"/>
  <c r="AQ46" i="92"/>
  <c r="AN46" i="92"/>
  <c r="AK46" i="92"/>
  <c r="AH46" i="92"/>
  <c r="AD46" i="92"/>
  <c r="AE46" i="92" s="1"/>
  <c r="AC46" i="92"/>
  <c r="Z46" i="92"/>
  <c r="W46" i="92"/>
  <c r="T46" i="92"/>
  <c r="Q46" i="92"/>
  <c r="N46" i="92"/>
  <c r="AX44" i="92"/>
  <c r="AY44" i="92" s="1"/>
  <c r="AW44" i="92"/>
  <c r="AT44" i="92"/>
  <c r="AQ44" i="92"/>
  <c r="AN44" i="92"/>
  <c r="AK44" i="92"/>
  <c r="AH44" i="92"/>
  <c r="AD44" i="92"/>
  <c r="AE44" i="92" s="1"/>
  <c r="AC44" i="92"/>
  <c r="Z44" i="92"/>
  <c r="W44" i="92"/>
  <c r="T44" i="92"/>
  <c r="Q44" i="92"/>
  <c r="N44" i="92"/>
  <c r="AX43" i="92"/>
  <c r="AY43" i="92" s="1"/>
  <c r="AW43" i="92"/>
  <c r="AT43" i="92"/>
  <c r="AQ43" i="92"/>
  <c r="AN43" i="92"/>
  <c r="AK43" i="92"/>
  <c r="AD43" i="92"/>
  <c r="AE43" i="92" s="1"/>
  <c r="AC43" i="92"/>
  <c r="Z43" i="92"/>
  <c r="W43" i="92"/>
  <c r="T43" i="92"/>
  <c r="Q43" i="92"/>
  <c r="N43" i="92"/>
  <c r="AX42" i="92"/>
  <c r="AY42" i="92" s="1"/>
  <c r="AW42" i="92"/>
  <c r="AT42" i="92"/>
  <c r="AQ42" i="92"/>
  <c r="AN42" i="92"/>
  <c r="AK42" i="92"/>
  <c r="AH42" i="92"/>
  <c r="AD42" i="92"/>
  <c r="AE42" i="92" s="1"/>
  <c r="AC42" i="92"/>
  <c r="Z42" i="92"/>
  <c r="W42" i="92"/>
  <c r="T42" i="92"/>
  <c r="Q42" i="92"/>
  <c r="N42" i="92"/>
  <c r="AW41" i="92"/>
  <c r="AT41" i="92"/>
  <c r="AQ41" i="92"/>
  <c r="AN41" i="92"/>
  <c r="AK41" i="92"/>
  <c r="AH41" i="92"/>
  <c r="AE41" i="92"/>
  <c r="AC41" i="92"/>
  <c r="Z41" i="92"/>
  <c r="W41" i="92"/>
  <c r="T41" i="92"/>
  <c r="Q41" i="92"/>
  <c r="N41" i="92"/>
  <c r="AX40" i="92"/>
  <c r="AY40" i="92" s="1"/>
  <c r="AW40" i="92"/>
  <c r="AT40" i="92"/>
  <c r="AQ40" i="92"/>
  <c r="AN40" i="92"/>
  <c r="AK40" i="92"/>
  <c r="AH40" i="92"/>
  <c r="AD40" i="92"/>
  <c r="AE40" i="92" s="1"/>
  <c r="AC40" i="92"/>
  <c r="Z40" i="92"/>
  <c r="W40" i="92"/>
  <c r="T40" i="92"/>
  <c r="Q40" i="92"/>
  <c r="N40" i="92"/>
  <c r="AX38" i="92"/>
  <c r="AY38" i="92" s="1"/>
  <c r="AW38" i="92"/>
  <c r="AT38" i="92"/>
  <c r="AQ38" i="92"/>
  <c r="AN38" i="92"/>
  <c r="AK38" i="92"/>
  <c r="AH38" i="92"/>
  <c r="AD38" i="92"/>
  <c r="AE38" i="92" s="1"/>
  <c r="AC38" i="92"/>
  <c r="Z38" i="92"/>
  <c r="W38" i="92"/>
  <c r="T38" i="92"/>
  <c r="Q38" i="92"/>
  <c r="N38" i="92"/>
  <c r="AX37" i="92"/>
  <c r="AY37" i="92" s="1"/>
  <c r="AW37" i="92"/>
  <c r="AT37" i="92"/>
  <c r="AQ37" i="92"/>
  <c r="AN37" i="92"/>
  <c r="AK37" i="92"/>
  <c r="AH37" i="92"/>
  <c r="AD37" i="92"/>
  <c r="AE37" i="92" s="1"/>
  <c r="AC37" i="92"/>
  <c r="Z37" i="92"/>
  <c r="W37" i="92"/>
  <c r="T37" i="92"/>
  <c r="Q37" i="92"/>
  <c r="N37" i="92"/>
  <c r="AX36" i="92"/>
  <c r="AY36" i="92" s="1"/>
  <c r="AW36" i="92"/>
  <c r="AT36" i="92"/>
  <c r="AQ36" i="92"/>
  <c r="AN36" i="92"/>
  <c r="AK36" i="92"/>
  <c r="AH36" i="92"/>
  <c r="AD36" i="92"/>
  <c r="AE36" i="92" s="1"/>
  <c r="AC36" i="92"/>
  <c r="Z36" i="92"/>
  <c r="W36" i="92"/>
  <c r="T36" i="92"/>
  <c r="Q36" i="92"/>
  <c r="N36" i="92"/>
  <c r="AX35" i="92"/>
  <c r="AY35" i="92" s="1"/>
  <c r="AW35" i="92"/>
  <c r="AT35" i="92"/>
  <c r="AQ35" i="92"/>
  <c r="AN35" i="92"/>
  <c r="AK35" i="92"/>
  <c r="AH35" i="92"/>
  <c r="AD35" i="92"/>
  <c r="AE35" i="92" s="1"/>
  <c r="AC35" i="92"/>
  <c r="Z35" i="92"/>
  <c r="W35" i="92"/>
  <c r="T35" i="92"/>
  <c r="Q35" i="92"/>
  <c r="N35" i="92"/>
  <c r="AX34" i="92"/>
  <c r="AY34" i="92" s="1"/>
  <c r="AW34" i="92"/>
  <c r="AT34" i="92"/>
  <c r="AQ34" i="92"/>
  <c r="AN34" i="92"/>
  <c r="AK34" i="92"/>
  <c r="AH34" i="92"/>
  <c r="AD34" i="92"/>
  <c r="AC34" i="92"/>
  <c r="Z34" i="92"/>
  <c r="W34" i="92"/>
  <c r="T34" i="92"/>
  <c r="Q34" i="92"/>
  <c r="N34" i="92"/>
  <c r="G34" i="92"/>
  <c r="AX33" i="92"/>
  <c r="AY33" i="92" s="1"/>
  <c r="AW33" i="92"/>
  <c r="AT33" i="92"/>
  <c r="AQ33" i="92"/>
  <c r="AN33" i="92"/>
  <c r="AK33" i="92"/>
  <c r="AH33" i="92"/>
  <c r="AD33" i="92"/>
  <c r="AE33" i="92" s="1"/>
  <c r="AC33" i="92"/>
  <c r="Z33" i="92"/>
  <c r="W33" i="92"/>
  <c r="T33" i="92"/>
  <c r="Q33" i="92"/>
  <c r="N33" i="92"/>
  <c r="AX32" i="92"/>
  <c r="AY32" i="92" s="1"/>
  <c r="AW32" i="92"/>
  <c r="AT32" i="92"/>
  <c r="AQ32" i="92"/>
  <c r="AN32" i="92"/>
  <c r="AK32" i="92"/>
  <c r="AH32" i="92"/>
  <c r="AD32" i="92"/>
  <c r="AE32" i="92" s="1"/>
  <c r="AC32" i="92"/>
  <c r="Z32" i="92"/>
  <c r="W32" i="92"/>
  <c r="T32" i="92"/>
  <c r="Q32" i="92"/>
  <c r="N32" i="92"/>
  <c r="AX31" i="92"/>
  <c r="AY31" i="92" s="1"/>
  <c r="AW31" i="92"/>
  <c r="AT31" i="92"/>
  <c r="AQ31" i="92"/>
  <c r="AN31" i="92"/>
  <c r="AK31" i="92"/>
  <c r="AH31" i="92"/>
  <c r="AD31" i="92"/>
  <c r="AE31" i="92" s="1"/>
  <c r="AC31" i="92"/>
  <c r="Z31" i="92"/>
  <c r="W31" i="92"/>
  <c r="T31" i="92"/>
  <c r="Q31" i="92"/>
  <c r="N31" i="92"/>
  <c r="AX30" i="92"/>
  <c r="AY30" i="92" s="1"/>
  <c r="AW30" i="92"/>
  <c r="AT30" i="92"/>
  <c r="AQ30" i="92"/>
  <c r="AN30" i="92"/>
  <c r="AK30" i="92"/>
  <c r="AH30" i="92"/>
  <c r="AD30" i="92"/>
  <c r="AE30" i="92" s="1"/>
  <c r="AC30" i="92"/>
  <c r="Z30" i="92"/>
  <c r="W30" i="92"/>
  <c r="T30" i="92"/>
  <c r="Q30" i="92"/>
  <c r="N30" i="92"/>
  <c r="AX29" i="92"/>
  <c r="AY29" i="92" s="1"/>
  <c r="AW29" i="92"/>
  <c r="AT29" i="92"/>
  <c r="AQ29" i="92"/>
  <c r="AN29" i="92"/>
  <c r="AK29" i="92"/>
  <c r="AH29" i="92"/>
  <c r="AD29" i="92"/>
  <c r="AE29" i="92" s="1"/>
  <c r="AC29" i="92"/>
  <c r="Z29" i="92"/>
  <c r="W29" i="92"/>
  <c r="T29" i="92"/>
  <c r="Q29" i="92"/>
  <c r="N29" i="92"/>
  <c r="AX28" i="92"/>
  <c r="AW28" i="92"/>
  <c r="AT28" i="92"/>
  <c r="AQ28" i="92"/>
  <c r="AN28" i="92"/>
  <c r="AK28" i="92"/>
  <c r="AH28" i="92"/>
  <c r="AE28" i="92"/>
  <c r="AD28" i="92"/>
  <c r="AC28" i="92"/>
  <c r="Z28" i="92"/>
  <c r="W28" i="92"/>
  <c r="T28" i="92"/>
  <c r="Q28" i="92"/>
  <c r="N28" i="92"/>
  <c r="AX27" i="92"/>
  <c r="AW27" i="92"/>
  <c r="AT27" i="92"/>
  <c r="AQ27" i="92"/>
  <c r="AN27" i="92"/>
  <c r="AK27" i="92"/>
  <c r="AH27" i="92"/>
  <c r="AD27" i="92"/>
  <c r="AE27" i="92" s="1"/>
  <c r="AC27" i="92"/>
  <c r="Z27" i="92"/>
  <c r="W27" i="92"/>
  <c r="T27" i="92"/>
  <c r="Q27" i="92"/>
  <c r="N27" i="92"/>
  <c r="AX26" i="92"/>
  <c r="AW26" i="92"/>
  <c r="AT26" i="92"/>
  <c r="AQ26" i="92"/>
  <c r="AN26" i="92"/>
  <c r="AK26" i="92"/>
  <c r="AH26" i="92"/>
  <c r="AD26" i="92"/>
  <c r="AE26" i="92" s="1"/>
  <c r="AC26" i="92"/>
  <c r="Z26" i="92"/>
  <c r="W26" i="92"/>
  <c r="T26" i="92"/>
  <c r="Q26" i="92"/>
  <c r="N26" i="92"/>
  <c r="AX25" i="92"/>
  <c r="AY25" i="92" s="1"/>
  <c r="AW25" i="92"/>
  <c r="AT25" i="92"/>
  <c r="AQ25" i="92"/>
  <c r="AN25" i="92"/>
  <c r="AK25" i="92"/>
  <c r="AH25" i="92"/>
  <c r="AD25" i="92"/>
  <c r="AE25" i="92" s="1"/>
  <c r="AC25" i="92"/>
  <c r="Z25" i="92"/>
  <c r="W25" i="92"/>
  <c r="T25" i="92"/>
  <c r="Q25" i="92"/>
  <c r="N25" i="92"/>
  <c r="AX24" i="92"/>
  <c r="AW24" i="92"/>
  <c r="AT24" i="92"/>
  <c r="AQ24" i="92"/>
  <c r="AN24" i="92"/>
  <c r="AK24" i="92"/>
  <c r="AH24" i="92"/>
  <c r="AD24" i="92"/>
  <c r="AE24" i="92" s="1"/>
  <c r="AC24" i="92"/>
  <c r="Z24" i="92"/>
  <c r="W24" i="92"/>
  <c r="T24" i="92"/>
  <c r="N24" i="92"/>
  <c r="AX23" i="92"/>
  <c r="AY23" i="92" s="1"/>
  <c r="AW23" i="92"/>
  <c r="AT23" i="92"/>
  <c r="AQ23" i="92"/>
  <c r="AN23" i="92"/>
  <c r="AK23" i="92"/>
  <c r="AH23" i="92"/>
  <c r="AD23" i="92"/>
  <c r="AE23" i="92" s="1"/>
  <c r="AC23" i="92"/>
  <c r="Z23" i="92"/>
  <c r="W23" i="92"/>
  <c r="T23" i="92"/>
  <c r="Q23" i="92"/>
  <c r="N23" i="92"/>
  <c r="AX22" i="92"/>
  <c r="AY22" i="92" s="1"/>
  <c r="AW22" i="92"/>
  <c r="AT22" i="92"/>
  <c r="AQ22" i="92"/>
  <c r="AN22" i="92"/>
  <c r="AK22" i="92"/>
  <c r="AH22" i="92"/>
  <c r="AD22" i="92"/>
  <c r="AE22" i="92" s="1"/>
  <c r="AC22" i="92"/>
  <c r="Z22" i="92"/>
  <c r="W22" i="92"/>
  <c r="T22" i="92"/>
  <c r="Q22" i="92"/>
  <c r="N22" i="92"/>
  <c r="AX21" i="92"/>
  <c r="AY21" i="92" s="1"/>
  <c r="AW21" i="92"/>
  <c r="AT21" i="92"/>
  <c r="AQ21" i="92"/>
  <c r="AN21" i="92"/>
  <c r="AK21" i="92"/>
  <c r="AH21" i="92"/>
  <c r="AD21" i="92"/>
  <c r="AE21" i="92" s="1"/>
  <c r="AC21" i="92"/>
  <c r="Z21" i="92"/>
  <c r="W21" i="92"/>
  <c r="T21" i="92"/>
  <c r="Q21" i="92"/>
  <c r="N21" i="92"/>
  <c r="AX20" i="92"/>
  <c r="AW20" i="92"/>
  <c r="AT20" i="92"/>
  <c r="AQ20" i="92"/>
  <c r="AN20" i="92"/>
  <c r="AK20" i="92"/>
  <c r="AH20" i="92"/>
  <c r="AD20" i="92"/>
  <c r="AE20" i="92" s="1"/>
  <c r="AC20" i="92"/>
  <c r="Z20" i="92"/>
  <c r="W20" i="92"/>
  <c r="T20" i="92"/>
  <c r="Q20" i="92"/>
  <c r="N20" i="92"/>
  <c r="AX19" i="92"/>
  <c r="AY19" i="92" s="1"/>
  <c r="AW19" i="92"/>
  <c r="AT19" i="92"/>
  <c r="AQ19" i="92"/>
  <c r="AN19" i="92"/>
  <c r="AK19" i="92"/>
  <c r="AH19" i="92"/>
  <c r="AD19" i="92"/>
  <c r="AE19" i="92" s="1"/>
  <c r="AC19" i="92"/>
  <c r="Z19" i="92"/>
  <c r="W19" i="92"/>
  <c r="T19" i="92"/>
  <c r="Q19" i="92"/>
  <c r="N19" i="92"/>
  <c r="AX18" i="92"/>
  <c r="AY18" i="92" s="1"/>
  <c r="AW18" i="92"/>
  <c r="AT18" i="92"/>
  <c r="AQ18" i="92"/>
  <c r="AN18" i="92"/>
  <c r="AK18" i="92"/>
  <c r="AH18" i="92"/>
  <c r="AD18" i="92"/>
  <c r="AE18" i="92" s="1"/>
  <c r="AC18" i="92"/>
  <c r="Z18" i="92"/>
  <c r="W18" i="92"/>
  <c r="T18" i="92"/>
  <c r="Q18" i="92"/>
  <c r="N18" i="92"/>
  <c r="AX17" i="92"/>
  <c r="AW17" i="92"/>
  <c r="AT17" i="92"/>
  <c r="AQ17" i="92"/>
  <c r="AN17" i="92"/>
  <c r="AK17" i="92"/>
  <c r="AH17" i="92"/>
  <c r="AD17" i="92"/>
  <c r="AE17" i="92" s="1"/>
  <c r="AC17" i="92"/>
  <c r="Z17" i="92"/>
  <c r="W17" i="92"/>
  <c r="T17" i="92"/>
  <c r="Q17" i="92"/>
  <c r="N17" i="92"/>
  <c r="AX16" i="92"/>
  <c r="AY16" i="92" s="1"/>
  <c r="AW16" i="92"/>
  <c r="AT16" i="92"/>
  <c r="AQ16" i="92"/>
  <c r="AN16" i="92"/>
  <c r="AK16" i="92"/>
  <c r="AH16" i="92"/>
  <c r="AD16" i="92"/>
  <c r="AE16" i="92" s="1"/>
  <c r="AC16" i="92"/>
  <c r="Z16" i="92"/>
  <c r="W16" i="92"/>
  <c r="T16" i="92"/>
  <c r="Q16" i="92"/>
  <c r="N16" i="92"/>
  <c r="AX15" i="92"/>
  <c r="AY15" i="92" s="1"/>
  <c r="AW15" i="92"/>
  <c r="AT15" i="92"/>
  <c r="AQ15" i="92"/>
  <c r="AN15" i="92"/>
  <c r="AK15" i="92"/>
  <c r="AH15" i="92"/>
  <c r="AD15" i="92"/>
  <c r="AE15" i="92" s="1"/>
  <c r="AC15" i="92"/>
  <c r="Z15" i="92"/>
  <c r="W15" i="92"/>
  <c r="T15" i="92"/>
  <c r="Q15" i="92"/>
  <c r="N15" i="92"/>
  <c r="AX14" i="92"/>
  <c r="AY14" i="92" s="1"/>
  <c r="AW14" i="92"/>
  <c r="AT14" i="92"/>
  <c r="AQ14" i="92"/>
  <c r="AN14" i="92"/>
  <c r="AK14" i="92"/>
  <c r="AH14" i="92"/>
  <c r="AD14" i="92"/>
  <c r="AE14" i="92" s="1"/>
  <c r="AC14" i="92"/>
  <c r="Z14" i="92"/>
  <c r="W14" i="92"/>
  <c r="T14" i="92"/>
  <c r="Q14" i="92"/>
  <c r="N14" i="92"/>
  <c r="AX13" i="92"/>
  <c r="AY13" i="92" s="1"/>
  <c r="AW13" i="92"/>
  <c r="AT13" i="92"/>
  <c r="AQ13" i="92"/>
  <c r="AN13" i="92"/>
  <c r="AK13" i="92"/>
  <c r="AH13" i="92"/>
  <c r="AD13" i="92"/>
  <c r="AE13" i="92" s="1"/>
  <c r="AC13" i="92"/>
  <c r="Z13" i="92"/>
  <c r="W13" i="92"/>
  <c r="T13" i="92"/>
  <c r="Q13" i="92"/>
  <c r="N13" i="92"/>
  <c r="AX12" i="92"/>
  <c r="AY12" i="92" s="1"/>
  <c r="AW12" i="92"/>
  <c r="AT12" i="92"/>
  <c r="AQ12" i="92"/>
  <c r="AN12" i="92"/>
  <c r="AK12" i="92"/>
  <c r="AH12" i="92"/>
  <c r="AD12" i="92"/>
  <c r="AE12" i="92" s="1"/>
  <c r="AC12" i="92"/>
  <c r="Z12" i="92"/>
  <c r="W12" i="92"/>
  <c r="T12" i="92"/>
  <c r="Q12" i="92"/>
  <c r="N12" i="92"/>
  <c r="AX11" i="92"/>
  <c r="AY11" i="92" s="1"/>
  <c r="AW11" i="92"/>
  <c r="AT11" i="92"/>
  <c r="AQ11" i="92"/>
  <c r="AN11" i="92"/>
  <c r="AK11" i="92"/>
  <c r="AH11" i="92"/>
  <c r="AD11" i="92"/>
  <c r="AE11" i="92" s="1"/>
  <c r="AC11" i="92"/>
  <c r="Z11" i="92"/>
  <c r="W11" i="92"/>
  <c r="T11" i="92"/>
  <c r="Q11" i="92"/>
  <c r="N11" i="92"/>
  <c r="AX10" i="92"/>
  <c r="AY10" i="92" s="1"/>
  <c r="AW10" i="92"/>
  <c r="AT10" i="92"/>
  <c r="AQ10" i="92"/>
  <c r="AN10" i="92"/>
  <c r="AK10" i="92"/>
  <c r="AH10" i="92"/>
  <c r="AD10" i="92"/>
  <c r="AE10" i="92" s="1"/>
  <c r="AC10" i="92"/>
  <c r="W10" i="92"/>
  <c r="T10" i="92"/>
  <c r="Q10" i="92"/>
  <c r="N10" i="92"/>
  <c r="AX9" i="92"/>
  <c r="AW9" i="92"/>
  <c r="AT9" i="92"/>
  <c r="AQ9" i="92"/>
  <c r="AN9" i="92"/>
  <c r="AK9" i="92"/>
  <c r="AH9" i="92"/>
  <c r="AD9" i="92"/>
  <c r="AE9" i="92" s="1"/>
  <c r="AC9" i="92"/>
  <c r="W9" i="92"/>
  <c r="T9" i="92"/>
  <c r="Q9" i="92"/>
  <c r="N9" i="92"/>
  <c r="G9" i="92"/>
  <c r="AY9" i="92" s="1"/>
  <c r="AE34" i="92" l="1"/>
  <c r="AX9" i="64"/>
  <c r="G9" i="64"/>
  <c r="AX9" i="62"/>
  <c r="G9" i="62"/>
  <c r="AX9" i="61"/>
  <c r="AX9" i="60"/>
  <c r="AU47" i="59"/>
  <c r="AV47" i="59" s="1"/>
  <c r="AT47" i="59"/>
  <c r="AQ47" i="59"/>
  <c r="AN47" i="59"/>
  <c r="AK47" i="59"/>
  <c r="AH47" i="59"/>
  <c r="AE47" i="59"/>
  <c r="AB47" i="59"/>
  <c r="Z47" i="59"/>
  <c r="W47" i="59"/>
  <c r="T47" i="59"/>
  <c r="Q47" i="59"/>
  <c r="N47" i="59"/>
  <c r="K47" i="59"/>
  <c r="AV45" i="59"/>
  <c r="AU45" i="59"/>
  <c r="AT45" i="59"/>
  <c r="AQ45" i="59"/>
  <c r="AN45" i="59"/>
  <c r="AK45" i="59"/>
  <c r="AH45" i="59"/>
  <c r="AE45" i="59"/>
  <c r="AB45" i="59"/>
  <c r="Z45" i="59"/>
  <c r="W45" i="59"/>
  <c r="T45" i="59"/>
  <c r="Q45" i="59"/>
  <c r="N45" i="59"/>
  <c r="K45" i="59"/>
  <c r="AU44" i="59"/>
  <c r="AV44" i="59" s="1"/>
  <c r="AT44" i="59"/>
  <c r="AQ44" i="59"/>
  <c r="AN44" i="59"/>
  <c r="AK44" i="59"/>
  <c r="AH44" i="59"/>
  <c r="AE44" i="59"/>
  <c r="AA44" i="59"/>
  <c r="AB44" i="59" s="1"/>
  <c r="Z44" i="59"/>
  <c r="W44" i="59"/>
  <c r="T44" i="59"/>
  <c r="Q44" i="59"/>
  <c r="N44" i="59"/>
  <c r="K44" i="59"/>
  <c r="AU43" i="59"/>
  <c r="AV43" i="59" s="1"/>
  <c r="AT43" i="59"/>
  <c r="AQ43" i="59"/>
  <c r="AN43" i="59"/>
  <c r="AK43" i="59"/>
  <c r="AH43" i="59"/>
  <c r="AE43" i="59"/>
  <c r="AA43" i="59"/>
  <c r="AB43" i="59" s="1"/>
  <c r="Z43" i="59"/>
  <c r="W43" i="59"/>
  <c r="T43" i="59"/>
  <c r="Q43" i="59"/>
  <c r="N43" i="59"/>
  <c r="K43" i="59"/>
  <c r="AU41" i="59"/>
  <c r="AV41" i="59" s="1"/>
  <c r="AT41" i="59"/>
  <c r="AQ41" i="59"/>
  <c r="AN41" i="59"/>
  <c r="AK41" i="59"/>
  <c r="AH41" i="59"/>
  <c r="AE41" i="59"/>
  <c r="AA41" i="59"/>
  <c r="AB41" i="59" s="1"/>
  <c r="Z41" i="59"/>
  <c r="W41" i="59"/>
  <c r="T41" i="59"/>
  <c r="Q41" i="59"/>
  <c r="N41" i="59"/>
  <c r="K41" i="59"/>
  <c r="AU40" i="59"/>
  <c r="AV40" i="59" s="1"/>
  <c r="AT40" i="59"/>
  <c r="AQ40" i="59"/>
  <c r="AN40" i="59"/>
  <c r="AK40" i="59"/>
  <c r="AH40" i="59"/>
  <c r="AE40" i="59"/>
  <c r="AA40" i="59"/>
  <c r="AB40" i="59" s="1"/>
  <c r="Z40" i="59"/>
  <c r="W40" i="59"/>
  <c r="T40" i="59"/>
  <c r="Q40" i="59"/>
  <c r="N40" i="59"/>
  <c r="K40" i="59"/>
  <c r="AU39" i="59"/>
  <c r="AV39" i="59" s="1"/>
  <c r="AT39" i="59"/>
  <c r="AQ39" i="59"/>
  <c r="AN39" i="59"/>
  <c r="AK39" i="59"/>
  <c r="AH39" i="59"/>
  <c r="AE39" i="59"/>
  <c r="AA39" i="59"/>
  <c r="AB39" i="59" s="1"/>
  <c r="Z39" i="59"/>
  <c r="W39" i="59"/>
  <c r="T39" i="59"/>
  <c r="Q39" i="59"/>
  <c r="N39" i="59"/>
  <c r="K39" i="59"/>
  <c r="AU38" i="59"/>
  <c r="AV38" i="59" s="1"/>
  <c r="AT38" i="59"/>
  <c r="AQ38" i="59"/>
  <c r="AN38" i="59"/>
  <c r="AK38" i="59"/>
  <c r="AH38" i="59"/>
  <c r="AE38" i="59"/>
  <c r="AA38" i="59"/>
  <c r="AB38" i="59" s="1"/>
  <c r="Z38" i="59"/>
  <c r="W38" i="59"/>
  <c r="T38" i="59"/>
  <c r="Q38" i="59"/>
  <c r="N38" i="59"/>
  <c r="K38" i="59"/>
  <c r="AU37" i="59"/>
  <c r="AV37" i="59" s="1"/>
  <c r="AT37" i="59"/>
  <c r="AQ37" i="59"/>
  <c r="AN37" i="59"/>
  <c r="AK37" i="59"/>
  <c r="AH37" i="59"/>
  <c r="AE37" i="59"/>
  <c r="AA37" i="59"/>
  <c r="AB37" i="59" s="1"/>
  <c r="Z37" i="59"/>
  <c r="W37" i="59"/>
  <c r="T37" i="59"/>
  <c r="Q37" i="59"/>
  <c r="N37" i="59"/>
  <c r="K37" i="59"/>
  <c r="AU36" i="59"/>
  <c r="AV36" i="59" s="1"/>
  <c r="AT36" i="59"/>
  <c r="AQ36" i="59"/>
  <c r="AN36" i="59"/>
  <c r="AK36" i="59"/>
  <c r="AH36" i="59"/>
  <c r="AE36" i="59"/>
  <c r="AA36" i="59"/>
  <c r="AB36" i="59" s="1"/>
  <c r="Z36" i="59"/>
  <c r="W36" i="59"/>
  <c r="T36" i="59"/>
  <c r="Q36" i="59"/>
  <c r="N36" i="59"/>
  <c r="K36" i="59"/>
  <c r="AU35" i="59"/>
  <c r="AV35" i="59" s="1"/>
  <c r="AT35" i="59"/>
  <c r="AQ35" i="59"/>
  <c r="AN35" i="59"/>
  <c r="AK35" i="59"/>
  <c r="AH35" i="59"/>
  <c r="AE35" i="59"/>
  <c r="AA35" i="59"/>
  <c r="AB35" i="59" s="1"/>
  <c r="Z35" i="59"/>
  <c r="W35" i="59"/>
  <c r="T35" i="59"/>
  <c r="Q35" i="59"/>
  <c r="N35" i="59"/>
  <c r="K35" i="59"/>
  <c r="AU34" i="59"/>
  <c r="AV34" i="59" s="1"/>
  <c r="AT34" i="59"/>
  <c r="AQ34" i="59"/>
  <c r="AN34" i="59"/>
  <c r="AK34" i="59"/>
  <c r="AH34" i="59"/>
  <c r="AA34" i="59"/>
  <c r="AB34" i="59" s="1"/>
  <c r="Z34" i="59"/>
  <c r="W34" i="59"/>
  <c r="T34" i="59"/>
  <c r="Q34" i="59"/>
  <c r="N34" i="59"/>
  <c r="K34" i="59"/>
  <c r="AU33" i="59"/>
  <c r="AV33" i="59" s="1"/>
  <c r="AT33" i="59"/>
  <c r="AQ33" i="59"/>
  <c r="AN33" i="59"/>
  <c r="AK33" i="59"/>
  <c r="AH33" i="59"/>
  <c r="AE33" i="59"/>
  <c r="AA33" i="59"/>
  <c r="AB33" i="59" s="1"/>
  <c r="Z33" i="59"/>
  <c r="W33" i="59"/>
  <c r="T33" i="59"/>
  <c r="Q33" i="59"/>
  <c r="N33" i="59"/>
  <c r="K33" i="59"/>
  <c r="AU32" i="59"/>
  <c r="AV32" i="59" s="1"/>
  <c r="AT32" i="59"/>
  <c r="AQ32" i="59"/>
  <c r="AN32" i="59"/>
  <c r="AK32" i="59"/>
  <c r="AH32" i="59"/>
  <c r="AE32" i="59"/>
  <c r="AA32" i="59"/>
  <c r="AB32" i="59" s="1"/>
  <c r="Z32" i="59"/>
  <c r="W32" i="59"/>
  <c r="T32" i="59"/>
  <c r="Q32" i="59"/>
  <c r="N32" i="59"/>
  <c r="K32" i="59"/>
  <c r="AU31" i="59"/>
  <c r="AV31" i="59" s="1"/>
  <c r="AT31" i="59"/>
  <c r="AQ31" i="59"/>
  <c r="AN31" i="59"/>
  <c r="AK31" i="59"/>
  <c r="AH31" i="59"/>
  <c r="AE31" i="59"/>
  <c r="AA31" i="59"/>
  <c r="AB31" i="59" s="1"/>
  <c r="Z31" i="59"/>
  <c r="W31" i="59"/>
  <c r="T31" i="59"/>
  <c r="Q31" i="59"/>
  <c r="N31" i="59"/>
  <c r="K31" i="59"/>
  <c r="AU30" i="59"/>
  <c r="AT30" i="59"/>
  <c r="AQ30" i="59"/>
  <c r="AN30" i="59"/>
  <c r="AK30" i="59"/>
  <c r="AH30" i="59"/>
  <c r="AE30" i="59"/>
  <c r="AA30" i="59"/>
  <c r="Z30" i="59"/>
  <c r="W30" i="59"/>
  <c r="T30" i="59"/>
  <c r="Q30" i="59"/>
  <c r="N30" i="59"/>
  <c r="K30" i="59"/>
  <c r="G30" i="59"/>
  <c r="AU29" i="59"/>
  <c r="AT29" i="59"/>
  <c r="AQ29" i="59"/>
  <c r="AN29" i="59"/>
  <c r="AK29" i="59"/>
  <c r="AH29" i="59"/>
  <c r="AE29" i="59"/>
  <c r="AA29" i="59"/>
  <c r="AB29" i="59" s="1"/>
  <c r="Z29" i="59"/>
  <c r="W29" i="59"/>
  <c r="T29" i="59"/>
  <c r="Q29" i="59"/>
  <c r="N29" i="59"/>
  <c r="K29" i="59"/>
  <c r="AU28" i="59"/>
  <c r="AV28" i="59" s="1"/>
  <c r="AT28" i="59"/>
  <c r="AQ28" i="59"/>
  <c r="AN28" i="59"/>
  <c r="AK28" i="59"/>
  <c r="AH28" i="59"/>
  <c r="AE28" i="59"/>
  <c r="AA28" i="59"/>
  <c r="AB28" i="59" s="1"/>
  <c r="Z28" i="59"/>
  <c r="W28" i="59"/>
  <c r="T28" i="59"/>
  <c r="Q28" i="59"/>
  <c r="N28" i="59"/>
  <c r="K28" i="59"/>
  <c r="AU27" i="59"/>
  <c r="AV27" i="59" s="1"/>
  <c r="AT27" i="59"/>
  <c r="AQ27" i="59"/>
  <c r="AN27" i="59"/>
  <c r="AK27" i="59"/>
  <c r="AH27" i="59"/>
  <c r="AE27" i="59"/>
  <c r="AA27" i="59"/>
  <c r="AB27" i="59" s="1"/>
  <c r="Z27" i="59"/>
  <c r="W27" i="59"/>
  <c r="T27" i="59"/>
  <c r="Q27" i="59"/>
  <c r="N27" i="59"/>
  <c r="K27" i="59"/>
  <c r="AU26" i="59"/>
  <c r="AV26" i="59" s="1"/>
  <c r="AT26" i="59"/>
  <c r="AQ26" i="59"/>
  <c r="AN26" i="59"/>
  <c r="AK26" i="59"/>
  <c r="AH26" i="59"/>
  <c r="AE26" i="59"/>
  <c r="AA26" i="59"/>
  <c r="AB26" i="59" s="1"/>
  <c r="Z26" i="59"/>
  <c r="W26" i="59"/>
  <c r="T26" i="59"/>
  <c r="Q26" i="59"/>
  <c r="N26" i="59"/>
  <c r="K26" i="59"/>
  <c r="AU25" i="59"/>
  <c r="AV25" i="59" s="1"/>
  <c r="AT25" i="59"/>
  <c r="AQ25" i="59"/>
  <c r="AN25" i="59"/>
  <c r="AK25" i="59"/>
  <c r="AH25" i="59"/>
  <c r="AE25" i="59"/>
  <c r="AA25" i="59"/>
  <c r="AB25" i="59" s="1"/>
  <c r="Z25" i="59"/>
  <c r="W25" i="59"/>
  <c r="T25" i="59"/>
  <c r="Q25" i="59"/>
  <c r="N25" i="59"/>
  <c r="K25" i="59"/>
  <c r="AU24" i="59"/>
  <c r="AV24" i="59" s="1"/>
  <c r="AT24" i="59"/>
  <c r="AQ24" i="59"/>
  <c r="AN24" i="59"/>
  <c r="AK24" i="59"/>
  <c r="AH24" i="59"/>
  <c r="AE24" i="59"/>
  <c r="AA24" i="59"/>
  <c r="AB24" i="59" s="1"/>
  <c r="Z24" i="59"/>
  <c r="W24" i="59"/>
  <c r="T24" i="59"/>
  <c r="Q24" i="59"/>
  <c r="N24" i="59"/>
  <c r="K24" i="59"/>
  <c r="AU23" i="59"/>
  <c r="AV23" i="59" s="1"/>
  <c r="AT23" i="59"/>
  <c r="AQ23" i="59"/>
  <c r="AN23" i="59"/>
  <c r="AK23" i="59"/>
  <c r="AH23" i="59"/>
  <c r="AE23" i="59"/>
  <c r="AA23" i="59"/>
  <c r="AB23" i="59" s="1"/>
  <c r="Z23" i="59"/>
  <c r="W23" i="59"/>
  <c r="T23" i="59"/>
  <c r="Q23" i="59"/>
  <c r="N23" i="59"/>
  <c r="K23" i="59"/>
  <c r="AU22" i="59"/>
  <c r="AV22" i="59" s="1"/>
  <c r="AT22" i="59"/>
  <c r="AQ22" i="59"/>
  <c r="AN22" i="59"/>
  <c r="AK22" i="59"/>
  <c r="AH22" i="59"/>
  <c r="AE22" i="59"/>
  <c r="AA22" i="59"/>
  <c r="AB22" i="59" s="1"/>
  <c r="Z22" i="59"/>
  <c r="W22" i="59"/>
  <c r="T22" i="59"/>
  <c r="Q22" i="59"/>
  <c r="N22" i="59"/>
  <c r="K22" i="59"/>
  <c r="AU21" i="59"/>
  <c r="AV21" i="59" s="1"/>
  <c r="AT21" i="59"/>
  <c r="AQ21" i="59"/>
  <c r="AN21" i="59"/>
  <c r="AK21" i="59"/>
  <c r="AH21" i="59"/>
  <c r="AE21" i="59"/>
  <c r="AA21" i="59"/>
  <c r="AB21" i="59" s="1"/>
  <c r="Z21" i="59"/>
  <c r="W21" i="59"/>
  <c r="T21" i="59"/>
  <c r="Q21" i="59"/>
  <c r="N21" i="59"/>
  <c r="K21" i="59"/>
  <c r="AU20" i="59"/>
  <c r="AV20" i="59" s="1"/>
  <c r="AT20" i="59"/>
  <c r="AQ20" i="59"/>
  <c r="AN20" i="59"/>
  <c r="AK20" i="59"/>
  <c r="AH20" i="59"/>
  <c r="AE20" i="59"/>
  <c r="AA20" i="59"/>
  <c r="AB20" i="59" s="1"/>
  <c r="Z20" i="59"/>
  <c r="W20" i="59"/>
  <c r="T20" i="59"/>
  <c r="Q20" i="59"/>
  <c r="N20" i="59"/>
  <c r="K20" i="59"/>
  <c r="AU19" i="59"/>
  <c r="AV19" i="59" s="1"/>
  <c r="AT19" i="59"/>
  <c r="AQ19" i="59"/>
  <c r="AN19" i="59"/>
  <c r="AK19" i="59"/>
  <c r="AH19" i="59"/>
  <c r="AE19" i="59"/>
  <c r="AA19" i="59"/>
  <c r="AB19" i="59" s="1"/>
  <c r="Z19" i="59"/>
  <c r="W19" i="59"/>
  <c r="T19" i="59"/>
  <c r="Q19" i="59"/>
  <c r="N19" i="59"/>
  <c r="K19" i="59"/>
  <c r="AU18" i="59"/>
  <c r="AV18" i="59" s="1"/>
  <c r="AT18" i="59"/>
  <c r="AQ18" i="59"/>
  <c r="AN18" i="59"/>
  <c r="AK18" i="59"/>
  <c r="AH18" i="59"/>
  <c r="AE18" i="59"/>
  <c r="AA18" i="59"/>
  <c r="AB18" i="59" s="1"/>
  <c r="Z18" i="59"/>
  <c r="W18" i="59"/>
  <c r="T18" i="59"/>
  <c r="Q18" i="59"/>
  <c r="N18" i="59"/>
  <c r="K18" i="59"/>
  <c r="AU17" i="59"/>
  <c r="AV17" i="59" s="1"/>
  <c r="AT17" i="59"/>
  <c r="AQ17" i="59"/>
  <c r="AN17" i="59"/>
  <c r="AK17" i="59"/>
  <c r="AH17" i="59"/>
  <c r="AE17" i="59"/>
  <c r="AA17" i="59"/>
  <c r="AB17" i="59" s="1"/>
  <c r="Z17" i="59"/>
  <c r="W17" i="59"/>
  <c r="T17" i="59"/>
  <c r="Q17" i="59"/>
  <c r="N17" i="59"/>
  <c r="K17" i="59"/>
  <c r="AU16" i="59"/>
  <c r="AV16" i="59" s="1"/>
  <c r="AT16" i="59"/>
  <c r="AQ16" i="59"/>
  <c r="AN16" i="59"/>
  <c r="AK16" i="59"/>
  <c r="AH16" i="59"/>
  <c r="AE16" i="59"/>
  <c r="AA16" i="59"/>
  <c r="AB16" i="59" s="1"/>
  <c r="Z16" i="59"/>
  <c r="W16" i="59"/>
  <c r="T16" i="59"/>
  <c r="Q16" i="59"/>
  <c r="N16" i="59"/>
  <c r="K16" i="59"/>
  <c r="AU15" i="59"/>
  <c r="AV15" i="59" s="1"/>
  <c r="AT15" i="59"/>
  <c r="AQ15" i="59"/>
  <c r="AN15" i="59"/>
  <c r="AK15" i="59"/>
  <c r="AH15" i="59"/>
  <c r="AE15" i="59"/>
  <c r="AA15" i="59"/>
  <c r="AB15" i="59" s="1"/>
  <c r="Z15" i="59"/>
  <c r="W15" i="59"/>
  <c r="T15" i="59"/>
  <c r="Q15" i="59"/>
  <c r="N15" i="59"/>
  <c r="K15" i="59"/>
  <c r="AU14" i="59"/>
  <c r="AV14" i="59" s="1"/>
  <c r="AT14" i="59"/>
  <c r="AQ14" i="59"/>
  <c r="AN14" i="59"/>
  <c r="AK14" i="59"/>
  <c r="AH14" i="59"/>
  <c r="AE14" i="59"/>
  <c r="AA14" i="59"/>
  <c r="AB14" i="59" s="1"/>
  <c r="Z14" i="59"/>
  <c r="W14" i="59"/>
  <c r="T14" i="59"/>
  <c r="Q14" i="59"/>
  <c r="N14" i="59"/>
  <c r="K14" i="59"/>
  <c r="AU13" i="59"/>
  <c r="AV13" i="59" s="1"/>
  <c r="AT13" i="59"/>
  <c r="AQ13" i="59"/>
  <c r="AN13" i="59"/>
  <c r="AK13" i="59"/>
  <c r="AH13" i="59"/>
  <c r="AE13" i="59"/>
  <c r="AA13" i="59"/>
  <c r="AB13" i="59" s="1"/>
  <c r="Z13" i="59"/>
  <c r="W13" i="59"/>
  <c r="T13" i="59"/>
  <c r="Q13" i="59"/>
  <c r="N13" i="59"/>
  <c r="K13" i="59"/>
  <c r="AU12" i="59"/>
  <c r="AV12" i="59" s="1"/>
  <c r="AT12" i="59"/>
  <c r="AQ12" i="59"/>
  <c r="AN12" i="59"/>
  <c r="AK12" i="59"/>
  <c r="AH12" i="59"/>
  <c r="AE12" i="59"/>
  <c r="AA12" i="59"/>
  <c r="AB12" i="59" s="1"/>
  <c r="Z12" i="59"/>
  <c r="W12" i="59"/>
  <c r="T12" i="59"/>
  <c r="Q12" i="59"/>
  <c r="N12" i="59"/>
  <c r="K12" i="59"/>
  <c r="AU11" i="59"/>
  <c r="AV11" i="59" s="1"/>
  <c r="AT11" i="59"/>
  <c r="AQ11" i="59"/>
  <c r="AN11" i="59"/>
  <c r="AK11" i="59"/>
  <c r="AH11" i="59"/>
  <c r="AE11" i="59"/>
  <c r="AA11" i="59"/>
  <c r="AB11" i="59" s="1"/>
  <c r="Z11" i="59"/>
  <c r="W11" i="59"/>
  <c r="T11" i="59"/>
  <c r="Q11" i="59"/>
  <c r="N11" i="59"/>
  <c r="K11" i="59"/>
  <c r="AU10" i="59"/>
  <c r="AV10" i="59" s="1"/>
  <c r="AT10" i="59"/>
  <c r="AQ10" i="59"/>
  <c r="AN10" i="59"/>
  <c r="AK10" i="59"/>
  <c r="AH10" i="59"/>
  <c r="AE10" i="59"/>
  <c r="AA10" i="59"/>
  <c r="AB10" i="59" s="1"/>
  <c r="Z10" i="59"/>
  <c r="W10" i="59"/>
  <c r="T10" i="59"/>
  <c r="Q10" i="59"/>
  <c r="N10" i="59"/>
  <c r="K10" i="59"/>
  <c r="AU9" i="59"/>
  <c r="AT9" i="59"/>
  <c r="AQ9" i="59"/>
  <c r="AN9" i="59"/>
  <c r="AK9" i="59"/>
  <c r="AH9" i="59"/>
  <c r="AE9" i="59"/>
  <c r="AA9" i="59"/>
  <c r="Z9" i="59"/>
  <c r="W9" i="59"/>
  <c r="Q9" i="59"/>
  <c r="N9" i="59"/>
  <c r="K9" i="59"/>
  <c r="G9" i="59"/>
  <c r="AV30" i="59" l="1"/>
  <c r="AV9" i="59"/>
  <c r="AW4" i="59" s="1"/>
  <c r="C14" i="10" s="1"/>
  <c r="AB30" i="59"/>
  <c r="AB9" i="59"/>
  <c r="AX31" i="52"/>
  <c r="AY31" i="52" s="1"/>
  <c r="AW31" i="52"/>
  <c r="AT31" i="52"/>
  <c r="AQ31" i="52"/>
  <c r="AN31" i="52"/>
  <c r="AK31" i="52"/>
  <c r="AH31" i="52"/>
  <c r="AD31" i="52"/>
  <c r="AE31" i="52" s="1"/>
  <c r="AC31" i="52"/>
  <c r="Z31" i="52"/>
  <c r="W31" i="52"/>
  <c r="T31" i="52"/>
  <c r="Q31" i="52"/>
  <c r="AY29" i="52"/>
  <c r="AX29" i="52"/>
  <c r="AW29" i="52"/>
  <c r="AT29" i="52"/>
  <c r="AQ29" i="52"/>
  <c r="AN29" i="52"/>
  <c r="AK29" i="52"/>
  <c r="AH29" i="52"/>
  <c r="AE29" i="52"/>
  <c r="AD29" i="52"/>
  <c r="AC29" i="52"/>
  <c r="Z29" i="52"/>
  <c r="W29" i="52"/>
  <c r="T29" i="52"/>
  <c r="Q29" i="52"/>
  <c r="N29" i="52"/>
  <c r="AX28" i="52"/>
  <c r="AY28" i="52" s="1"/>
  <c r="AW28" i="52"/>
  <c r="AT28" i="52"/>
  <c r="AQ28" i="52"/>
  <c r="AN28" i="52"/>
  <c r="AK28" i="52"/>
  <c r="AH28" i="52"/>
  <c r="AD28" i="52"/>
  <c r="AE28" i="52" s="1"/>
  <c r="AC28" i="52"/>
  <c r="Z28" i="52"/>
  <c r="W28" i="52"/>
  <c r="T28" i="52"/>
  <c r="Q28" i="52"/>
  <c r="N28" i="52"/>
  <c r="AX27" i="52"/>
  <c r="AY27" i="52" s="1"/>
  <c r="AW27" i="52"/>
  <c r="AT27" i="52"/>
  <c r="AQ27" i="52"/>
  <c r="AN27" i="52"/>
  <c r="AK27" i="52"/>
  <c r="AH27" i="52"/>
  <c r="AD27" i="52"/>
  <c r="AE27" i="52" s="1"/>
  <c r="AC27" i="52"/>
  <c r="Z27" i="52"/>
  <c r="W27" i="52"/>
  <c r="T27" i="52"/>
  <c r="Q27" i="52"/>
  <c r="N27" i="52"/>
  <c r="AX25" i="52"/>
  <c r="AY25" i="52" s="1"/>
  <c r="AW25" i="52"/>
  <c r="AT25" i="52"/>
  <c r="AQ25" i="52"/>
  <c r="AN25" i="52"/>
  <c r="AK25" i="52"/>
  <c r="AH25" i="52"/>
  <c r="AD25" i="52"/>
  <c r="AE25" i="52" s="1"/>
  <c r="AC25" i="52"/>
  <c r="Z25" i="52"/>
  <c r="W25" i="52"/>
  <c r="T25" i="52"/>
  <c r="Q25" i="52"/>
  <c r="N25" i="52"/>
  <c r="AX24" i="52"/>
  <c r="AY24" i="52" s="1"/>
  <c r="AW24" i="52"/>
  <c r="AT24" i="52"/>
  <c r="AQ24" i="52"/>
  <c r="AN24" i="52"/>
  <c r="AK24" i="52"/>
  <c r="AH24" i="52"/>
  <c r="AD24" i="52"/>
  <c r="AE24" i="52" s="1"/>
  <c r="AC24" i="52"/>
  <c r="Z24" i="52"/>
  <c r="W24" i="52"/>
  <c r="T24" i="52"/>
  <c r="Q24" i="52"/>
  <c r="N24" i="52"/>
  <c r="AX23" i="52"/>
  <c r="AY23" i="52" s="1"/>
  <c r="AW23" i="52"/>
  <c r="AT23" i="52"/>
  <c r="AQ23" i="52"/>
  <c r="AN23" i="52"/>
  <c r="AK23" i="52"/>
  <c r="AH23" i="52"/>
  <c r="AD23" i="52"/>
  <c r="AE23" i="52" s="1"/>
  <c r="AC23" i="52"/>
  <c r="Z23" i="52"/>
  <c r="W23" i="52"/>
  <c r="T23" i="52"/>
  <c r="Q23" i="52"/>
  <c r="N23" i="52"/>
  <c r="AX22" i="52"/>
  <c r="AY22" i="52" s="1"/>
  <c r="AW22" i="52"/>
  <c r="AT22" i="52"/>
  <c r="AQ22" i="52"/>
  <c r="AN22" i="52"/>
  <c r="AK22" i="52"/>
  <c r="AH22" i="52"/>
  <c r="AD22" i="52"/>
  <c r="AE22" i="52" s="1"/>
  <c r="AC22" i="52"/>
  <c r="Z22" i="52"/>
  <c r="W22" i="52"/>
  <c r="T22" i="52"/>
  <c r="Q22" i="52"/>
  <c r="N22" i="52"/>
  <c r="AX21" i="52"/>
  <c r="AY21" i="52" s="1"/>
  <c r="AW21" i="52"/>
  <c r="AT21" i="52"/>
  <c r="AQ21" i="52"/>
  <c r="AN21" i="52"/>
  <c r="AK21" i="52"/>
  <c r="AH21" i="52"/>
  <c r="AD21" i="52"/>
  <c r="AE21" i="52" s="1"/>
  <c r="AC21" i="52"/>
  <c r="Z21" i="52"/>
  <c r="W21" i="52"/>
  <c r="T21" i="52"/>
  <c r="Q21" i="52"/>
  <c r="N21" i="52"/>
  <c r="AX20" i="52"/>
  <c r="AY20" i="52" s="1"/>
  <c r="AW20" i="52"/>
  <c r="AT20" i="52"/>
  <c r="AQ20" i="52"/>
  <c r="AN20" i="52"/>
  <c r="AK20" i="52"/>
  <c r="AH20" i="52"/>
  <c r="AD20" i="52"/>
  <c r="AE20" i="52" s="1"/>
  <c r="AC20" i="52"/>
  <c r="Z20" i="52"/>
  <c r="W20" i="52"/>
  <c r="T20" i="52"/>
  <c r="Q20" i="52"/>
  <c r="N20" i="52"/>
  <c r="AX19" i="52"/>
  <c r="AY19" i="52" s="1"/>
  <c r="AW19" i="52"/>
  <c r="AT19" i="52"/>
  <c r="AQ19" i="52"/>
  <c r="AN19" i="52"/>
  <c r="AK19" i="52"/>
  <c r="AH19" i="52"/>
  <c r="AD19" i="52"/>
  <c r="AE19" i="52" s="1"/>
  <c r="AC19" i="52"/>
  <c r="Z19" i="52"/>
  <c r="W19" i="52"/>
  <c r="T19" i="52"/>
  <c r="Q19" i="52"/>
  <c r="N19" i="52"/>
  <c r="AX18" i="52"/>
  <c r="AY18" i="52" s="1"/>
  <c r="AW18" i="52"/>
  <c r="AT18" i="52"/>
  <c r="AQ18" i="52"/>
  <c r="AN18" i="52"/>
  <c r="AK18" i="52"/>
  <c r="AH18" i="52"/>
  <c r="AD18" i="52"/>
  <c r="AE18" i="52" s="1"/>
  <c r="AC18" i="52"/>
  <c r="Z18" i="52"/>
  <c r="W18" i="52"/>
  <c r="T18" i="52"/>
  <c r="Q18" i="52"/>
  <c r="N18" i="52"/>
  <c r="AX17" i="52"/>
  <c r="AY17" i="52" s="1"/>
  <c r="AW17" i="52"/>
  <c r="AT17" i="52"/>
  <c r="AQ17" i="52"/>
  <c r="AN17" i="52"/>
  <c r="AK17" i="52"/>
  <c r="AH17" i="52"/>
  <c r="AD17" i="52"/>
  <c r="AE17" i="52" s="1"/>
  <c r="AC17" i="52"/>
  <c r="Z17" i="52"/>
  <c r="W17" i="52"/>
  <c r="T17" i="52"/>
  <c r="Q17" i="52"/>
  <c r="N17" i="52"/>
  <c r="AX16" i="52"/>
  <c r="AY16" i="52" s="1"/>
  <c r="AW16" i="52"/>
  <c r="AT16" i="52"/>
  <c r="AQ16" i="52"/>
  <c r="AN16" i="52"/>
  <c r="AK16" i="52"/>
  <c r="AH16" i="52"/>
  <c r="AD16" i="52"/>
  <c r="AE16" i="52" s="1"/>
  <c r="AC16" i="52"/>
  <c r="Z16" i="52"/>
  <c r="W16" i="52"/>
  <c r="T16" i="52"/>
  <c r="Q16" i="52"/>
  <c r="N16" i="52"/>
  <c r="AX15" i="52"/>
  <c r="AY15" i="52" s="1"/>
  <c r="AW15" i="52"/>
  <c r="AT15" i="52"/>
  <c r="AQ15" i="52"/>
  <c r="AN15" i="52"/>
  <c r="AK15" i="52"/>
  <c r="AH15" i="52"/>
  <c r="AD15" i="52"/>
  <c r="AE15" i="52" s="1"/>
  <c r="AC15" i="52"/>
  <c r="Z15" i="52"/>
  <c r="W15" i="52"/>
  <c r="T15" i="52"/>
  <c r="Q15" i="52"/>
  <c r="N15" i="52"/>
  <c r="AX14" i="52"/>
  <c r="AY14" i="52" s="1"/>
  <c r="AW14" i="52"/>
  <c r="AT14" i="52"/>
  <c r="AQ14" i="52"/>
  <c r="AN14" i="52"/>
  <c r="AK14" i="52"/>
  <c r="AH14" i="52"/>
  <c r="AD14" i="52"/>
  <c r="AE14" i="52" s="1"/>
  <c r="AC14" i="52"/>
  <c r="Z14" i="52"/>
  <c r="W14" i="52"/>
  <c r="T14" i="52"/>
  <c r="Q14" i="52"/>
  <c r="N14" i="52"/>
  <c r="AX13" i="52"/>
  <c r="AY13" i="52" s="1"/>
  <c r="AW13" i="52"/>
  <c r="AT13" i="52"/>
  <c r="AQ13" i="52"/>
  <c r="AN13" i="52"/>
  <c r="AK13" i="52"/>
  <c r="AH13" i="52"/>
  <c r="AD13" i="52"/>
  <c r="AE13" i="52" s="1"/>
  <c r="AC13" i="52"/>
  <c r="Z13" i="52"/>
  <c r="W13" i="52"/>
  <c r="T13" i="52"/>
  <c r="Q13" i="52"/>
  <c r="N13" i="52"/>
  <c r="AX12" i="52"/>
  <c r="AY12" i="52" s="1"/>
  <c r="AW12" i="52"/>
  <c r="AT12" i="52"/>
  <c r="AQ12" i="52"/>
  <c r="AN12" i="52"/>
  <c r="AK12" i="52"/>
  <c r="AH12" i="52"/>
  <c r="AD12" i="52"/>
  <c r="AE12" i="52" s="1"/>
  <c r="AC12" i="52"/>
  <c r="Z12" i="52"/>
  <c r="W12" i="52"/>
  <c r="T12" i="52"/>
  <c r="Q12" i="52"/>
  <c r="N12" i="52"/>
  <c r="AX11" i="52"/>
  <c r="AY11" i="52" s="1"/>
  <c r="AW11" i="52"/>
  <c r="AT11" i="52"/>
  <c r="AQ11" i="52"/>
  <c r="AN11" i="52"/>
  <c r="AK11" i="52"/>
  <c r="AH11" i="52"/>
  <c r="AD11" i="52"/>
  <c r="AE11" i="52" s="1"/>
  <c r="AC11" i="52"/>
  <c r="Z11" i="52"/>
  <c r="W11" i="52"/>
  <c r="T11" i="52"/>
  <c r="Q11" i="52"/>
  <c r="N11" i="52"/>
  <c r="AX10" i="52"/>
  <c r="AY10" i="52" s="1"/>
  <c r="AW10" i="52"/>
  <c r="AT10" i="52"/>
  <c r="AQ10" i="52"/>
  <c r="AN10" i="52"/>
  <c r="AK10" i="52"/>
  <c r="AH10" i="52"/>
  <c r="AD10" i="52"/>
  <c r="AE10" i="52" s="1"/>
  <c r="AC10" i="52"/>
  <c r="Z10" i="52"/>
  <c r="W10" i="52"/>
  <c r="T10" i="52"/>
  <c r="Q10" i="52"/>
  <c r="N10" i="52"/>
  <c r="AW9" i="52"/>
  <c r="AT9" i="52"/>
  <c r="AQ9" i="52"/>
  <c r="AN9" i="52"/>
  <c r="AK9" i="52"/>
  <c r="AH9" i="52"/>
  <c r="AD9" i="52"/>
  <c r="AE9" i="52" s="1"/>
  <c r="AC9" i="52"/>
  <c r="Z9" i="52"/>
  <c r="W9" i="52"/>
  <c r="T9" i="52"/>
  <c r="Q9" i="52"/>
  <c r="N9" i="52"/>
  <c r="AY31" i="54" l="1"/>
  <c r="BA31" i="54" s="1"/>
  <c r="AX31" i="54"/>
  <c r="AW31" i="54"/>
  <c r="AT31" i="54"/>
  <c r="AQ31" i="54"/>
  <c r="AN31" i="54"/>
  <c r="AK31" i="54"/>
  <c r="AH31" i="54"/>
  <c r="AD31" i="54"/>
  <c r="AE31" i="54" s="1"/>
  <c r="AC31" i="54"/>
  <c r="Z31" i="54"/>
  <c r="W31" i="54"/>
  <c r="T31" i="54"/>
  <c r="Q31" i="54"/>
  <c r="N31" i="54"/>
  <c r="AY29" i="54"/>
  <c r="BA29" i="54" s="1"/>
  <c r="AX29" i="54"/>
  <c r="AZ29" i="54" s="1"/>
  <c r="AW29" i="54"/>
  <c r="AT29" i="54"/>
  <c r="AQ29" i="54"/>
  <c r="AN29" i="54"/>
  <c r="AK29" i="54"/>
  <c r="AH29" i="54"/>
  <c r="AD29" i="54"/>
  <c r="AE29" i="54" s="1"/>
  <c r="AC29" i="54"/>
  <c r="Z29" i="54"/>
  <c r="W29" i="54"/>
  <c r="T29" i="54"/>
  <c r="Q29" i="54"/>
  <c r="N29" i="54"/>
  <c r="AY28" i="54"/>
  <c r="BA28" i="54" s="1"/>
  <c r="AX28" i="54"/>
  <c r="AZ28" i="54" s="1"/>
  <c r="AW28" i="54"/>
  <c r="AT28" i="54"/>
  <c r="AQ28" i="54"/>
  <c r="AN28" i="54"/>
  <c r="AK28" i="54"/>
  <c r="AH28" i="54"/>
  <c r="AD28" i="54"/>
  <c r="AE28" i="54" s="1"/>
  <c r="AC28" i="54"/>
  <c r="Z28" i="54"/>
  <c r="W28" i="54"/>
  <c r="T28" i="54"/>
  <c r="Q28" i="54"/>
  <c r="N28" i="54"/>
  <c r="AY27" i="54"/>
  <c r="BA27" i="54" s="1"/>
  <c r="AX27" i="54"/>
  <c r="AW27" i="54"/>
  <c r="AT27" i="54"/>
  <c r="AQ27" i="54"/>
  <c r="AN27" i="54"/>
  <c r="AK27" i="54"/>
  <c r="AH27" i="54"/>
  <c r="AD27" i="54"/>
  <c r="AE27" i="54" s="1"/>
  <c r="AC27" i="54"/>
  <c r="Z27" i="54"/>
  <c r="W27" i="54"/>
  <c r="T27" i="54"/>
  <c r="Q27" i="54"/>
  <c r="N27" i="54"/>
  <c r="BA25" i="54"/>
  <c r="AZ25" i="54"/>
  <c r="AW25" i="54"/>
  <c r="AT25" i="54"/>
  <c r="AQ25" i="54"/>
  <c r="AN25" i="54"/>
  <c r="AK25" i="54"/>
  <c r="AH25" i="54"/>
  <c r="AE25" i="54"/>
  <c r="Z25" i="54"/>
  <c r="W25" i="54"/>
  <c r="T25" i="54"/>
  <c r="Q25" i="54"/>
  <c r="N25" i="54"/>
  <c r="AN24" i="54"/>
  <c r="T24" i="54"/>
  <c r="Q24" i="54"/>
  <c r="N24" i="54"/>
  <c r="BA23" i="54"/>
  <c r="AZ23" i="54"/>
  <c r="AW23" i="54"/>
  <c r="BA22" i="54"/>
  <c r="AZ22" i="54"/>
  <c r="AW22" i="54"/>
  <c r="AE22" i="54"/>
  <c r="BA21" i="54"/>
  <c r="AZ21" i="54"/>
  <c r="AW21" i="54"/>
  <c r="W21" i="54"/>
  <c r="T21" i="54"/>
  <c r="BA20" i="54"/>
  <c r="AZ20" i="54"/>
  <c r="AW20" i="54"/>
  <c r="AN20" i="54"/>
  <c r="AD20" i="54"/>
  <c r="AE20" i="54" s="1"/>
  <c r="BA19" i="54"/>
  <c r="AZ19" i="54"/>
  <c r="AW19" i="54"/>
  <c r="AN19" i="54"/>
  <c r="AD19" i="54"/>
  <c r="AE19" i="54" s="1"/>
  <c r="AY18" i="54"/>
  <c r="BA18" i="54" s="1"/>
  <c r="AX18" i="54"/>
  <c r="AW18" i="54"/>
  <c r="AT18" i="54"/>
  <c r="AQ18" i="54"/>
  <c r="AN18" i="54"/>
  <c r="AK18" i="54"/>
  <c r="AH18" i="54"/>
  <c r="AD18" i="54"/>
  <c r="AE18" i="54" s="1"/>
  <c r="AC18" i="54"/>
  <c r="Z18" i="54"/>
  <c r="W18" i="54"/>
  <c r="T18" i="54"/>
  <c r="Q18" i="54"/>
  <c r="N18" i="54"/>
  <c r="AY17" i="54"/>
  <c r="BA17" i="54" s="1"/>
  <c r="AX17" i="54"/>
  <c r="AW17" i="54"/>
  <c r="AT17" i="54"/>
  <c r="AQ17" i="54"/>
  <c r="AN17" i="54"/>
  <c r="AK17" i="54"/>
  <c r="AH17" i="54"/>
  <c r="AD17" i="54"/>
  <c r="AE17" i="54" s="1"/>
  <c r="AC17" i="54"/>
  <c r="Z17" i="54"/>
  <c r="W17" i="54"/>
  <c r="T17" i="54"/>
  <c r="Q17" i="54"/>
  <c r="N17" i="54"/>
  <c r="AY16" i="54"/>
  <c r="BA16" i="54" s="1"/>
  <c r="AX16" i="54"/>
  <c r="AW16" i="54"/>
  <c r="AT16" i="54"/>
  <c r="AQ16" i="54"/>
  <c r="AN16" i="54"/>
  <c r="AK16" i="54"/>
  <c r="AH16" i="54"/>
  <c r="AD16" i="54"/>
  <c r="AE16" i="54" s="1"/>
  <c r="AC16" i="54"/>
  <c r="Z16" i="54"/>
  <c r="W16" i="54"/>
  <c r="T16" i="54"/>
  <c r="Q16" i="54"/>
  <c r="N16" i="54"/>
  <c r="AY15" i="54"/>
  <c r="BA15" i="54" s="1"/>
  <c r="AX15" i="54"/>
  <c r="AW15" i="54"/>
  <c r="AT15" i="54"/>
  <c r="AQ15" i="54"/>
  <c r="AN15" i="54"/>
  <c r="AK15" i="54"/>
  <c r="AH15" i="54"/>
  <c r="AD15" i="54"/>
  <c r="AE15" i="54" s="1"/>
  <c r="AC15" i="54"/>
  <c r="Z15" i="54"/>
  <c r="W15" i="54"/>
  <c r="T15" i="54"/>
  <c r="Q15" i="54"/>
  <c r="N15" i="54"/>
  <c r="AY14" i="54"/>
  <c r="BA14" i="54" s="1"/>
  <c r="AX14" i="54"/>
  <c r="AW14" i="54"/>
  <c r="AT14" i="54"/>
  <c r="AQ14" i="54"/>
  <c r="AN14" i="54"/>
  <c r="AK14" i="54"/>
  <c r="AH14" i="54"/>
  <c r="AD14" i="54"/>
  <c r="AE14" i="54" s="1"/>
  <c r="AC14" i="54"/>
  <c r="Z14" i="54"/>
  <c r="W14" i="54"/>
  <c r="T14" i="54"/>
  <c r="Q14" i="54"/>
  <c r="N14" i="54"/>
  <c r="AY13" i="54"/>
  <c r="BA13" i="54" s="1"/>
  <c r="AX13" i="54"/>
  <c r="AW13" i="54"/>
  <c r="AT13" i="54"/>
  <c r="AQ13" i="54"/>
  <c r="AN13" i="54"/>
  <c r="AK13" i="54"/>
  <c r="AH13" i="54"/>
  <c r="AD13" i="54"/>
  <c r="AE13" i="54" s="1"/>
  <c r="AC13" i="54"/>
  <c r="Z13" i="54"/>
  <c r="W13" i="54"/>
  <c r="T13" i="54"/>
  <c r="Q13" i="54"/>
  <c r="N13" i="54"/>
  <c r="AY12" i="54"/>
  <c r="BA12" i="54" s="1"/>
  <c r="AX12" i="54"/>
  <c r="AZ12" i="54" s="1"/>
  <c r="AW12" i="54"/>
  <c r="AT12" i="54"/>
  <c r="AQ12" i="54"/>
  <c r="AN12" i="54"/>
  <c r="AK12" i="54"/>
  <c r="AH12" i="54"/>
  <c r="AD12" i="54"/>
  <c r="AE12" i="54" s="1"/>
  <c r="AC12" i="54"/>
  <c r="Z12" i="54"/>
  <c r="W12" i="54"/>
  <c r="T12" i="54"/>
  <c r="Q12" i="54"/>
  <c r="N12" i="54"/>
  <c r="AX11" i="54"/>
  <c r="AW11" i="54"/>
  <c r="AT11" i="54"/>
  <c r="AP11" i="54"/>
  <c r="AQ11" i="54" s="1"/>
  <c r="AM11" i="54"/>
  <c r="AN11" i="54" s="1"/>
  <c r="AJ11" i="54"/>
  <c r="AK11" i="54" s="1"/>
  <c r="AG11" i="54"/>
  <c r="AH11" i="54" s="1"/>
  <c r="AB11" i="54"/>
  <c r="AC11" i="54" s="1"/>
  <c r="Y11" i="54"/>
  <c r="Z11" i="54" s="1"/>
  <c r="V11" i="54"/>
  <c r="W11" i="54" s="1"/>
  <c r="S11" i="54"/>
  <c r="Q11" i="54"/>
  <c r="N11" i="54"/>
  <c r="AY10" i="54"/>
  <c r="BA10" i="54" s="1"/>
  <c r="AX10" i="54"/>
  <c r="AW10" i="54"/>
  <c r="AT10" i="54"/>
  <c r="AQ10" i="54"/>
  <c r="AN10" i="54"/>
  <c r="AK10" i="54"/>
  <c r="AH10" i="54"/>
  <c r="AD10" i="54"/>
  <c r="AE10" i="54" s="1"/>
  <c r="AC10" i="54"/>
  <c r="Z10" i="54"/>
  <c r="W10" i="54"/>
  <c r="T10" i="54"/>
  <c r="Q10" i="54"/>
  <c r="N10" i="54"/>
  <c r="AY9" i="54"/>
  <c r="G9" i="54" s="1"/>
  <c r="AX9" i="54" s="1"/>
  <c r="AZ9" i="54" s="1"/>
  <c r="AU9" i="54"/>
  <c r="AW9" i="54" s="1"/>
  <c r="AR9" i="54"/>
  <c r="AT9" i="54" s="1"/>
  <c r="AO9" i="54"/>
  <c r="AQ9" i="54" s="1"/>
  <c r="AL9" i="54"/>
  <c r="AN9" i="54" s="1"/>
  <c r="AI9" i="54"/>
  <c r="AK9" i="54" s="1"/>
  <c r="AF9" i="54"/>
  <c r="AH9" i="54" s="1"/>
  <c r="AD9" i="54"/>
  <c r="AC9" i="54"/>
  <c r="AA9" i="54"/>
  <c r="X9" i="54"/>
  <c r="Z9" i="54" s="1"/>
  <c r="U9" i="54"/>
  <c r="W9" i="54" s="1"/>
  <c r="R9" i="54"/>
  <c r="T9" i="54" s="1"/>
  <c r="Q9" i="54"/>
  <c r="O9" i="54"/>
  <c r="L9" i="54"/>
  <c r="N9" i="54" s="1"/>
  <c r="AZ17" i="54" l="1"/>
  <c r="AZ15" i="54"/>
  <c r="AZ13" i="54"/>
  <c r="AY11" i="54"/>
  <c r="BA9" i="54"/>
  <c r="AZ10" i="54"/>
  <c r="BA11" i="54"/>
  <c r="AZ11" i="54"/>
  <c r="AD11" i="54"/>
  <c r="AE11" i="54" s="1"/>
  <c r="AZ14" i="54"/>
  <c r="AZ16" i="54"/>
  <c r="AZ18" i="54"/>
  <c r="AZ27" i="54"/>
  <c r="T11" i="54"/>
  <c r="AZ31" i="54"/>
  <c r="BG4" i="54" l="1"/>
  <c r="C6" i="10" s="1"/>
  <c r="AX38" i="78"/>
  <c r="AY38" i="78" s="1"/>
  <c r="AU38" i="78"/>
  <c r="AW38" i="78" s="1"/>
  <c r="AR38" i="78"/>
  <c r="AT38" i="78" s="1"/>
  <c r="AO38" i="78"/>
  <c r="AQ38" i="78" s="1"/>
  <c r="AL38" i="78"/>
  <c r="AN38" i="78" s="1"/>
  <c r="AI38" i="78"/>
  <c r="AK38" i="78" s="1"/>
  <c r="AF38" i="78"/>
  <c r="AH38" i="78" s="1"/>
  <c r="AD38" i="78"/>
  <c r="AE38" i="78" s="1"/>
  <c r="AA38" i="78"/>
  <c r="AC38" i="78" s="1"/>
  <c r="X38" i="78"/>
  <c r="Z38" i="78" s="1"/>
  <c r="U38" i="78"/>
  <c r="W38" i="78" s="1"/>
  <c r="R38" i="78"/>
  <c r="T38" i="78" s="1"/>
  <c r="O38" i="78"/>
  <c r="Q38" i="78" s="1"/>
  <c r="L38" i="78"/>
  <c r="N38" i="78" s="1"/>
  <c r="AU36" i="78"/>
  <c r="AW36" i="78" s="1"/>
  <c r="AR36" i="78"/>
  <c r="AT36" i="78" s="1"/>
  <c r="AO36" i="78"/>
  <c r="AQ36" i="78" s="1"/>
  <c r="AL36" i="78"/>
  <c r="AN36" i="78" s="1"/>
  <c r="AI36" i="78"/>
  <c r="AK36" i="78" s="1"/>
  <c r="AF36" i="78"/>
  <c r="AH36" i="78" s="1"/>
  <c r="AB36" i="78"/>
  <c r="AD36" i="78" s="1"/>
  <c r="AE36" i="78" s="1"/>
  <c r="AA36" i="78"/>
  <c r="X36" i="78"/>
  <c r="Z36" i="78" s="1"/>
  <c r="U36" i="78"/>
  <c r="W36" i="78" s="1"/>
  <c r="R36" i="78"/>
  <c r="T36" i="78" s="1"/>
  <c r="O36" i="78"/>
  <c r="Q36" i="78" s="1"/>
  <c r="L36" i="78"/>
  <c r="N36" i="78" s="1"/>
  <c r="AX35" i="78"/>
  <c r="AY35" i="78" s="1"/>
  <c r="AU35" i="78"/>
  <c r="AW35" i="78" s="1"/>
  <c r="AR35" i="78"/>
  <c r="AT35" i="78" s="1"/>
  <c r="AO35" i="78"/>
  <c r="AQ35" i="78" s="1"/>
  <c r="AL35" i="78"/>
  <c r="AN35" i="78" s="1"/>
  <c r="AK35" i="78"/>
  <c r="AI35" i="78"/>
  <c r="AF35" i="78"/>
  <c r="AH35" i="78" s="1"/>
  <c r="AD35" i="78"/>
  <c r="AE35" i="78" s="1"/>
  <c r="AA35" i="78"/>
  <c r="AC35" i="78" s="1"/>
  <c r="X35" i="78"/>
  <c r="Z35" i="78" s="1"/>
  <c r="U35" i="78"/>
  <c r="W35" i="78" s="1"/>
  <c r="T35" i="78"/>
  <c r="R35" i="78"/>
  <c r="O35" i="78"/>
  <c r="Q35" i="78" s="1"/>
  <c r="L35" i="78"/>
  <c r="N35" i="78" s="1"/>
  <c r="AX33" i="78"/>
  <c r="AY33" i="78" s="1"/>
  <c r="AU33" i="78"/>
  <c r="AW33" i="78" s="1"/>
  <c r="AR33" i="78"/>
  <c r="AT33" i="78" s="1"/>
  <c r="AO33" i="78"/>
  <c r="AQ33" i="78" s="1"/>
  <c r="AL33" i="78"/>
  <c r="AN33" i="78" s="1"/>
  <c r="AI33" i="78"/>
  <c r="AK33" i="78" s="1"/>
  <c r="AF33" i="78"/>
  <c r="AH33" i="78" s="1"/>
  <c r="AE33" i="78"/>
  <c r="AD33" i="78"/>
  <c r="AA33" i="78"/>
  <c r="AC33" i="78" s="1"/>
  <c r="X33" i="78"/>
  <c r="Z33" i="78" s="1"/>
  <c r="U33" i="78"/>
  <c r="W33" i="78" s="1"/>
  <c r="R33" i="78"/>
  <c r="T33" i="78" s="1"/>
  <c r="O33" i="78"/>
  <c r="Q33" i="78" s="1"/>
  <c r="N33" i="78"/>
  <c r="L33" i="78"/>
  <c r="AX32" i="78"/>
  <c r="AY32" i="78" s="1"/>
  <c r="AU32" i="78"/>
  <c r="AW32" i="78" s="1"/>
  <c r="AR32" i="78"/>
  <c r="AT32" i="78" s="1"/>
  <c r="AO32" i="78"/>
  <c r="AQ32" i="78" s="1"/>
  <c r="AL32" i="78"/>
  <c r="AN32" i="78" s="1"/>
  <c r="AI32" i="78"/>
  <c r="AK32" i="78" s="1"/>
  <c r="AF32" i="78"/>
  <c r="AH32" i="78" s="1"/>
  <c r="AD32" i="78"/>
  <c r="AE32" i="78" s="1"/>
  <c r="AA32" i="78"/>
  <c r="AC32" i="78" s="1"/>
  <c r="Z32" i="78"/>
  <c r="X32" i="78"/>
  <c r="U32" i="78"/>
  <c r="W32" i="78" s="1"/>
  <c r="T32" i="78"/>
  <c r="R32" i="78"/>
  <c r="O32" i="78"/>
  <c r="Q32" i="78" s="1"/>
  <c r="L32" i="78"/>
  <c r="N32" i="78" s="1"/>
  <c r="AX31" i="78"/>
  <c r="AY31" i="78" s="1"/>
  <c r="AU31" i="78"/>
  <c r="AW31" i="78" s="1"/>
  <c r="AR31" i="78"/>
  <c r="AT31" i="78" s="1"/>
  <c r="AO31" i="78"/>
  <c r="AQ31" i="78" s="1"/>
  <c r="AL31" i="78"/>
  <c r="AN31" i="78" s="1"/>
  <c r="AI31" i="78"/>
  <c r="AK31" i="78" s="1"/>
  <c r="AF31" i="78"/>
  <c r="AH31" i="78" s="1"/>
  <c r="AD31" i="78"/>
  <c r="AE31" i="78" s="1"/>
  <c r="AA31" i="78"/>
  <c r="AC31" i="78" s="1"/>
  <c r="X31" i="78"/>
  <c r="Z31" i="78" s="1"/>
  <c r="U31" i="78"/>
  <c r="W31" i="78" s="1"/>
  <c r="T31" i="78"/>
  <c r="R31" i="78"/>
  <c r="O31" i="78"/>
  <c r="Q31" i="78" s="1"/>
  <c r="N31" i="78"/>
  <c r="L31" i="78"/>
  <c r="AX30" i="78"/>
  <c r="AY30" i="78" s="1"/>
  <c r="AU30" i="78"/>
  <c r="AW30" i="78" s="1"/>
  <c r="AR30" i="78"/>
  <c r="AT30" i="78" s="1"/>
  <c r="AO30" i="78"/>
  <c r="AQ30" i="78" s="1"/>
  <c r="AL30" i="78"/>
  <c r="AN30" i="78" s="1"/>
  <c r="AI30" i="78"/>
  <c r="AK30" i="78" s="1"/>
  <c r="AF30" i="78"/>
  <c r="AH30" i="78" s="1"/>
  <c r="AD30" i="78"/>
  <c r="AE30" i="78" s="1"/>
  <c r="AA30" i="78"/>
  <c r="AC30" i="78" s="1"/>
  <c r="X30" i="78"/>
  <c r="Z30" i="78" s="1"/>
  <c r="U30" i="78"/>
  <c r="W30" i="78" s="1"/>
  <c r="R30" i="78"/>
  <c r="T30" i="78" s="1"/>
  <c r="O30" i="78"/>
  <c r="Q30" i="78" s="1"/>
  <c r="N30" i="78"/>
  <c r="L30" i="78"/>
  <c r="AX29" i="78"/>
  <c r="AY29" i="78" s="1"/>
  <c r="AU29" i="78"/>
  <c r="AW29" i="78" s="1"/>
  <c r="AR29" i="78"/>
  <c r="AT29" i="78" s="1"/>
  <c r="AO29" i="78"/>
  <c r="AQ29" i="78" s="1"/>
  <c r="AL29" i="78"/>
  <c r="AN29" i="78" s="1"/>
  <c r="AI29" i="78"/>
  <c r="AK29" i="78" s="1"/>
  <c r="AF29" i="78"/>
  <c r="AH29" i="78" s="1"/>
  <c r="AD29" i="78"/>
  <c r="AE29" i="78" s="1"/>
  <c r="AA29" i="78"/>
  <c r="AC29" i="78" s="1"/>
  <c r="X29" i="78"/>
  <c r="Z29" i="78" s="1"/>
  <c r="U29" i="78"/>
  <c r="W29" i="78" s="1"/>
  <c r="T29" i="78"/>
  <c r="R29" i="78"/>
  <c r="O29" i="78"/>
  <c r="Q29" i="78" s="1"/>
  <c r="N29" i="78"/>
  <c r="L29" i="78"/>
  <c r="AX28" i="78"/>
  <c r="AY28" i="78" s="1"/>
  <c r="AW28" i="78"/>
  <c r="AU28" i="78"/>
  <c r="AR28" i="78"/>
  <c r="AT28" i="78" s="1"/>
  <c r="AO28" i="78"/>
  <c r="AQ28" i="78" s="1"/>
  <c r="AL28" i="78"/>
  <c r="AN28" i="78" s="1"/>
  <c r="AI28" i="78"/>
  <c r="AK28" i="78" s="1"/>
  <c r="AF28" i="78"/>
  <c r="AH28" i="78" s="1"/>
  <c r="AD28" i="78"/>
  <c r="AE28" i="78" s="1"/>
  <c r="AA28" i="78"/>
  <c r="AC28" i="78" s="1"/>
  <c r="X28" i="78"/>
  <c r="Z28" i="78" s="1"/>
  <c r="U28" i="78"/>
  <c r="W28" i="78" s="1"/>
  <c r="R28" i="78"/>
  <c r="T28" i="78" s="1"/>
  <c r="O28" i="78"/>
  <c r="Q28" i="78" s="1"/>
  <c r="N28" i="78"/>
  <c r="L28" i="78"/>
  <c r="AX27" i="78"/>
  <c r="AY27" i="78" s="1"/>
  <c r="AU27" i="78"/>
  <c r="AW27" i="78" s="1"/>
  <c r="AR27" i="78"/>
  <c r="AT27" i="78" s="1"/>
  <c r="AQ27" i="78"/>
  <c r="AO27" i="78"/>
  <c r="AL27" i="78"/>
  <c r="AN27" i="78" s="1"/>
  <c r="AI27" i="78"/>
  <c r="AK27" i="78" s="1"/>
  <c r="AF27" i="78"/>
  <c r="AH27" i="78" s="1"/>
  <c r="AD27" i="78"/>
  <c r="AE27" i="78" s="1"/>
  <c r="AA27" i="78"/>
  <c r="AC27" i="78" s="1"/>
  <c r="X27" i="78"/>
  <c r="Z27" i="78" s="1"/>
  <c r="U27" i="78"/>
  <c r="W27" i="78" s="1"/>
  <c r="R27" i="78"/>
  <c r="T27" i="78" s="1"/>
  <c r="O27" i="78"/>
  <c r="Q27" i="78" s="1"/>
  <c r="L27" i="78"/>
  <c r="N27" i="78" s="1"/>
  <c r="AX26" i="78"/>
  <c r="AU26" i="78"/>
  <c r="AW26" i="78" s="1"/>
  <c r="AR26" i="78"/>
  <c r="AT26" i="78" s="1"/>
  <c r="AO26" i="78"/>
  <c r="AQ26" i="78" s="1"/>
  <c r="AL26" i="78"/>
  <c r="AN26" i="78" s="1"/>
  <c r="AK26" i="78"/>
  <c r="AI26" i="78"/>
  <c r="AF26" i="78"/>
  <c r="AH26" i="78" s="1"/>
  <c r="AD26" i="78"/>
  <c r="AA26" i="78"/>
  <c r="AC26" i="78" s="1"/>
  <c r="X26" i="78"/>
  <c r="Z26" i="78" s="1"/>
  <c r="U26" i="78"/>
  <c r="W26" i="78" s="1"/>
  <c r="T26" i="78"/>
  <c r="R26" i="78"/>
  <c r="O26" i="78"/>
  <c r="Q26" i="78" s="1"/>
  <c r="L26" i="78"/>
  <c r="N26" i="78" s="1"/>
  <c r="G26" i="78"/>
  <c r="AE26" i="78" s="1"/>
  <c r="AX25" i="78"/>
  <c r="AY25" i="78" s="1"/>
  <c r="AU25" i="78"/>
  <c r="AW25" i="78" s="1"/>
  <c r="AR25" i="78"/>
  <c r="AT25" i="78" s="1"/>
  <c r="AO25" i="78"/>
  <c r="AQ25" i="78" s="1"/>
  <c r="AL25" i="78"/>
  <c r="AN25" i="78" s="1"/>
  <c r="AI25" i="78"/>
  <c r="AK25" i="78" s="1"/>
  <c r="AF25" i="78"/>
  <c r="AH25" i="78" s="1"/>
  <c r="AE25" i="78"/>
  <c r="AD25" i="78"/>
  <c r="AA25" i="78"/>
  <c r="AC25" i="78" s="1"/>
  <c r="X25" i="78"/>
  <c r="Z25" i="78" s="1"/>
  <c r="U25" i="78"/>
  <c r="W25" i="78" s="1"/>
  <c r="R25" i="78"/>
  <c r="T25" i="78" s="1"/>
  <c r="O25" i="78"/>
  <c r="Q25" i="78" s="1"/>
  <c r="N25" i="78"/>
  <c r="L25" i="78"/>
  <c r="AX24" i="78"/>
  <c r="AY24" i="78" s="1"/>
  <c r="AU24" i="78"/>
  <c r="AW24" i="78" s="1"/>
  <c r="AR24" i="78"/>
  <c r="AT24" i="78" s="1"/>
  <c r="AO24" i="78"/>
  <c r="AQ24" i="78" s="1"/>
  <c r="AL24" i="78"/>
  <c r="AN24" i="78" s="1"/>
  <c r="AI24" i="78"/>
  <c r="AK24" i="78" s="1"/>
  <c r="AF24" i="78"/>
  <c r="AH24" i="78" s="1"/>
  <c r="AD24" i="78"/>
  <c r="AE24" i="78" s="1"/>
  <c r="AA24" i="78"/>
  <c r="AC24" i="78" s="1"/>
  <c r="Z24" i="78"/>
  <c r="X24" i="78"/>
  <c r="U24" i="78"/>
  <c r="W24" i="78" s="1"/>
  <c r="T24" i="78"/>
  <c r="R24" i="78"/>
  <c r="O24" i="78"/>
  <c r="Q24" i="78" s="1"/>
  <c r="L24" i="78"/>
  <c r="N24" i="78" s="1"/>
  <c r="AX23" i="78"/>
  <c r="AY23" i="78" s="1"/>
  <c r="AU23" i="78"/>
  <c r="AW23" i="78" s="1"/>
  <c r="AR23" i="78"/>
  <c r="AT23" i="78" s="1"/>
  <c r="AO23" i="78"/>
  <c r="AQ23" i="78" s="1"/>
  <c r="AL23" i="78"/>
  <c r="AN23" i="78" s="1"/>
  <c r="AI23" i="78"/>
  <c r="AK23" i="78" s="1"/>
  <c r="AF23" i="78"/>
  <c r="AH23" i="78" s="1"/>
  <c r="AD23" i="78"/>
  <c r="AE23" i="78" s="1"/>
  <c r="AA23" i="78"/>
  <c r="AC23" i="78" s="1"/>
  <c r="X23" i="78"/>
  <c r="Z23" i="78" s="1"/>
  <c r="U23" i="78"/>
  <c r="W23" i="78" s="1"/>
  <c r="T23" i="78"/>
  <c r="R23" i="78"/>
  <c r="O23" i="78"/>
  <c r="Q23" i="78" s="1"/>
  <c r="N23" i="78"/>
  <c r="L23" i="78"/>
  <c r="AX22" i="78"/>
  <c r="AY22" i="78" s="1"/>
  <c r="AU22" i="78"/>
  <c r="AW22" i="78" s="1"/>
  <c r="AR22" i="78"/>
  <c r="AT22" i="78" s="1"/>
  <c r="AO22" i="78"/>
  <c r="AQ22" i="78" s="1"/>
  <c r="AL22" i="78"/>
  <c r="AN22" i="78" s="1"/>
  <c r="AK22" i="78"/>
  <c r="AI22" i="78"/>
  <c r="AF22" i="78"/>
  <c r="AH22" i="78" s="1"/>
  <c r="AD22" i="78"/>
  <c r="AE22" i="78" s="1"/>
  <c r="AA22" i="78"/>
  <c r="AC22" i="78" s="1"/>
  <c r="X22" i="78"/>
  <c r="Z22" i="78" s="1"/>
  <c r="U22" i="78"/>
  <c r="W22" i="78" s="1"/>
  <c r="R22" i="78"/>
  <c r="T22" i="78" s="1"/>
  <c r="O22" i="78"/>
  <c r="Q22" i="78" s="1"/>
  <c r="N22" i="78"/>
  <c r="L22" i="78"/>
  <c r="AX21" i="78"/>
  <c r="AY21" i="78" s="1"/>
  <c r="AW21" i="78"/>
  <c r="AU21" i="78"/>
  <c r="AR21" i="78"/>
  <c r="AT21" i="78" s="1"/>
  <c r="AO21" i="78"/>
  <c r="AQ21" i="78" s="1"/>
  <c r="AL21" i="78"/>
  <c r="AN21" i="78" s="1"/>
  <c r="AI21" i="78"/>
  <c r="AK21" i="78" s="1"/>
  <c r="AF21" i="78"/>
  <c r="AH21" i="78" s="1"/>
  <c r="AE21" i="78"/>
  <c r="AD21" i="78"/>
  <c r="AA21" i="78"/>
  <c r="AC21" i="78" s="1"/>
  <c r="X21" i="78"/>
  <c r="Z21" i="78" s="1"/>
  <c r="U21" i="78"/>
  <c r="W21" i="78" s="1"/>
  <c r="R21" i="78"/>
  <c r="T21" i="78" s="1"/>
  <c r="O21" i="78"/>
  <c r="Q21" i="78" s="1"/>
  <c r="L21" i="78"/>
  <c r="N21" i="78" s="1"/>
  <c r="AX20" i="78"/>
  <c r="AY20" i="78" s="1"/>
  <c r="AW20" i="78"/>
  <c r="AU20" i="78"/>
  <c r="AR20" i="78"/>
  <c r="AT20" i="78" s="1"/>
  <c r="AQ20" i="78"/>
  <c r="AO20" i="78"/>
  <c r="AL20" i="78"/>
  <c r="AN20" i="78" s="1"/>
  <c r="AI20" i="78"/>
  <c r="AK20" i="78" s="1"/>
  <c r="AF20" i="78"/>
  <c r="AH20" i="78" s="1"/>
  <c r="AD20" i="78"/>
  <c r="AE20" i="78" s="1"/>
  <c r="AA20" i="78"/>
  <c r="AC20" i="78" s="1"/>
  <c r="Z20" i="78"/>
  <c r="X20" i="78"/>
  <c r="U20" i="78"/>
  <c r="W20" i="78" s="1"/>
  <c r="R20" i="78"/>
  <c r="T20" i="78" s="1"/>
  <c r="O20" i="78"/>
  <c r="Q20" i="78" s="1"/>
  <c r="L20" i="78"/>
  <c r="N20" i="78" s="1"/>
  <c r="AX19" i="78"/>
  <c r="AY19" i="78" s="1"/>
  <c r="AU19" i="78"/>
  <c r="AW19" i="78" s="1"/>
  <c r="AR19" i="78"/>
  <c r="AT19" i="78" s="1"/>
  <c r="AQ19" i="78"/>
  <c r="AO19" i="78"/>
  <c r="AL19" i="78"/>
  <c r="AN19" i="78" s="1"/>
  <c r="AK19" i="78"/>
  <c r="AI19" i="78"/>
  <c r="AF19" i="78"/>
  <c r="AH19" i="78" s="1"/>
  <c r="AD19" i="78"/>
  <c r="AE19" i="78" s="1"/>
  <c r="AA19" i="78"/>
  <c r="AC19" i="78" s="1"/>
  <c r="Z19" i="78"/>
  <c r="X19" i="78"/>
  <c r="U19" i="78"/>
  <c r="W19" i="78" s="1"/>
  <c r="T19" i="78"/>
  <c r="R19" i="78"/>
  <c r="O19" i="78"/>
  <c r="Q19" i="78" s="1"/>
  <c r="L19" i="78"/>
  <c r="N19" i="78" s="1"/>
  <c r="AX18" i="78"/>
  <c r="AY18" i="78" s="1"/>
  <c r="AU18" i="78"/>
  <c r="AW18" i="78" s="1"/>
  <c r="AR18" i="78"/>
  <c r="AT18" i="78" s="1"/>
  <c r="AO18" i="78"/>
  <c r="AQ18" i="78" s="1"/>
  <c r="AL18" i="78"/>
  <c r="AN18" i="78" s="1"/>
  <c r="AK18" i="78"/>
  <c r="AI18" i="78"/>
  <c r="AF18" i="78"/>
  <c r="AH18" i="78" s="1"/>
  <c r="AD18" i="78"/>
  <c r="AE18" i="78" s="1"/>
  <c r="AA18" i="78"/>
  <c r="AC18" i="78" s="1"/>
  <c r="X18" i="78"/>
  <c r="Z18" i="78" s="1"/>
  <c r="U18" i="78"/>
  <c r="W18" i="78" s="1"/>
  <c r="T18" i="78"/>
  <c r="R18" i="78"/>
  <c r="O18" i="78"/>
  <c r="Q18" i="78" s="1"/>
  <c r="N18" i="78"/>
  <c r="L18" i="78"/>
  <c r="AX17" i="78"/>
  <c r="AY17" i="78" s="1"/>
  <c r="AU17" i="78"/>
  <c r="AW17" i="78" s="1"/>
  <c r="AR17" i="78"/>
  <c r="AT17" i="78" s="1"/>
  <c r="AO17" i="78"/>
  <c r="AQ17" i="78" s="1"/>
  <c r="AL17" i="78"/>
  <c r="AN17" i="78" s="1"/>
  <c r="AI17" i="78"/>
  <c r="AK17" i="78" s="1"/>
  <c r="AF17" i="78"/>
  <c r="AH17" i="78" s="1"/>
  <c r="AE17" i="78"/>
  <c r="AD17" i="78"/>
  <c r="AA17" i="78"/>
  <c r="AC17" i="78" s="1"/>
  <c r="X17" i="78"/>
  <c r="Z17" i="78" s="1"/>
  <c r="U17" i="78"/>
  <c r="W17" i="78" s="1"/>
  <c r="R17" i="78"/>
  <c r="T17" i="78" s="1"/>
  <c r="O17" i="78"/>
  <c r="Q17" i="78" s="1"/>
  <c r="N17" i="78"/>
  <c r="L17" i="78"/>
  <c r="AX16" i="78"/>
  <c r="AY16" i="78" s="1"/>
  <c r="AW16" i="78"/>
  <c r="AU16" i="78"/>
  <c r="AR16" i="78"/>
  <c r="AT16" i="78" s="1"/>
  <c r="AO16" i="78"/>
  <c r="AQ16" i="78" s="1"/>
  <c r="AL16" i="78"/>
  <c r="AN16" i="78" s="1"/>
  <c r="AI16" i="78"/>
  <c r="AK16" i="78" s="1"/>
  <c r="AF16" i="78"/>
  <c r="AH16" i="78" s="1"/>
  <c r="AD16" i="78"/>
  <c r="AE16" i="78" s="1"/>
  <c r="AA16" i="78"/>
  <c r="AC16" i="78" s="1"/>
  <c r="Z16" i="78"/>
  <c r="X16" i="78"/>
  <c r="U16" i="78"/>
  <c r="W16" i="78" s="1"/>
  <c r="T16" i="78"/>
  <c r="R16" i="78"/>
  <c r="O16" i="78"/>
  <c r="Q16" i="78" s="1"/>
  <c r="L16" i="78"/>
  <c r="N16" i="78" s="1"/>
  <c r="AX15" i="78"/>
  <c r="AY15" i="78" s="1"/>
  <c r="AW15" i="78"/>
  <c r="AU15" i="78"/>
  <c r="AR15" i="78"/>
  <c r="AT15" i="78" s="1"/>
  <c r="AQ15" i="78"/>
  <c r="AO15" i="78"/>
  <c r="AL15" i="78"/>
  <c r="AN15" i="78" s="1"/>
  <c r="AI15" i="78"/>
  <c r="AK15" i="78" s="1"/>
  <c r="AF15" i="78"/>
  <c r="AH15" i="78" s="1"/>
  <c r="AD15" i="78"/>
  <c r="AE15" i="78" s="1"/>
  <c r="AC15" i="78"/>
  <c r="AA15" i="78"/>
  <c r="X15" i="78"/>
  <c r="Z15" i="78" s="1"/>
  <c r="W15" i="78"/>
  <c r="U15" i="78"/>
  <c r="R15" i="78"/>
  <c r="T15" i="78" s="1"/>
  <c r="Q15" i="78"/>
  <c r="O15" i="78"/>
  <c r="L15" i="78"/>
  <c r="N15" i="78" s="1"/>
  <c r="AY14" i="78"/>
  <c r="AX14" i="78"/>
  <c r="AU14" i="78"/>
  <c r="AW14" i="78" s="1"/>
  <c r="AT14" i="78"/>
  <c r="AR14" i="78"/>
  <c r="AO14" i="78"/>
  <c r="AQ14" i="78" s="1"/>
  <c r="AN14" i="78"/>
  <c r="AL14" i="78"/>
  <c r="AI14" i="78"/>
  <c r="AK14" i="78" s="1"/>
  <c r="AH14" i="78"/>
  <c r="AF14" i="78"/>
  <c r="AD14" i="78"/>
  <c r="AE14" i="78" s="1"/>
  <c r="AC14" i="78"/>
  <c r="AA14" i="78"/>
  <c r="X14" i="78"/>
  <c r="Z14" i="78" s="1"/>
  <c r="W14" i="78"/>
  <c r="U14" i="78"/>
  <c r="R14" i="78"/>
  <c r="T14" i="78" s="1"/>
  <c r="Q14" i="78"/>
  <c r="O14" i="78"/>
  <c r="L14" i="78"/>
  <c r="N14" i="78" s="1"/>
  <c r="AY13" i="78"/>
  <c r="AX13" i="78"/>
  <c r="AU13" i="78"/>
  <c r="AW13" i="78" s="1"/>
  <c r="AT13" i="78"/>
  <c r="AR13" i="78"/>
  <c r="AO13" i="78"/>
  <c r="AQ13" i="78" s="1"/>
  <c r="AN13" i="78"/>
  <c r="AL13" i="78"/>
  <c r="AI13" i="78"/>
  <c r="AK13" i="78" s="1"/>
  <c r="AH13" i="78"/>
  <c r="AF13" i="78"/>
  <c r="AD13" i="78"/>
  <c r="AE13" i="78" s="1"/>
  <c r="AC13" i="78"/>
  <c r="AA13" i="78"/>
  <c r="X13" i="78"/>
  <c r="Z13" i="78" s="1"/>
  <c r="W13" i="78"/>
  <c r="U13" i="78"/>
  <c r="R13" i="78"/>
  <c r="T13" i="78" s="1"/>
  <c r="Q13" i="78"/>
  <c r="O13" i="78"/>
  <c r="L13" i="78"/>
  <c r="N13" i="78" s="1"/>
  <c r="AY12" i="78"/>
  <c r="AX12" i="78"/>
  <c r="AU12" i="78"/>
  <c r="AW12" i="78" s="1"/>
  <c r="AT12" i="78"/>
  <c r="AR12" i="78"/>
  <c r="AO12" i="78"/>
  <c r="AQ12" i="78" s="1"/>
  <c r="AN12" i="78"/>
  <c r="AL12" i="78"/>
  <c r="AI12" i="78"/>
  <c r="AK12" i="78" s="1"/>
  <c r="AH12" i="78"/>
  <c r="AF12" i="78"/>
  <c r="AD12" i="78"/>
  <c r="AE12" i="78" s="1"/>
  <c r="AC12" i="78"/>
  <c r="AA12" i="78"/>
  <c r="X12" i="78"/>
  <c r="Z12" i="78" s="1"/>
  <c r="W12" i="78"/>
  <c r="U12" i="78"/>
  <c r="R12" i="78"/>
  <c r="T12" i="78" s="1"/>
  <c r="Q12" i="78"/>
  <c r="O12" i="78"/>
  <c r="L12" i="78"/>
  <c r="N12" i="78" s="1"/>
  <c r="AY11" i="78"/>
  <c r="AX11" i="78"/>
  <c r="AU11" i="78"/>
  <c r="AW11" i="78" s="1"/>
  <c r="AT11" i="78"/>
  <c r="AR11" i="78"/>
  <c r="AO11" i="78"/>
  <c r="AQ11" i="78" s="1"/>
  <c r="AN11" i="78"/>
  <c r="AL11" i="78"/>
  <c r="AI11" i="78"/>
  <c r="AK11" i="78" s="1"/>
  <c r="AH11" i="78"/>
  <c r="AF11" i="78"/>
  <c r="AD11" i="78"/>
  <c r="AE11" i="78" s="1"/>
  <c r="AC11" i="78"/>
  <c r="AA11" i="78"/>
  <c r="X11" i="78"/>
  <c r="Z11" i="78" s="1"/>
  <c r="W11" i="78"/>
  <c r="U11" i="78"/>
  <c r="R11" i="78"/>
  <c r="T11" i="78" s="1"/>
  <c r="Q11" i="78"/>
  <c r="O11" i="78"/>
  <c r="L11" i="78"/>
  <c r="AX10" i="78"/>
  <c r="AY10" i="78" s="1"/>
  <c r="AW10" i="78"/>
  <c r="AT10" i="78"/>
  <c r="AQ10" i="78"/>
  <c r="AN10" i="78"/>
  <c r="AK10" i="78"/>
  <c r="AH10" i="78"/>
  <c r="AD10" i="78"/>
  <c r="AE10" i="78" s="1"/>
  <c r="AC10" i="78"/>
  <c r="Z10" i="78"/>
  <c r="W10" i="78"/>
  <c r="T10" i="78"/>
  <c r="Q10" i="78"/>
  <c r="N10" i="78"/>
  <c r="AX9" i="78"/>
  <c r="AU9" i="78"/>
  <c r="AW9" i="78" s="1"/>
  <c r="AR9" i="78"/>
  <c r="AT9" i="78" s="1"/>
  <c r="AO9" i="78"/>
  <c r="AQ9" i="78" s="1"/>
  <c r="AL9" i="78"/>
  <c r="AN9" i="78" s="1"/>
  <c r="AI9" i="78"/>
  <c r="AK9" i="78" s="1"/>
  <c r="AF9" i="78"/>
  <c r="AH9" i="78" s="1"/>
  <c r="AD9" i="78"/>
  <c r="AA9" i="78"/>
  <c r="AC9" i="78" s="1"/>
  <c r="X9" i="78"/>
  <c r="Z9" i="78" s="1"/>
  <c r="U9" i="78"/>
  <c r="W9" i="78" s="1"/>
  <c r="R9" i="78"/>
  <c r="T9" i="78" s="1"/>
  <c r="O9" i="78"/>
  <c r="Q9" i="78" s="1"/>
  <c r="L9" i="78"/>
  <c r="N9" i="78" s="1"/>
  <c r="G9" i="78"/>
  <c r="AC36" i="78" l="1"/>
  <c r="AY9" i="78"/>
  <c r="AE9" i="78"/>
  <c r="AY26" i="78"/>
  <c r="AZ6" i="78" s="1"/>
  <c r="C29" i="10" s="1"/>
  <c r="AX36" i="78"/>
  <c r="AY36" i="78" s="1"/>
  <c r="AX18" i="105" l="1"/>
  <c r="AY18" i="105" s="1"/>
  <c r="AW18" i="105"/>
  <c r="AT18" i="105"/>
  <c r="AQ18" i="105"/>
  <c r="AN18" i="105"/>
  <c r="AK18" i="105"/>
  <c r="AH18" i="105"/>
  <c r="AD18" i="105"/>
  <c r="AE18" i="105" s="1"/>
  <c r="AC18" i="105"/>
  <c r="Z18" i="105"/>
  <c r="W18" i="105"/>
  <c r="T18" i="105"/>
  <c r="Q18" i="105"/>
  <c r="N18" i="105"/>
  <c r="AX16" i="105"/>
  <c r="AW16" i="105"/>
  <c r="AT16" i="105"/>
  <c r="AQ16" i="105"/>
  <c r="AN16" i="105"/>
  <c r="AK16" i="105"/>
  <c r="AH16" i="105"/>
  <c r="AE16" i="105"/>
  <c r="AD16" i="105"/>
  <c r="AC16" i="105"/>
  <c r="Z16" i="105"/>
  <c r="W16" i="105"/>
  <c r="T16" i="105"/>
  <c r="Q16" i="105"/>
  <c r="N16" i="105"/>
  <c r="AY15" i="105"/>
  <c r="AX15" i="105"/>
  <c r="AW15" i="105"/>
  <c r="AT15" i="105"/>
  <c r="AQ15" i="105"/>
  <c r="AN15" i="105"/>
  <c r="AK15" i="105"/>
  <c r="AH15" i="105"/>
  <c r="AE15" i="105"/>
  <c r="AD15" i="105"/>
  <c r="AC15" i="105"/>
  <c r="Z15" i="105"/>
  <c r="W15" i="105"/>
  <c r="T15" i="105"/>
  <c r="Q15" i="105"/>
  <c r="N15" i="105"/>
  <c r="AY13" i="105"/>
  <c r="AX13" i="105"/>
  <c r="AU13" i="105"/>
  <c r="AW13" i="105" s="1"/>
  <c r="AR13" i="105"/>
  <c r="AT13" i="105" s="1"/>
  <c r="AO13" i="105"/>
  <c r="AQ13" i="105" s="1"/>
  <c r="AL13" i="105"/>
  <c r="AN13" i="105" s="1"/>
  <c r="AI13" i="105"/>
  <c r="AK13" i="105" s="1"/>
  <c r="AH13" i="105"/>
  <c r="AF13" i="105"/>
  <c r="AD13" i="105"/>
  <c r="AE13" i="105" s="1"/>
  <c r="AA13" i="105"/>
  <c r="AC13" i="105" s="1"/>
  <c r="X13" i="105"/>
  <c r="Z13" i="105" s="1"/>
  <c r="U13" i="105"/>
  <c r="W13" i="105" s="1"/>
  <c r="R13" i="105"/>
  <c r="T13" i="105" s="1"/>
  <c r="O13" i="105"/>
  <c r="Q13" i="105" s="1"/>
  <c r="L13" i="105"/>
  <c r="N13" i="105" s="1"/>
  <c r="AX12" i="105"/>
  <c r="AY12" i="105" s="1"/>
  <c r="AW12" i="105"/>
  <c r="AT12" i="105"/>
  <c r="AQ12" i="105"/>
  <c r="AN12" i="105"/>
  <c r="AK12" i="105"/>
  <c r="AH12" i="105"/>
  <c r="AD12" i="105"/>
  <c r="AE12" i="105" s="1"/>
  <c r="AC12" i="105"/>
  <c r="Z12" i="105"/>
  <c r="W12" i="105"/>
  <c r="T12" i="105"/>
  <c r="Q12" i="105"/>
  <c r="N12" i="105"/>
  <c r="AX11" i="105"/>
  <c r="AY11" i="105" s="1"/>
  <c r="AW11" i="105"/>
  <c r="AT11" i="105"/>
  <c r="AQ11" i="105"/>
  <c r="AN11" i="105"/>
  <c r="AK11" i="105"/>
  <c r="AH11" i="105"/>
  <c r="AD11" i="105"/>
  <c r="AE11" i="105" s="1"/>
  <c r="AC11" i="105"/>
  <c r="Z11" i="105"/>
  <c r="W11" i="105"/>
  <c r="T11" i="105"/>
  <c r="Q11" i="105"/>
  <c r="N11" i="105"/>
  <c r="AX10" i="105"/>
  <c r="AY10" i="105" s="1"/>
  <c r="AW10" i="105"/>
  <c r="AT10" i="105"/>
  <c r="AQ10" i="105"/>
  <c r="AN10" i="105"/>
  <c r="AK10" i="105"/>
  <c r="AH10" i="105"/>
  <c r="AD10" i="105"/>
  <c r="AE10" i="105" s="1"/>
  <c r="AC10" i="105"/>
  <c r="Z10" i="105"/>
  <c r="W10" i="105"/>
  <c r="T10" i="105"/>
  <c r="Q10" i="105"/>
  <c r="N10" i="105"/>
  <c r="AX9" i="105"/>
  <c r="AY9" i="105" s="1"/>
  <c r="AZ5" i="105" s="1"/>
  <c r="C57" i="10" s="1"/>
  <c r="AW9" i="105"/>
  <c r="AT9" i="105"/>
  <c r="AQ9" i="105"/>
  <c r="AN9" i="105"/>
  <c r="AK9" i="105"/>
  <c r="AH9" i="105"/>
  <c r="AD9" i="105"/>
  <c r="AE9" i="105" s="1"/>
  <c r="AC9" i="105"/>
  <c r="Z9" i="105"/>
  <c r="W9" i="105"/>
  <c r="T9" i="105"/>
  <c r="Q9" i="105"/>
  <c r="N9" i="105"/>
  <c r="AX27" i="98" l="1"/>
  <c r="AY27" i="98" s="1"/>
  <c r="AW27" i="98"/>
  <c r="AT27" i="98"/>
  <c r="AQ27" i="98"/>
  <c r="AN27" i="98"/>
  <c r="AK27" i="98"/>
  <c r="AH27" i="98"/>
  <c r="AD27" i="98"/>
  <c r="AE27" i="98" s="1"/>
  <c r="AC27" i="98"/>
  <c r="Z27" i="98"/>
  <c r="W27" i="98"/>
  <c r="T27" i="98"/>
  <c r="Q27" i="98"/>
  <c r="N27" i="98"/>
  <c r="AY25" i="98"/>
  <c r="AT25" i="98"/>
  <c r="AQ25" i="98"/>
  <c r="AN25" i="98"/>
  <c r="AK25" i="98"/>
  <c r="AH25" i="98"/>
  <c r="AD25" i="98"/>
  <c r="AE25" i="98" s="1"/>
  <c r="AC25" i="98"/>
  <c r="Z25" i="98"/>
  <c r="W25" i="98"/>
  <c r="T25" i="98"/>
  <c r="Q25" i="98"/>
  <c r="N25" i="98"/>
  <c r="AX24" i="98"/>
  <c r="AY24" i="98" s="1"/>
  <c r="AW24" i="98"/>
  <c r="AT24" i="98"/>
  <c r="AQ24" i="98"/>
  <c r="AN24" i="98"/>
  <c r="AK24" i="98"/>
  <c r="AH24" i="98"/>
  <c r="AD24" i="98"/>
  <c r="AE24" i="98" s="1"/>
  <c r="AC24" i="98"/>
  <c r="Z24" i="98"/>
  <c r="W24" i="98"/>
  <c r="T24" i="98"/>
  <c r="Q24" i="98"/>
  <c r="N24" i="98"/>
  <c r="AY22" i="98"/>
  <c r="AT22" i="98"/>
  <c r="AQ22" i="98"/>
  <c r="AN22" i="98"/>
  <c r="AK22" i="98"/>
  <c r="AH22" i="98"/>
  <c r="AD22" i="98"/>
  <c r="AE22" i="98" s="1"/>
  <c r="AC22" i="98"/>
  <c r="Z22" i="98"/>
  <c r="W22" i="98"/>
  <c r="T22" i="98"/>
  <c r="Q22" i="98"/>
  <c r="N22" i="98"/>
  <c r="AY21" i="98"/>
  <c r="AW21" i="98"/>
  <c r="AT21" i="98"/>
  <c r="AQ21" i="98"/>
  <c r="AN21" i="98"/>
  <c r="AK21" i="98"/>
  <c r="AH21" i="98"/>
  <c r="AD21" i="98"/>
  <c r="AC21" i="98"/>
  <c r="Z21" i="98"/>
  <c r="W21" i="98"/>
  <c r="T21" i="98"/>
  <c r="Q21" i="98"/>
  <c r="N21" i="98"/>
  <c r="AX20" i="98"/>
  <c r="AY20" i="98" s="1"/>
  <c r="AW20" i="98"/>
  <c r="AT20" i="98"/>
  <c r="AQ20" i="98"/>
  <c r="AN20" i="98"/>
  <c r="AK20" i="98"/>
  <c r="AH20" i="98"/>
  <c r="AD20" i="98"/>
  <c r="AE20" i="98" s="1"/>
  <c r="AC20" i="98"/>
  <c r="Z20" i="98"/>
  <c r="W20" i="98"/>
  <c r="T20" i="98"/>
  <c r="Q20" i="98"/>
  <c r="N20" i="98"/>
  <c r="AY19" i="98"/>
  <c r="AW19" i="98"/>
  <c r="AT19" i="98"/>
  <c r="AQ19" i="98"/>
  <c r="AN19" i="98"/>
  <c r="AK19" i="98"/>
  <c r="AH19" i="98"/>
  <c r="AD19" i="98"/>
  <c r="AE19" i="98" s="1"/>
  <c r="AC19" i="98"/>
  <c r="Z19" i="98"/>
  <c r="W19" i="98"/>
  <c r="T19" i="98"/>
  <c r="Q19" i="98"/>
  <c r="N19" i="98"/>
  <c r="AX18" i="98"/>
  <c r="AY18" i="98" s="1"/>
  <c r="AW18" i="98"/>
  <c r="AT18" i="98"/>
  <c r="AQ18" i="98"/>
  <c r="AN18" i="98"/>
  <c r="AK18" i="98"/>
  <c r="AH18" i="98"/>
  <c r="AE18" i="98"/>
  <c r="AC18" i="98"/>
  <c r="Z18" i="98"/>
  <c r="W18" i="98"/>
  <c r="T18" i="98"/>
  <c r="Q18" i="98"/>
  <c r="N18" i="98"/>
  <c r="AX17" i="98"/>
  <c r="AW17" i="98"/>
  <c r="AT17" i="98"/>
  <c r="AQ17" i="98"/>
  <c r="AN17" i="98"/>
  <c r="AK17" i="98"/>
  <c r="AH17" i="98"/>
  <c r="AD17" i="98"/>
  <c r="AE17" i="98" s="1"/>
  <c r="AC17" i="98"/>
  <c r="Z17" i="98"/>
  <c r="W17" i="98"/>
  <c r="T17" i="98"/>
  <c r="Q17" i="98"/>
  <c r="N17" i="98"/>
  <c r="AY16" i="98"/>
  <c r="AW16" i="98"/>
  <c r="AT16" i="98"/>
  <c r="AQ16" i="98"/>
  <c r="AN16" i="98"/>
  <c r="AK16" i="98"/>
  <c r="AH16" i="98"/>
  <c r="AE16" i="98"/>
  <c r="AC16" i="98"/>
  <c r="Z16" i="98"/>
  <c r="W16" i="98"/>
  <c r="T16" i="98"/>
  <c r="Q16" i="98"/>
  <c r="N16" i="98"/>
  <c r="AX15" i="98"/>
  <c r="AY15" i="98" s="1"/>
  <c r="AW15" i="98"/>
  <c r="AT15" i="98"/>
  <c r="AQ15" i="98"/>
  <c r="AN15" i="98"/>
  <c r="AK15" i="98"/>
  <c r="AH15" i="98"/>
  <c r="AD15" i="98"/>
  <c r="AE15" i="98" s="1"/>
  <c r="AC15" i="98"/>
  <c r="Z15" i="98"/>
  <c r="W15" i="98"/>
  <c r="T15" i="98"/>
  <c r="Q15" i="98"/>
  <c r="N15" i="98"/>
  <c r="AX14" i="98"/>
  <c r="AY14" i="98" s="1"/>
  <c r="AW14" i="98"/>
  <c r="AT14" i="98"/>
  <c r="AQ14" i="98"/>
  <c r="AN14" i="98"/>
  <c r="AK14" i="98"/>
  <c r="AH14" i="98"/>
  <c r="AD14" i="98"/>
  <c r="AE14" i="98" s="1"/>
  <c r="AC14" i="98"/>
  <c r="W14" i="98"/>
  <c r="T14" i="98"/>
  <c r="Q14" i="98"/>
  <c r="N14" i="98"/>
  <c r="AX13" i="98"/>
  <c r="AY13" i="98" s="1"/>
  <c r="AW13" i="98"/>
  <c r="AT13" i="98"/>
  <c r="AQ13" i="98"/>
  <c r="AN13" i="98"/>
  <c r="AK13" i="98"/>
  <c r="AH13" i="98"/>
  <c r="AD13" i="98"/>
  <c r="AE13" i="98" s="1"/>
  <c r="AC13" i="98"/>
  <c r="Z13" i="98"/>
  <c r="W13" i="98"/>
  <c r="T13" i="98"/>
  <c r="Q13" i="98"/>
  <c r="N13" i="98"/>
  <c r="AX12" i="98"/>
  <c r="AY12" i="98" s="1"/>
  <c r="AW12" i="98"/>
  <c r="AT12" i="98"/>
  <c r="AH12" i="98"/>
  <c r="AD12" i="98"/>
  <c r="AE12" i="98" s="1"/>
  <c r="AC12" i="98"/>
  <c r="Z12" i="98"/>
  <c r="W12" i="98"/>
  <c r="T12" i="98"/>
  <c r="Q12" i="98"/>
  <c r="N12" i="98"/>
  <c r="AY11" i="98"/>
  <c r="AW11" i="98"/>
  <c r="AT11" i="98"/>
  <c r="AQ11" i="98"/>
  <c r="AN11" i="98"/>
  <c r="AK11" i="98"/>
  <c r="AH11" i="98"/>
  <c r="AD11" i="98"/>
  <c r="AE11" i="98" s="1"/>
  <c r="AC11" i="98"/>
  <c r="Z11" i="98"/>
  <c r="W11" i="98"/>
  <c r="T11" i="98"/>
  <c r="Q11" i="98"/>
  <c r="N11" i="98"/>
  <c r="AX10" i="98"/>
  <c r="AY10" i="98" s="1"/>
  <c r="AW10" i="98"/>
  <c r="AT10" i="98"/>
  <c r="AQ10" i="98"/>
  <c r="AN10" i="98"/>
  <c r="AK10" i="98"/>
  <c r="AH10" i="98"/>
  <c r="AD10" i="98"/>
  <c r="AE10" i="98" s="1"/>
  <c r="AC10" i="98"/>
  <c r="Z10" i="98"/>
  <c r="W10" i="98"/>
  <c r="T10" i="98"/>
  <c r="Q10" i="98"/>
  <c r="N10" i="98"/>
  <c r="AX9" i="98"/>
  <c r="AW9" i="98"/>
  <c r="AQ9" i="98"/>
  <c r="AN9" i="98"/>
  <c r="AK9" i="98"/>
  <c r="AH9" i="98"/>
  <c r="AD9" i="98"/>
  <c r="AC9" i="98"/>
  <c r="Z9" i="98"/>
  <c r="W9" i="98"/>
  <c r="T9" i="98"/>
  <c r="Q9" i="98"/>
  <c r="N9" i="98"/>
  <c r="G9" i="98"/>
  <c r="AY9" i="98" l="1"/>
  <c r="AZ4" i="98" s="1"/>
  <c r="AE9" i="98"/>
  <c r="AX30" i="56"/>
  <c r="AY30" i="56" s="1"/>
  <c r="AW30" i="56"/>
  <c r="AT30" i="56"/>
  <c r="AQ30" i="56"/>
  <c r="AN30" i="56"/>
  <c r="AK30" i="56"/>
  <c r="AH30" i="56"/>
  <c r="AD30" i="56"/>
  <c r="AE30" i="56" s="1"/>
  <c r="AC30" i="56"/>
  <c r="Z30" i="56"/>
  <c r="W30" i="56"/>
  <c r="T30" i="56"/>
  <c r="Q30" i="56"/>
  <c r="N30" i="56"/>
  <c r="AX28" i="56"/>
  <c r="AY28" i="56" s="1"/>
  <c r="AW28" i="56"/>
  <c r="AT28" i="56"/>
  <c r="AQ28" i="56"/>
  <c r="AN28" i="56"/>
  <c r="AK28" i="56"/>
  <c r="AH28" i="56"/>
  <c r="AD28" i="56"/>
  <c r="AE28" i="56" s="1"/>
  <c r="AC28" i="56"/>
  <c r="Z28" i="56"/>
  <c r="W28" i="56"/>
  <c r="T28" i="56"/>
  <c r="Q28" i="56"/>
  <c r="N28" i="56"/>
  <c r="AX27" i="56"/>
  <c r="AY27" i="56" s="1"/>
  <c r="AW27" i="56"/>
  <c r="AT27" i="56"/>
  <c r="AQ27" i="56"/>
  <c r="AN27" i="56"/>
  <c r="AK27" i="56"/>
  <c r="AH27" i="56"/>
  <c r="AD27" i="56"/>
  <c r="AE27" i="56" s="1"/>
  <c r="AC27" i="56"/>
  <c r="Z27" i="56"/>
  <c r="W27" i="56"/>
  <c r="T27" i="56"/>
  <c r="Q27" i="56"/>
  <c r="N27" i="56"/>
  <c r="AX26" i="56"/>
  <c r="AY26" i="56" s="1"/>
  <c r="AW26" i="56"/>
  <c r="AT26" i="56"/>
  <c r="AQ26" i="56"/>
  <c r="AN26" i="56"/>
  <c r="AK26" i="56"/>
  <c r="AH26" i="56"/>
  <c r="AD26" i="56"/>
  <c r="AE26" i="56" s="1"/>
  <c r="AC26" i="56"/>
  <c r="Z26" i="56"/>
  <c r="W26" i="56"/>
  <c r="T26" i="56"/>
  <c r="Q26" i="56"/>
  <c r="N26" i="56"/>
  <c r="AX24" i="56"/>
  <c r="AY24" i="56" s="1"/>
  <c r="AW24" i="56"/>
  <c r="AT24" i="56"/>
  <c r="AQ24" i="56"/>
  <c r="AN24" i="56"/>
  <c r="AK24" i="56"/>
  <c r="AH24" i="56"/>
  <c r="AD24" i="56"/>
  <c r="AE24" i="56" s="1"/>
  <c r="AC24" i="56"/>
  <c r="Z24" i="56"/>
  <c r="W24" i="56"/>
  <c r="T24" i="56"/>
  <c r="Q24" i="56"/>
  <c r="N24" i="56"/>
  <c r="AX23" i="56"/>
  <c r="AY23" i="56" s="1"/>
  <c r="AW23" i="56"/>
  <c r="AT23" i="56"/>
  <c r="AQ23" i="56"/>
  <c r="AN23" i="56"/>
  <c r="AK23" i="56"/>
  <c r="AH23" i="56"/>
  <c r="AD23" i="56"/>
  <c r="AE23" i="56" s="1"/>
  <c r="AC23" i="56"/>
  <c r="Z23" i="56"/>
  <c r="W23" i="56"/>
  <c r="T23" i="56"/>
  <c r="Q23" i="56"/>
  <c r="N23" i="56"/>
  <c r="AX22" i="56"/>
  <c r="AY22" i="56" s="1"/>
  <c r="AW22" i="56"/>
  <c r="AT22" i="56"/>
  <c r="AQ22" i="56"/>
  <c r="AN22" i="56"/>
  <c r="AK22" i="56"/>
  <c r="AH22" i="56"/>
  <c r="AD22" i="56"/>
  <c r="AE22" i="56" s="1"/>
  <c r="AC22" i="56"/>
  <c r="Z22" i="56"/>
  <c r="W22" i="56"/>
  <c r="T22" i="56"/>
  <c r="Q22" i="56"/>
  <c r="N22" i="56"/>
  <c r="AX21" i="56"/>
  <c r="AY21" i="56" s="1"/>
  <c r="AW21" i="56"/>
  <c r="AT21" i="56"/>
  <c r="AQ21" i="56"/>
  <c r="AN21" i="56"/>
  <c r="AK21" i="56"/>
  <c r="AH21" i="56"/>
  <c r="AD21" i="56"/>
  <c r="AE21" i="56" s="1"/>
  <c r="AC21" i="56"/>
  <c r="Z21" i="56"/>
  <c r="W21" i="56"/>
  <c r="T21" i="56"/>
  <c r="Q21" i="56"/>
  <c r="N21" i="56"/>
  <c r="AX20" i="56"/>
  <c r="AY20" i="56" s="1"/>
  <c r="AW20" i="56"/>
  <c r="AT20" i="56"/>
  <c r="AQ20" i="56"/>
  <c r="AN20" i="56"/>
  <c r="AK20" i="56"/>
  <c r="AH20" i="56"/>
  <c r="AD20" i="56"/>
  <c r="AE20" i="56" s="1"/>
  <c r="AC20" i="56"/>
  <c r="Z20" i="56"/>
  <c r="W20" i="56"/>
  <c r="T20" i="56"/>
  <c r="Q20" i="56"/>
  <c r="N20" i="56"/>
  <c r="AW19" i="56"/>
  <c r="AT19" i="56"/>
  <c r="AQ19" i="56"/>
  <c r="AN19" i="56"/>
  <c r="AK19" i="56"/>
  <c r="AH19" i="56"/>
  <c r="AD19" i="56"/>
  <c r="AE19" i="56" s="1"/>
  <c r="AC19" i="56"/>
  <c r="Z19" i="56"/>
  <c r="W19" i="56"/>
  <c r="T19" i="56"/>
  <c r="Q19" i="56"/>
  <c r="N19" i="56"/>
  <c r="AX18" i="56"/>
  <c r="AY18" i="56" s="1"/>
  <c r="AW18" i="56"/>
  <c r="AT18" i="56"/>
  <c r="AQ18" i="56"/>
  <c r="AN18" i="56"/>
  <c r="AK18" i="56"/>
  <c r="AH18" i="56"/>
  <c r="AD18" i="56"/>
  <c r="AE18" i="56" s="1"/>
  <c r="AC18" i="56"/>
  <c r="Z18" i="56"/>
  <c r="W18" i="56"/>
  <c r="T18" i="56"/>
  <c r="Q18" i="56"/>
  <c r="N18" i="56"/>
  <c r="AX17" i="56"/>
  <c r="AY17" i="56" s="1"/>
  <c r="AW17" i="56"/>
  <c r="AT17" i="56"/>
  <c r="AQ17" i="56"/>
  <c r="AN17" i="56"/>
  <c r="AK17" i="56"/>
  <c r="AH17" i="56"/>
  <c r="AD17" i="56"/>
  <c r="AE17" i="56" s="1"/>
  <c r="AC17" i="56"/>
  <c r="Z17" i="56"/>
  <c r="W17" i="56"/>
  <c r="T17" i="56"/>
  <c r="Q17" i="56"/>
  <c r="N17" i="56"/>
  <c r="AX16" i="56"/>
  <c r="AY16" i="56" s="1"/>
  <c r="AW16" i="56"/>
  <c r="AT16" i="56"/>
  <c r="AQ16" i="56"/>
  <c r="AN16" i="56"/>
  <c r="AK16" i="56"/>
  <c r="AH16" i="56"/>
  <c r="AD16" i="56"/>
  <c r="AE16" i="56" s="1"/>
  <c r="AC16" i="56"/>
  <c r="Z16" i="56"/>
  <c r="W16" i="56"/>
  <c r="T16" i="56"/>
  <c r="Q16" i="56"/>
  <c r="N16" i="56"/>
  <c r="AX15" i="56"/>
  <c r="AY15" i="56" s="1"/>
  <c r="AW15" i="56"/>
  <c r="AT15" i="56"/>
  <c r="AQ15" i="56"/>
  <c r="AN15" i="56"/>
  <c r="AK15" i="56"/>
  <c r="AH15" i="56"/>
  <c r="AE15" i="56"/>
  <c r="AC15" i="56"/>
  <c r="Z15" i="56"/>
  <c r="W15" i="56"/>
  <c r="T15" i="56"/>
  <c r="Q15" i="56"/>
  <c r="N15" i="56"/>
  <c r="AY14" i="56"/>
  <c r="AX14" i="56"/>
  <c r="AW14" i="56"/>
  <c r="AT14" i="56"/>
  <c r="AQ14" i="56"/>
  <c r="AN14" i="56"/>
  <c r="AK14" i="56"/>
  <c r="AH14" i="56"/>
  <c r="AE14" i="56"/>
  <c r="AD14" i="56"/>
  <c r="AC14" i="56"/>
  <c r="Z14" i="56"/>
  <c r="W14" i="56"/>
  <c r="T14" i="56"/>
  <c r="Q14" i="56"/>
  <c r="N14" i="56"/>
  <c r="AY13" i="56"/>
  <c r="AX13" i="56"/>
  <c r="AW13" i="56"/>
  <c r="AT13" i="56"/>
  <c r="AQ13" i="56"/>
  <c r="AN13" i="56"/>
  <c r="AK13" i="56"/>
  <c r="AH13" i="56"/>
  <c r="AE13" i="56"/>
  <c r="AD13" i="56"/>
  <c r="AC13" i="56"/>
  <c r="Z13" i="56"/>
  <c r="W13" i="56"/>
  <c r="T13" i="56"/>
  <c r="Q13" i="56"/>
  <c r="N13" i="56"/>
  <c r="AY12" i="56"/>
  <c r="AX12" i="56"/>
  <c r="AW12" i="56"/>
  <c r="AT12" i="56"/>
  <c r="AQ12" i="56"/>
  <c r="AN12" i="56"/>
  <c r="AK12" i="56"/>
  <c r="AH12" i="56"/>
  <c r="AE12" i="56"/>
  <c r="AD12" i="56"/>
  <c r="AC12" i="56"/>
  <c r="Z12" i="56"/>
  <c r="W12" i="56"/>
  <c r="T12" i="56"/>
  <c r="Q12" i="56"/>
  <c r="N12" i="56"/>
  <c r="AY11" i="56"/>
  <c r="AX11" i="56"/>
  <c r="AW11" i="56"/>
  <c r="AT11" i="56"/>
  <c r="AQ11" i="56"/>
  <c r="AN11" i="56"/>
  <c r="AK11" i="56"/>
  <c r="AH11" i="56"/>
  <c r="AE11" i="56"/>
  <c r="AD11" i="56"/>
  <c r="AC11" i="56"/>
  <c r="Z11" i="56"/>
  <c r="W11" i="56"/>
  <c r="T11" i="56"/>
  <c r="Q11" i="56"/>
  <c r="N11" i="56"/>
  <c r="AY10" i="56"/>
  <c r="AX10" i="56"/>
  <c r="AW10" i="56"/>
  <c r="AT10" i="56"/>
  <c r="AQ10" i="56"/>
  <c r="AN10" i="56"/>
  <c r="AK10" i="56"/>
  <c r="AH10" i="56"/>
  <c r="AE10" i="56"/>
  <c r="AD10" i="56"/>
  <c r="AC10" i="56"/>
  <c r="Z10" i="56"/>
  <c r="W10" i="56"/>
  <c r="T10" i="56"/>
  <c r="Q10" i="56"/>
  <c r="N10" i="56"/>
  <c r="AY9" i="56"/>
  <c r="AX9" i="56"/>
  <c r="AW9" i="56"/>
  <c r="AT9" i="56"/>
  <c r="AQ9" i="56"/>
  <c r="AN9" i="56"/>
  <c r="AK9" i="56"/>
  <c r="AH9" i="56"/>
  <c r="AE9" i="56"/>
  <c r="AD9" i="56"/>
  <c r="AC9" i="56"/>
  <c r="Z9" i="56"/>
  <c r="W9" i="56"/>
  <c r="T9" i="56"/>
  <c r="Q9" i="56"/>
  <c r="N9" i="56"/>
  <c r="AX19" i="56" l="1"/>
  <c r="AY19" i="56" s="1"/>
  <c r="AZ4" i="56" s="1"/>
  <c r="C8" i="10" s="1"/>
  <c r="AX14" i="107" l="1"/>
  <c r="AY14" i="107" s="1"/>
  <c r="AW14" i="107"/>
  <c r="AT14" i="107"/>
  <c r="AQ14" i="107"/>
  <c r="AN14" i="107"/>
  <c r="AK14" i="107"/>
  <c r="AH14" i="107"/>
  <c r="AD14" i="107"/>
  <c r="AE14" i="107" s="1"/>
  <c r="AC14" i="107"/>
  <c r="Z14" i="107"/>
  <c r="W14" i="107"/>
  <c r="T14" i="107"/>
  <c r="Q14" i="107"/>
  <c r="N14" i="107"/>
  <c r="AX12" i="107"/>
  <c r="AY12" i="107" s="1"/>
  <c r="AW12" i="107"/>
  <c r="AT12" i="107"/>
  <c r="AQ12" i="107"/>
  <c r="AN12" i="107"/>
  <c r="AK12" i="107"/>
  <c r="AH12" i="107"/>
  <c r="AD12" i="107"/>
  <c r="AE12" i="107" s="1"/>
  <c r="AC12" i="107"/>
  <c r="Z12" i="107"/>
  <c r="W12" i="107"/>
  <c r="T12" i="107"/>
  <c r="Q12" i="107"/>
  <c r="N12" i="107"/>
  <c r="AX10" i="107"/>
  <c r="AY10" i="107" s="1"/>
  <c r="AW10" i="107"/>
  <c r="AT10" i="107"/>
  <c r="AQ10" i="107"/>
  <c r="AN10" i="107"/>
  <c r="AK10" i="107"/>
  <c r="AH10" i="107"/>
  <c r="AD10" i="107"/>
  <c r="AE10" i="107" s="1"/>
  <c r="AC10" i="107"/>
  <c r="Z10" i="107"/>
  <c r="W10" i="107"/>
  <c r="T10" i="107"/>
  <c r="Q10" i="107"/>
  <c r="N10" i="107"/>
  <c r="AY9" i="107"/>
  <c r="AZ4" i="107" s="1"/>
  <c r="C59" i="10" s="1"/>
  <c r="AV9" i="107"/>
  <c r="AU9" i="107"/>
  <c r="AD9" i="107"/>
  <c r="AW9" i="107" l="1"/>
  <c r="AX17" i="106"/>
  <c r="AY17" i="106" s="1"/>
  <c r="AW17" i="106"/>
  <c r="AT17" i="106"/>
  <c r="AQ17" i="106"/>
  <c r="AN17" i="106"/>
  <c r="AK17" i="106"/>
  <c r="AH17" i="106"/>
  <c r="AD17" i="106"/>
  <c r="AE17" i="106" s="1"/>
  <c r="AC17" i="106"/>
  <c r="Z17" i="106"/>
  <c r="W17" i="106"/>
  <c r="T17" i="106"/>
  <c r="Q17" i="106"/>
  <c r="N17" i="106"/>
  <c r="AX15" i="106"/>
  <c r="AW15" i="106"/>
  <c r="AT15" i="106"/>
  <c r="AQ15" i="106"/>
  <c r="AN15" i="106"/>
  <c r="AK15" i="106"/>
  <c r="AH15" i="106"/>
  <c r="AD15" i="106"/>
  <c r="AE15" i="106" s="1"/>
  <c r="AC15" i="106"/>
  <c r="Z15" i="106"/>
  <c r="W15" i="106"/>
  <c r="T15" i="106"/>
  <c r="Q15" i="106"/>
  <c r="N15" i="106"/>
  <c r="AX14" i="106"/>
  <c r="AY14" i="106" s="1"/>
  <c r="AW14" i="106"/>
  <c r="AT14" i="106"/>
  <c r="AQ14" i="106"/>
  <c r="AN14" i="106"/>
  <c r="AK14" i="106"/>
  <c r="AH14" i="106"/>
  <c r="AD14" i="106"/>
  <c r="AE14" i="106" s="1"/>
  <c r="AC14" i="106"/>
  <c r="Z14" i="106"/>
  <c r="W14" i="106"/>
  <c r="T14" i="106"/>
  <c r="Q14" i="106"/>
  <c r="N14" i="106"/>
  <c r="AX12" i="106"/>
  <c r="AY12" i="106" s="1"/>
  <c r="AW12" i="106"/>
  <c r="AT12" i="106"/>
  <c r="AQ12" i="106"/>
  <c r="AN12" i="106"/>
  <c r="AK12" i="106"/>
  <c r="AH12" i="106"/>
  <c r="AD12" i="106"/>
  <c r="AE12" i="106" s="1"/>
  <c r="AC12" i="106"/>
  <c r="Z12" i="106"/>
  <c r="W12" i="106"/>
  <c r="T12" i="106"/>
  <c r="Q12" i="106"/>
  <c r="N12" i="106"/>
  <c r="AX11" i="106"/>
  <c r="AY11" i="106" s="1"/>
  <c r="AW11" i="106"/>
  <c r="AT11" i="106"/>
  <c r="AQ11" i="106"/>
  <c r="AN11" i="106"/>
  <c r="AK11" i="106"/>
  <c r="AH11" i="106"/>
  <c r="AD11" i="106"/>
  <c r="AE11" i="106" s="1"/>
  <c r="AC11" i="106"/>
  <c r="Z11" i="106"/>
  <c r="W11" i="106"/>
  <c r="T11" i="106"/>
  <c r="Q11" i="106"/>
  <c r="N11" i="106"/>
  <c r="AX10" i="106"/>
  <c r="AY10" i="106" s="1"/>
  <c r="AW10" i="106"/>
  <c r="AT10" i="106"/>
  <c r="AQ10" i="106"/>
  <c r="AN10" i="106"/>
  <c r="AK10" i="106"/>
  <c r="AH10" i="106"/>
  <c r="AD10" i="106"/>
  <c r="AE10" i="106" s="1"/>
  <c r="AC10" i="106"/>
  <c r="Z10" i="106"/>
  <c r="W10" i="106"/>
  <c r="T10" i="106"/>
  <c r="Q10" i="106"/>
  <c r="N10" i="106"/>
  <c r="AY9" i="106"/>
  <c r="AW9" i="106"/>
  <c r="AT9" i="106"/>
  <c r="AQ9" i="106"/>
  <c r="AN9" i="106"/>
  <c r="AK9" i="106"/>
  <c r="AH9" i="106"/>
  <c r="AD9" i="106"/>
  <c r="AE9" i="106" s="1"/>
  <c r="AC9" i="106"/>
  <c r="Z9" i="106"/>
  <c r="W9" i="106"/>
  <c r="T9" i="106"/>
  <c r="Q9" i="106"/>
  <c r="N9" i="106"/>
  <c r="AZ4" i="106" l="1"/>
  <c r="C58" i="10" s="1"/>
  <c r="AX14" i="104"/>
  <c r="AY14" i="104" s="1"/>
  <c r="AW14" i="104"/>
  <c r="AT14" i="104"/>
  <c r="AQ14" i="104"/>
  <c r="AN14" i="104"/>
  <c r="AK14" i="104"/>
  <c r="AH14" i="104"/>
  <c r="AD14" i="104"/>
  <c r="AE14" i="104" s="1"/>
  <c r="AC14" i="104"/>
  <c r="Z14" i="104"/>
  <c r="W14" i="104"/>
  <c r="T14" i="104"/>
  <c r="Q14" i="104"/>
  <c r="N14" i="104"/>
  <c r="AX12" i="104"/>
  <c r="AY12" i="104" s="1"/>
  <c r="AW12" i="104"/>
  <c r="AT12" i="104"/>
  <c r="AQ12" i="104"/>
  <c r="AN12" i="104"/>
  <c r="AK12" i="104"/>
  <c r="AH12" i="104"/>
  <c r="AD12" i="104"/>
  <c r="AE12" i="104" s="1"/>
  <c r="AC12" i="104"/>
  <c r="Z12" i="104"/>
  <c r="W12" i="104"/>
  <c r="T12" i="104"/>
  <c r="Q12" i="104"/>
  <c r="N12" i="104"/>
  <c r="AX10" i="104"/>
  <c r="AY10" i="104" s="1"/>
  <c r="AW10" i="104"/>
  <c r="AT10" i="104"/>
  <c r="AQ10" i="104"/>
  <c r="AN10" i="104"/>
  <c r="AK10" i="104"/>
  <c r="AH10" i="104"/>
  <c r="AD10" i="104"/>
  <c r="AE10" i="104" s="1"/>
  <c r="AC10" i="104"/>
  <c r="Z10" i="104"/>
  <c r="W10" i="104"/>
  <c r="T10" i="104"/>
  <c r="Q10" i="104"/>
  <c r="N10" i="104"/>
  <c r="AY9" i="104"/>
  <c r="AZ4" i="104" s="1"/>
  <c r="C56" i="10" s="1"/>
  <c r="AW9" i="104"/>
  <c r="AT9" i="104"/>
  <c r="AQ9" i="104"/>
  <c r="AN9" i="104"/>
  <c r="AK9" i="104"/>
  <c r="AH9" i="104"/>
  <c r="AD9" i="104"/>
  <c r="AC9" i="104"/>
  <c r="Z9" i="104"/>
  <c r="W9" i="104"/>
  <c r="T9" i="104"/>
  <c r="Q9" i="104"/>
  <c r="N9" i="104"/>
  <c r="AX14" i="103" l="1"/>
  <c r="AY14" i="103" s="1"/>
  <c r="AW14" i="103"/>
  <c r="AT14" i="103"/>
  <c r="AQ14" i="103"/>
  <c r="AN14" i="103"/>
  <c r="AK14" i="103"/>
  <c r="AH14" i="103"/>
  <c r="AD14" i="103"/>
  <c r="AE14" i="103" s="1"/>
  <c r="AC14" i="103"/>
  <c r="Z14" i="103"/>
  <c r="W14" i="103"/>
  <c r="T14" i="103"/>
  <c r="Q14" i="103"/>
  <c r="N14" i="103"/>
  <c r="AX12" i="103"/>
  <c r="AY12" i="103" s="1"/>
  <c r="AW12" i="103"/>
  <c r="AT12" i="103"/>
  <c r="AQ12" i="103"/>
  <c r="AN12" i="103"/>
  <c r="AK12" i="103"/>
  <c r="AH12" i="103"/>
  <c r="AD12" i="103"/>
  <c r="AE12" i="103" s="1"/>
  <c r="AC12" i="103"/>
  <c r="Z12" i="103"/>
  <c r="W12" i="103"/>
  <c r="T12" i="103"/>
  <c r="Q12" i="103"/>
  <c r="N12" i="103"/>
  <c r="AX10" i="103"/>
  <c r="AW10" i="103"/>
  <c r="AT10" i="103"/>
  <c r="AQ10" i="103"/>
  <c r="AN10" i="103"/>
  <c r="AK10" i="103"/>
  <c r="AH10" i="103"/>
  <c r="AD10" i="103"/>
  <c r="AC10" i="103"/>
  <c r="Z10" i="103"/>
  <c r="W10" i="103"/>
  <c r="T10" i="103"/>
  <c r="Q10" i="103"/>
  <c r="N10" i="103"/>
  <c r="G10" i="103"/>
  <c r="AW9" i="103"/>
  <c r="AY10" i="103" l="1"/>
  <c r="AZ4" i="103" s="1"/>
  <c r="C55" i="10" s="1"/>
  <c r="AE10" i="103"/>
  <c r="AX18" i="102"/>
  <c r="AY18" i="102" s="1"/>
  <c r="AU18" i="102"/>
  <c r="AW18" i="102" s="1"/>
  <c r="AR18" i="102"/>
  <c r="AT18" i="102" s="1"/>
  <c r="AO18" i="102"/>
  <c r="AQ18" i="102" s="1"/>
  <c r="AL18" i="102"/>
  <c r="AN18" i="102" s="1"/>
  <c r="AI18" i="102"/>
  <c r="AK18" i="102" s="1"/>
  <c r="AF18" i="102"/>
  <c r="AH18" i="102" s="1"/>
  <c r="AD18" i="102"/>
  <c r="AE18" i="102" s="1"/>
  <c r="AA18" i="102"/>
  <c r="AC18" i="102" s="1"/>
  <c r="X18" i="102"/>
  <c r="Z18" i="102" s="1"/>
  <c r="U18" i="102"/>
  <c r="W18" i="102" s="1"/>
  <c r="R18" i="102"/>
  <c r="T18" i="102" s="1"/>
  <c r="O18" i="102"/>
  <c r="Q18" i="102" s="1"/>
  <c r="L18" i="102"/>
  <c r="N18" i="102" s="1"/>
  <c r="AX16" i="102"/>
  <c r="AU16" i="102"/>
  <c r="AW16" i="102" s="1"/>
  <c r="AR16" i="102"/>
  <c r="AT16" i="102" s="1"/>
  <c r="AQ16" i="102"/>
  <c r="AO16" i="102"/>
  <c r="AL16" i="102"/>
  <c r="AN16" i="102" s="1"/>
  <c r="AI16" i="102"/>
  <c r="AK16" i="102" s="1"/>
  <c r="AF16" i="102"/>
  <c r="AH16" i="102" s="1"/>
  <c r="AE16" i="102"/>
  <c r="AD16" i="102"/>
  <c r="AA16" i="102"/>
  <c r="AC16" i="102" s="1"/>
  <c r="X16" i="102"/>
  <c r="Z16" i="102" s="1"/>
  <c r="U16" i="102"/>
  <c r="W16" i="102" s="1"/>
  <c r="T16" i="102"/>
  <c r="R16" i="102"/>
  <c r="O16" i="102"/>
  <c r="Q16" i="102" s="1"/>
  <c r="L16" i="102"/>
  <c r="N16" i="102" s="1"/>
  <c r="AX15" i="102"/>
  <c r="AU15" i="102"/>
  <c r="AW15" i="102" s="1"/>
  <c r="AR15" i="102"/>
  <c r="AT15" i="102" s="1"/>
  <c r="AO15" i="102"/>
  <c r="AQ15" i="102" s="1"/>
  <c r="AL15" i="102"/>
  <c r="AN15" i="102" s="1"/>
  <c r="AI15" i="102"/>
  <c r="AK15" i="102" s="1"/>
  <c r="AF15" i="102"/>
  <c r="AH15" i="102" s="1"/>
  <c r="AD15" i="102"/>
  <c r="AE15" i="102" s="1"/>
  <c r="AA15" i="102"/>
  <c r="AC15" i="102" s="1"/>
  <c r="X15" i="102"/>
  <c r="Z15" i="102" s="1"/>
  <c r="U15" i="102"/>
  <c r="W15" i="102" s="1"/>
  <c r="R15" i="102"/>
  <c r="T15" i="102" s="1"/>
  <c r="O15" i="102"/>
  <c r="Q15" i="102" s="1"/>
  <c r="L15" i="102"/>
  <c r="N15" i="102" s="1"/>
  <c r="AX13" i="102"/>
  <c r="AY13" i="102" s="1"/>
  <c r="AU13" i="102"/>
  <c r="AW13" i="102" s="1"/>
  <c r="AR13" i="102"/>
  <c r="AT13" i="102" s="1"/>
  <c r="AO13" i="102"/>
  <c r="AQ13" i="102" s="1"/>
  <c r="AL13" i="102"/>
  <c r="AN13" i="102" s="1"/>
  <c r="AI13" i="102"/>
  <c r="AK13" i="102" s="1"/>
  <c r="AF13" i="102"/>
  <c r="AH13" i="102" s="1"/>
  <c r="AD13" i="102"/>
  <c r="AE13" i="102" s="1"/>
  <c r="AA13" i="102"/>
  <c r="AC13" i="102" s="1"/>
  <c r="X13" i="102"/>
  <c r="Z13" i="102" s="1"/>
  <c r="U13" i="102"/>
  <c r="W13" i="102" s="1"/>
  <c r="R13" i="102"/>
  <c r="T13" i="102" s="1"/>
  <c r="O13" i="102"/>
  <c r="Q13" i="102" s="1"/>
  <c r="L13" i="102"/>
  <c r="N13" i="102" s="1"/>
  <c r="AX12" i="102"/>
  <c r="AY12" i="102" s="1"/>
  <c r="AU12" i="102"/>
  <c r="AW12" i="102" s="1"/>
  <c r="AR12" i="102"/>
  <c r="AT12" i="102" s="1"/>
  <c r="AO12" i="102"/>
  <c r="AQ12" i="102" s="1"/>
  <c r="AL12" i="102"/>
  <c r="AN12" i="102" s="1"/>
  <c r="AI12" i="102"/>
  <c r="AK12" i="102" s="1"/>
  <c r="AF12" i="102"/>
  <c r="AH12" i="102" s="1"/>
  <c r="AD12" i="102"/>
  <c r="AE12" i="102" s="1"/>
  <c r="AA12" i="102"/>
  <c r="AC12" i="102" s="1"/>
  <c r="X12" i="102"/>
  <c r="Z12" i="102" s="1"/>
  <c r="U12" i="102"/>
  <c r="W12" i="102" s="1"/>
  <c r="R12" i="102"/>
  <c r="T12" i="102" s="1"/>
  <c r="O12" i="102"/>
  <c r="Q12" i="102" s="1"/>
  <c r="L12" i="102"/>
  <c r="N12" i="102" s="1"/>
  <c r="AX11" i="102"/>
  <c r="AY11" i="102" s="1"/>
  <c r="AU11" i="102"/>
  <c r="AW11" i="102" s="1"/>
  <c r="AR11" i="102"/>
  <c r="AT11" i="102" s="1"/>
  <c r="AO11" i="102"/>
  <c r="AQ11" i="102" s="1"/>
  <c r="AL11" i="102"/>
  <c r="AN11" i="102" s="1"/>
  <c r="AI11" i="102"/>
  <c r="AK11" i="102" s="1"/>
  <c r="AF11" i="102"/>
  <c r="AH11" i="102" s="1"/>
  <c r="AD11" i="102"/>
  <c r="AE11" i="102" s="1"/>
  <c r="AA11" i="102"/>
  <c r="AC11" i="102" s="1"/>
  <c r="X11" i="102"/>
  <c r="Z11" i="102" s="1"/>
  <c r="U11" i="102"/>
  <c r="W11" i="102" s="1"/>
  <c r="R11" i="102"/>
  <c r="T11" i="102" s="1"/>
  <c r="O11" i="102"/>
  <c r="Q11" i="102" s="1"/>
  <c r="L11" i="102"/>
  <c r="N11" i="102" s="1"/>
  <c r="AX10" i="102"/>
  <c r="AY10" i="102" s="1"/>
  <c r="AW10" i="102"/>
  <c r="AT10" i="102"/>
  <c r="AQ10" i="102"/>
  <c r="AN10" i="102"/>
  <c r="AK10" i="102"/>
  <c r="AH10" i="102"/>
  <c r="AD10" i="102"/>
  <c r="AE10" i="102" s="1"/>
  <c r="AC10" i="102"/>
  <c r="Z10" i="102"/>
  <c r="W10" i="102"/>
  <c r="T10" i="102"/>
  <c r="O10" i="102"/>
  <c r="Q10" i="102" s="1"/>
  <c r="L10" i="102"/>
  <c r="N10" i="102" s="1"/>
  <c r="AY9" i="102"/>
  <c r="AZ4" i="102" s="1"/>
  <c r="C54" i="10" s="1"/>
  <c r="AV9" i="102"/>
  <c r="AU9" i="102"/>
  <c r="AS9" i="102"/>
  <c r="AR9" i="102"/>
  <c r="AP9" i="102"/>
  <c r="AQ9" i="102" s="1"/>
  <c r="AO9" i="102"/>
  <c r="AM9" i="102"/>
  <c r="AL9" i="102"/>
  <c r="AJ9" i="102"/>
  <c r="AI9" i="102"/>
  <c r="AG9" i="102"/>
  <c r="AH9" i="102" s="1"/>
  <c r="AF9" i="102"/>
  <c r="AB9" i="102"/>
  <c r="AA9" i="102"/>
  <c r="AC9" i="102" s="1"/>
  <c r="Y9" i="102"/>
  <c r="X9" i="102"/>
  <c r="V9" i="102"/>
  <c r="U9" i="102"/>
  <c r="W9" i="102" s="1"/>
  <c r="S9" i="102"/>
  <c r="R9" i="102"/>
  <c r="P9" i="102"/>
  <c r="O9" i="102"/>
  <c r="Q9" i="102" s="1"/>
  <c r="M9" i="102"/>
  <c r="N9" i="102" s="1"/>
  <c r="L9" i="102"/>
  <c r="AK9" i="102" l="1"/>
  <c r="AT9" i="102"/>
  <c r="AW9" i="102"/>
  <c r="AN9" i="102"/>
  <c r="AD9" i="102"/>
  <c r="AE9" i="102" s="1"/>
  <c r="Z9" i="102"/>
  <c r="T9" i="102"/>
  <c r="AX39" i="101"/>
  <c r="AY39" i="101" s="1"/>
  <c r="AW39" i="101"/>
  <c r="AT39" i="101"/>
  <c r="AQ39" i="101"/>
  <c r="AN39" i="101"/>
  <c r="AK39" i="101"/>
  <c r="AH39" i="101"/>
  <c r="AD39" i="101"/>
  <c r="AE39" i="101" s="1"/>
  <c r="AC39" i="101"/>
  <c r="Z39" i="101"/>
  <c r="W39" i="101"/>
  <c r="T39" i="101"/>
  <c r="Q39" i="101"/>
  <c r="N39" i="101"/>
  <c r="AX37" i="101"/>
  <c r="AY37" i="101" s="1"/>
  <c r="AW37" i="101"/>
  <c r="AT37" i="101"/>
  <c r="AQ37" i="101"/>
  <c r="AN37" i="101"/>
  <c r="AK37" i="101"/>
  <c r="AH37" i="101"/>
  <c r="AD37" i="101"/>
  <c r="AE37" i="101" s="1"/>
  <c r="AC37" i="101"/>
  <c r="Z37" i="101"/>
  <c r="W37" i="101"/>
  <c r="T37" i="101"/>
  <c r="Q37" i="101"/>
  <c r="N37" i="101"/>
  <c r="AX36" i="101"/>
  <c r="AY36" i="101" s="1"/>
  <c r="AW36" i="101"/>
  <c r="AT36" i="101"/>
  <c r="AQ36" i="101"/>
  <c r="AN36" i="101"/>
  <c r="AK36" i="101"/>
  <c r="AH36" i="101"/>
  <c r="AD36" i="101"/>
  <c r="AE36" i="101" s="1"/>
  <c r="AC36" i="101"/>
  <c r="Z36" i="101"/>
  <c r="W36" i="101"/>
  <c r="T36" i="101"/>
  <c r="Q36" i="101"/>
  <c r="N36" i="101"/>
  <c r="AX35" i="101"/>
  <c r="AY35" i="101" s="1"/>
  <c r="AW35" i="101"/>
  <c r="AT35" i="101"/>
  <c r="AQ35" i="101"/>
  <c r="AN35" i="101"/>
  <c r="AK35" i="101"/>
  <c r="AH35" i="101"/>
  <c r="AD35" i="101"/>
  <c r="AE35" i="101" s="1"/>
  <c r="AC35" i="101"/>
  <c r="Z35" i="101"/>
  <c r="W35" i="101"/>
  <c r="T35" i="101"/>
  <c r="Q35" i="101"/>
  <c r="N35" i="101"/>
  <c r="AX33" i="101"/>
  <c r="AY33" i="101" s="1"/>
  <c r="AW33" i="101"/>
  <c r="AT33" i="101"/>
  <c r="AQ33" i="101"/>
  <c r="AN33" i="101"/>
  <c r="AK33" i="101"/>
  <c r="AH33" i="101"/>
  <c r="AD33" i="101"/>
  <c r="AE33" i="101" s="1"/>
  <c r="AC33" i="101"/>
  <c r="Z33" i="101"/>
  <c r="W33" i="101"/>
  <c r="T33" i="101"/>
  <c r="Q33" i="101"/>
  <c r="N33" i="101"/>
  <c r="AX32" i="101"/>
  <c r="AW32" i="101"/>
  <c r="AT32" i="101"/>
  <c r="AQ32" i="101"/>
  <c r="AN32" i="101"/>
  <c r="AK32" i="101"/>
  <c r="AH32" i="101"/>
  <c r="AE32" i="101"/>
  <c r="AD32" i="101"/>
  <c r="AC32" i="101"/>
  <c r="Z32" i="101"/>
  <c r="W32" i="101"/>
  <c r="T32" i="101"/>
  <c r="Q32" i="101"/>
  <c r="N32" i="101"/>
  <c r="AY31" i="101"/>
  <c r="AX31" i="101"/>
  <c r="AW31" i="101"/>
  <c r="AT31" i="101"/>
  <c r="AQ31" i="101"/>
  <c r="AN31" i="101"/>
  <c r="AK31" i="101"/>
  <c r="AH31" i="101"/>
  <c r="AE31" i="101"/>
  <c r="AD31" i="101"/>
  <c r="AC31" i="101"/>
  <c r="Z31" i="101"/>
  <c r="W31" i="101"/>
  <c r="T31" i="101"/>
  <c r="Q31" i="101"/>
  <c r="N31" i="101"/>
  <c r="AY30" i="101"/>
  <c r="AX30" i="101"/>
  <c r="AW30" i="101"/>
  <c r="AT30" i="101"/>
  <c r="AQ30" i="101"/>
  <c r="AN30" i="101"/>
  <c r="AK30" i="101"/>
  <c r="AH30" i="101"/>
  <c r="AE30" i="101"/>
  <c r="AD30" i="101"/>
  <c r="AC30" i="101"/>
  <c r="Z30" i="101"/>
  <c r="W30" i="101"/>
  <c r="T30" i="101"/>
  <c r="Q30" i="101"/>
  <c r="N30" i="101"/>
  <c r="AY29" i="101"/>
  <c r="AX29" i="101"/>
  <c r="AW29" i="101"/>
  <c r="AT29" i="101"/>
  <c r="AQ29" i="101"/>
  <c r="AN29" i="101"/>
  <c r="AK29" i="101"/>
  <c r="AH29" i="101"/>
  <c r="AE29" i="101"/>
  <c r="AD29" i="101"/>
  <c r="AC29" i="101"/>
  <c r="Z29" i="101"/>
  <c r="W29" i="101"/>
  <c r="T29" i="101"/>
  <c r="Q29" i="101"/>
  <c r="N29" i="101"/>
  <c r="AX28" i="101"/>
  <c r="AW28" i="101"/>
  <c r="AT28" i="101"/>
  <c r="AQ28" i="101"/>
  <c r="AN28" i="101"/>
  <c r="AK28" i="101"/>
  <c r="AH28" i="101"/>
  <c r="AD28" i="101"/>
  <c r="AE28" i="101" s="1"/>
  <c r="AC28" i="101"/>
  <c r="Z28" i="101"/>
  <c r="W28" i="101"/>
  <c r="T28" i="101"/>
  <c r="Q28" i="101"/>
  <c r="N28" i="101"/>
  <c r="AX27" i="101"/>
  <c r="AY27" i="101" s="1"/>
  <c r="AW27" i="101"/>
  <c r="AT27" i="101"/>
  <c r="AQ27" i="101"/>
  <c r="AN27" i="101"/>
  <c r="AK27" i="101"/>
  <c r="AH27" i="101"/>
  <c r="AD27" i="101"/>
  <c r="AE27" i="101" s="1"/>
  <c r="AC27" i="101"/>
  <c r="Z27" i="101"/>
  <c r="W27" i="101"/>
  <c r="T27" i="101"/>
  <c r="Q27" i="101"/>
  <c r="N27" i="101"/>
  <c r="AX26" i="101"/>
  <c r="AY26" i="101" s="1"/>
  <c r="AW26" i="101"/>
  <c r="AT26" i="101"/>
  <c r="AQ26" i="101"/>
  <c r="AN26" i="101"/>
  <c r="AK26" i="101"/>
  <c r="AH26" i="101"/>
  <c r="AD26" i="101"/>
  <c r="AE26" i="101" s="1"/>
  <c r="AC26" i="101"/>
  <c r="Z26" i="101"/>
  <c r="W26" i="101"/>
  <c r="T26" i="101"/>
  <c r="Q26" i="101"/>
  <c r="N26" i="101"/>
  <c r="AX25" i="101"/>
  <c r="AY25" i="101" s="1"/>
  <c r="AW25" i="101"/>
  <c r="AT25" i="101"/>
  <c r="AQ25" i="101"/>
  <c r="AN25" i="101"/>
  <c r="AK25" i="101"/>
  <c r="AH25" i="101"/>
  <c r="AD25" i="101"/>
  <c r="AE25" i="101" s="1"/>
  <c r="AC25" i="101"/>
  <c r="Z25" i="101"/>
  <c r="W25" i="101"/>
  <c r="T25" i="101"/>
  <c r="Q25" i="101"/>
  <c r="N25" i="101"/>
  <c r="AX24" i="101"/>
  <c r="AY24" i="101" s="1"/>
  <c r="AW24" i="101"/>
  <c r="AT24" i="101"/>
  <c r="AQ24" i="101"/>
  <c r="AN24" i="101"/>
  <c r="AK24" i="101"/>
  <c r="AH24" i="101"/>
  <c r="AD24" i="101"/>
  <c r="AE24" i="101" s="1"/>
  <c r="AC24" i="101"/>
  <c r="Z24" i="101"/>
  <c r="W24" i="101"/>
  <c r="T24" i="101"/>
  <c r="Q24" i="101"/>
  <c r="N24" i="101"/>
  <c r="AX23" i="101"/>
  <c r="AW23" i="101"/>
  <c r="AT23" i="101"/>
  <c r="AQ23" i="101"/>
  <c r="AN23" i="101"/>
  <c r="AK23" i="101"/>
  <c r="AH23" i="101"/>
  <c r="AE23" i="101"/>
  <c r="AD23" i="101"/>
  <c r="AC23" i="101"/>
  <c r="Z23" i="101"/>
  <c r="W23" i="101"/>
  <c r="T23" i="101"/>
  <c r="Q23" i="101"/>
  <c r="N23" i="101"/>
  <c r="AX22" i="101"/>
  <c r="AW22" i="101"/>
  <c r="AT22" i="101"/>
  <c r="AQ22" i="101"/>
  <c r="AN22" i="101"/>
  <c r="AK22" i="101"/>
  <c r="AH22" i="101"/>
  <c r="AD22" i="101"/>
  <c r="AE22" i="101" s="1"/>
  <c r="AC22" i="101"/>
  <c r="Z22" i="101"/>
  <c r="W22" i="101"/>
  <c r="T22" i="101"/>
  <c r="Q22" i="101"/>
  <c r="N22" i="101"/>
  <c r="AX21" i="101"/>
  <c r="AY21" i="101" s="1"/>
  <c r="AW21" i="101"/>
  <c r="AT21" i="101"/>
  <c r="AQ21" i="101"/>
  <c r="AN21" i="101"/>
  <c r="AK21" i="101"/>
  <c r="AH21" i="101"/>
  <c r="AD21" i="101"/>
  <c r="AE21" i="101" s="1"/>
  <c r="AC21" i="101"/>
  <c r="Z21" i="101"/>
  <c r="W21" i="101"/>
  <c r="T21" i="101"/>
  <c r="Q21" i="101"/>
  <c r="N21" i="101"/>
  <c r="AX20" i="101"/>
  <c r="AY20" i="101" s="1"/>
  <c r="AW20" i="101"/>
  <c r="AT20" i="101"/>
  <c r="AQ20" i="101"/>
  <c r="AN20" i="101"/>
  <c r="AK20" i="101"/>
  <c r="AH20" i="101"/>
  <c r="AD20" i="101"/>
  <c r="AE20" i="101" s="1"/>
  <c r="AC20" i="101"/>
  <c r="Z20" i="101"/>
  <c r="W20" i="101"/>
  <c r="T20" i="101"/>
  <c r="Q20" i="101"/>
  <c r="N20" i="101"/>
  <c r="AX19" i="101"/>
  <c r="AY19" i="101" s="1"/>
  <c r="AW19" i="101"/>
  <c r="AT19" i="101"/>
  <c r="AQ19" i="101"/>
  <c r="AN19" i="101"/>
  <c r="AK19" i="101"/>
  <c r="AH19" i="101"/>
  <c r="AD19" i="101"/>
  <c r="AE19" i="101" s="1"/>
  <c r="AC19" i="101"/>
  <c r="Z19" i="101"/>
  <c r="W19" i="101"/>
  <c r="T19" i="101"/>
  <c r="Q19" i="101"/>
  <c r="N19" i="101"/>
  <c r="AX18" i="101"/>
  <c r="AY18" i="101" s="1"/>
  <c r="AW18" i="101"/>
  <c r="AT18" i="101"/>
  <c r="AQ18" i="101"/>
  <c r="AN18" i="101"/>
  <c r="AK18" i="101"/>
  <c r="AH18" i="101"/>
  <c r="AD18" i="101"/>
  <c r="AE18" i="101" s="1"/>
  <c r="AC18" i="101"/>
  <c r="Z18" i="101"/>
  <c r="W18" i="101"/>
  <c r="T18" i="101"/>
  <c r="Q18" i="101"/>
  <c r="N18" i="101"/>
  <c r="AX17" i="101"/>
  <c r="AY17" i="101" s="1"/>
  <c r="AW17" i="101"/>
  <c r="AT17" i="101"/>
  <c r="AQ17" i="101"/>
  <c r="AN17" i="101"/>
  <c r="AK17" i="101"/>
  <c r="AH17" i="101"/>
  <c r="AD17" i="101"/>
  <c r="AE17" i="101" s="1"/>
  <c r="AC17" i="101"/>
  <c r="Z17" i="101"/>
  <c r="W17" i="101"/>
  <c r="T17" i="101"/>
  <c r="Q17" i="101"/>
  <c r="N17" i="101"/>
  <c r="AX16" i="101"/>
  <c r="AY16" i="101" s="1"/>
  <c r="AW16" i="101"/>
  <c r="AT16" i="101"/>
  <c r="AQ16" i="101"/>
  <c r="AN16" i="101"/>
  <c r="AK16" i="101"/>
  <c r="AH16" i="101"/>
  <c r="AD16" i="101"/>
  <c r="AE16" i="101" s="1"/>
  <c r="AC16" i="101"/>
  <c r="Z16" i="101"/>
  <c r="W16" i="101"/>
  <c r="T16" i="101"/>
  <c r="Q16" i="101"/>
  <c r="N16" i="101"/>
  <c r="AX15" i="101"/>
  <c r="AY15" i="101" s="1"/>
  <c r="AW15" i="101"/>
  <c r="AT15" i="101"/>
  <c r="AQ15" i="101"/>
  <c r="AN15" i="101"/>
  <c r="AK15" i="101"/>
  <c r="AH15" i="101"/>
  <c r="AD15" i="101"/>
  <c r="AE15" i="101" s="1"/>
  <c r="AC15" i="101"/>
  <c r="Z15" i="101"/>
  <c r="W15" i="101"/>
  <c r="T15" i="101"/>
  <c r="Q15" i="101"/>
  <c r="N15" i="101"/>
  <c r="AX14" i="101"/>
  <c r="AY14" i="101" s="1"/>
  <c r="AW14" i="101"/>
  <c r="AT14" i="101"/>
  <c r="AQ14" i="101"/>
  <c r="AN14" i="101"/>
  <c r="AK14" i="101"/>
  <c r="AH14" i="101"/>
  <c r="AD14" i="101"/>
  <c r="AE14" i="101" s="1"/>
  <c r="AC14" i="101"/>
  <c r="Z14" i="101"/>
  <c r="W14" i="101"/>
  <c r="T14" i="101"/>
  <c r="Q14" i="101"/>
  <c r="N14" i="101"/>
  <c r="AX13" i="101"/>
  <c r="AY13" i="101" s="1"/>
  <c r="AW13" i="101"/>
  <c r="AT13" i="101"/>
  <c r="AQ13" i="101"/>
  <c r="AN13" i="101"/>
  <c r="AK13" i="101"/>
  <c r="AH13" i="101"/>
  <c r="AD13" i="101"/>
  <c r="AE13" i="101" s="1"/>
  <c r="AC13" i="101"/>
  <c r="Z13" i="101"/>
  <c r="W13" i="101"/>
  <c r="T13" i="101"/>
  <c r="Q13" i="101"/>
  <c r="N13" i="101"/>
  <c r="AX12" i="101"/>
  <c r="AY12" i="101" s="1"/>
  <c r="AW12" i="101"/>
  <c r="AT12" i="101"/>
  <c r="AQ12" i="101"/>
  <c r="AN12" i="101"/>
  <c r="AK12" i="101"/>
  <c r="AH12" i="101"/>
  <c r="AD12" i="101"/>
  <c r="AE12" i="101" s="1"/>
  <c r="AC12" i="101"/>
  <c r="Z12" i="101"/>
  <c r="W12" i="101"/>
  <c r="T12" i="101"/>
  <c r="Q12" i="101"/>
  <c r="N12" i="101"/>
  <c r="AY11" i="101"/>
  <c r="AW11" i="101"/>
  <c r="AT11" i="101"/>
  <c r="AQ11" i="101"/>
  <c r="AN11" i="101"/>
  <c r="AK11" i="101"/>
  <c r="AH11" i="101"/>
  <c r="AD11" i="101"/>
  <c r="AE11" i="101" s="1"/>
  <c r="AC11" i="101"/>
  <c r="Z11" i="101"/>
  <c r="W11" i="101"/>
  <c r="T11" i="101"/>
  <c r="Q11" i="101"/>
  <c r="N11" i="101"/>
  <c r="AX10" i="101"/>
  <c r="AY10" i="101" s="1"/>
  <c r="AW10" i="101"/>
  <c r="AT10" i="101"/>
  <c r="AQ10" i="101"/>
  <c r="AN10" i="101"/>
  <c r="AK10" i="101"/>
  <c r="AH10" i="101"/>
  <c r="AD10" i="101"/>
  <c r="AE10" i="101" s="1"/>
  <c r="AC10" i="101"/>
  <c r="Z10" i="101"/>
  <c r="W10" i="101"/>
  <c r="T10" i="101"/>
  <c r="Q10" i="101"/>
  <c r="N10" i="101"/>
  <c r="AX9" i="101"/>
  <c r="AW9" i="101"/>
  <c r="AT9" i="101"/>
  <c r="AQ9" i="101"/>
  <c r="AN9" i="101"/>
  <c r="AK9" i="101"/>
  <c r="AH9" i="101"/>
  <c r="AD9" i="101"/>
  <c r="AC9" i="101"/>
  <c r="Z9" i="101"/>
  <c r="W9" i="101"/>
  <c r="T9" i="101"/>
  <c r="Q9" i="101"/>
  <c r="N9" i="101"/>
  <c r="G9" i="101"/>
  <c r="AY9" i="101" s="1"/>
  <c r="AZ4" i="101" l="1"/>
  <c r="C50" i="10" s="1"/>
  <c r="AE9" i="101"/>
  <c r="AX33" i="100" l="1"/>
  <c r="AW33" i="100"/>
  <c r="AT33" i="100"/>
  <c r="AQ33" i="100"/>
  <c r="AN33" i="100"/>
  <c r="AK33" i="100"/>
  <c r="AH33" i="100"/>
  <c r="AD33" i="100"/>
  <c r="AC33" i="100"/>
  <c r="Z33" i="100"/>
  <c r="W33" i="100"/>
  <c r="T33" i="100"/>
  <c r="Q33" i="100"/>
  <c r="N33" i="100"/>
  <c r="G33" i="100"/>
  <c r="AE33" i="100" s="1"/>
  <c r="AX31" i="100"/>
  <c r="AY31" i="100" s="1"/>
  <c r="AW31" i="100"/>
  <c r="AT31" i="100"/>
  <c r="AQ31" i="100"/>
  <c r="AN31" i="100"/>
  <c r="AK31" i="100"/>
  <c r="AH31" i="100"/>
  <c r="AD31" i="100"/>
  <c r="AE31" i="100" s="1"/>
  <c r="AC31" i="100"/>
  <c r="Z31" i="100"/>
  <c r="W31" i="100"/>
  <c r="T31" i="100"/>
  <c r="Q31" i="100"/>
  <c r="N31" i="100"/>
  <c r="AX30" i="100"/>
  <c r="AY30" i="100" s="1"/>
  <c r="AW30" i="100"/>
  <c r="AT30" i="100"/>
  <c r="AQ30" i="100"/>
  <c r="AN30" i="100"/>
  <c r="AK30" i="100"/>
  <c r="AH30" i="100"/>
  <c r="AD30" i="100"/>
  <c r="AE30" i="100" s="1"/>
  <c r="AC30" i="100"/>
  <c r="Z30" i="100"/>
  <c r="W30" i="100"/>
  <c r="T30" i="100"/>
  <c r="Q30" i="100"/>
  <c r="N30" i="100"/>
  <c r="AX29" i="100"/>
  <c r="AW29" i="100"/>
  <c r="AT29" i="100"/>
  <c r="AQ29" i="100"/>
  <c r="AN29" i="100"/>
  <c r="AK29" i="100"/>
  <c r="AH29" i="100"/>
  <c r="AD29" i="100"/>
  <c r="AC29" i="100"/>
  <c r="Z29" i="100"/>
  <c r="W29" i="100"/>
  <c r="T29" i="100"/>
  <c r="Q29" i="100"/>
  <c r="N29" i="100"/>
  <c r="G29" i="100"/>
  <c r="AY29" i="100" s="1"/>
  <c r="AX27" i="100"/>
  <c r="AW27" i="100"/>
  <c r="AT27" i="100"/>
  <c r="AQ27" i="100"/>
  <c r="AN27" i="100"/>
  <c r="AK27" i="100"/>
  <c r="AH27" i="100"/>
  <c r="AD27" i="100"/>
  <c r="AC27" i="100"/>
  <c r="Z27" i="100"/>
  <c r="W27" i="100"/>
  <c r="T27" i="100"/>
  <c r="Q27" i="100"/>
  <c r="N27" i="100"/>
  <c r="G27" i="100"/>
  <c r="AX26" i="100"/>
  <c r="AY26" i="100" s="1"/>
  <c r="AW26" i="100"/>
  <c r="AT26" i="100"/>
  <c r="AQ26" i="100"/>
  <c r="AN26" i="100"/>
  <c r="AK26" i="100"/>
  <c r="AH26" i="100"/>
  <c r="AD26" i="100"/>
  <c r="AE26" i="100" s="1"/>
  <c r="AC26" i="100"/>
  <c r="Z26" i="100"/>
  <c r="W26" i="100"/>
  <c r="T26" i="100"/>
  <c r="Q26" i="100"/>
  <c r="N26" i="100"/>
  <c r="AX25" i="100"/>
  <c r="AY25" i="100" s="1"/>
  <c r="AW25" i="100"/>
  <c r="AT25" i="100"/>
  <c r="AQ25" i="100"/>
  <c r="AN25" i="100"/>
  <c r="AK25" i="100"/>
  <c r="AH25" i="100"/>
  <c r="AD25" i="100"/>
  <c r="AE25" i="100" s="1"/>
  <c r="AC25" i="100"/>
  <c r="Z25" i="100"/>
  <c r="W25" i="100"/>
  <c r="T25" i="100"/>
  <c r="Q25" i="100"/>
  <c r="N25" i="100"/>
  <c r="AX24" i="100"/>
  <c r="AY24" i="100" s="1"/>
  <c r="AW24" i="100"/>
  <c r="AT24" i="100"/>
  <c r="AQ24" i="100"/>
  <c r="AN24" i="100"/>
  <c r="AK24" i="100"/>
  <c r="AH24" i="100"/>
  <c r="AD24" i="100"/>
  <c r="AE24" i="100" s="1"/>
  <c r="AC24" i="100"/>
  <c r="Z24" i="100"/>
  <c r="W24" i="100"/>
  <c r="T24" i="100"/>
  <c r="Q24" i="100"/>
  <c r="N24" i="100"/>
  <c r="AX23" i="100"/>
  <c r="AY23" i="100" s="1"/>
  <c r="AW23" i="100"/>
  <c r="AT23" i="100"/>
  <c r="AQ23" i="100"/>
  <c r="AN23" i="100"/>
  <c r="AK23" i="100"/>
  <c r="AH23" i="100"/>
  <c r="AD23" i="100"/>
  <c r="AE23" i="100" s="1"/>
  <c r="AC23" i="100"/>
  <c r="Z23" i="100"/>
  <c r="W23" i="100"/>
  <c r="T23" i="100"/>
  <c r="Q23" i="100"/>
  <c r="N23" i="100"/>
  <c r="AX22" i="100"/>
  <c r="AY22" i="100" s="1"/>
  <c r="AW22" i="100"/>
  <c r="AT22" i="100"/>
  <c r="AQ22" i="100"/>
  <c r="AN22" i="100"/>
  <c r="AK22" i="100"/>
  <c r="AH22" i="100"/>
  <c r="AD22" i="100"/>
  <c r="AE22" i="100" s="1"/>
  <c r="AC22" i="100"/>
  <c r="Z22" i="100"/>
  <c r="W22" i="100"/>
  <c r="T22" i="100"/>
  <c r="Q22" i="100"/>
  <c r="N22" i="100"/>
  <c r="AX21" i="100"/>
  <c r="AY21" i="100" s="1"/>
  <c r="AW21" i="100"/>
  <c r="AT21" i="100"/>
  <c r="AQ21" i="100"/>
  <c r="AN21" i="100"/>
  <c r="AK21" i="100"/>
  <c r="AH21" i="100"/>
  <c r="AD21" i="100"/>
  <c r="AE21" i="100" s="1"/>
  <c r="AC21" i="100"/>
  <c r="Z21" i="100"/>
  <c r="W21" i="100"/>
  <c r="T21" i="100"/>
  <c r="Q21" i="100"/>
  <c r="N21" i="100"/>
  <c r="AX20" i="100"/>
  <c r="AY20" i="100" s="1"/>
  <c r="AW20" i="100"/>
  <c r="AT20" i="100"/>
  <c r="AQ20" i="100"/>
  <c r="AN20" i="100"/>
  <c r="AK20" i="100"/>
  <c r="AH20" i="100"/>
  <c r="AD20" i="100"/>
  <c r="AE20" i="100" s="1"/>
  <c r="AC20" i="100"/>
  <c r="Z20" i="100"/>
  <c r="W20" i="100"/>
  <c r="T20" i="100"/>
  <c r="Q20" i="100"/>
  <c r="N20" i="100"/>
  <c r="AX19" i="100"/>
  <c r="AW19" i="100"/>
  <c r="AT19" i="100"/>
  <c r="AQ19" i="100"/>
  <c r="AN19" i="100"/>
  <c r="AK19" i="100"/>
  <c r="AH19" i="100"/>
  <c r="AD19" i="100"/>
  <c r="AC19" i="100"/>
  <c r="Z19" i="100"/>
  <c r="W19" i="100"/>
  <c r="T19" i="100"/>
  <c r="Q19" i="100"/>
  <c r="N19" i="100"/>
  <c r="G19" i="100"/>
  <c r="AY18" i="100"/>
  <c r="AX18" i="100"/>
  <c r="AW18" i="100"/>
  <c r="AT18" i="100"/>
  <c r="AQ18" i="100"/>
  <c r="AN18" i="100"/>
  <c r="AK18" i="100"/>
  <c r="AH18" i="100"/>
  <c r="AE18" i="100"/>
  <c r="AD18" i="100"/>
  <c r="AC18" i="100"/>
  <c r="Z18" i="100"/>
  <c r="W18" i="100"/>
  <c r="T18" i="100"/>
  <c r="Q18" i="100"/>
  <c r="N18" i="100"/>
  <c r="AX17" i="100"/>
  <c r="AY17" i="100" s="1"/>
  <c r="AW17" i="100"/>
  <c r="AT17" i="100"/>
  <c r="AQ17" i="100"/>
  <c r="AN17" i="100"/>
  <c r="AK17" i="100"/>
  <c r="AH17" i="100"/>
  <c r="AD17" i="100"/>
  <c r="AE17" i="100" s="1"/>
  <c r="AC17" i="100"/>
  <c r="Z17" i="100"/>
  <c r="W17" i="100"/>
  <c r="T17" i="100"/>
  <c r="Q17" i="100"/>
  <c r="N17" i="100"/>
  <c r="AX16" i="100"/>
  <c r="AW16" i="100"/>
  <c r="AT16" i="100"/>
  <c r="AQ16" i="100"/>
  <c r="AN16" i="100"/>
  <c r="AK16" i="100"/>
  <c r="AH16" i="100"/>
  <c r="AD16" i="100"/>
  <c r="AC16" i="100"/>
  <c r="Z16" i="100"/>
  <c r="W16" i="100"/>
  <c r="T16" i="100"/>
  <c r="Q16" i="100"/>
  <c r="N16" i="100"/>
  <c r="G16" i="100"/>
  <c r="AX15" i="100"/>
  <c r="AW15" i="100"/>
  <c r="AT15" i="100"/>
  <c r="AQ15" i="100"/>
  <c r="AN15" i="100"/>
  <c r="AK15" i="100"/>
  <c r="AH15" i="100"/>
  <c r="AD15" i="100"/>
  <c r="AC15" i="100"/>
  <c r="Z15" i="100"/>
  <c r="W15" i="100"/>
  <c r="T15" i="100"/>
  <c r="Q15" i="100"/>
  <c r="N15" i="100"/>
  <c r="G15" i="100"/>
  <c r="AX14" i="100"/>
  <c r="AW14" i="100"/>
  <c r="AT14" i="100"/>
  <c r="AQ14" i="100"/>
  <c r="AN14" i="100"/>
  <c r="AK14" i="100"/>
  <c r="AH14" i="100"/>
  <c r="AD14" i="100"/>
  <c r="AC14" i="100"/>
  <c r="Z14" i="100"/>
  <c r="W14" i="100"/>
  <c r="T14" i="100"/>
  <c r="Q14" i="100"/>
  <c r="N14" i="100"/>
  <c r="G14" i="100"/>
  <c r="AX13" i="100"/>
  <c r="AW13" i="100"/>
  <c r="AT13" i="100"/>
  <c r="AQ13" i="100"/>
  <c r="AN13" i="100"/>
  <c r="AK13" i="100"/>
  <c r="AH13" i="100"/>
  <c r="AD13" i="100"/>
  <c r="AE13" i="100" s="1"/>
  <c r="AC13" i="100"/>
  <c r="Z13" i="100"/>
  <c r="W13" i="100"/>
  <c r="T13" i="100"/>
  <c r="Q13" i="100"/>
  <c r="N13" i="100"/>
  <c r="G13" i="100"/>
  <c r="AX12" i="100"/>
  <c r="AW12" i="100"/>
  <c r="AT12" i="100"/>
  <c r="AQ12" i="100"/>
  <c r="AN12" i="100"/>
  <c r="AK12" i="100"/>
  <c r="AH12" i="100"/>
  <c r="AD12" i="100"/>
  <c r="AC12" i="100"/>
  <c r="Z12" i="100"/>
  <c r="W12" i="100"/>
  <c r="T12" i="100"/>
  <c r="Q12" i="100"/>
  <c r="N12" i="100"/>
  <c r="G12" i="100"/>
  <c r="AY11" i="100"/>
  <c r="AW11" i="100"/>
  <c r="AT11" i="100"/>
  <c r="AQ11" i="100"/>
  <c r="AN11" i="100"/>
  <c r="AK11" i="100"/>
  <c r="AH11" i="100"/>
  <c r="AD11" i="100"/>
  <c r="AE11" i="100" s="1"/>
  <c r="AC11" i="100"/>
  <c r="Z11" i="100"/>
  <c r="W11" i="100"/>
  <c r="T11" i="100"/>
  <c r="Q11" i="100"/>
  <c r="N11" i="100"/>
  <c r="AX10" i="100"/>
  <c r="AY10" i="100" s="1"/>
  <c r="AW10" i="100"/>
  <c r="AT10" i="100"/>
  <c r="AQ10" i="100"/>
  <c r="AN10" i="100"/>
  <c r="AK10" i="100"/>
  <c r="AH10" i="100"/>
  <c r="AD10" i="100"/>
  <c r="AE10" i="100" s="1"/>
  <c r="AC10" i="100"/>
  <c r="Z10" i="100"/>
  <c r="W10" i="100"/>
  <c r="T10" i="100"/>
  <c r="Q10" i="100"/>
  <c r="N10" i="100"/>
  <c r="AX9" i="100"/>
  <c r="AW9" i="100"/>
  <c r="AT9" i="100"/>
  <c r="AQ9" i="100"/>
  <c r="AN9" i="100"/>
  <c r="AK9" i="100"/>
  <c r="AH9" i="100"/>
  <c r="AD9" i="100"/>
  <c r="AC9" i="100"/>
  <c r="Z9" i="100"/>
  <c r="W9" i="100"/>
  <c r="T9" i="100"/>
  <c r="Q9" i="100"/>
  <c r="N9" i="100"/>
  <c r="G9" i="100"/>
  <c r="AY9" i="100" s="1"/>
  <c r="AY14" i="100" l="1"/>
  <c r="AE16" i="100"/>
  <c r="AY27" i="100"/>
  <c r="AY13" i="100"/>
  <c r="AE14" i="100"/>
  <c r="AY15" i="100"/>
  <c r="AE12" i="100"/>
  <c r="AY19" i="100"/>
  <c r="AE19" i="100"/>
  <c r="AE9" i="100"/>
  <c r="AY12" i="100"/>
  <c r="AZ4" i="100" s="1"/>
  <c r="C49" i="10" s="1"/>
  <c r="AY16" i="100"/>
  <c r="AY33" i="100"/>
  <c r="AE27" i="100"/>
  <c r="AE15" i="100"/>
  <c r="AE29" i="100"/>
  <c r="AU44" i="99" l="1"/>
  <c r="AV44" i="99" s="1"/>
  <c r="AT44" i="99"/>
  <c r="AQ44" i="99"/>
  <c r="AN44" i="99"/>
  <c r="AK44" i="99"/>
  <c r="AH44" i="99"/>
  <c r="AE44" i="99"/>
  <c r="AA44" i="99"/>
  <c r="AB44" i="99" s="1"/>
  <c r="Z44" i="99"/>
  <c r="W44" i="99"/>
  <c r="T44" i="99"/>
  <c r="Q44" i="99"/>
  <c r="N44" i="99"/>
  <c r="K44" i="99"/>
  <c r="AU42" i="99"/>
  <c r="AV42" i="99" s="1"/>
  <c r="AT42" i="99"/>
  <c r="AQ42" i="99"/>
  <c r="AN42" i="99"/>
  <c r="AK42" i="99"/>
  <c r="AH42" i="99"/>
  <c r="AE42" i="99"/>
  <c r="AA42" i="99"/>
  <c r="AB42" i="99" s="1"/>
  <c r="Z42" i="99"/>
  <c r="W42" i="99"/>
  <c r="T42" i="99"/>
  <c r="Q42" i="99"/>
  <c r="N42" i="99"/>
  <c r="K42" i="99"/>
  <c r="AU41" i="99"/>
  <c r="AV41" i="99" s="1"/>
  <c r="AT41" i="99"/>
  <c r="AQ41" i="99"/>
  <c r="AN41" i="99"/>
  <c r="AK41" i="99"/>
  <c r="AH41" i="99"/>
  <c r="AE41" i="99"/>
  <c r="AA41" i="99"/>
  <c r="AB41" i="99" s="1"/>
  <c r="Z41" i="99"/>
  <c r="W41" i="99"/>
  <c r="T41" i="99"/>
  <c r="Q41" i="99"/>
  <c r="N41" i="99"/>
  <c r="K41" i="99"/>
  <c r="AU40" i="99"/>
  <c r="AT40" i="99"/>
  <c r="AQ40" i="99"/>
  <c r="AN40" i="99"/>
  <c r="AK40" i="99"/>
  <c r="AH40" i="99"/>
  <c r="AE40" i="99"/>
  <c r="AA40" i="99"/>
  <c r="AB40" i="99" s="1"/>
  <c r="Z40" i="99"/>
  <c r="W40" i="99"/>
  <c r="T40" i="99"/>
  <c r="Q40" i="99"/>
  <c r="N40" i="99"/>
  <c r="K40" i="99"/>
  <c r="AU39" i="99"/>
  <c r="AV39" i="99" s="1"/>
  <c r="AT39" i="99"/>
  <c r="AQ39" i="99"/>
  <c r="AN39" i="99"/>
  <c r="AK39" i="99"/>
  <c r="AH39" i="99"/>
  <c r="AE39" i="99"/>
  <c r="AA39" i="99"/>
  <c r="AB39" i="99" s="1"/>
  <c r="Z39" i="99"/>
  <c r="W39" i="99"/>
  <c r="T39" i="99"/>
  <c r="Q39" i="99"/>
  <c r="N39" i="99"/>
  <c r="K39" i="99"/>
  <c r="AU38" i="99"/>
  <c r="AV38" i="99" s="1"/>
  <c r="AT38" i="99"/>
  <c r="AQ38" i="99"/>
  <c r="AN38" i="99"/>
  <c r="AK38" i="99"/>
  <c r="AH38" i="99"/>
  <c r="AE38" i="99"/>
  <c r="AA38" i="99"/>
  <c r="AB38" i="99" s="1"/>
  <c r="Z38" i="99"/>
  <c r="W38" i="99"/>
  <c r="T38" i="99"/>
  <c r="Q38" i="99"/>
  <c r="N38" i="99"/>
  <c r="K38" i="99"/>
  <c r="AU36" i="99"/>
  <c r="AV36" i="99" s="1"/>
  <c r="AT36" i="99"/>
  <c r="AQ36" i="99"/>
  <c r="AN36" i="99"/>
  <c r="AK36" i="99"/>
  <c r="AH36" i="99"/>
  <c r="AE36" i="99"/>
  <c r="AA36" i="99"/>
  <c r="AB36" i="99" s="1"/>
  <c r="Z36" i="99"/>
  <c r="W36" i="99"/>
  <c r="T36" i="99"/>
  <c r="Q36" i="99"/>
  <c r="N36" i="99"/>
  <c r="K36" i="99"/>
  <c r="AU35" i="99"/>
  <c r="AV35" i="99" s="1"/>
  <c r="AT35" i="99"/>
  <c r="AQ35" i="99"/>
  <c r="AN35" i="99"/>
  <c r="AK35" i="99"/>
  <c r="AH35" i="99"/>
  <c r="AE35" i="99"/>
  <c r="AA35" i="99"/>
  <c r="AB35" i="99" s="1"/>
  <c r="Z35" i="99"/>
  <c r="W35" i="99"/>
  <c r="T35" i="99"/>
  <c r="Q35" i="99"/>
  <c r="N35" i="99"/>
  <c r="K35" i="99"/>
  <c r="AV34" i="99"/>
  <c r="AT34" i="99"/>
  <c r="AQ34" i="99"/>
  <c r="AN34" i="99"/>
  <c r="AK34" i="99"/>
  <c r="AH34" i="99"/>
  <c r="AE34" i="99"/>
  <c r="AA34" i="99"/>
  <c r="AB34" i="99" s="1"/>
  <c r="Z34" i="99"/>
  <c r="W34" i="99"/>
  <c r="T34" i="99"/>
  <c r="Q34" i="99"/>
  <c r="N34" i="99"/>
  <c r="K34" i="99"/>
  <c r="G34" i="99"/>
  <c r="AU33" i="99"/>
  <c r="AT33" i="99"/>
  <c r="AQ33" i="99"/>
  <c r="AN33" i="99"/>
  <c r="AK33" i="99"/>
  <c r="AH33" i="99"/>
  <c r="AE33" i="99"/>
  <c r="AA33" i="99"/>
  <c r="AB33" i="99" s="1"/>
  <c r="Z33" i="99"/>
  <c r="W33" i="99"/>
  <c r="T33" i="99"/>
  <c r="Q33" i="99"/>
  <c r="N33" i="99"/>
  <c r="K33" i="99"/>
  <c r="AU32" i="99"/>
  <c r="AV32" i="99" s="1"/>
  <c r="AT32" i="99"/>
  <c r="AQ32" i="99"/>
  <c r="AN32" i="99"/>
  <c r="AK32" i="99"/>
  <c r="AH32" i="99"/>
  <c r="AE32" i="99"/>
  <c r="AA32" i="99"/>
  <c r="AB32" i="99" s="1"/>
  <c r="Z32" i="99"/>
  <c r="W32" i="99"/>
  <c r="T32" i="99"/>
  <c r="Q32" i="99"/>
  <c r="N32" i="99"/>
  <c r="K32" i="99"/>
  <c r="AU31" i="99"/>
  <c r="AV31" i="99" s="1"/>
  <c r="AT31" i="99"/>
  <c r="AQ31" i="99"/>
  <c r="AN31" i="99"/>
  <c r="AK31" i="99"/>
  <c r="AH31" i="99"/>
  <c r="AE31" i="99"/>
  <c r="AA31" i="99"/>
  <c r="AB31" i="99" s="1"/>
  <c r="Z31" i="99"/>
  <c r="W31" i="99"/>
  <c r="T31" i="99"/>
  <c r="Q31" i="99"/>
  <c r="N31" i="99"/>
  <c r="K31" i="99"/>
  <c r="AU30" i="99"/>
  <c r="AV30" i="99" s="1"/>
  <c r="AT30" i="99"/>
  <c r="AQ30" i="99"/>
  <c r="AN30" i="99"/>
  <c r="AK30" i="99"/>
  <c r="AH30" i="99"/>
  <c r="AE30" i="99"/>
  <c r="AA30" i="99"/>
  <c r="AB30" i="99" s="1"/>
  <c r="Z30" i="99"/>
  <c r="W30" i="99"/>
  <c r="T30" i="99"/>
  <c r="Q30" i="99"/>
  <c r="N30" i="99"/>
  <c r="K30" i="99"/>
  <c r="AU29" i="99"/>
  <c r="AV29" i="99" s="1"/>
  <c r="AT29" i="99"/>
  <c r="AQ29" i="99"/>
  <c r="AN29" i="99"/>
  <c r="AK29" i="99"/>
  <c r="AH29" i="99"/>
  <c r="AE29" i="99"/>
  <c r="AA29" i="99"/>
  <c r="AB29" i="99" s="1"/>
  <c r="Z29" i="99"/>
  <c r="W29" i="99"/>
  <c r="T29" i="99"/>
  <c r="Q29" i="99"/>
  <c r="N29" i="99"/>
  <c r="K29" i="99"/>
  <c r="AU28" i="99"/>
  <c r="AV28" i="99" s="1"/>
  <c r="AT28" i="99"/>
  <c r="AQ28" i="99"/>
  <c r="AN28" i="99"/>
  <c r="AK28" i="99"/>
  <c r="AH28" i="99"/>
  <c r="AE28" i="99"/>
  <c r="AA28" i="99"/>
  <c r="AB28" i="99" s="1"/>
  <c r="Z28" i="99"/>
  <c r="W28" i="99"/>
  <c r="T28" i="99"/>
  <c r="Q28" i="99"/>
  <c r="N28" i="99"/>
  <c r="K28" i="99"/>
  <c r="AU27" i="99"/>
  <c r="AV27" i="99" s="1"/>
  <c r="AT27" i="99"/>
  <c r="AQ27" i="99"/>
  <c r="AN27" i="99"/>
  <c r="AK27" i="99"/>
  <c r="AH27" i="99"/>
  <c r="AE27" i="99"/>
  <c r="AA27" i="99"/>
  <c r="AB27" i="99" s="1"/>
  <c r="Z27" i="99"/>
  <c r="W27" i="99"/>
  <c r="T27" i="99"/>
  <c r="Q27" i="99"/>
  <c r="N27" i="99"/>
  <c r="K27" i="99"/>
  <c r="AU26" i="99"/>
  <c r="AV26" i="99" s="1"/>
  <c r="AT26" i="99"/>
  <c r="AQ26" i="99"/>
  <c r="AN26" i="99"/>
  <c r="AK26" i="99"/>
  <c r="AH26" i="99"/>
  <c r="AE26" i="99"/>
  <c r="AA26" i="99"/>
  <c r="AB26" i="99" s="1"/>
  <c r="Z26" i="99"/>
  <c r="W26" i="99"/>
  <c r="T26" i="99"/>
  <c r="Q26" i="99"/>
  <c r="N26" i="99"/>
  <c r="K26" i="99"/>
  <c r="AU25" i="99"/>
  <c r="AV25" i="99" s="1"/>
  <c r="AT25" i="99"/>
  <c r="AQ25" i="99"/>
  <c r="AN25" i="99"/>
  <c r="AK25" i="99"/>
  <c r="AH25" i="99"/>
  <c r="AE25" i="99"/>
  <c r="AA25" i="99"/>
  <c r="AB25" i="99" s="1"/>
  <c r="Z25" i="99"/>
  <c r="W25" i="99"/>
  <c r="T25" i="99"/>
  <c r="Q25" i="99"/>
  <c r="N25" i="99"/>
  <c r="K25" i="99"/>
  <c r="AU24" i="99"/>
  <c r="AV24" i="99" s="1"/>
  <c r="AT24" i="99"/>
  <c r="AQ24" i="99"/>
  <c r="AN24" i="99"/>
  <c r="AK24" i="99"/>
  <c r="AH24" i="99"/>
  <c r="AE24" i="99"/>
  <c r="AA24" i="99"/>
  <c r="AB24" i="99" s="1"/>
  <c r="Z24" i="99"/>
  <c r="W24" i="99"/>
  <c r="T24" i="99"/>
  <c r="Q24" i="99"/>
  <c r="N24" i="99"/>
  <c r="K24" i="99"/>
  <c r="AU23" i="99"/>
  <c r="AT23" i="99"/>
  <c r="AQ23" i="99"/>
  <c r="AN23" i="99"/>
  <c r="AK23" i="99"/>
  <c r="AH23" i="99"/>
  <c r="AE23" i="99"/>
  <c r="AA23" i="99"/>
  <c r="AB23" i="99" s="1"/>
  <c r="Z23" i="99"/>
  <c r="W23" i="99"/>
  <c r="T23" i="99"/>
  <c r="Q23" i="99"/>
  <c r="N23" i="99"/>
  <c r="K23" i="99"/>
  <c r="AU22" i="99"/>
  <c r="AT22" i="99"/>
  <c r="AQ22" i="99"/>
  <c r="AN22" i="99"/>
  <c r="AK22" i="99"/>
  <c r="AH22" i="99"/>
  <c r="AE22" i="99"/>
  <c r="AA22" i="99"/>
  <c r="AB22" i="99" s="1"/>
  <c r="Z22" i="99"/>
  <c r="W22" i="99"/>
  <c r="T22" i="99"/>
  <c r="Q22" i="99"/>
  <c r="N22" i="99"/>
  <c r="K22" i="99"/>
  <c r="AU21" i="99"/>
  <c r="AV21" i="99" s="1"/>
  <c r="AT21" i="99"/>
  <c r="AQ21" i="99"/>
  <c r="AN21" i="99"/>
  <c r="AK21" i="99"/>
  <c r="AH21" i="99"/>
  <c r="AE21" i="99"/>
  <c r="AA21" i="99"/>
  <c r="AB21" i="99" s="1"/>
  <c r="Z21" i="99"/>
  <c r="W21" i="99"/>
  <c r="T21" i="99"/>
  <c r="Q21" i="99"/>
  <c r="N21" i="99"/>
  <c r="K21" i="99"/>
  <c r="AU20" i="99"/>
  <c r="AV20" i="99" s="1"/>
  <c r="AT20" i="99"/>
  <c r="AQ20" i="99"/>
  <c r="AN20" i="99"/>
  <c r="AK20" i="99"/>
  <c r="AH20" i="99"/>
  <c r="AE20" i="99"/>
  <c r="AA20" i="99"/>
  <c r="AB20" i="99" s="1"/>
  <c r="Z20" i="99"/>
  <c r="W20" i="99"/>
  <c r="T20" i="99"/>
  <c r="Q20" i="99"/>
  <c r="N20" i="99"/>
  <c r="K20" i="99"/>
  <c r="AU19" i="99"/>
  <c r="AV19" i="99" s="1"/>
  <c r="AT19" i="99"/>
  <c r="AQ19" i="99"/>
  <c r="AN19" i="99"/>
  <c r="AK19" i="99"/>
  <c r="AH19" i="99"/>
  <c r="AE19" i="99"/>
  <c r="AA19" i="99"/>
  <c r="AB19" i="99" s="1"/>
  <c r="Z19" i="99"/>
  <c r="W19" i="99"/>
  <c r="T19" i="99"/>
  <c r="Q19" i="99"/>
  <c r="N19" i="99"/>
  <c r="K19" i="99"/>
  <c r="AU18" i="99"/>
  <c r="AV18" i="99" s="1"/>
  <c r="AT18" i="99"/>
  <c r="AQ18" i="99"/>
  <c r="AN18" i="99"/>
  <c r="AK18" i="99"/>
  <c r="AH18" i="99"/>
  <c r="AE18" i="99"/>
  <c r="AA18" i="99"/>
  <c r="AB18" i="99" s="1"/>
  <c r="Z18" i="99"/>
  <c r="W18" i="99"/>
  <c r="T18" i="99"/>
  <c r="Q18" i="99"/>
  <c r="N18" i="99"/>
  <c r="K18" i="99"/>
  <c r="AU17" i="99"/>
  <c r="AV17" i="99" s="1"/>
  <c r="AT17" i="99"/>
  <c r="AQ17" i="99"/>
  <c r="AN17" i="99"/>
  <c r="AK17" i="99"/>
  <c r="AH17" i="99"/>
  <c r="AE17" i="99"/>
  <c r="AA17" i="99"/>
  <c r="AB17" i="99" s="1"/>
  <c r="Z17" i="99"/>
  <c r="W17" i="99"/>
  <c r="T17" i="99"/>
  <c r="Q17" i="99"/>
  <c r="N17" i="99"/>
  <c r="K17" i="99"/>
  <c r="AU16" i="99"/>
  <c r="AV16" i="99" s="1"/>
  <c r="AT16" i="99"/>
  <c r="AQ16" i="99"/>
  <c r="AN16" i="99"/>
  <c r="AK16" i="99"/>
  <c r="AH16" i="99"/>
  <c r="AE16" i="99"/>
  <c r="AA16" i="99"/>
  <c r="AB16" i="99" s="1"/>
  <c r="Z16" i="99"/>
  <c r="W16" i="99"/>
  <c r="T16" i="99"/>
  <c r="Q16" i="99"/>
  <c r="N16" i="99"/>
  <c r="K16" i="99"/>
  <c r="AU15" i="99"/>
  <c r="AV15" i="99" s="1"/>
  <c r="AT15" i="99"/>
  <c r="AQ15" i="99"/>
  <c r="AN15" i="99"/>
  <c r="AK15" i="99"/>
  <c r="AH15" i="99"/>
  <c r="AE15" i="99"/>
  <c r="AA15" i="99"/>
  <c r="AB15" i="99" s="1"/>
  <c r="Z15" i="99"/>
  <c r="W15" i="99"/>
  <c r="T15" i="99"/>
  <c r="Q15" i="99"/>
  <c r="N15" i="99"/>
  <c r="K15" i="99"/>
  <c r="AU14" i="99"/>
  <c r="AV14" i="99" s="1"/>
  <c r="AT14" i="99"/>
  <c r="AQ14" i="99"/>
  <c r="AN14" i="99"/>
  <c r="AK14" i="99"/>
  <c r="AH14" i="99"/>
  <c r="AE14" i="99"/>
  <c r="AA14" i="99"/>
  <c r="AB14" i="99" s="1"/>
  <c r="Z14" i="99"/>
  <c r="W14" i="99"/>
  <c r="T14" i="99"/>
  <c r="Q14" i="99"/>
  <c r="N14" i="99"/>
  <c r="K14" i="99"/>
  <c r="AU13" i="99"/>
  <c r="AV13" i="99" s="1"/>
  <c r="AT13" i="99"/>
  <c r="AQ13" i="99"/>
  <c r="AN13" i="99"/>
  <c r="AK13" i="99"/>
  <c r="AH13" i="99"/>
  <c r="AE13" i="99"/>
  <c r="AA13" i="99"/>
  <c r="AB13" i="99" s="1"/>
  <c r="Z13" i="99"/>
  <c r="W13" i="99"/>
  <c r="T13" i="99"/>
  <c r="Q13" i="99"/>
  <c r="N13" i="99"/>
  <c r="K13" i="99"/>
  <c r="AU12" i="99"/>
  <c r="AV12" i="99" s="1"/>
  <c r="AT12" i="99"/>
  <c r="AQ12" i="99"/>
  <c r="AN12" i="99"/>
  <c r="AK12" i="99"/>
  <c r="AH12" i="99"/>
  <c r="AE12" i="99"/>
  <c r="AA12" i="99"/>
  <c r="AB12" i="99" s="1"/>
  <c r="Z12" i="99"/>
  <c r="W12" i="99"/>
  <c r="T12" i="99"/>
  <c r="Q12" i="99"/>
  <c r="N12" i="99"/>
  <c r="K12" i="99"/>
  <c r="AU11" i="99"/>
  <c r="AT11" i="99"/>
  <c r="AQ11" i="99"/>
  <c r="AN11" i="99"/>
  <c r="AK11" i="99"/>
  <c r="AH11" i="99"/>
  <c r="AE11" i="99"/>
  <c r="AA11" i="99"/>
  <c r="AB11" i="99" s="1"/>
  <c r="Z11" i="99"/>
  <c r="W11" i="99"/>
  <c r="T11" i="99"/>
  <c r="Q11" i="99"/>
  <c r="N11" i="99"/>
  <c r="K11" i="99"/>
  <c r="AU10" i="99"/>
  <c r="AV10" i="99" s="1"/>
  <c r="AT10" i="99"/>
  <c r="AQ10" i="99"/>
  <c r="AN10" i="99"/>
  <c r="AK10" i="99"/>
  <c r="AH10" i="99"/>
  <c r="AE10" i="99"/>
  <c r="AA10" i="99"/>
  <c r="AB10" i="99" s="1"/>
  <c r="Z10" i="99"/>
  <c r="W10" i="99"/>
  <c r="T10" i="99"/>
  <c r="Q10" i="99"/>
  <c r="N10" i="99"/>
  <c r="K10" i="99"/>
  <c r="AU9" i="99"/>
  <c r="AT9" i="99"/>
  <c r="AQ9" i="99"/>
  <c r="AN9" i="99"/>
  <c r="AK9" i="99"/>
  <c r="AH9" i="99"/>
  <c r="AE9" i="99"/>
  <c r="AA9" i="99"/>
  <c r="Z9" i="99"/>
  <c r="W9" i="99"/>
  <c r="T9" i="99"/>
  <c r="Q9" i="99"/>
  <c r="N9" i="99"/>
  <c r="K9" i="99"/>
  <c r="G9" i="99"/>
  <c r="AV9" i="99" s="1"/>
  <c r="AW3" i="99" l="1"/>
  <c r="C48" i="10" s="1"/>
  <c r="AB9" i="99"/>
  <c r="C47" i="10" l="1"/>
  <c r="AX33" i="97" l="1"/>
  <c r="AY33" i="97" s="1"/>
  <c r="AW33" i="97"/>
  <c r="AT33" i="97"/>
  <c r="AQ33" i="97"/>
  <c r="AN33" i="97"/>
  <c r="AK33" i="97"/>
  <c r="AH33" i="97"/>
  <c r="AD33" i="97"/>
  <c r="AE33" i="97" s="1"/>
  <c r="AC33" i="97"/>
  <c r="Z33" i="97"/>
  <c r="W33" i="97"/>
  <c r="T33" i="97"/>
  <c r="Q33" i="97"/>
  <c r="N33" i="97"/>
  <c r="AX31" i="97"/>
  <c r="AY31" i="97" s="1"/>
  <c r="AW31" i="97"/>
  <c r="AT31" i="97"/>
  <c r="AQ31" i="97"/>
  <c r="AN31" i="97"/>
  <c r="AK31" i="97"/>
  <c r="AH31" i="97"/>
  <c r="AD31" i="97"/>
  <c r="AE31" i="97" s="1"/>
  <c r="AC31" i="97"/>
  <c r="Z31" i="97"/>
  <c r="W31" i="97"/>
  <c r="T31" i="97"/>
  <c r="Q31" i="97"/>
  <c r="N31" i="97"/>
  <c r="AX30" i="97"/>
  <c r="AY30" i="97" s="1"/>
  <c r="AW30" i="97"/>
  <c r="AT30" i="97"/>
  <c r="AQ30" i="97"/>
  <c r="AN30" i="97"/>
  <c r="AK30" i="97"/>
  <c r="AH30" i="97"/>
  <c r="AD30" i="97"/>
  <c r="AE30" i="97" s="1"/>
  <c r="AC30" i="97"/>
  <c r="Z30" i="97"/>
  <c r="W30" i="97"/>
  <c r="T30" i="97"/>
  <c r="Q30" i="97"/>
  <c r="N30" i="97"/>
  <c r="AX29" i="97"/>
  <c r="AY29" i="97" s="1"/>
  <c r="AW29" i="97"/>
  <c r="AT29" i="97"/>
  <c r="AQ29" i="97"/>
  <c r="AN29" i="97"/>
  <c r="AK29" i="97"/>
  <c r="AH29" i="97"/>
  <c r="AD29" i="97"/>
  <c r="AE29" i="97" s="1"/>
  <c r="AC29" i="97"/>
  <c r="Z29" i="97"/>
  <c r="W29" i="97"/>
  <c r="T29" i="97"/>
  <c r="Q29" i="97"/>
  <c r="N29" i="97"/>
  <c r="AX27" i="97"/>
  <c r="AW27" i="97"/>
  <c r="AT27" i="97"/>
  <c r="AQ27" i="97"/>
  <c r="AN27" i="97"/>
  <c r="AK27" i="97"/>
  <c r="AH27" i="97"/>
  <c r="AD27" i="97"/>
  <c r="AC27" i="97"/>
  <c r="Z27" i="97"/>
  <c r="W27" i="97"/>
  <c r="T27" i="97"/>
  <c r="Q27" i="97"/>
  <c r="N27" i="97"/>
  <c r="G27" i="97"/>
  <c r="AY26" i="97"/>
  <c r="AX26" i="97"/>
  <c r="AW26" i="97"/>
  <c r="AT26" i="97"/>
  <c r="AQ26" i="97"/>
  <c r="AN26" i="97"/>
  <c r="AK26" i="97"/>
  <c r="AH26" i="97"/>
  <c r="AE26" i="97"/>
  <c r="AD26" i="97"/>
  <c r="AC26" i="97"/>
  <c r="Z26" i="97"/>
  <c r="W26" i="97"/>
  <c r="T26" i="97"/>
  <c r="Q26" i="97"/>
  <c r="N26" i="97"/>
  <c r="AY25" i="97"/>
  <c r="AX25" i="97"/>
  <c r="AW25" i="97"/>
  <c r="AT25" i="97"/>
  <c r="AQ25" i="97"/>
  <c r="AN25" i="97"/>
  <c r="AK25" i="97"/>
  <c r="AH25" i="97"/>
  <c r="AE25" i="97"/>
  <c r="AD25" i="97"/>
  <c r="AC25" i="97"/>
  <c r="Z25" i="97"/>
  <c r="W25" i="97"/>
  <c r="T25" i="97"/>
  <c r="Q25" i="97"/>
  <c r="N25" i="97"/>
  <c r="AY24" i="97"/>
  <c r="AX24" i="97"/>
  <c r="AW24" i="97"/>
  <c r="AT24" i="97"/>
  <c r="AQ24" i="97"/>
  <c r="AN24" i="97"/>
  <c r="AK24" i="97"/>
  <c r="AH24" i="97"/>
  <c r="AE24" i="97"/>
  <c r="AD24" i="97"/>
  <c r="AC24" i="97"/>
  <c r="Z24" i="97"/>
  <c r="W24" i="97"/>
  <c r="T24" i="97"/>
  <c r="Q24" i="97"/>
  <c r="N24" i="97"/>
  <c r="AX23" i="97"/>
  <c r="AY23" i="97" s="1"/>
  <c r="AW23" i="97"/>
  <c r="AT23" i="97"/>
  <c r="AQ23" i="97"/>
  <c r="AN23" i="97"/>
  <c r="AK23" i="97"/>
  <c r="AH23" i="97"/>
  <c r="AD23" i="97"/>
  <c r="AE23" i="97" s="1"/>
  <c r="AC23" i="97"/>
  <c r="Z23" i="97"/>
  <c r="W23" i="97"/>
  <c r="T23" i="97"/>
  <c r="Q23" i="97"/>
  <c r="N23" i="97"/>
  <c r="AX22" i="97"/>
  <c r="AY22" i="97" s="1"/>
  <c r="AW22" i="97"/>
  <c r="AT22" i="97"/>
  <c r="AQ22" i="97"/>
  <c r="AN22" i="97"/>
  <c r="AK22" i="97"/>
  <c r="AH22" i="97"/>
  <c r="AD22" i="97"/>
  <c r="AE22" i="97" s="1"/>
  <c r="AC22" i="97"/>
  <c r="Z22" i="97"/>
  <c r="W22" i="97"/>
  <c r="T22" i="97"/>
  <c r="Q22" i="97"/>
  <c r="N22" i="97"/>
  <c r="AX21" i="97"/>
  <c r="AY21" i="97" s="1"/>
  <c r="AW21" i="97"/>
  <c r="AT21" i="97"/>
  <c r="AQ21" i="97"/>
  <c r="AN21" i="97"/>
  <c r="AK21" i="97"/>
  <c r="AH21" i="97"/>
  <c r="AD21" i="97"/>
  <c r="AE21" i="97" s="1"/>
  <c r="AC21" i="97"/>
  <c r="Z21" i="97"/>
  <c r="W21" i="97"/>
  <c r="T21" i="97"/>
  <c r="Q21" i="97"/>
  <c r="N21" i="97"/>
  <c r="AX20" i="97"/>
  <c r="AY20" i="97" s="1"/>
  <c r="AW20" i="97"/>
  <c r="AT20" i="97"/>
  <c r="AQ20" i="97"/>
  <c r="AN20" i="97"/>
  <c r="AK20" i="97"/>
  <c r="AH20" i="97"/>
  <c r="AD20" i="97"/>
  <c r="AE20" i="97" s="1"/>
  <c r="AC20" i="97"/>
  <c r="Z20" i="97"/>
  <c r="W20" i="97"/>
  <c r="T20" i="97"/>
  <c r="Q20" i="97"/>
  <c r="N20" i="97"/>
  <c r="AX19" i="97"/>
  <c r="AY19" i="97" s="1"/>
  <c r="AW19" i="97"/>
  <c r="AT19" i="97"/>
  <c r="AQ19" i="97"/>
  <c r="AN19" i="97"/>
  <c r="AK19" i="97"/>
  <c r="AH19" i="97"/>
  <c r="AD19" i="97"/>
  <c r="AE19" i="97" s="1"/>
  <c r="AC19" i="97"/>
  <c r="Z19" i="97"/>
  <c r="W19" i="97"/>
  <c r="T19" i="97"/>
  <c r="Q19" i="97"/>
  <c r="N19" i="97"/>
  <c r="AX18" i="97"/>
  <c r="AY18" i="97" s="1"/>
  <c r="AW18" i="97"/>
  <c r="AT18" i="97"/>
  <c r="AQ18" i="97"/>
  <c r="AN18" i="97"/>
  <c r="AK18" i="97"/>
  <c r="AH18" i="97"/>
  <c r="AD18" i="97"/>
  <c r="AE18" i="97" s="1"/>
  <c r="AC18" i="97"/>
  <c r="Z18" i="97"/>
  <c r="W18" i="97"/>
  <c r="T18" i="97"/>
  <c r="Q18" i="97"/>
  <c r="N18" i="97"/>
  <c r="AX17" i="97"/>
  <c r="AY17" i="97" s="1"/>
  <c r="AW17" i="97"/>
  <c r="AT17" i="97"/>
  <c r="AQ17" i="97"/>
  <c r="AN17" i="97"/>
  <c r="AK17" i="97"/>
  <c r="AH17" i="97"/>
  <c r="AD17" i="97"/>
  <c r="AE17" i="97" s="1"/>
  <c r="AC17" i="97"/>
  <c r="Z17" i="97"/>
  <c r="W17" i="97"/>
  <c r="T17" i="97"/>
  <c r="Q17" i="97"/>
  <c r="N17" i="97"/>
  <c r="AX16" i="97"/>
  <c r="AY16" i="97" s="1"/>
  <c r="AW16" i="97"/>
  <c r="AT16" i="97"/>
  <c r="AQ16" i="97"/>
  <c r="AN16" i="97"/>
  <c r="AK16" i="97"/>
  <c r="AH16" i="97"/>
  <c r="AD16" i="97"/>
  <c r="AE16" i="97" s="1"/>
  <c r="AC16" i="97"/>
  <c r="Z16" i="97"/>
  <c r="W16" i="97"/>
  <c r="T16" i="97"/>
  <c r="Q16" i="97"/>
  <c r="N16" i="97"/>
  <c r="AX15" i="97"/>
  <c r="AY15" i="97" s="1"/>
  <c r="AW15" i="97"/>
  <c r="AT15" i="97"/>
  <c r="AQ15" i="97"/>
  <c r="AN15" i="97"/>
  <c r="AK15" i="97"/>
  <c r="AH15" i="97"/>
  <c r="AD15" i="97"/>
  <c r="AE15" i="97" s="1"/>
  <c r="AC15" i="97"/>
  <c r="Z15" i="97"/>
  <c r="W15" i="97"/>
  <c r="T15" i="97"/>
  <c r="Q15" i="97"/>
  <c r="N15" i="97"/>
  <c r="AX14" i="97"/>
  <c r="AY14" i="97" s="1"/>
  <c r="AW14" i="97"/>
  <c r="AT14" i="97"/>
  <c r="AQ14" i="97"/>
  <c r="AN14" i="97"/>
  <c r="AK14" i="97"/>
  <c r="AH14" i="97"/>
  <c r="AD14" i="97"/>
  <c r="AE14" i="97" s="1"/>
  <c r="AC14" i="97"/>
  <c r="Z14" i="97"/>
  <c r="W14" i="97"/>
  <c r="T14" i="97"/>
  <c r="Q14" i="97"/>
  <c r="N14" i="97"/>
  <c r="AX13" i="97"/>
  <c r="AY13" i="97" s="1"/>
  <c r="AW13" i="97"/>
  <c r="AT13" i="97"/>
  <c r="AQ13" i="97"/>
  <c r="AN13" i="97"/>
  <c r="AK13" i="97"/>
  <c r="AH13" i="97"/>
  <c r="AD13" i="97"/>
  <c r="AE13" i="97" s="1"/>
  <c r="AC13" i="97"/>
  <c r="Z13" i="97"/>
  <c r="W13" i="97"/>
  <c r="T13" i="97"/>
  <c r="Q13" i="97"/>
  <c r="N13" i="97"/>
  <c r="AX12" i="97"/>
  <c r="AY12" i="97" s="1"/>
  <c r="AW12" i="97"/>
  <c r="AT12" i="97"/>
  <c r="AQ12" i="97"/>
  <c r="AN12" i="97"/>
  <c r="AK12" i="97"/>
  <c r="AH12" i="97"/>
  <c r="AD12" i="97"/>
  <c r="AE12" i="97" s="1"/>
  <c r="AC12" i="97"/>
  <c r="Z12" i="97"/>
  <c r="W12" i="97"/>
  <c r="T12" i="97"/>
  <c r="Q12" i="97"/>
  <c r="N12" i="97"/>
  <c r="AY11" i="97"/>
  <c r="AV11" i="97"/>
  <c r="AW11" i="97" s="1"/>
  <c r="AU11" i="97"/>
  <c r="AS11" i="97"/>
  <c r="AT11" i="97" s="1"/>
  <c r="AR11" i="97"/>
  <c r="AP11" i="97"/>
  <c r="AO11" i="97"/>
  <c r="AQ11" i="97" s="1"/>
  <c r="AM11" i="97"/>
  <c r="AN11" i="97" s="1"/>
  <c r="AL11" i="97"/>
  <c r="AJ11" i="97"/>
  <c r="AI11" i="97"/>
  <c r="AG11" i="97"/>
  <c r="AH11" i="97" s="1"/>
  <c r="AF11" i="97"/>
  <c r="AB11" i="97"/>
  <c r="AA11" i="97"/>
  <c r="Y11" i="97"/>
  <c r="Z11" i="97" s="1"/>
  <c r="X11" i="97"/>
  <c r="V11" i="97"/>
  <c r="U11" i="97"/>
  <c r="W11" i="97" s="1"/>
  <c r="S11" i="97"/>
  <c r="R11" i="97"/>
  <c r="T11" i="97" s="1"/>
  <c r="P11" i="97"/>
  <c r="O11" i="97"/>
  <c r="M11" i="97"/>
  <c r="L11" i="97"/>
  <c r="AX10" i="97"/>
  <c r="AY10" i="97" s="1"/>
  <c r="AW10" i="97"/>
  <c r="AT10" i="97"/>
  <c r="AQ10" i="97"/>
  <c r="AN10" i="97"/>
  <c r="AK10" i="97"/>
  <c r="AH10" i="97"/>
  <c r="AD10" i="97"/>
  <c r="AE10" i="97" s="1"/>
  <c r="AC10" i="97"/>
  <c r="Z10" i="97"/>
  <c r="W10" i="97"/>
  <c r="T10" i="97"/>
  <c r="Q10" i="97"/>
  <c r="N10" i="97"/>
  <c r="AX9" i="97"/>
  <c r="AW9" i="97"/>
  <c r="AT9" i="97"/>
  <c r="AQ9" i="97"/>
  <c r="AN9" i="97"/>
  <c r="AK9" i="97"/>
  <c r="AH9" i="97"/>
  <c r="AD9" i="97"/>
  <c r="AC9" i="97"/>
  <c r="Z9" i="97"/>
  <c r="W9" i="97"/>
  <c r="T9" i="97"/>
  <c r="Q9" i="97"/>
  <c r="N9" i="97"/>
  <c r="G9" i="97"/>
  <c r="AY9" i="97" s="1"/>
  <c r="AC11" i="97" l="1"/>
  <c r="Q11" i="97"/>
  <c r="AK11" i="97"/>
  <c r="AD11" i="97"/>
  <c r="AE11" i="97" s="1"/>
  <c r="AY27" i="97"/>
  <c r="AE27" i="97"/>
  <c r="N11" i="97"/>
  <c r="AE9" i="97"/>
  <c r="AZ4" i="97" l="1"/>
  <c r="C46" i="10" s="1"/>
  <c r="AX33" i="96"/>
  <c r="AY33" i="96" s="1"/>
  <c r="AW33" i="96"/>
  <c r="AT33" i="96"/>
  <c r="AQ33" i="96"/>
  <c r="AN33" i="96"/>
  <c r="AK33" i="96"/>
  <c r="AH33" i="96"/>
  <c r="AD33" i="96"/>
  <c r="AE33" i="96" s="1"/>
  <c r="AC33" i="96"/>
  <c r="Z33" i="96"/>
  <c r="W33" i="96"/>
  <c r="T33" i="96"/>
  <c r="Q33" i="96"/>
  <c r="N33" i="96"/>
  <c r="AX31" i="96"/>
  <c r="AY31" i="96" s="1"/>
  <c r="AW31" i="96"/>
  <c r="AT31" i="96"/>
  <c r="AQ31" i="96"/>
  <c r="AN31" i="96"/>
  <c r="AK31" i="96"/>
  <c r="AH31" i="96"/>
  <c r="AD31" i="96"/>
  <c r="AE31" i="96" s="1"/>
  <c r="AC31" i="96"/>
  <c r="Z31" i="96"/>
  <c r="W31" i="96"/>
  <c r="T31" i="96"/>
  <c r="Q31" i="96"/>
  <c r="N31" i="96"/>
  <c r="AX30" i="96"/>
  <c r="AY30" i="96" s="1"/>
  <c r="AW30" i="96"/>
  <c r="AT30" i="96"/>
  <c r="AQ30" i="96"/>
  <c r="AN30" i="96"/>
  <c r="AK30" i="96"/>
  <c r="AH30" i="96"/>
  <c r="AD30" i="96"/>
  <c r="AE30" i="96" s="1"/>
  <c r="AC30" i="96"/>
  <c r="Z30" i="96"/>
  <c r="W30" i="96"/>
  <c r="T30" i="96"/>
  <c r="Q30" i="96"/>
  <c r="N30" i="96"/>
  <c r="AX29" i="96"/>
  <c r="AY29" i="96" s="1"/>
  <c r="AW29" i="96"/>
  <c r="AT29" i="96"/>
  <c r="AQ29" i="96"/>
  <c r="AN29" i="96"/>
  <c r="AK29" i="96"/>
  <c r="AH29" i="96"/>
  <c r="AD29" i="96"/>
  <c r="AE29" i="96" s="1"/>
  <c r="AC29" i="96"/>
  <c r="Z29" i="96"/>
  <c r="W29" i="96"/>
  <c r="T29" i="96"/>
  <c r="Q29" i="96"/>
  <c r="N29" i="96"/>
  <c r="AX27" i="96"/>
  <c r="AW27" i="96"/>
  <c r="AT27" i="96"/>
  <c r="AQ27" i="96"/>
  <c r="AN27" i="96"/>
  <c r="AK27" i="96"/>
  <c r="AH27" i="96"/>
  <c r="AD27" i="96"/>
  <c r="AC27" i="96"/>
  <c r="Z27" i="96"/>
  <c r="W27" i="96"/>
  <c r="T27" i="96"/>
  <c r="Q27" i="96"/>
  <c r="N27" i="96"/>
  <c r="G27" i="96"/>
  <c r="AX26" i="96"/>
  <c r="AY26" i="96" s="1"/>
  <c r="AW26" i="96"/>
  <c r="AT26" i="96"/>
  <c r="AQ26" i="96"/>
  <c r="AN26" i="96"/>
  <c r="AK26" i="96"/>
  <c r="AH26" i="96"/>
  <c r="AD26" i="96"/>
  <c r="AE26" i="96" s="1"/>
  <c r="AC26" i="96"/>
  <c r="Z26" i="96"/>
  <c r="W26" i="96"/>
  <c r="T26" i="96"/>
  <c r="Q26" i="96"/>
  <c r="N26" i="96"/>
  <c r="AX25" i="96"/>
  <c r="AY25" i="96" s="1"/>
  <c r="AW25" i="96"/>
  <c r="AT25" i="96"/>
  <c r="AQ25" i="96"/>
  <c r="AN25" i="96"/>
  <c r="AK25" i="96"/>
  <c r="AH25" i="96"/>
  <c r="AD25" i="96"/>
  <c r="AE25" i="96" s="1"/>
  <c r="AC25" i="96"/>
  <c r="Z25" i="96"/>
  <c r="W25" i="96"/>
  <c r="T25" i="96"/>
  <c r="Q25" i="96"/>
  <c r="N25" i="96"/>
  <c r="AX24" i="96"/>
  <c r="AW24" i="96"/>
  <c r="AT24" i="96"/>
  <c r="AQ24" i="96"/>
  <c r="AN24" i="96"/>
  <c r="AK24" i="96"/>
  <c r="AH24" i="96"/>
  <c r="AD24" i="96"/>
  <c r="AE24" i="96" s="1"/>
  <c r="AC24" i="96"/>
  <c r="Z24" i="96"/>
  <c r="W24" i="96"/>
  <c r="T24" i="96"/>
  <c r="Q24" i="96"/>
  <c r="N24" i="96"/>
  <c r="AX23" i="96"/>
  <c r="AY23" i="96" s="1"/>
  <c r="AW23" i="96"/>
  <c r="AT23" i="96"/>
  <c r="AQ23" i="96"/>
  <c r="AN23" i="96"/>
  <c r="AK23" i="96"/>
  <c r="AH23" i="96"/>
  <c r="AD23" i="96"/>
  <c r="AE23" i="96" s="1"/>
  <c r="AC23" i="96"/>
  <c r="Z23" i="96"/>
  <c r="W23" i="96"/>
  <c r="T23" i="96"/>
  <c r="Q23" i="96"/>
  <c r="N23" i="96"/>
  <c r="AW22" i="96"/>
  <c r="AT22" i="96"/>
  <c r="AQ22" i="96"/>
  <c r="AN22" i="96"/>
  <c r="AK22" i="96"/>
  <c r="AH22" i="96"/>
  <c r="AD22" i="96"/>
  <c r="AE22" i="96" s="1"/>
  <c r="AC22" i="96"/>
  <c r="Z22" i="96"/>
  <c r="W22" i="96"/>
  <c r="T22" i="96"/>
  <c r="Q22" i="96"/>
  <c r="N22" i="96"/>
  <c r="AX21" i="96"/>
  <c r="AY21" i="96" s="1"/>
  <c r="AW21" i="96"/>
  <c r="AT21" i="96"/>
  <c r="AQ21" i="96"/>
  <c r="AN21" i="96"/>
  <c r="AK21" i="96"/>
  <c r="AH21" i="96"/>
  <c r="AD21" i="96"/>
  <c r="AE21" i="96" s="1"/>
  <c r="AC21" i="96"/>
  <c r="Z21" i="96"/>
  <c r="W21" i="96"/>
  <c r="T21" i="96"/>
  <c r="Q21" i="96"/>
  <c r="N21" i="96"/>
  <c r="AX20" i="96"/>
  <c r="AW20" i="96"/>
  <c r="AT20" i="96"/>
  <c r="AQ20" i="96"/>
  <c r="AN20" i="96"/>
  <c r="AK20" i="96"/>
  <c r="AH20" i="96"/>
  <c r="AD20" i="96"/>
  <c r="AE20" i="96" s="1"/>
  <c r="AC20" i="96"/>
  <c r="Z20" i="96"/>
  <c r="W20" i="96"/>
  <c r="T20" i="96"/>
  <c r="Q20" i="96"/>
  <c r="N20" i="96"/>
  <c r="AX19" i="96"/>
  <c r="AY19" i="96" s="1"/>
  <c r="AW19" i="96"/>
  <c r="AT19" i="96"/>
  <c r="AQ19" i="96"/>
  <c r="AN19" i="96"/>
  <c r="AK19" i="96"/>
  <c r="AH19" i="96"/>
  <c r="AD19" i="96"/>
  <c r="AE19" i="96" s="1"/>
  <c r="AC19" i="96"/>
  <c r="Z19" i="96"/>
  <c r="W19" i="96"/>
  <c r="T19" i="96"/>
  <c r="Q19" i="96"/>
  <c r="N19" i="96"/>
  <c r="AX18" i="96"/>
  <c r="AY18" i="96" s="1"/>
  <c r="AW18" i="96"/>
  <c r="AT18" i="96"/>
  <c r="AQ18" i="96"/>
  <c r="AN18" i="96"/>
  <c r="AK18" i="96"/>
  <c r="AH18" i="96"/>
  <c r="AD18" i="96"/>
  <c r="AE18" i="96" s="1"/>
  <c r="AC18" i="96"/>
  <c r="Z18" i="96"/>
  <c r="W18" i="96"/>
  <c r="T18" i="96"/>
  <c r="Q18" i="96"/>
  <c r="N18" i="96"/>
  <c r="AX17" i="96"/>
  <c r="AY17" i="96" s="1"/>
  <c r="AW17" i="96"/>
  <c r="AT17" i="96"/>
  <c r="AQ17" i="96"/>
  <c r="AN17" i="96"/>
  <c r="AK17" i="96"/>
  <c r="AH17" i="96"/>
  <c r="AD17" i="96"/>
  <c r="AE17" i="96" s="1"/>
  <c r="AC17" i="96"/>
  <c r="Z17" i="96"/>
  <c r="W17" i="96"/>
  <c r="T17" i="96"/>
  <c r="Q17" i="96"/>
  <c r="N17" i="96"/>
  <c r="AX16" i="96"/>
  <c r="AY16" i="96" s="1"/>
  <c r="AW16" i="96"/>
  <c r="AT16" i="96"/>
  <c r="AQ16" i="96"/>
  <c r="AN16" i="96"/>
  <c r="AK16" i="96"/>
  <c r="AH16" i="96"/>
  <c r="AD16" i="96"/>
  <c r="AE16" i="96" s="1"/>
  <c r="AC16" i="96"/>
  <c r="Z16" i="96"/>
  <c r="W16" i="96"/>
  <c r="T16" i="96"/>
  <c r="Q16" i="96"/>
  <c r="N16" i="96"/>
  <c r="AX15" i="96"/>
  <c r="AY15" i="96" s="1"/>
  <c r="AW15" i="96"/>
  <c r="AT15" i="96"/>
  <c r="AQ15" i="96"/>
  <c r="AN15" i="96"/>
  <c r="AK15" i="96"/>
  <c r="AH15" i="96"/>
  <c r="AD15" i="96"/>
  <c r="AE15" i="96" s="1"/>
  <c r="AC15" i="96"/>
  <c r="Z15" i="96"/>
  <c r="W15" i="96"/>
  <c r="T15" i="96"/>
  <c r="Q15" i="96"/>
  <c r="N15" i="96"/>
  <c r="AX14" i="96"/>
  <c r="AY14" i="96" s="1"/>
  <c r="AW14" i="96"/>
  <c r="AT14" i="96"/>
  <c r="AQ14" i="96"/>
  <c r="AN14" i="96"/>
  <c r="AK14" i="96"/>
  <c r="AH14" i="96"/>
  <c r="AD14" i="96"/>
  <c r="AE14" i="96" s="1"/>
  <c r="AC14" i="96"/>
  <c r="Z14" i="96"/>
  <c r="W14" i="96"/>
  <c r="T14" i="96"/>
  <c r="Q14" i="96"/>
  <c r="N14" i="96"/>
  <c r="AX13" i="96"/>
  <c r="AY13" i="96" s="1"/>
  <c r="AW13" i="96"/>
  <c r="AT13" i="96"/>
  <c r="AQ13" i="96"/>
  <c r="AN13" i="96"/>
  <c r="AK13" i="96"/>
  <c r="AH13" i="96"/>
  <c r="AD13" i="96"/>
  <c r="AE13" i="96" s="1"/>
  <c r="AC13" i="96"/>
  <c r="Z13" i="96"/>
  <c r="W13" i="96"/>
  <c r="T13" i="96"/>
  <c r="Q13" i="96"/>
  <c r="N13" i="96"/>
  <c r="AX12" i="96"/>
  <c r="AY12" i="96" s="1"/>
  <c r="AW12" i="96"/>
  <c r="AT12" i="96"/>
  <c r="AQ12" i="96"/>
  <c r="AN12" i="96"/>
  <c r="AK12" i="96"/>
  <c r="AH12" i="96"/>
  <c r="AD12" i="96"/>
  <c r="AE12" i="96" s="1"/>
  <c r="AC12" i="96"/>
  <c r="Z12" i="96"/>
  <c r="W12" i="96"/>
  <c r="T12" i="96"/>
  <c r="Q12" i="96"/>
  <c r="N12" i="96"/>
  <c r="AX11" i="96"/>
  <c r="AY11" i="96" s="1"/>
  <c r="AW11" i="96"/>
  <c r="AT11" i="96"/>
  <c r="AQ11" i="96"/>
  <c r="AN11" i="96"/>
  <c r="AK11" i="96"/>
  <c r="AH11" i="96"/>
  <c r="AD11" i="96"/>
  <c r="AE11" i="96" s="1"/>
  <c r="AC11" i="96"/>
  <c r="Z11" i="96"/>
  <c r="W11" i="96"/>
  <c r="T11" i="96"/>
  <c r="Q11" i="96"/>
  <c r="N11" i="96"/>
  <c r="AX10" i="96"/>
  <c r="AY10" i="96" s="1"/>
  <c r="AW10" i="96"/>
  <c r="AT10" i="96"/>
  <c r="AQ10" i="96"/>
  <c r="AN10" i="96"/>
  <c r="AK10" i="96"/>
  <c r="AH10" i="96"/>
  <c r="AD10" i="96"/>
  <c r="AE10" i="96" s="1"/>
  <c r="AC10" i="96"/>
  <c r="Z10" i="96"/>
  <c r="W10" i="96"/>
  <c r="T10" i="96"/>
  <c r="Q10" i="96"/>
  <c r="N10" i="96"/>
  <c r="AX9" i="96"/>
  <c r="AY9" i="96" s="1"/>
  <c r="AW9" i="96"/>
  <c r="AT9" i="96"/>
  <c r="AQ9" i="96"/>
  <c r="AN9" i="96"/>
  <c r="AK9" i="96"/>
  <c r="AH9" i="96"/>
  <c r="AD9" i="96"/>
  <c r="AE9" i="96" s="1"/>
  <c r="AC9" i="96"/>
  <c r="Z9" i="96"/>
  <c r="W9" i="96"/>
  <c r="T9" i="96"/>
  <c r="Q9" i="96"/>
  <c r="N9" i="96"/>
  <c r="AE27" i="96" l="1"/>
  <c r="AY27" i="96"/>
  <c r="AZ3" i="96" s="1"/>
  <c r="C45" i="10" s="1"/>
  <c r="AX33" i="95" l="1"/>
  <c r="AY33" i="95" s="1"/>
  <c r="AW33" i="95"/>
  <c r="AT33" i="95"/>
  <c r="AQ33" i="95"/>
  <c r="AN33" i="95"/>
  <c r="AK33" i="95"/>
  <c r="AH33" i="95"/>
  <c r="AE33" i="95"/>
  <c r="AD33" i="95"/>
  <c r="AC33" i="95"/>
  <c r="Z33" i="95"/>
  <c r="W33" i="95"/>
  <c r="T33" i="95"/>
  <c r="Q33" i="95"/>
  <c r="N33" i="95"/>
  <c r="AX31" i="95"/>
  <c r="AY31" i="95" s="1"/>
  <c r="AW31" i="95"/>
  <c r="AT31" i="95"/>
  <c r="AQ31" i="95"/>
  <c r="AN31" i="95"/>
  <c r="AK31" i="95"/>
  <c r="AH31" i="95"/>
  <c r="AD31" i="95"/>
  <c r="AE31" i="95" s="1"/>
  <c r="AC31" i="95"/>
  <c r="Z31" i="95"/>
  <c r="W31" i="95"/>
  <c r="T31" i="95"/>
  <c r="Q31" i="95"/>
  <c r="N31" i="95"/>
  <c r="AX30" i="95"/>
  <c r="AY30" i="95" s="1"/>
  <c r="AW30" i="95"/>
  <c r="AT30" i="95"/>
  <c r="AQ30" i="95"/>
  <c r="AN30" i="95"/>
  <c r="AK30" i="95"/>
  <c r="AH30" i="95"/>
  <c r="AD30" i="95"/>
  <c r="AE30" i="95" s="1"/>
  <c r="AC30" i="95"/>
  <c r="Z30" i="95"/>
  <c r="W30" i="95"/>
  <c r="T30" i="95"/>
  <c r="Q30" i="95"/>
  <c r="N30" i="95"/>
  <c r="AX29" i="95"/>
  <c r="AY29" i="95" s="1"/>
  <c r="AW29" i="95"/>
  <c r="AT29" i="95"/>
  <c r="AQ29" i="95"/>
  <c r="AN29" i="95"/>
  <c r="AK29" i="95"/>
  <c r="AH29" i="95"/>
  <c r="AD29" i="95"/>
  <c r="AE29" i="95" s="1"/>
  <c r="AC29" i="95"/>
  <c r="Z29" i="95"/>
  <c r="W29" i="95"/>
  <c r="T29" i="95"/>
  <c r="Q29" i="95"/>
  <c r="N29" i="95"/>
  <c r="AX27" i="95"/>
  <c r="AW27" i="95"/>
  <c r="AT27" i="95"/>
  <c r="AQ27" i="95"/>
  <c r="AN27" i="95"/>
  <c r="AK27" i="95"/>
  <c r="AH27" i="95"/>
  <c r="AD27" i="95"/>
  <c r="AC27" i="95"/>
  <c r="Z27" i="95"/>
  <c r="W27" i="95"/>
  <c r="T27" i="95"/>
  <c r="Q27" i="95"/>
  <c r="N27" i="95"/>
  <c r="G27" i="95"/>
  <c r="AY27" i="95" s="1"/>
  <c r="AY26" i="95"/>
  <c r="AX26" i="95"/>
  <c r="AW26" i="95"/>
  <c r="AT26" i="95"/>
  <c r="AQ26" i="95"/>
  <c r="AN26" i="95"/>
  <c r="AK26" i="95"/>
  <c r="AH26" i="95"/>
  <c r="AE26" i="95"/>
  <c r="AD26" i="95"/>
  <c r="AC26" i="95"/>
  <c r="Z26" i="95"/>
  <c r="W26" i="95"/>
  <c r="T26" i="95"/>
  <c r="Q26" i="95"/>
  <c r="N26" i="95"/>
  <c r="AY25" i="95"/>
  <c r="AX25" i="95"/>
  <c r="AW25" i="95"/>
  <c r="AT25" i="95"/>
  <c r="AQ25" i="95"/>
  <c r="AN25" i="95"/>
  <c r="AK25" i="95"/>
  <c r="AH25" i="95"/>
  <c r="AE25" i="95"/>
  <c r="AD25" i="95"/>
  <c r="AC25" i="95"/>
  <c r="Z25" i="95"/>
  <c r="W25" i="95"/>
  <c r="T25" i="95"/>
  <c r="Q25" i="95"/>
  <c r="N25" i="95"/>
  <c r="AY24" i="95"/>
  <c r="AX24" i="95"/>
  <c r="AW24" i="95"/>
  <c r="AT24" i="95"/>
  <c r="AQ24" i="95"/>
  <c r="AN24" i="95"/>
  <c r="AK24" i="95"/>
  <c r="AH24" i="95"/>
  <c r="AE24" i="95"/>
  <c r="AD24" i="95"/>
  <c r="AC24" i="95"/>
  <c r="Z24" i="95"/>
  <c r="W24" i="95"/>
  <c r="T24" i="95"/>
  <c r="Q24" i="95"/>
  <c r="N24" i="95"/>
  <c r="AY23" i="95"/>
  <c r="AX23" i="95"/>
  <c r="AW23" i="95"/>
  <c r="AT23" i="95"/>
  <c r="AQ23" i="95"/>
  <c r="AN23" i="95"/>
  <c r="AK23" i="95"/>
  <c r="AH23" i="95"/>
  <c r="AE23" i="95"/>
  <c r="AD23" i="95"/>
  <c r="AC23" i="95"/>
  <c r="Z23" i="95"/>
  <c r="W23" i="95"/>
  <c r="T23" i="95"/>
  <c r="Q23" i="95"/>
  <c r="N23" i="95"/>
  <c r="AY22" i="95"/>
  <c r="AX22" i="95"/>
  <c r="AW22" i="95"/>
  <c r="AT22" i="95"/>
  <c r="AQ22" i="95"/>
  <c r="AN22" i="95"/>
  <c r="AK22" i="95"/>
  <c r="AH22" i="95"/>
  <c r="AE22" i="95"/>
  <c r="AD22" i="95"/>
  <c r="AC22" i="95"/>
  <c r="Z22" i="95"/>
  <c r="W22" i="95"/>
  <c r="T22" i="95"/>
  <c r="Q22" i="95"/>
  <c r="N22" i="95"/>
  <c r="AY21" i="95"/>
  <c r="AX21" i="95"/>
  <c r="AW21" i="95"/>
  <c r="AT21" i="95"/>
  <c r="AQ21" i="95"/>
  <c r="AN21" i="95"/>
  <c r="AK21" i="95"/>
  <c r="AH21" i="95"/>
  <c r="AE21" i="95"/>
  <c r="AD21" i="95"/>
  <c r="AC21" i="95"/>
  <c r="Z21" i="95"/>
  <c r="W21" i="95"/>
  <c r="T21" i="95"/>
  <c r="Q21" i="95"/>
  <c r="N21" i="95"/>
  <c r="AY20" i="95"/>
  <c r="AX20" i="95"/>
  <c r="AW20" i="95"/>
  <c r="AT20" i="95"/>
  <c r="AQ20" i="95"/>
  <c r="AN20" i="95"/>
  <c r="AK20" i="95"/>
  <c r="AH20" i="95"/>
  <c r="AE20" i="95"/>
  <c r="AD20" i="95"/>
  <c r="AC20" i="95"/>
  <c r="Z20" i="95"/>
  <c r="W20" i="95"/>
  <c r="T20" i="95"/>
  <c r="Q20" i="95"/>
  <c r="N20" i="95"/>
  <c r="AY19" i="95"/>
  <c r="AX19" i="95"/>
  <c r="AW19" i="95"/>
  <c r="AT19" i="95"/>
  <c r="AQ19" i="95"/>
  <c r="AN19" i="95"/>
  <c r="AK19" i="95"/>
  <c r="AH19" i="95"/>
  <c r="AE19" i="95"/>
  <c r="AD19" i="95"/>
  <c r="AC19" i="95"/>
  <c r="Z19" i="95"/>
  <c r="W19" i="95"/>
  <c r="T19" i="95"/>
  <c r="Q19" i="95"/>
  <c r="N19" i="95"/>
  <c r="AY18" i="95"/>
  <c r="AX18" i="95"/>
  <c r="AW18" i="95"/>
  <c r="AT18" i="95"/>
  <c r="AQ18" i="95"/>
  <c r="AN18" i="95"/>
  <c r="AK18" i="95"/>
  <c r="AH18" i="95"/>
  <c r="AE18" i="95"/>
  <c r="AD18" i="95"/>
  <c r="AC18" i="95"/>
  <c r="Z18" i="95"/>
  <c r="W18" i="95"/>
  <c r="T18" i="95"/>
  <c r="Q18" i="95"/>
  <c r="N18" i="95"/>
  <c r="AY17" i="95"/>
  <c r="AX17" i="95"/>
  <c r="AW17" i="95"/>
  <c r="AT17" i="95"/>
  <c r="AQ17" i="95"/>
  <c r="AN17" i="95"/>
  <c r="AK17" i="95"/>
  <c r="AH17" i="95"/>
  <c r="AE17" i="95"/>
  <c r="AD17" i="95"/>
  <c r="AC17" i="95"/>
  <c r="Z17" i="95"/>
  <c r="W17" i="95"/>
  <c r="T17" i="95"/>
  <c r="Q17" i="95"/>
  <c r="N17" i="95"/>
  <c r="AY16" i="95"/>
  <c r="AX16" i="95"/>
  <c r="AW16" i="95"/>
  <c r="AT16" i="95"/>
  <c r="AQ16" i="95"/>
  <c r="AN16" i="95"/>
  <c r="AK16" i="95"/>
  <c r="AH16" i="95"/>
  <c r="AE16" i="95"/>
  <c r="AD16" i="95"/>
  <c r="AC16" i="95"/>
  <c r="Z16" i="95"/>
  <c r="W16" i="95"/>
  <c r="T16" i="95"/>
  <c r="Q16" i="95"/>
  <c r="N16" i="95"/>
  <c r="AY15" i="95"/>
  <c r="AX15" i="95"/>
  <c r="AW15" i="95"/>
  <c r="AT15" i="95"/>
  <c r="AQ15" i="95"/>
  <c r="AN15" i="95"/>
  <c r="AK15" i="95"/>
  <c r="AH15" i="95"/>
  <c r="AE15" i="95"/>
  <c r="AD15" i="95"/>
  <c r="AC15" i="95"/>
  <c r="Z15" i="95"/>
  <c r="W15" i="95"/>
  <c r="T15" i="95"/>
  <c r="Q15" i="95"/>
  <c r="N15" i="95"/>
  <c r="AY14" i="95"/>
  <c r="AX14" i="95"/>
  <c r="AW14" i="95"/>
  <c r="AT14" i="95"/>
  <c r="AQ14" i="95"/>
  <c r="AN14" i="95"/>
  <c r="AK14" i="95"/>
  <c r="AH14" i="95"/>
  <c r="AE14" i="95"/>
  <c r="AD14" i="95"/>
  <c r="AC14" i="95"/>
  <c r="Z14" i="95"/>
  <c r="W14" i="95"/>
  <c r="T14" i="95"/>
  <c r="Q14" i="95"/>
  <c r="N14" i="95"/>
  <c r="AY13" i="95"/>
  <c r="AX13" i="95"/>
  <c r="AW13" i="95"/>
  <c r="AT13" i="95"/>
  <c r="AQ13" i="95"/>
  <c r="AN13" i="95"/>
  <c r="AK13" i="95"/>
  <c r="AH13" i="95"/>
  <c r="AE13" i="95"/>
  <c r="AD13" i="95"/>
  <c r="AC13" i="95"/>
  <c r="Z13" i="95"/>
  <c r="W13" i="95"/>
  <c r="T13" i="95"/>
  <c r="Q13" i="95"/>
  <c r="N13" i="95"/>
  <c r="AY12" i="95"/>
  <c r="AX12" i="95"/>
  <c r="AW12" i="95"/>
  <c r="AT12" i="95"/>
  <c r="AQ12" i="95"/>
  <c r="AN12" i="95"/>
  <c r="AK12" i="95"/>
  <c r="AH12" i="95"/>
  <c r="AE12" i="95"/>
  <c r="AD12" i="95"/>
  <c r="AC12" i="95"/>
  <c r="Z12" i="95"/>
  <c r="W12" i="95"/>
  <c r="T12" i="95"/>
  <c r="Q12" i="95"/>
  <c r="N12" i="95"/>
  <c r="AY11" i="95"/>
  <c r="AX11" i="95"/>
  <c r="AW11" i="95"/>
  <c r="AT11" i="95"/>
  <c r="AQ11" i="95"/>
  <c r="AN11" i="95"/>
  <c r="AK11" i="95"/>
  <c r="AH11" i="95"/>
  <c r="AE11" i="95"/>
  <c r="AD11" i="95"/>
  <c r="AC11" i="95"/>
  <c r="Z11" i="95"/>
  <c r="W11" i="95"/>
  <c r="T11" i="95"/>
  <c r="Q11" i="95"/>
  <c r="N11" i="95"/>
  <c r="AY10" i="95"/>
  <c r="AX10" i="95"/>
  <c r="AW10" i="95"/>
  <c r="AT10" i="95"/>
  <c r="AQ10" i="95"/>
  <c r="AN10" i="95"/>
  <c r="AK10" i="95"/>
  <c r="AH10" i="95"/>
  <c r="AE10" i="95"/>
  <c r="AD10" i="95"/>
  <c r="AC10" i="95"/>
  <c r="Z10" i="95"/>
  <c r="W10" i="95"/>
  <c r="T10" i="95"/>
  <c r="Q10" i="95"/>
  <c r="N10" i="95"/>
  <c r="AY9" i="95"/>
  <c r="AX9" i="95"/>
  <c r="AW9" i="95"/>
  <c r="AT9" i="95"/>
  <c r="AQ9" i="95"/>
  <c r="AN9" i="95"/>
  <c r="AK9" i="95"/>
  <c r="AH9" i="95"/>
  <c r="AE9" i="95"/>
  <c r="AD9" i="95"/>
  <c r="AC9" i="95"/>
  <c r="Z9" i="95"/>
  <c r="W9" i="95"/>
  <c r="T9" i="95"/>
  <c r="Q9" i="95"/>
  <c r="N9" i="95"/>
  <c r="AZ3" i="95" l="1"/>
  <c r="C44" i="10" s="1"/>
  <c r="AE27" i="95"/>
  <c r="AX33" i="94" l="1"/>
  <c r="AY33" i="94" s="1"/>
  <c r="AW33" i="94"/>
  <c r="AT33" i="94"/>
  <c r="AQ33" i="94"/>
  <c r="AN33" i="94"/>
  <c r="AK33" i="94"/>
  <c r="AH33" i="94"/>
  <c r="AD33" i="94"/>
  <c r="AE33" i="94" s="1"/>
  <c r="AC33" i="94"/>
  <c r="Z33" i="94"/>
  <c r="W33" i="94"/>
  <c r="T33" i="94"/>
  <c r="Q33" i="94"/>
  <c r="N33" i="94"/>
  <c r="AX31" i="94"/>
  <c r="AY31" i="94" s="1"/>
  <c r="AW31" i="94"/>
  <c r="AT31" i="94"/>
  <c r="AQ31" i="94"/>
  <c r="AN31" i="94"/>
  <c r="AK31" i="94"/>
  <c r="AH31" i="94"/>
  <c r="AD31" i="94"/>
  <c r="AE31" i="94" s="1"/>
  <c r="AC31" i="94"/>
  <c r="Z31" i="94"/>
  <c r="W31" i="94"/>
  <c r="T31" i="94"/>
  <c r="Q31" i="94"/>
  <c r="N31" i="94"/>
  <c r="AX30" i="94"/>
  <c r="AY30" i="94" s="1"/>
  <c r="AW30" i="94"/>
  <c r="AT30" i="94"/>
  <c r="AQ30" i="94"/>
  <c r="AN30" i="94"/>
  <c r="AK30" i="94"/>
  <c r="AH30" i="94"/>
  <c r="AD30" i="94"/>
  <c r="AE30" i="94" s="1"/>
  <c r="AC30" i="94"/>
  <c r="Z30" i="94"/>
  <c r="W30" i="94"/>
  <c r="T30" i="94"/>
  <c r="Q30" i="94"/>
  <c r="N30" i="94"/>
  <c r="AX29" i="94"/>
  <c r="AY29" i="94" s="1"/>
  <c r="AW29" i="94"/>
  <c r="AT29" i="94"/>
  <c r="AQ29" i="94"/>
  <c r="AN29" i="94"/>
  <c r="AK29" i="94"/>
  <c r="AH29" i="94"/>
  <c r="AD29" i="94"/>
  <c r="AE29" i="94" s="1"/>
  <c r="AC29" i="94"/>
  <c r="Z29" i="94"/>
  <c r="W29" i="94"/>
  <c r="T29" i="94"/>
  <c r="Q29" i="94"/>
  <c r="N29" i="94"/>
  <c r="AX27" i="94"/>
  <c r="AW27" i="94"/>
  <c r="AT27" i="94"/>
  <c r="AQ27" i="94"/>
  <c r="AN27" i="94"/>
  <c r="AK27" i="94"/>
  <c r="AH27" i="94"/>
  <c r="AD27" i="94"/>
  <c r="AC27" i="94"/>
  <c r="Z27" i="94"/>
  <c r="W27" i="94"/>
  <c r="T27" i="94"/>
  <c r="Q27" i="94"/>
  <c r="N27" i="94"/>
  <c r="G27" i="94"/>
  <c r="AX26" i="94"/>
  <c r="AT26" i="94"/>
  <c r="AK26" i="94"/>
  <c r="AD26" i="94"/>
  <c r="AE26" i="94" s="1"/>
  <c r="Q26" i="94"/>
  <c r="N26" i="94"/>
  <c r="AW25" i="94"/>
  <c r="AT25" i="94"/>
  <c r="AQ25" i="94"/>
  <c r="AN25" i="94"/>
  <c r="AK25" i="94"/>
  <c r="AH25" i="94"/>
  <c r="AD25" i="94"/>
  <c r="AE25" i="94" s="1"/>
  <c r="AC25" i="94"/>
  <c r="Z25" i="94"/>
  <c r="W25" i="94"/>
  <c r="T25" i="94"/>
  <c r="Q25" i="94"/>
  <c r="N25" i="94"/>
  <c r="AX24" i="94"/>
  <c r="AW24" i="94"/>
  <c r="AT24" i="94"/>
  <c r="AN24" i="94"/>
  <c r="AK24" i="94"/>
  <c r="AH24" i="94"/>
  <c r="AD24" i="94"/>
  <c r="AE24" i="94" s="1"/>
  <c r="AC24" i="94"/>
  <c r="Z24" i="94"/>
  <c r="W24" i="94"/>
  <c r="T24" i="94"/>
  <c r="Q24" i="94"/>
  <c r="N24" i="94"/>
  <c r="AX23" i="94"/>
  <c r="AY23" i="94" s="1"/>
  <c r="AW23" i="94"/>
  <c r="AT23" i="94"/>
  <c r="AQ23" i="94"/>
  <c r="AN23" i="94"/>
  <c r="AK23" i="94"/>
  <c r="AH23" i="94"/>
  <c r="AD23" i="94"/>
  <c r="AE23" i="94" s="1"/>
  <c r="AC23" i="94"/>
  <c r="Z23" i="94"/>
  <c r="W23" i="94"/>
  <c r="T23" i="94"/>
  <c r="Q23" i="94"/>
  <c r="N23" i="94"/>
  <c r="AX22" i="94"/>
  <c r="AW22" i="94"/>
  <c r="AT22" i="94"/>
  <c r="AN22" i="94"/>
  <c r="AK22" i="94"/>
  <c r="AH22" i="94"/>
  <c r="AD22" i="94"/>
  <c r="AE22" i="94" s="1"/>
  <c r="AC22" i="94"/>
  <c r="Z22" i="94"/>
  <c r="W22" i="94"/>
  <c r="T22" i="94"/>
  <c r="Q22" i="94"/>
  <c r="N22" i="94"/>
  <c r="AX21" i="94"/>
  <c r="AW21" i="94"/>
  <c r="AT21" i="94"/>
  <c r="AQ21" i="94"/>
  <c r="AN21" i="94"/>
  <c r="AK21" i="94"/>
  <c r="AH21" i="94"/>
  <c r="AD21" i="94"/>
  <c r="AE21" i="94" s="1"/>
  <c r="AC21" i="94"/>
  <c r="Z21" i="94"/>
  <c r="W21" i="94"/>
  <c r="T21" i="94"/>
  <c r="Q21" i="94"/>
  <c r="N21" i="94"/>
  <c r="AX20" i="94"/>
  <c r="AW20" i="94"/>
  <c r="AT20" i="94"/>
  <c r="AN20" i="94"/>
  <c r="AH20" i="94"/>
  <c r="AD20" i="94"/>
  <c r="AE20" i="94" s="1"/>
  <c r="AC20" i="94"/>
  <c r="Z20" i="94"/>
  <c r="T20" i="94"/>
  <c r="Q20" i="94"/>
  <c r="N20" i="94"/>
  <c r="AX19" i="94"/>
  <c r="AY19" i="94" s="1"/>
  <c r="AW19" i="94"/>
  <c r="AT19" i="94"/>
  <c r="AQ19" i="94"/>
  <c r="AN19" i="94"/>
  <c r="AK19" i="94"/>
  <c r="AH19" i="94"/>
  <c r="AD19" i="94"/>
  <c r="AE19" i="94" s="1"/>
  <c r="AC19" i="94"/>
  <c r="Z19" i="94"/>
  <c r="W19" i="94"/>
  <c r="T19" i="94"/>
  <c r="Q19" i="94"/>
  <c r="N19" i="94"/>
  <c r="AX18" i="94"/>
  <c r="AY18" i="94" s="1"/>
  <c r="AW18" i="94"/>
  <c r="AT18" i="94"/>
  <c r="AQ18" i="94"/>
  <c r="AN18" i="94"/>
  <c r="AK18" i="94"/>
  <c r="AH18" i="94"/>
  <c r="AD18" i="94"/>
  <c r="AE18" i="94" s="1"/>
  <c r="AC18" i="94"/>
  <c r="Z18" i="94"/>
  <c r="W18" i="94"/>
  <c r="T18" i="94"/>
  <c r="Q18" i="94"/>
  <c r="N18" i="94"/>
  <c r="AY17" i="94"/>
  <c r="AW17" i="94"/>
  <c r="AT17" i="94"/>
  <c r="AQ17" i="94"/>
  <c r="AN17" i="94"/>
  <c r="AK17" i="94"/>
  <c r="AH17" i="94"/>
  <c r="AD17" i="94"/>
  <c r="AE17" i="94" s="1"/>
  <c r="AC17" i="94"/>
  <c r="Z17" i="94"/>
  <c r="W17" i="94"/>
  <c r="T17" i="94"/>
  <c r="Q17" i="94"/>
  <c r="N17" i="94"/>
  <c r="AX16" i="94"/>
  <c r="AY16" i="94" s="1"/>
  <c r="AW16" i="94"/>
  <c r="AT16" i="94"/>
  <c r="AQ16" i="94"/>
  <c r="AN16" i="94"/>
  <c r="AK16" i="94"/>
  <c r="AH16" i="94"/>
  <c r="AD16" i="94"/>
  <c r="AE16" i="94" s="1"/>
  <c r="AC16" i="94"/>
  <c r="Z16" i="94"/>
  <c r="W16" i="94"/>
  <c r="T16" i="94"/>
  <c r="Q16" i="94"/>
  <c r="N16" i="94"/>
  <c r="AX15" i="94"/>
  <c r="AY15" i="94" s="1"/>
  <c r="AW15" i="94"/>
  <c r="AT15" i="94"/>
  <c r="AQ15" i="94"/>
  <c r="AN15" i="94"/>
  <c r="AK15" i="94"/>
  <c r="AH15" i="94"/>
  <c r="AD15" i="94"/>
  <c r="AE15" i="94" s="1"/>
  <c r="AC15" i="94"/>
  <c r="Z15" i="94"/>
  <c r="W15" i="94"/>
  <c r="T15" i="94"/>
  <c r="Q15" i="94"/>
  <c r="N15" i="94"/>
  <c r="AX14" i="94"/>
  <c r="AY14" i="94" s="1"/>
  <c r="AW14" i="94"/>
  <c r="AT14" i="94"/>
  <c r="AQ14" i="94"/>
  <c r="AN14" i="94"/>
  <c r="AK14" i="94"/>
  <c r="AH14" i="94"/>
  <c r="AD14" i="94"/>
  <c r="AE14" i="94" s="1"/>
  <c r="AC14" i="94"/>
  <c r="Z14" i="94"/>
  <c r="W14" i="94"/>
  <c r="T14" i="94"/>
  <c r="Q14" i="94"/>
  <c r="N14" i="94"/>
  <c r="AX13" i="94"/>
  <c r="AY13" i="94" s="1"/>
  <c r="AW13" i="94"/>
  <c r="AT13" i="94"/>
  <c r="AQ13" i="94"/>
  <c r="AN13" i="94"/>
  <c r="AK13" i="94"/>
  <c r="AH13" i="94"/>
  <c r="AD13" i="94"/>
  <c r="AE13" i="94" s="1"/>
  <c r="AC13" i="94"/>
  <c r="Z13" i="94"/>
  <c r="W13" i="94"/>
  <c r="T13" i="94"/>
  <c r="Q13" i="94"/>
  <c r="N13" i="94"/>
  <c r="AX12" i="94"/>
  <c r="AY12" i="94" s="1"/>
  <c r="AW12" i="94"/>
  <c r="AT12" i="94"/>
  <c r="AQ12" i="94"/>
  <c r="AN12" i="94"/>
  <c r="AK12" i="94"/>
  <c r="AH12" i="94"/>
  <c r="AD12" i="94"/>
  <c r="AE12" i="94" s="1"/>
  <c r="AC12" i="94"/>
  <c r="Z12" i="94"/>
  <c r="W12" i="94"/>
  <c r="T12" i="94"/>
  <c r="Q12" i="94"/>
  <c r="N12" i="94"/>
  <c r="AX11" i="94"/>
  <c r="AW11" i="94"/>
  <c r="AT11" i="94"/>
  <c r="AQ11" i="94"/>
  <c r="AN11" i="94"/>
  <c r="AK11" i="94"/>
  <c r="AH11" i="94"/>
  <c r="AE11" i="94"/>
  <c r="AC11" i="94"/>
  <c r="Z11" i="94"/>
  <c r="W11" i="94"/>
  <c r="T11" i="94"/>
  <c r="Q11" i="94"/>
  <c r="N11" i="94"/>
  <c r="AX10" i="94"/>
  <c r="AY10" i="94" s="1"/>
  <c r="AW10" i="94"/>
  <c r="AT10" i="94"/>
  <c r="AQ10" i="94"/>
  <c r="AN10" i="94"/>
  <c r="AK10" i="94"/>
  <c r="AH10" i="94"/>
  <c r="AD10" i="94"/>
  <c r="AE10" i="94" s="1"/>
  <c r="AC10" i="94"/>
  <c r="Z10" i="94"/>
  <c r="W10" i="94"/>
  <c r="T10" i="94"/>
  <c r="Q10" i="94"/>
  <c r="N10" i="94"/>
  <c r="AX9" i="94"/>
  <c r="AY9" i="94" s="1"/>
  <c r="AW9" i="94"/>
  <c r="AT9" i="94"/>
  <c r="AQ9" i="94"/>
  <c r="AN9" i="94"/>
  <c r="AK9" i="94"/>
  <c r="AH9" i="94"/>
  <c r="AD9" i="94"/>
  <c r="AC9" i="94"/>
  <c r="Z9" i="94"/>
  <c r="W9" i="94"/>
  <c r="T9" i="94"/>
  <c r="Q9" i="94"/>
  <c r="N9" i="94"/>
  <c r="G9" i="94"/>
  <c r="AE9" i="94" l="1"/>
  <c r="AE27" i="94"/>
  <c r="AY27" i="94"/>
  <c r="AZ4" i="94" s="1"/>
  <c r="C43" i="10" s="1"/>
  <c r="AX56" i="93"/>
  <c r="AY56" i="93" s="1"/>
  <c r="AW56" i="93"/>
  <c r="AT56" i="93"/>
  <c r="AQ56" i="93"/>
  <c r="AN56" i="93"/>
  <c r="AK56" i="93"/>
  <c r="AH56" i="93"/>
  <c r="AD56" i="93"/>
  <c r="AE56" i="93" s="1"/>
  <c r="AC56" i="93"/>
  <c r="Z56" i="93"/>
  <c r="W56" i="93"/>
  <c r="T56" i="93"/>
  <c r="Q56" i="93"/>
  <c r="N56" i="93"/>
  <c r="AX54" i="93"/>
  <c r="AY54" i="93" s="1"/>
  <c r="AW54" i="93"/>
  <c r="AT54" i="93"/>
  <c r="AQ54" i="93"/>
  <c r="AN54" i="93"/>
  <c r="AK54" i="93"/>
  <c r="AH54" i="93"/>
  <c r="AD54" i="93"/>
  <c r="AE54" i="93" s="1"/>
  <c r="AC54" i="93"/>
  <c r="Z54" i="93"/>
  <c r="W54" i="93"/>
  <c r="T54" i="93"/>
  <c r="Q54" i="93"/>
  <c r="N54" i="93"/>
  <c r="AX53" i="93"/>
  <c r="AY53" i="93" s="1"/>
  <c r="AW53" i="93"/>
  <c r="AT53" i="93"/>
  <c r="AQ53" i="93"/>
  <c r="AN53" i="93"/>
  <c r="AK53" i="93"/>
  <c r="AH53" i="93"/>
  <c r="AD53" i="93"/>
  <c r="AE53" i="93" s="1"/>
  <c r="AC53" i="93"/>
  <c r="Z53" i="93"/>
  <c r="W53" i="93"/>
  <c r="T53" i="93"/>
  <c r="Q53" i="93"/>
  <c r="N53" i="93"/>
  <c r="AX52" i="93"/>
  <c r="AW52" i="93"/>
  <c r="AT52" i="93"/>
  <c r="AQ52" i="93"/>
  <c r="AN52" i="93"/>
  <c r="AK52" i="93"/>
  <c r="AH52" i="93"/>
  <c r="AD52" i="93"/>
  <c r="AE52" i="93" s="1"/>
  <c r="AC52" i="93"/>
  <c r="Z52" i="93"/>
  <c r="W52" i="93"/>
  <c r="T52" i="93"/>
  <c r="Q52" i="93"/>
  <c r="N52" i="93"/>
  <c r="AX51" i="93"/>
  <c r="AY51" i="93" s="1"/>
  <c r="AW51" i="93"/>
  <c r="AT51" i="93"/>
  <c r="AQ51" i="93"/>
  <c r="AN51" i="93"/>
  <c r="AK51" i="93"/>
  <c r="AH51" i="93"/>
  <c r="AD51" i="93"/>
  <c r="AE51" i="93" s="1"/>
  <c r="AC51" i="93"/>
  <c r="Z51" i="93"/>
  <c r="W51" i="93"/>
  <c r="T51" i="93"/>
  <c r="Q51" i="93"/>
  <c r="N51" i="93"/>
  <c r="AX50" i="93"/>
  <c r="AY50" i="93" s="1"/>
  <c r="AW50" i="93"/>
  <c r="AT50" i="93"/>
  <c r="AQ50" i="93"/>
  <c r="AN50" i="93"/>
  <c r="AK50" i="93"/>
  <c r="AH50" i="93"/>
  <c r="AD50" i="93"/>
  <c r="AE50" i="93" s="1"/>
  <c r="AC50" i="93"/>
  <c r="Z50" i="93"/>
  <c r="W50" i="93"/>
  <c r="T50" i="93"/>
  <c r="Q50" i="93"/>
  <c r="N50" i="93"/>
  <c r="AX48" i="93"/>
  <c r="AY48" i="93" s="1"/>
  <c r="AW48" i="93"/>
  <c r="AT48" i="93"/>
  <c r="AQ48" i="93"/>
  <c r="AN48" i="93"/>
  <c r="AK48" i="93"/>
  <c r="AH48" i="93"/>
  <c r="AD48" i="93"/>
  <c r="AE48" i="93" s="1"/>
  <c r="AC48" i="93"/>
  <c r="Z48" i="93"/>
  <c r="W48" i="93"/>
  <c r="T48" i="93"/>
  <c r="Q48" i="93"/>
  <c r="N48" i="93"/>
  <c r="AX47" i="93"/>
  <c r="AY47" i="93" s="1"/>
  <c r="AW47" i="93"/>
  <c r="AT47" i="93"/>
  <c r="AQ47" i="93"/>
  <c r="AN47" i="93"/>
  <c r="AK47" i="93"/>
  <c r="AH47" i="93"/>
  <c r="AD47" i="93"/>
  <c r="AE47" i="93" s="1"/>
  <c r="AC47" i="93"/>
  <c r="Z47" i="93"/>
  <c r="W47" i="93"/>
  <c r="T47" i="93"/>
  <c r="Q47" i="93"/>
  <c r="N47" i="93"/>
  <c r="AX46" i="93"/>
  <c r="AY46" i="93" s="1"/>
  <c r="AW46" i="93"/>
  <c r="AT46" i="93"/>
  <c r="AQ46" i="93"/>
  <c r="AN46" i="93"/>
  <c r="AK46" i="93"/>
  <c r="AH46" i="93"/>
  <c r="AD46" i="93"/>
  <c r="AE46" i="93" s="1"/>
  <c r="AC46" i="93"/>
  <c r="Z46" i="93"/>
  <c r="W46" i="93"/>
  <c r="T46" i="93"/>
  <c r="Q46" i="93"/>
  <c r="N46" i="93"/>
  <c r="AX45" i="93"/>
  <c r="AY45" i="93" s="1"/>
  <c r="AW45" i="93"/>
  <c r="AT45" i="93"/>
  <c r="AQ45" i="93"/>
  <c r="AN45" i="93"/>
  <c r="AK45" i="93"/>
  <c r="AH45" i="93"/>
  <c r="AD45" i="93"/>
  <c r="AE45" i="93" s="1"/>
  <c r="AC45" i="93"/>
  <c r="Z45" i="93"/>
  <c r="W45" i="93"/>
  <c r="T45" i="93"/>
  <c r="Q45" i="93"/>
  <c r="N45" i="93"/>
  <c r="AX44" i="93"/>
  <c r="AW44" i="93"/>
  <c r="AT44" i="93"/>
  <c r="AQ44" i="93"/>
  <c r="AN44" i="93"/>
  <c r="AK44" i="93"/>
  <c r="AH44" i="93"/>
  <c r="AD44" i="93"/>
  <c r="AE44" i="93" s="1"/>
  <c r="AC44" i="93"/>
  <c r="Z44" i="93"/>
  <c r="W44" i="93"/>
  <c r="T44" i="93"/>
  <c r="Q44" i="93"/>
  <c r="N44" i="93"/>
  <c r="AX43" i="93"/>
  <c r="AY43" i="93" s="1"/>
  <c r="AW43" i="93"/>
  <c r="AT43" i="93"/>
  <c r="AQ43" i="93"/>
  <c r="AN43" i="93"/>
  <c r="AK43" i="93"/>
  <c r="AH43" i="93"/>
  <c r="AD43" i="93"/>
  <c r="AE43" i="93" s="1"/>
  <c r="AC43" i="93"/>
  <c r="Z43" i="93"/>
  <c r="W43" i="93"/>
  <c r="T43" i="93"/>
  <c r="Q43" i="93"/>
  <c r="N43" i="93"/>
  <c r="AX42" i="93"/>
  <c r="AY42" i="93" s="1"/>
  <c r="AW42" i="93"/>
  <c r="AT42" i="93"/>
  <c r="AQ42" i="93"/>
  <c r="AN42" i="93"/>
  <c r="AK42" i="93"/>
  <c r="AH42" i="93"/>
  <c r="AD42" i="93"/>
  <c r="AE42" i="93" s="1"/>
  <c r="AC42" i="93"/>
  <c r="Z42" i="93"/>
  <c r="W42" i="93"/>
  <c r="T42" i="93"/>
  <c r="Q42" i="93"/>
  <c r="N42" i="93"/>
  <c r="AX41" i="93"/>
  <c r="AY41" i="93" s="1"/>
  <c r="AW41" i="93"/>
  <c r="AT41" i="93"/>
  <c r="AQ41" i="93"/>
  <c r="AN41" i="93"/>
  <c r="AK41" i="93"/>
  <c r="AH41" i="93"/>
  <c r="AD41" i="93"/>
  <c r="AE41" i="93" s="1"/>
  <c r="AC41" i="93"/>
  <c r="Z41" i="93"/>
  <c r="W41" i="93"/>
  <c r="T41" i="93"/>
  <c r="Q41" i="93"/>
  <c r="N41" i="93"/>
  <c r="AX40" i="93"/>
  <c r="AW40" i="93"/>
  <c r="AT40" i="93"/>
  <c r="AQ40" i="93"/>
  <c r="AN40" i="93"/>
  <c r="AK40" i="93"/>
  <c r="AH40" i="93"/>
  <c r="AD40" i="93"/>
  <c r="AC40" i="93"/>
  <c r="Z40" i="93"/>
  <c r="W40" i="93"/>
  <c r="T40" i="93"/>
  <c r="Q40" i="93"/>
  <c r="N40" i="93"/>
  <c r="G40" i="93"/>
  <c r="AY39" i="93"/>
  <c r="AX39" i="93"/>
  <c r="AW39" i="93"/>
  <c r="AT39" i="93"/>
  <c r="AQ39" i="93"/>
  <c r="AN39" i="93"/>
  <c r="AK39" i="93"/>
  <c r="AH39" i="93"/>
  <c r="AE39" i="93"/>
  <c r="AD39" i="93"/>
  <c r="AC39" i="93"/>
  <c r="Z39" i="93"/>
  <c r="W39" i="93"/>
  <c r="T39" i="93"/>
  <c r="Q39" i="93"/>
  <c r="N39" i="93"/>
  <c r="AX38" i="93"/>
  <c r="AW38" i="93"/>
  <c r="AT38" i="93"/>
  <c r="AQ38" i="93"/>
  <c r="AN38" i="93"/>
  <c r="AK38" i="93"/>
  <c r="AH38" i="93"/>
  <c r="AD38" i="93"/>
  <c r="AE38" i="93" s="1"/>
  <c r="AC38" i="93"/>
  <c r="Z38" i="93"/>
  <c r="W38" i="93"/>
  <c r="T38" i="93"/>
  <c r="Q38" i="93"/>
  <c r="N38" i="93"/>
  <c r="AX37" i="93"/>
  <c r="AY37" i="93" s="1"/>
  <c r="AW37" i="93"/>
  <c r="AT37" i="93"/>
  <c r="AQ37" i="93"/>
  <c r="AN37" i="93"/>
  <c r="AK37" i="93"/>
  <c r="AH37" i="93"/>
  <c r="AD37" i="93"/>
  <c r="AE37" i="93" s="1"/>
  <c r="AC37" i="93"/>
  <c r="Z37" i="93"/>
  <c r="W37" i="93"/>
  <c r="T37" i="93"/>
  <c r="Q37" i="93"/>
  <c r="N37" i="93"/>
  <c r="AX36" i="93"/>
  <c r="AY36" i="93" s="1"/>
  <c r="AW36" i="93"/>
  <c r="AT36" i="93"/>
  <c r="AQ36" i="93"/>
  <c r="AN36" i="93"/>
  <c r="AK36" i="93"/>
  <c r="AH36" i="93"/>
  <c r="AD36" i="93"/>
  <c r="AE36" i="93" s="1"/>
  <c r="AC36" i="93"/>
  <c r="Z36" i="93"/>
  <c r="W36" i="93"/>
  <c r="T36" i="93"/>
  <c r="Q36" i="93"/>
  <c r="N36" i="93"/>
  <c r="AX35" i="93"/>
  <c r="AY35" i="93" s="1"/>
  <c r="AW35" i="93"/>
  <c r="AT35" i="93"/>
  <c r="AQ35" i="93"/>
  <c r="AN35" i="93"/>
  <c r="AK35" i="93"/>
  <c r="AH35" i="93"/>
  <c r="AD35" i="93"/>
  <c r="AE35" i="93" s="1"/>
  <c r="AC35" i="93"/>
  <c r="Z35" i="93"/>
  <c r="W35" i="93"/>
  <c r="T35" i="93"/>
  <c r="Q35" i="93"/>
  <c r="N35" i="93"/>
  <c r="AX34" i="93"/>
  <c r="AY34" i="93" s="1"/>
  <c r="AW34" i="93"/>
  <c r="AT34" i="93"/>
  <c r="AQ34" i="93"/>
  <c r="AN34" i="93"/>
  <c r="AK34" i="93"/>
  <c r="AH34" i="93"/>
  <c r="AD34" i="93"/>
  <c r="AE34" i="93" s="1"/>
  <c r="AC34" i="93"/>
  <c r="Z34" i="93"/>
  <c r="W34" i="93"/>
  <c r="T34" i="93"/>
  <c r="Q34" i="93"/>
  <c r="N34" i="93"/>
  <c r="AX33" i="93"/>
  <c r="AY33" i="93" s="1"/>
  <c r="AW33" i="93"/>
  <c r="AT33" i="93"/>
  <c r="AQ33" i="93"/>
  <c r="AN33" i="93"/>
  <c r="AK33" i="93"/>
  <c r="AH33" i="93"/>
  <c r="AD33" i="93"/>
  <c r="AE33" i="93" s="1"/>
  <c r="AC33" i="93"/>
  <c r="Z33" i="93"/>
  <c r="W33" i="93"/>
  <c r="T33" i="93"/>
  <c r="Q33" i="93"/>
  <c r="N33" i="93"/>
  <c r="AX32" i="93"/>
  <c r="AY32" i="93" s="1"/>
  <c r="AW32" i="93"/>
  <c r="AT32" i="93"/>
  <c r="AQ32" i="93"/>
  <c r="AN32" i="93"/>
  <c r="AK32" i="93"/>
  <c r="AH32" i="93"/>
  <c r="AD32" i="93"/>
  <c r="AE32" i="93" s="1"/>
  <c r="AC32" i="93"/>
  <c r="Z32" i="93"/>
  <c r="W32" i="93"/>
  <c r="T32" i="93"/>
  <c r="Q32" i="93"/>
  <c r="N32" i="93"/>
  <c r="AX31" i="93"/>
  <c r="AY31" i="93" s="1"/>
  <c r="AW31" i="93"/>
  <c r="AT31" i="93"/>
  <c r="AQ31" i="93"/>
  <c r="AN31" i="93"/>
  <c r="AK31" i="93"/>
  <c r="AH31" i="93"/>
  <c r="AD31" i="93"/>
  <c r="AE31" i="93" s="1"/>
  <c r="AC31" i="93"/>
  <c r="Z31" i="93"/>
  <c r="W31" i="93"/>
  <c r="T31" i="93"/>
  <c r="Q31" i="93"/>
  <c r="N31" i="93"/>
  <c r="AX30" i="93"/>
  <c r="AY30" i="93" s="1"/>
  <c r="AW30" i="93"/>
  <c r="AT30" i="93"/>
  <c r="AQ30" i="93"/>
  <c r="AN30" i="93"/>
  <c r="AK30" i="93"/>
  <c r="AH30" i="93"/>
  <c r="AD30" i="93"/>
  <c r="AE30" i="93" s="1"/>
  <c r="AC30" i="93"/>
  <c r="Z30" i="93"/>
  <c r="W30" i="93"/>
  <c r="T30" i="93"/>
  <c r="Q30" i="93"/>
  <c r="N30" i="93"/>
  <c r="AX29" i="93"/>
  <c r="AY29" i="93" s="1"/>
  <c r="AW29" i="93"/>
  <c r="AT29" i="93"/>
  <c r="AQ29" i="93"/>
  <c r="AN29" i="93"/>
  <c r="AK29" i="93"/>
  <c r="AH29" i="93"/>
  <c r="AD29" i="93"/>
  <c r="AE29" i="93" s="1"/>
  <c r="AC29" i="93"/>
  <c r="Z29" i="93"/>
  <c r="W29" i="93"/>
  <c r="T29" i="93"/>
  <c r="Q29" i="93"/>
  <c r="N29" i="93"/>
  <c r="AX28" i="93"/>
  <c r="AY28" i="93" s="1"/>
  <c r="AW28" i="93"/>
  <c r="AT28" i="93"/>
  <c r="AQ28" i="93"/>
  <c r="AN28" i="93"/>
  <c r="AK28" i="93"/>
  <c r="AH28" i="93"/>
  <c r="AD28" i="93"/>
  <c r="AE28" i="93" s="1"/>
  <c r="AC28" i="93"/>
  <c r="Z28" i="93"/>
  <c r="W28" i="93"/>
  <c r="T28" i="93"/>
  <c r="Q28" i="93"/>
  <c r="N28" i="93"/>
  <c r="AX27" i="93"/>
  <c r="AY27" i="93" s="1"/>
  <c r="AW27" i="93"/>
  <c r="AT27" i="93"/>
  <c r="AQ27" i="93"/>
  <c r="AN27" i="93"/>
  <c r="AK27" i="93"/>
  <c r="AH27" i="93"/>
  <c r="AD27" i="93"/>
  <c r="AE27" i="93" s="1"/>
  <c r="AC27" i="93"/>
  <c r="Z27" i="93"/>
  <c r="W27" i="93"/>
  <c r="T27" i="93"/>
  <c r="Q27" i="93"/>
  <c r="N27" i="93"/>
  <c r="AX26" i="93"/>
  <c r="AY26" i="93" s="1"/>
  <c r="AW26" i="93"/>
  <c r="AT26" i="93"/>
  <c r="AQ26" i="93"/>
  <c r="AN26" i="93"/>
  <c r="AK26" i="93"/>
  <c r="AH26" i="93"/>
  <c r="AD26" i="93"/>
  <c r="AE26" i="93" s="1"/>
  <c r="AC26" i="93"/>
  <c r="Z26" i="93"/>
  <c r="W26" i="93"/>
  <c r="T26" i="93"/>
  <c r="Q26" i="93"/>
  <c r="N26" i="93"/>
  <c r="AX25" i="93"/>
  <c r="AW25" i="93"/>
  <c r="AT25" i="93"/>
  <c r="AQ25" i="93"/>
  <c r="AN25" i="93"/>
  <c r="AK25" i="93"/>
  <c r="AH25" i="93"/>
  <c r="AE25" i="93"/>
  <c r="AD25" i="93"/>
  <c r="AC25" i="93"/>
  <c r="Z25" i="93"/>
  <c r="W25" i="93"/>
  <c r="T25" i="93"/>
  <c r="Q25" i="93"/>
  <c r="N25" i="93"/>
  <c r="AX24" i="93"/>
  <c r="AY24" i="93" s="1"/>
  <c r="AW24" i="93"/>
  <c r="AT24" i="93"/>
  <c r="AQ24" i="93"/>
  <c r="AN24" i="93"/>
  <c r="AK24" i="93"/>
  <c r="AH24" i="93"/>
  <c r="AD24" i="93"/>
  <c r="AE24" i="93" s="1"/>
  <c r="AC24" i="93"/>
  <c r="Z24" i="93"/>
  <c r="W24" i="93"/>
  <c r="T24" i="93"/>
  <c r="Q24" i="93"/>
  <c r="N24" i="93"/>
  <c r="AX23" i="93"/>
  <c r="AY23" i="93" s="1"/>
  <c r="AW23" i="93"/>
  <c r="AT23" i="93"/>
  <c r="AQ23" i="93"/>
  <c r="AN23" i="93"/>
  <c r="AK23" i="93"/>
  <c r="AH23" i="93"/>
  <c r="AD23" i="93"/>
  <c r="AE23" i="93" s="1"/>
  <c r="AC23" i="93"/>
  <c r="Z23" i="93"/>
  <c r="W23" i="93"/>
  <c r="T23" i="93"/>
  <c r="Q23" i="93"/>
  <c r="N23" i="93"/>
  <c r="AX22" i="93"/>
  <c r="AY22" i="93" s="1"/>
  <c r="AW22" i="93"/>
  <c r="AT22" i="93"/>
  <c r="AQ22" i="93"/>
  <c r="AN22" i="93"/>
  <c r="AK22" i="93"/>
  <c r="AH22" i="93"/>
  <c r="AD22" i="93"/>
  <c r="AE22" i="93" s="1"/>
  <c r="AC22" i="93"/>
  <c r="Z22" i="93"/>
  <c r="W22" i="93"/>
  <c r="T22" i="93"/>
  <c r="Q22" i="93"/>
  <c r="N22" i="93"/>
  <c r="AX21" i="93"/>
  <c r="AY21" i="93" s="1"/>
  <c r="AW21" i="93"/>
  <c r="AT21" i="93"/>
  <c r="AQ21" i="93"/>
  <c r="AN21" i="93"/>
  <c r="AK21" i="93"/>
  <c r="AH21" i="93"/>
  <c r="AD21" i="93"/>
  <c r="AE21" i="93" s="1"/>
  <c r="AC21" i="93"/>
  <c r="Z21" i="93"/>
  <c r="W21" i="93"/>
  <c r="T21" i="93"/>
  <c r="Q21" i="93"/>
  <c r="N21" i="93"/>
  <c r="AX20" i="93"/>
  <c r="AY20" i="93" s="1"/>
  <c r="AW20" i="93"/>
  <c r="AT20" i="93"/>
  <c r="AQ20" i="93"/>
  <c r="AN20" i="93"/>
  <c r="AK20" i="93"/>
  <c r="AH20" i="93"/>
  <c r="AD20" i="93"/>
  <c r="AE20" i="93" s="1"/>
  <c r="AC20" i="93"/>
  <c r="Z20" i="93"/>
  <c r="W20" i="93"/>
  <c r="T20" i="93"/>
  <c r="Q20" i="93"/>
  <c r="N20" i="93"/>
  <c r="AX19" i="93"/>
  <c r="AY19" i="93" s="1"/>
  <c r="AW19" i="93"/>
  <c r="AT19" i="93"/>
  <c r="AQ19" i="93"/>
  <c r="AN19" i="93"/>
  <c r="AK19" i="93"/>
  <c r="AH19" i="93"/>
  <c r="AD19" i="93"/>
  <c r="AE19" i="93" s="1"/>
  <c r="AC19" i="93"/>
  <c r="Z19" i="93"/>
  <c r="W19" i="93"/>
  <c r="T19" i="93"/>
  <c r="Q19" i="93"/>
  <c r="N19" i="93"/>
  <c r="AX18" i="93"/>
  <c r="AY18" i="93" s="1"/>
  <c r="AW18" i="93"/>
  <c r="AT18" i="93"/>
  <c r="AQ18" i="93"/>
  <c r="AN18" i="93"/>
  <c r="AK18" i="93"/>
  <c r="AH18" i="93"/>
  <c r="AD18" i="93"/>
  <c r="AE18" i="93" s="1"/>
  <c r="AC18" i="93"/>
  <c r="Z18" i="93"/>
  <c r="W18" i="93"/>
  <c r="T18" i="93"/>
  <c r="Q18" i="93"/>
  <c r="M18" i="93"/>
  <c r="N18" i="93" s="1"/>
  <c r="AX17" i="93"/>
  <c r="AY17" i="93" s="1"/>
  <c r="AW17" i="93"/>
  <c r="AT17" i="93"/>
  <c r="AQ17" i="93"/>
  <c r="AN17" i="93"/>
  <c r="AK17" i="93"/>
  <c r="AH17" i="93"/>
  <c r="AD17" i="93"/>
  <c r="AE17" i="93" s="1"/>
  <c r="AC17" i="93"/>
  <c r="Z17" i="93"/>
  <c r="W17" i="93"/>
  <c r="T17" i="93"/>
  <c r="Q17" i="93"/>
  <c r="N17" i="93"/>
  <c r="AX16" i="93"/>
  <c r="AY16" i="93" s="1"/>
  <c r="AW16" i="93"/>
  <c r="AT16" i="93"/>
  <c r="AQ16" i="93"/>
  <c r="AN16" i="93"/>
  <c r="AK16" i="93"/>
  <c r="AH16" i="93"/>
  <c r="AD16" i="93"/>
  <c r="AE16" i="93" s="1"/>
  <c r="AC16" i="93"/>
  <c r="Z16" i="93"/>
  <c r="W16" i="93"/>
  <c r="T16" i="93"/>
  <c r="Q16" i="93"/>
  <c r="N16" i="93"/>
  <c r="AX15" i="93"/>
  <c r="AY15" i="93" s="1"/>
  <c r="AW15" i="93"/>
  <c r="AT15" i="93"/>
  <c r="AQ15" i="93"/>
  <c r="AN15" i="93"/>
  <c r="AK15" i="93"/>
  <c r="AH15" i="93"/>
  <c r="AD15" i="93"/>
  <c r="AE15" i="93" s="1"/>
  <c r="AC15" i="93"/>
  <c r="Z15" i="93"/>
  <c r="W15" i="93"/>
  <c r="T15" i="93"/>
  <c r="Q15" i="93"/>
  <c r="N15" i="93"/>
  <c r="AX14" i="93"/>
  <c r="AY14" i="93" s="1"/>
  <c r="AW14" i="93"/>
  <c r="AT14" i="93"/>
  <c r="AQ14" i="93"/>
  <c r="AN14" i="93"/>
  <c r="AK14" i="93"/>
  <c r="AH14" i="93"/>
  <c r="AD14" i="93"/>
  <c r="AE14" i="93" s="1"/>
  <c r="AC14" i="93"/>
  <c r="Z14" i="93"/>
  <c r="W14" i="93"/>
  <c r="T14" i="93"/>
  <c r="Q14" i="93"/>
  <c r="N14" i="93"/>
  <c r="AX13" i="93"/>
  <c r="AY13" i="93" s="1"/>
  <c r="AW13" i="93"/>
  <c r="AT13" i="93"/>
  <c r="AQ13" i="93"/>
  <c r="AN13" i="93"/>
  <c r="AK13" i="93"/>
  <c r="AH13" i="93"/>
  <c r="AD13" i="93"/>
  <c r="AE13" i="93" s="1"/>
  <c r="AC13" i="93"/>
  <c r="Z13" i="93"/>
  <c r="W13" i="93"/>
  <c r="T13" i="93"/>
  <c r="Q13" i="93"/>
  <c r="N13" i="93"/>
  <c r="AX12" i="93"/>
  <c r="AY12" i="93" s="1"/>
  <c r="AW12" i="93"/>
  <c r="AT12" i="93"/>
  <c r="AQ12" i="93"/>
  <c r="AN12" i="93"/>
  <c r="AK12" i="93"/>
  <c r="AH12" i="93"/>
  <c r="AD12" i="93"/>
  <c r="AE12" i="93" s="1"/>
  <c r="AC12" i="93"/>
  <c r="Z12" i="93"/>
  <c r="W12" i="93"/>
  <c r="T12" i="93"/>
  <c r="Q12" i="93"/>
  <c r="N12" i="93"/>
  <c r="AY11" i="93"/>
  <c r="AW11" i="93"/>
  <c r="AT11" i="93"/>
  <c r="AQ11" i="93"/>
  <c r="AN11" i="93"/>
  <c r="AK11" i="93"/>
  <c r="AH11" i="93"/>
  <c r="AD11" i="93"/>
  <c r="AE11" i="93" s="1"/>
  <c r="AC11" i="93"/>
  <c r="Z11" i="93"/>
  <c r="W11" i="93"/>
  <c r="T11" i="93"/>
  <c r="Q11" i="93"/>
  <c r="N11" i="93"/>
  <c r="AX10" i="93"/>
  <c r="AY10" i="93" s="1"/>
  <c r="AW10" i="93"/>
  <c r="AT10" i="93"/>
  <c r="AQ10" i="93"/>
  <c r="AN10" i="93"/>
  <c r="AK10" i="93"/>
  <c r="AH10" i="93"/>
  <c r="AD10" i="93"/>
  <c r="AE10" i="93" s="1"/>
  <c r="AC10" i="93"/>
  <c r="Z10" i="93"/>
  <c r="W10" i="93"/>
  <c r="T10" i="93"/>
  <c r="Q10" i="93"/>
  <c r="N10" i="93"/>
  <c r="AX9" i="93"/>
  <c r="AY9" i="93" s="1"/>
  <c r="AW9" i="93"/>
  <c r="AT9" i="93"/>
  <c r="AQ9" i="93"/>
  <c r="AN9" i="93"/>
  <c r="AK9" i="93"/>
  <c r="AH9" i="93"/>
  <c r="AD9" i="93"/>
  <c r="AC9" i="93"/>
  <c r="Z9" i="93"/>
  <c r="W9" i="93"/>
  <c r="T9" i="93"/>
  <c r="Q9" i="93"/>
  <c r="N9" i="93"/>
  <c r="G9" i="93"/>
  <c r="AE9" i="93" l="1"/>
  <c r="AE40" i="93"/>
  <c r="AY40" i="93"/>
  <c r="AZ6" i="93" s="1"/>
  <c r="C42" i="10" s="1"/>
  <c r="AZ4" i="92" l="1"/>
  <c r="C41" i="10" s="1"/>
  <c r="AX44" i="91"/>
  <c r="AY44" i="91" s="1"/>
  <c r="AW44" i="91"/>
  <c r="AT44" i="91"/>
  <c r="AQ44" i="91"/>
  <c r="AN44" i="91"/>
  <c r="AK44" i="91"/>
  <c r="AH44" i="91"/>
  <c r="AE44" i="91"/>
  <c r="AC44" i="91"/>
  <c r="Z44" i="91"/>
  <c r="W44" i="91"/>
  <c r="T44" i="91"/>
  <c r="Q44" i="91"/>
  <c r="N44" i="91"/>
  <c r="AY42" i="91"/>
  <c r="AX42" i="91"/>
  <c r="AW42" i="91"/>
  <c r="AT42" i="91"/>
  <c r="AQ42" i="91"/>
  <c r="AN42" i="91"/>
  <c r="AK42" i="91"/>
  <c r="AH42" i="91"/>
  <c r="AE42" i="91"/>
  <c r="AD42" i="91"/>
  <c r="AC42" i="91"/>
  <c r="Z42" i="91"/>
  <c r="W42" i="91"/>
  <c r="T42" i="91"/>
  <c r="Q42" i="91"/>
  <c r="N42" i="91"/>
  <c r="AY41" i="91"/>
  <c r="AW41" i="91"/>
  <c r="AT41" i="91"/>
  <c r="AQ41" i="91"/>
  <c r="AN41" i="91"/>
  <c r="AK41" i="91"/>
  <c r="AH41" i="91"/>
  <c r="AD41" i="91"/>
  <c r="AE41" i="91" s="1"/>
  <c r="AC41" i="91"/>
  <c r="Z41" i="91"/>
  <c r="W41" i="91"/>
  <c r="T41" i="91"/>
  <c r="Q41" i="91"/>
  <c r="N41" i="91"/>
  <c r="AW40" i="91"/>
  <c r="AT40" i="91"/>
  <c r="AQ40" i="91"/>
  <c r="AN40" i="91"/>
  <c r="AK40" i="91"/>
  <c r="AH40" i="91"/>
  <c r="AD40" i="91"/>
  <c r="AE40" i="91" s="1"/>
  <c r="AC40" i="91"/>
  <c r="Z40" i="91"/>
  <c r="W40" i="91"/>
  <c r="T40" i="91"/>
  <c r="Q40" i="91"/>
  <c r="N40" i="91"/>
  <c r="AX39" i="91"/>
  <c r="AY39" i="91" s="1"/>
  <c r="AW39" i="91"/>
  <c r="AT39" i="91"/>
  <c r="AQ39" i="91"/>
  <c r="AN39" i="91"/>
  <c r="AK39" i="91"/>
  <c r="AH39" i="91"/>
  <c r="AD39" i="91"/>
  <c r="AE39" i="91" s="1"/>
  <c r="AC39" i="91"/>
  <c r="Z39" i="91"/>
  <c r="W39" i="91"/>
  <c r="T39" i="91"/>
  <c r="Q39" i="91"/>
  <c r="N39" i="91"/>
  <c r="AW38" i="91"/>
  <c r="AT38" i="91"/>
  <c r="AQ38" i="91"/>
  <c r="AN38" i="91"/>
  <c r="AK38" i="91"/>
  <c r="AH38" i="91"/>
  <c r="AD38" i="91"/>
  <c r="AE38" i="91" s="1"/>
  <c r="AC38" i="91"/>
  <c r="Z38" i="91"/>
  <c r="W38" i="91"/>
  <c r="T38" i="91"/>
  <c r="Q38" i="91"/>
  <c r="N38" i="91"/>
  <c r="AX36" i="91"/>
  <c r="AY36" i="91" s="1"/>
  <c r="AW36" i="91"/>
  <c r="AT36" i="91"/>
  <c r="AQ36" i="91"/>
  <c r="AN36" i="91"/>
  <c r="AK36" i="91"/>
  <c r="AH36" i="91"/>
  <c r="AD36" i="91"/>
  <c r="AE36" i="91" s="1"/>
  <c r="AC36" i="91"/>
  <c r="Z36" i="91"/>
  <c r="W36" i="91"/>
  <c r="T36" i="91"/>
  <c r="Q36" i="91"/>
  <c r="N36" i="91"/>
  <c r="AX35" i="91"/>
  <c r="AW35" i="91"/>
  <c r="AT35" i="91"/>
  <c r="AQ35" i="91"/>
  <c r="AN35" i="91"/>
  <c r="AK35" i="91"/>
  <c r="AH35" i="91"/>
  <c r="AD35" i="91"/>
  <c r="AE35" i="91" s="1"/>
  <c r="AC35" i="91"/>
  <c r="Z35" i="91"/>
  <c r="W35" i="91"/>
  <c r="T35" i="91"/>
  <c r="Q35" i="91"/>
  <c r="N35" i="91"/>
  <c r="AX34" i="91"/>
  <c r="AY34" i="91" s="1"/>
  <c r="AW34" i="91"/>
  <c r="AT34" i="91"/>
  <c r="AQ34" i="91"/>
  <c r="AN34" i="91"/>
  <c r="AK34" i="91"/>
  <c r="AH34" i="91"/>
  <c r="AD34" i="91"/>
  <c r="AE34" i="91" s="1"/>
  <c r="AC34" i="91"/>
  <c r="Z34" i="91"/>
  <c r="W34" i="91"/>
  <c r="T34" i="91"/>
  <c r="Q34" i="91"/>
  <c r="N34" i="91"/>
  <c r="AX33" i="91"/>
  <c r="AY33" i="91" s="1"/>
  <c r="AW33" i="91"/>
  <c r="AT33" i="91"/>
  <c r="AQ33" i="91"/>
  <c r="AN33" i="91"/>
  <c r="AK33" i="91"/>
  <c r="AH33" i="91"/>
  <c r="AD33" i="91"/>
  <c r="AE33" i="91" s="1"/>
  <c r="AC33" i="91"/>
  <c r="Z33" i="91"/>
  <c r="W33" i="91"/>
  <c r="T33" i="91"/>
  <c r="Q33" i="91"/>
  <c r="N33" i="91"/>
  <c r="AX32" i="91"/>
  <c r="AY32" i="91" s="1"/>
  <c r="AW32" i="91"/>
  <c r="AT32" i="91"/>
  <c r="AQ32" i="91"/>
  <c r="AN32" i="91"/>
  <c r="AK32" i="91"/>
  <c r="AH32" i="91"/>
  <c r="AD32" i="91"/>
  <c r="AE32" i="91" s="1"/>
  <c r="AC32" i="91"/>
  <c r="Z32" i="91"/>
  <c r="W32" i="91"/>
  <c r="T32" i="91"/>
  <c r="Q32" i="91"/>
  <c r="N32" i="91"/>
  <c r="AX31" i="91"/>
  <c r="AW31" i="91"/>
  <c r="AT31" i="91"/>
  <c r="AQ31" i="91"/>
  <c r="AN31" i="91"/>
  <c r="AK31" i="91"/>
  <c r="AH31" i="91"/>
  <c r="AD31" i="91"/>
  <c r="AC31" i="91"/>
  <c r="Z31" i="91"/>
  <c r="W31" i="91"/>
  <c r="T31" i="91"/>
  <c r="Q31" i="91"/>
  <c r="N31" i="91"/>
  <c r="G31" i="91"/>
  <c r="AX30" i="91"/>
  <c r="AW30" i="91"/>
  <c r="AT30" i="91"/>
  <c r="AQ30" i="91"/>
  <c r="AN30" i="91"/>
  <c r="AK30" i="91"/>
  <c r="AH30" i="91"/>
  <c r="AD30" i="91"/>
  <c r="AE30" i="91" s="1"/>
  <c r="AC30" i="91"/>
  <c r="Z30" i="91"/>
  <c r="W30" i="91"/>
  <c r="T30" i="91"/>
  <c r="Q30" i="91"/>
  <c r="N30" i="91"/>
  <c r="AX29" i="91"/>
  <c r="AW29" i="91"/>
  <c r="AT29" i="91"/>
  <c r="AQ29" i="91"/>
  <c r="AN29" i="91"/>
  <c r="AK29" i="91"/>
  <c r="AH29" i="91"/>
  <c r="AE29" i="91"/>
  <c r="AC29" i="91"/>
  <c r="Z29" i="91"/>
  <c r="W29" i="91"/>
  <c r="T29" i="91"/>
  <c r="Q29" i="91"/>
  <c r="N29" i="91"/>
  <c r="AW28" i="91"/>
  <c r="AT28" i="91"/>
  <c r="AQ28" i="91"/>
  <c r="AN28" i="91"/>
  <c r="AK28" i="91"/>
  <c r="AH28" i="91"/>
  <c r="AD28" i="91"/>
  <c r="AE28" i="91" s="1"/>
  <c r="AC28" i="91"/>
  <c r="Z28" i="91"/>
  <c r="W28" i="91"/>
  <c r="T28" i="91"/>
  <c r="Q28" i="91"/>
  <c r="N28" i="91"/>
  <c r="AW27" i="91"/>
  <c r="AT27" i="91"/>
  <c r="AQ27" i="91"/>
  <c r="AN27" i="91"/>
  <c r="AK27" i="91"/>
  <c r="AH27" i="91"/>
  <c r="AE27" i="91"/>
  <c r="AD27" i="91"/>
  <c r="AC27" i="91"/>
  <c r="Z27" i="91"/>
  <c r="W27" i="91"/>
  <c r="T27" i="91"/>
  <c r="Q27" i="91"/>
  <c r="N27" i="91"/>
  <c r="AY26" i="91"/>
  <c r="AX26" i="91"/>
  <c r="AW26" i="91"/>
  <c r="AT26" i="91"/>
  <c r="AQ26" i="91"/>
  <c r="AN26" i="91"/>
  <c r="AK26" i="91"/>
  <c r="AH26" i="91"/>
  <c r="AE26" i="91"/>
  <c r="AD26" i="91"/>
  <c r="AC26" i="91"/>
  <c r="Z26" i="91"/>
  <c r="W26" i="91"/>
  <c r="T26" i="91"/>
  <c r="Q26" i="91"/>
  <c r="N26" i="91"/>
  <c r="AW25" i="91"/>
  <c r="AT25" i="91"/>
  <c r="AQ25" i="91"/>
  <c r="AN25" i="91"/>
  <c r="AK25" i="91"/>
  <c r="AH25" i="91"/>
  <c r="AD25" i="91"/>
  <c r="AE25" i="91" s="1"/>
  <c r="AC25" i="91"/>
  <c r="Z25" i="91"/>
  <c r="W25" i="91"/>
  <c r="T25" i="91"/>
  <c r="Q25" i="91"/>
  <c r="N25" i="91"/>
  <c r="AX24" i="91"/>
  <c r="AY24" i="91" s="1"/>
  <c r="AW24" i="91"/>
  <c r="AT24" i="91"/>
  <c r="AQ24" i="91"/>
  <c r="AN24" i="91"/>
  <c r="AK24" i="91"/>
  <c r="AH24" i="91"/>
  <c r="AD24" i="91"/>
  <c r="AE24" i="91" s="1"/>
  <c r="AC24" i="91"/>
  <c r="Z24" i="91"/>
  <c r="W24" i="91"/>
  <c r="T24" i="91"/>
  <c r="Q24" i="91"/>
  <c r="N24" i="91"/>
  <c r="AX23" i="91"/>
  <c r="AW23" i="91"/>
  <c r="AT23" i="91"/>
  <c r="AQ23" i="91"/>
  <c r="AN23" i="91"/>
  <c r="AK23" i="91"/>
  <c r="AH23" i="91"/>
  <c r="AD23" i="91"/>
  <c r="AE23" i="91" s="1"/>
  <c r="AC23" i="91"/>
  <c r="Z23" i="91"/>
  <c r="W23" i="91"/>
  <c r="T23" i="91"/>
  <c r="Q23" i="91"/>
  <c r="N23" i="91"/>
  <c r="AX22" i="91"/>
  <c r="AY22" i="91" s="1"/>
  <c r="AW22" i="91"/>
  <c r="AT22" i="91"/>
  <c r="AQ22" i="91"/>
  <c r="AN22" i="91"/>
  <c r="AK22" i="91"/>
  <c r="AH22" i="91"/>
  <c r="AD22" i="91"/>
  <c r="AE22" i="91" s="1"/>
  <c r="AC22" i="91"/>
  <c r="Z22" i="91"/>
  <c r="W22" i="91"/>
  <c r="T22" i="91"/>
  <c r="Q22" i="91"/>
  <c r="N22" i="91"/>
  <c r="AY21" i="91"/>
  <c r="AW21" i="91"/>
  <c r="AT21" i="91"/>
  <c r="AQ21" i="91"/>
  <c r="AN21" i="91"/>
  <c r="AK21" i="91"/>
  <c r="AH21" i="91"/>
  <c r="AE21" i="91"/>
  <c r="AC21" i="91"/>
  <c r="Z21" i="91"/>
  <c r="W21" i="91"/>
  <c r="T21" i="91"/>
  <c r="Q21" i="91"/>
  <c r="N21" i="91"/>
  <c r="AY20" i="91"/>
  <c r="AW20" i="91"/>
  <c r="AT20" i="91"/>
  <c r="AQ20" i="91"/>
  <c r="AN20" i="91"/>
  <c r="AK20" i="91"/>
  <c r="AH20" i="91"/>
  <c r="AC20" i="91"/>
  <c r="Z20" i="91"/>
  <c r="W20" i="91"/>
  <c r="T20" i="91"/>
  <c r="Q20" i="91"/>
  <c r="N20" i="91"/>
  <c r="AX19" i="91"/>
  <c r="AY19" i="91" s="1"/>
  <c r="AW19" i="91"/>
  <c r="AT19" i="91"/>
  <c r="AQ19" i="91"/>
  <c r="AN19" i="91"/>
  <c r="AK19" i="91"/>
  <c r="AH19" i="91"/>
  <c r="AD19" i="91"/>
  <c r="AE19" i="91" s="1"/>
  <c r="AC19" i="91"/>
  <c r="Z19" i="91"/>
  <c r="W19" i="91"/>
  <c r="T19" i="91"/>
  <c r="Q19" i="91"/>
  <c r="N19" i="91"/>
  <c r="AX18" i="91"/>
  <c r="AY18" i="91" s="1"/>
  <c r="AW18" i="91"/>
  <c r="AT18" i="91"/>
  <c r="AQ18" i="91"/>
  <c r="AN18" i="91"/>
  <c r="AK18" i="91"/>
  <c r="AH18" i="91"/>
  <c r="AD18" i="91"/>
  <c r="AE18" i="91" s="1"/>
  <c r="AC18" i="91"/>
  <c r="Z18" i="91"/>
  <c r="W18" i="91"/>
  <c r="T18" i="91"/>
  <c r="Q18" i="91"/>
  <c r="N18" i="91"/>
  <c r="AX17" i="91"/>
  <c r="AY17" i="91" s="1"/>
  <c r="AW17" i="91"/>
  <c r="AT17" i="91"/>
  <c r="AQ17" i="91"/>
  <c r="AN17" i="91"/>
  <c r="AK17" i="91"/>
  <c r="AH17" i="91"/>
  <c r="AD17" i="91"/>
  <c r="AE17" i="91" s="1"/>
  <c r="AC17" i="91"/>
  <c r="Z17" i="91"/>
  <c r="W17" i="91"/>
  <c r="T17" i="91"/>
  <c r="Q17" i="91"/>
  <c r="N17" i="91"/>
  <c r="AX16" i="91"/>
  <c r="AY16" i="91" s="1"/>
  <c r="AW16" i="91"/>
  <c r="AT16" i="91"/>
  <c r="AQ16" i="91"/>
  <c r="AN16" i="91"/>
  <c r="AK16" i="91"/>
  <c r="AH16" i="91"/>
  <c r="AD16" i="91"/>
  <c r="AE16" i="91" s="1"/>
  <c r="AC16" i="91"/>
  <c r="Z16" i="91"/>
  <c r="W16" i="91"/>
  <c r="T16" i="91"/>
  <c r="Q16" i="91"/>
  <c r="N16" i="91"/>
  <c r="AX15" i="91"/>
  <c r="AY15" i="91" s="1"/>
  <c r="AW15" i="91"/>
  <c r="AT15" i="91"/>
  <c r="AQ15" i="91"/>
  <c r="AN15" i="91"/>
  <c r="AK15" i="91"/>
  <c r="AH15" i="91"/>
  <c r="AD15" i="91"/>
  <c r="AE15" i="91" s="1"/>
  <c r="AC15" i="91"/>
  <c r="Z15" i="91"/>
  <c r="W15" i="91"/>
  <c r="T15" i="91"/>
  <c r="Q15" i="91"/>
  <c r="N15" i="91"/>
  <c r="AX14" i="91"/>
  <c r="AY14" i="91" s="1"/>
  <c r="AW14" i="91"/>
  <c r="AT14" i="91"/>
  <c r="AQ14" i="91"/>
  <c r="AN14" i="91"/>
  <c r="AK14" i="91"/>
  <c r="AH14" i="91"/>
  <c r="AD14" i="91"/>
  <c r="AE14" i="91" s="1"/>
  <c r="AC14" i="91"/>
  <c r="Z14" i="91"/>
  <c r="W14" i="91"/>
  <c r="T14" i="91"/>
  <c r="Q14" i="91"/>
  <c r="N14" i="91"/>
  <c r="AX13" i="91"/>
  <c r="N13" i="91"/>
  <c r="AY12" i="91"/>
  <c r="AX12" i="91"/>
  <c r="AW12" i="91"/>
  <c r="AT12" i="91"/>
  <c r="AQ12" i="91"/>
  <c r="AN12" i="91"/>
  <c r="AK12" i="91"/>
  <c r="AH12" i="91"/>
  <c r="AE12" i="91"/>
  <c r="AD12" i="91"/>
  <c r="AC12" i="91"/>
  <c r="Z12" i="91"/>
  <c r="W12" i="91"/>
  <c r="T12" i="91"/>
  <c r="Q12" i="91"/>
  <c r="N12" i="91"/>
  <c r="AY11" i="91"/>
  <c r="AW11" i="91"/>
  <c r="AT11" i="91"/>
  <c r="AQ11" i="91"/>
  <c r="AN11" i="91"/>
  <c r="AK11" i="91"/>
  <c r="AH11" i="91"/>
  <c r="AD11" i="91"/>
  <c r="AE11" i="91" s="1"/>
  <c r="AC11" i="91"/>
  <c r="Z11" i="91"/>
  <c r="W11" i="91"/>
  <c r="T11" i="91"/>
  <c r="Q11" i="91"/>
  <c r="N11" i="91"/>
  <c r="AX10" i="91"/>
  <c r="AY10" i="91" s="1"/>
  <c r="AW10" i="91"/>
  <c r="AT10" i="91"/>
  <c r="AQ10" i="91"/>
  <c r="AN10" i="91"/>
  <c r="AK10" i="91"/>
  <c r="AH10" i="91"/>
  <c r="AD10" i="91"/>
  <c r="AE10" i="91" s="1"/>
  <c r="AC10" i="91"/>
  <c r="Z10" i="91"/>
  <c r="W10" i="91"/>
  <c r="T10" i="91"/>
  <c r="Q10" i="91"/>
  <c r="N10" i="91"/>
  <c r="AX9" i="91"/>
  <c r="AY9" i="91" s="1"/>
  <c r="AW9" i="91"/>
  <c r="AT9" i="91"/>
  <c r="AQ9" i="91"/>
  <c r="AN9" i="91"/>
  <c r="AK9" i="91"/>
  <c r="AH9" i="91"/>
  <c r="AD9" i="91"/>
  <c r="AE9" i="91" s="1"/>
  <c r="AC9" i="91"/>
  <c r="Z9" i="91"/>
  <c r="W9" i="91"/>
  <c r="T9" i="91"/>
  <c r="Q9" i="91"/>
  <c r="N9" i="91"/>
  <c r="G9" i="91"/>
  <c r="AY31" i="91" l="1"/>
  <c r="AZ4" i="91" s="1"/>
  <c r="C40" i="10" s="1"/>
  <c r="AE31" i="91"/>
  <c r="AX33" i="90" l="1"/>
  <c r="AY33" i="90" s="1"/>
  <c r="AW33" i="90"/>
  <c r="AT33" i="90"/>
  <c r="AQ33" i="90"/>
  <c r="AN33" i="90"/>
  <c r="AK33" i="90"/>
  <c r="AH33" i="90"/>
  <c r="AD33" i="90"/>
  <c r="AE33" i="90" s="1"/>
  <c r="AC33" i="90"/>
  <c r="Z33" i="90"/>
  <c r="W33" i="90"/>
  <c r="T33" i="90"/>
  <c r="Q33" i="90"/>
  <c r="N33" i="90"/>
  <c r="AX31" i="90"/>
  <c r="AY31" i="90" s="1"/>
  <c r="AX30" i="90"/>
  <c r="AY30" i="90" s="1"/>
  <c r="AN30" i="90"/>
  <c r="AX29" i="90"/>
  <c r="AY29" i="90" s="1"/>
  <c r="AW29" i="90"/>
  <c r="AT29" i="90"/>
  <c r="AQ29" i="90"/>
  <c r="AN29" i="90"/>
  <c r="AK29" i="90"/>
  <c r="AH29" i="90"/>
  <c r="AD29" i="90"/>
  <c r="AE29" i="90" s="1"/>
  <c r="AC29" i="90"/>
  <c r="Z29" i="90"/>
  <c r="W29" i="90"/>
  <c r="T29" i="90"/>
  <c r="Q29" i="90"/>
  <c r="N29" i="90"/>
  <c r="AX27" i="90"/>
  <c r="AW27" i="90"/>
  <c r="AT27" i="90"/>
  <c r="AQ27" i="90"/>
  <c r="AN27" i="90"/>
  <c r="AK27" i="90"/>
  <c r="AH27" i="90"/>
  <c r="AD27" i="90"/>
  <c r="AC27" i="90"/>
  <c r="Z27" i="90"/>
  <c r="W27" i="90"/>
  <c r="T27" i="90"/>
  <c r="Q27" i="90"/>
  <c r="N27" i="90"/>
  <c r="G27" i="90"/>
  <c r="AY26" i="90"/>
  <c r="AW26" i="90"/>
  <c r="AT26" i="90"/>
  <c r="AQ26" i="90"/>
  <c r="AN26" i="90"/>
  <c r="AH26" i="90"/>
  <c r="AE26" i="90"/>
  <c r="AC26" i="90"/>
  <c r="Z26" i="90"/>
  <c r="W26" i="90"/>
  <c r="T26" i="90"/>
  <c r="Q26" i="90"/>
  <c r="N26" i="90"/>
  <c r="AY25" i="90"/>
  <c r="AW25" i="90"/>
  <c r="AT25" i="90"/>
  <c r="AQ25" i="90"/>
  <c r="AN25" i="90"/>
  <c r="AK25" i="90"/>
  <c r="AH25" i="90"/>
  <c r="AD25" i="90"/>
  <c r="AE25" i="90" s="1"/>
  <c r="AC25" i="90"/>
  <c r="Z25" i="90"/>
  <c r="W25" i="90"/>
  <c r="T25" i="90"/>
  <c r="Q25" i="90"/>
  <c r="N25" i="90"/>
  <c r="AW24" i="90"/>
  <c r="AT24" i="90"/>
  <c r="AQ24" i="90"/>
  <c r="AN24" i="90"/>
  <c r="AK24" i="90"/>
  <c r="AH24" i="90"/>
  <c r="AC24" i="90"/>
  <c r="Z24" i="90"/>
  <c r="W24" i="90"/>
  <c r="T24" i="90"/>
  <c r="Q24" i="90"/>
  <c r="N24" i="90"/>
  <c r="AY23" i="90"/>
  <c r="AW23" i="90"/>
  <c r="AT23" i="90"/>
  <c r="AQ23" i="90"/>
  <c r="AN23" i="90"/>
  <c r="AK23" i="90"/>
  <c r="AH23" i="90"/>
  <c r="AD23" i="90"/>
  <c r="AE23" i="90" s="1"/>
  <c r="AC23" i="90"/>
  <c r="Z23" i="90"/>
  <c r="W23" i="90"/>
  <c r="T23" i="90"/>
  <c r="Q23" i="90"/>
  <c r="N23" i="90"/>
  <c r="AW22" i="90"/>
  <c r="AT22" i="90"/>
  <c r="AQ22" i="90"/>
  <c r="AN22" i="90"/>
  <c r="AK22" i="90"/>
  <c r="AH22" i="90"/>
  <c r="AC22" i="90"/>
  <c r="Z22" i="90"/>
  <c r="W22" i="90"/>
  <c r="T22" i="90"/>
  <c r="Q22" i="90"/>
  <c r="N22" i="90"/>
  <c r="AW21" i="90"/>
  <c r="AT21" i="90"/>
  <c r="AQ21" i="90"/>
  <c r="AN21" i="90"/>
  <c r="AK21" i="90"/>
  <c r="AH21" i="90"/>
  <c r="AC21" i="90"/>
  <c r="Z21" i="90"/>
  <c r="W21" i="90"/>
  <c r="T21" i="90"/>
  <c r="Q21" i="90"/>
  <c r="N21" i="90"/>
  <c r="AW20" i="90"/>
  <c r="AQ20" i="90"/>
  <c r="AN20" i="90"/>
  <c r="AK20" i="90"/>
  <c r="T20" i="90"/>
  <c r="AX19" i="90"/>
  <c r="AY19" i="90" s="1"/>
  <c r="AW19" i="90"/>
  <c r="AT19" i="90"/>
  <c r="AQ19" i="90"/>
  <c r="AN19" i="90"/>
  <c r="AK19" i="90"/>
  <c r="AH19" i="90"/>
  <c r="AD19" i="90"/>
  <c r="AE19" i="90" s="1"/>
  <c r="AC19" i="90"/>
  <c r="Z19" i="90"/>
  <c r="W19" i="90"/>
  <c r="T19" i="90"/>
  <c r="Q19" i="90"/>
  <c r="N19" i="90"/>
  <c r="AX18" i="90"/>
  <c r="AY18" i="90" s="1"/>
  <c r="AW18" i="90"/>
  <c r="AT18" i="90"/>
  <c r="AQ18" i="90"/>
  <c r="AN18" i="90"/>
  <c r="AK18" i="90"/>
  <c r="AH18" i="90"/>
  <c r="AD18" i="90"/>
  <c r="AC18" i="90"/>
  <c r="Z18" i="90"/>
  <c r="W18" i="90"/>
  <c r="T18" i="90"/>
  <c r="Q18" i="90"/>
  <c r="N18" i="90"/>
  <c r="AX17" i="90"/>
  <c r="AY17" i="90" s="1"/>
  <c r="AW17" i="90"/>
  <c r="AT17" i="90"/>
  <c r="AQ17" i="90"/>
  <c r="AN17" i="90"/>
  <c r="AK17" i="90"/>
  <c r="AH17" i="90"/>
  <c r="AD17" i="90"/>
  <c r="AE17" i="90" s="1"/>
  <c r="AC17" i="90"/>
  <c r="Z17" i="90"/>
  <c r="W17" i="90"/>
  <c r="T17" i="90"/>
  <c r="Q17" i="90"/>
  <c r="N17" i="90"/>
  <c r="AX16" i="90"/>
  <c r="AY16" i="90" s="1"/>
  <c r="AW16" i="90"/>
  <c r="AT16" i="90"/>
  <c r="AQ16" i="90"/>
  <c r="AN16" i="90"/>
  <c r="AK16" i="90"/>
  <c r="AH16" i="90"/>
  <c r="AD16" i="90"/>
  <c r="AE16" i="90" s="1"/>
  <c r="AC16" i="90"/>
  <c r="Z16" i="90"/>
  <c r="W16" i="90"/>
  <c r="T16" i="90"/>
  <c r="Q16" i="90"/>
  <c r="N16" i="90"/>
  <c r="AX15" i="90"/>
  <c r="AY15" i="90" s="1"/>
  <c r="AW15" i="90"/>
  <c r="AT15" i="90"/>
  <c r="AQ15" i="90"/>
  <c r="AN15" i="90"/>
  <c r="AK15" i="90"/>
  <c r="AH15" i="90"/>
  <c r="AD15" i="90"/>
  <c r="AE15" i="90" s="1"/>
  <c r="AC15" i="90"/>
  <c r="Z15" i="90"/>
  <c r="W15" i="90"/>
  <c r="T15" i="90"/>
  <c r="Q15" i="90"/>
  <c r="N15" i="90"/>
  <c r="AX14" i="90"/>
  <c r="AY14" i="90" s="1"/>
  <c r="AW14" i="90"/>
  <c r="AT14" i="90"/>
  <c r="AQ14" i="90"/>
  <c r="AN14" i="90"/>
  <c r="AK14" i="90"/>
  <c r="AH14" i="90"/>
  <c r="AD14" i="90"/>
  <c r="AC14" i="90"/>
  <c r="Z14" i="90"/>
  <c r="W14" i="90"/>
  <c r="T14" i="90"/>
  <c r="Q14" i="90"/>
  <c r="N14" i="90"/>
  <c r="AX13" i="90"/>
  <c r="AY13" i="90" s="1"/>
  <c r="AW13" i="90"/>
  <c r="AT13" i="90"/>
  <c r="AQ13" i="90"/>
  <c r="AN13" i="90"/>
  <c r="AK13" i="90"/>
  <c r="AH13" i="90"/>
  <c r="AD13" i="90"/>
  <c r="AC13" i="90"/>
  <c r="Z13" i="90"/>
  <c r="W13" i="90"/>
  <c r="T13" i="90"/>
  <c r="Q13" i="90"/>
  <c r="N13" i="90"/>
  <c r="AX12" i="90"/>
  <c r="AY12" i="90" s="1"/>
  <c r="AW12" i="90"/>
  <c r="AT12" i="90"/>
  <c r="AQ12" i="90"/>
  <c r="AN12" i="90"/>
  <c r="AK12" i="90"/>
  <c r="AH12" i="90"/>
  <c r="AD12" i="90"/>
  <c r="AC12" i="90"/>
  <c r="Z12" i="90"/>
  <c r="W12" i="90"/>
  <c r="T12" i="90"/>
  <c r="Q12" i="90"/>
  <c r="N12" i="90"/>
  <c r="AY11" i="90"/>
  <c r="AW11" i="90"/>
  <c r="AT11" i="90"/>
  <c r="AQ11" i="90"/>
  <c r="AN11" i="90"/>
  <c r="AK11" i="90"/>
  <c r="AH11" i="90"/>
  <c r="AD11" i="90"/>
  <c r="AE11" i="90" s="1"/>
  <c r="AC11" i="90"/>
  <c r="Z11" i="90"/>
  <c r="W11" i="90"/>
  <c r="T11" i="90"/>
  <c r="Q11" i="90"/>
  <c r="N11" i="90"/>
  <c r="AX10" i="90"/>
  <c r="AY10" i="90" s="1"/>
  <c r="AW10" i="90"/>
  <c r="AT10" i="90"/>
  <c r="AQ10" i="90"/>
  <c r="AN10" i="90"/>
  <c r="AK10" i="90"/>
  <c r="AH10" i="90"/>
  <c r="AD10" i="90"/>
  <c r="AC10" i="90"/>
  <c r="Z10" i="90"/>
  <c r="W10" i="90"/>
  <c r="T10" i="90"/>
  <c r="Q10" i="90"/>
  <c r="N10" i="90"/>
  <c r="AX9" i="90"/>
  <c r="AW9" i="90"/>
  <c r="AT9" i="90"/>
  <c r="AQ9" i="90"/>
  <c r="AN9" i="90"/>
  <c r="AK9" i="90"/>
  <c r="AH9" i="90"/>
  <c r="AD9" i="90"/>
  <c r="AC9" i="90"/>
  <c r="Z9" i="90"/>
  <c r="W9" i="90"/>
  <c r="T9" i="90"/>
  <c r="Q9" i="90"/>
  <c r="N9" i="90"/>
  <c r="G9" i="90"/>
  <c r="AY9" i="90" l="1"/>
  <c r="AY27" i="90"/>
  <c r="AZ4" i="90" s="1"/>
  <c r="C39" i="10" s="1"/>
  <c r="AE27" i="90"/>
  <c r="AX33" i="89" l="1"/>
  <c r="AY33" i="89" s="1"/>
  <c r="AW33" i="89"/>
  <c r="AT33" i="89"/>
  <c r="AQ33" i="89"/>
  <c r="AN33" i="89"/>
  <c r="AK33" i="89"/>
  <c r="AH33" i="89"/>
  <c r="AD33" i="89"/>
  <c r="AE33" i="89" s="1"/>
  <c r="AC33" i="89"/>
  <c r="Z33" i="89"/>
  <c r="W33" i="89"/>
  <c r="T33" i="89"/>
  <c r="Q33" i="89"/>
  <c r="N33" i="89"/>
  <c r="AX31" i="89"/>
  <c r="AY31" i="89" s="1"/>
  <c r="AW31" i="89"/>
  <c r="AT31" i="89"/>
  <c r="AQ31" i="89"/>
  <c r="AN31" i="89"/>
  <c r="AK31" i="89"/>
  <c r="AH31" i="89"/>
  <c r="AD31" i="89"/>
  <c r="AE31" i="89" s="1"/>
  <c r="AC31" i="89"/>
  <c r="Z31" i="89"/>
  <c r="W31" i="89"/>
  <c r="T31" i="89"/>
  <c r="Q31" i="89"/>
  <c r="N31" i="89"/>
  <c r="AX30" i="89"/>
  <c r="AY30" i="89" s="1"/>
  <c r="AW30" i="89"/>
  <c r="AT30" i="89"/>
  <c r="AQ30" i="89"/>
  <c r="AN30" i="89"/>
  <c r="AK30" i="89"/>
  <c r="AH30" i="89"/>
  <c r="AD30" i="89"/>
  <c r="AE30" i="89" s="1"/>
  <c r="AC30" i="89"/>
  <c r="Z30" i="89"/>
  <c r="W30" i="89"/>
  <c r="T30" i="89"/>
  <c r="Q30" i="89"/>
  <c r="N30" i="89"/>
  <c r="AX29" i="89"/>
  <c r="AY29" i="89" s="1"/>
  <c r="AW29" i="89"/>
  <c r="AT29" i="89"/>
  <c r="AQ29" i="89"/>
  <c r="AN29" i="89"/>
  <c r="AK29" i="89"/>
  <c r="AH29" i="89"/>
  <c r="AD29" i="89"/>
  <c r="AE29" i="89" s="1"/>
  <c r="AC29" i="89"/>
  <c r="Z29" i="89"/>
  <c r="W29" i="89"/>
  <c r="T29" i="89"/>
  <c r="Q29" i="89"/>
  <c r="N29" i="89"/>
  <c r="AX27" i="89"/>
  <c r="AW27" i="89"/>
  <c r="AT27" i="89"/>
  <c r="AQ27" i="89"/>
  <c r="AN27" i="89"/>
  <c r="AK27" i="89"/>
  <c r="AH27" i="89"/>
  <c r="AD27" i="89"/>
  <c r="AC27" i="89"/>
  <c r="Z27" i="89"/>
  <c r="W27" i="89"/>
  <c r="T27" i="89"/>
  <c r="Q27" i="89"/>
  <c r="N27" i="89"/>
  <c r="G27" i="89"/>
  <c r="AW26" i="89"/>
  <c r="AT26" i="89"/>
  <c r="AQ26" i="89"/>
  <c r="AN26" i="89"/>
  <c r="AK26" i="89"/>
  <c r="AH26" i="89"/>
  <c r="AD26" i="89"/>
  <c r="AX26" i="89" s="1"/>
  <c r="AY26" i="89" s="1"/>
  <c r="AC26" i="89"/>
  <c r="Z26" i="89"/>
  <c r="W26" i="89"/>
  <c r="T26" i="89"/>
  <c r="Q26" i="89"/>
  <c r="N26" i="89"/>
  <c r="AW25" i="89"/>
  <c r="AX25" i="89" s="1"/>
  <c r="AY25" i="89" s="1"/>
  <c r="AT25" i="89"/>
  <c r="AQ25" i="89"/>
  <c r="AN25" i="89"/>
  <c r="AK25" i="89"/>
  <c r="AH25" i="89"/>
  <c r="AE25" i="89"/>
  <c r="AC25" i="89"/>
  <c r="Z25" i="89"/>
  <c r="W25" i="89"/>
  <c r="T25" i="89"/>
  <c r="Q25" i="89"/>
  <c r="N25" i="89"/>
  <c r="AX24" i="89"/>
  <c r="AY24" i="89" s="1"/>
  <c r="AW24" i="89"/>
  <c r="AT24" i="89"/>
  <c r="AQ24" i="89"/>
  <c r="AN24" i="89"/>
  <c r="AK24" i="89"/>
  <c r="AH24" i="89"/>
  <c r="AD24" i="89"/>
  <c r="AE24" i="89" s="1"/>
  <c r="AC24" i="89"/>
  <c r="Z24" i="89"/>
  <c r="W24" i="89"/>
  <c r="T24" i="89"/>
  <c r="Q24" i="89"/>
  <c r="N24" i="89"/>
  <c r="AX23" i="89"/>
  <c r="AY23" i="89" s="1"/>
  <c r="AW23" i="89"/>
  <c r="AT23" i="89"/>
  <c r="AQ23" i="89"/>
  <c r="AN23" i="89"/>
  <c r="AK23" i="89"/>
  <c r="AH23" i="89"/>
  <c r="AE23" i="89"/>
  <c r="AC23" i="89"/>
  <c r="Z23" i="89"/>
  <c r="W23" i="89"/>
  <c r="T23" i="89"/>
  <c r="Q23" i="89"/>
  <c r="N23" i="89"/>
  <c r="AW22" i="89"/>
  <c r="AT22" i="89"/>
  <c r="AQ22" i="89"/>
  <c r="AN22" i="89"/>
  <c r="AK22" i="89"/>
  <c r="AH22" i="89"/>
  <c r="AD22" i="89"/>
  <c r="AE22" i="89" s="1"/>
  <c r="AC22" i="89"/>
  <c r="Z22" i="89"/>
  <c r="W22" i="89"/>
  <c r="T22" i="89"/>
  <c r="Q22" i="89"/>
  <c r="AX21" i="89"/>
  <c r="AY21" i="89" s="1"/>
  <c r="AW21" i="89"/>
  <c r="AT21" i="89"/>
  <c r="AQ21" i="89"/>
  <c r="AN21" i="89"/>
  <c r="AK21" i="89"/>
  <c r="AH21" i="89"/>
  <c r="AD21" i="89"/>
  <c r="AE21" i="89" s="1"/>
  <c r="AC21" i="89"/>
  <c r="Z21" i="89"/>
  <c r="W21" i="89"/>
  <c r="T21" i="89"/>
  <c r="Q21" i="89"/>
  <c r="N21" i="89"/>
  <c r="AX20" i="89"/>
  <c r="AY20" i="89" s="1"/>
  <c r="AW20" i="89"/>
  <c r="AT20" i="89"/>
  <c r="AQ20" i="89"/>
  <c r="AN20" i="89"/>
  <c r="AK20" i="89"/>
  <c r="AH20" i="89"/>
  <c r="AD20" i="89"/>
  <c r="AE20" i="89" s="1"/>
  <c r="AC20" i="89"/>
  <c r="Z20" i="89"/>
  <c r="W20" i="89"/>
  <c r="T20" i="89"/>
  <c r="Q20" i="89"/>
  <c r="N20" i="89"/>
  <c r="AX19" i="89"/>
  <c r="AY19" i="89" s="1"/>
  <c r="AW19" i="89"/>
  <c r="AT19" i="89"/>
  <c r="AQ19" i="89"/>
  <c r="AN19" i="89"/>
  <c r="AK19" i="89"/>
  <c r="AH19" i="89"/>
  <c r="AD19" i="89"/>
  <c r="AE19" i="89" s="1"/>
  <c r="AC19" i="89"/>
  <c r="Z19" i="89"/>
  <c r="W19" i="89"/>
  <c r="T19" i="89"/>
  <c r="Q19" i="89"/>
  <c r="N19" i="89"/>
  <c r="AX18" i="89"/>
  <c r="AY18" i="89" s="1"/>
  <c r="AW18" i="89"/>
  <c r="AT18" i="89"/>
  <c r="AQ18" i="89"/>
  <c r="AN18" i="89"/>
  <c r="AK18" i="89"/>
  <c r="AH18" i="89"/>
  <c r="AD18" i="89"/>
  <c r="AE18" i="89" s="1"/>
  <c r="AC18" i="89"/>
  <c r="Z18" i="89"/>
  <c r="W18" i="89"/>
  <c r="T18" i="89"/>
  <c r="Q18" i="89"/>
  <c r="N18" i="89"/>
  <c r="AX17" i="89"/>
  <c r="AY17" i="89" s="1"/>
  <c r="AW17" i="89"/>
  <c r="AT17" i="89"/>
  <c r="AQ17" i="89"/>
  <c r="AN17" i="89"/>
  <c r="AK17" i="89"/>
  <c r="AH17" i="89"/>
  <c r="AD17" i="89"/>
  <c r="AE17" i="89" s="1"/>
  <c r="AC17" i="89"/>
  <c r="Z17" i="89"/>
  <c r="W17" i="89"/>
  <c r="T17" i="89"/>
  <c r="Q17" i="89"/>
  <c r="N17" i="89"/>
  <c r="AX16" i="89"/>
  <c r="AY16" i="89" s="1"/>
  <c r="AW16" i="89"/>
  <c r="AT16" i="89"/>
  <c r="AQ16" i="89"/>
  <c r="AN16" i="89"/>
  <c r="AK16" i="89"/>
  <c r="AH16" i="89"/>
  <c r="AD16" i="89"/>
  <c r="AE16" i="89" s="1"/>
  <c r="AC16" i="89"/>
  <c r="Z16" i="89"/>
  <c r="W16" i="89"/>
  <c r="T16" i="89"/>
  <c r="Q16" i="89"/>
  <c r="N16" i="89"/>
  <c r="AX15" i="89"/>
  <c r="AY15" i="89" s="1"/>
  <c r="AW15" i="89"/>
  <c r="AT15" i="89"/>
  <c r="AQ15" i="89"/>
  <c r="AN15" i="89"/>
  <c r="AK15" i="89"/>
  <c r="AH15" i="89"/>
  <c r="AD15" i="89"/>
  <c r="AE15" i="89" s="1"/>
  <c r="AC15" i="89"/>
  <c r="Z15" i="89"/>
  <c r="W15" i="89"/>
  <c r="T15" i="89"/>
  <c r="Q15" i="89"/>
  <c r="N15" i="89"/>
  <c r="AX14" i="89"/>
  <c r="AY14" i="89" s="1"/>
  <c r="AW14" i="89"/>
  <c r="AT14" i="89"/>
  <c r="AQ14" i="89"/>
  <c r="AN14" i="89"/>
  <c r="AK14" i="89"/>
  <c r="AH14" i="89"/>
  <c r="AD14" i="89"/>
  <c r="AE14" i="89" s="1"/>
  <c r="AC14" i="89"/>
  <c r="Z14" i="89"/>
  <c r="W14" i="89"/>
  <c r="T14" i="89"/>
  <c r="Q14" i="89"/>
  <c r="N14" i="89"/>
  <c r="AX13" i="89"/>
  <c r="AY13" i="89" s="1"/>
  <c r="AW13" i="89"/>
  <c r="AT13" i="89"/>
  <c r="AQ13" i="89"/>
  <c r="AN13" i="89"/>
  <c r="AK13" i="89"/>
  <c r="AH13" i="89"/>
  <c r="AD13" i="89"/>
  <c r="AE13" i="89" s="1"/>
  <c r="AC13" i="89"/>
  <c r="Z13" i="89"/>
  <c r="W13" i="89"/>
  <c r="T13" i="89"/>
  <c r="Q13" i="89"/>
  <c r="N13" i="89"/>
  <c r="AX12" i="89"/>
  <c r="AY12" i="89" s="1"/>
  <c r="AW12" i="89"/>
  <c r="AT12" i="89"/>
  <c r="AQ12" i="89"/>
  <c r="AN12" i="89"/>
  <c r="AK12" i="89"/>
  <c r="AH12" i="89"/>
  <c r="AD12" i="89"/>
  <c r="AE12" i="89" s="1"/>
  <c r="AC12" i="89"/>
  <c r="Z12" i="89"/>
  <c r="W12" i="89"/>
  <c r="T12" i="89"/>
  <c r="Q12" i="89"/>
  <c r="N12" i="89"/>
  <c r="AX11" i="89"/>
  <c r="AY11" i="89" s="1"/>
  <c r="AW11" i="89"/>
  <c r="AT11" i="89"/>
  <c r="AQ11" i="89"/>
  <c r="AN11" i="89"/>
  <c r="AK11" i="89"/>
  <c r="AH11" i="89"/>
  <c r="AD11" i="89"/>
  <c r="AE11" i="89" s="1"/>
  <c r="AC11" i="89"/>
  <c r="Z11" i="89"/>
  <c r="W11" i="89"/>
  <c r="T11" i="89"/>
  <c r="Q11" i="89"/>
  <c r="N11" i="89"/>
  <c r="AX10" i="89"/>
  <c r="AY10" i="89" s="1"/>
  <c r="AW10" i="89"/>
  <c r="AT10" i="89"/>
  <c r="AQ10" i="89"/>
  <c r="AN10" i="89"/>
  <c r="AK10" i="89"/>
  <c r="AH10" i="89"/>
  <c r="AD10" i="89"/>
  <c r="AE10" i="89" s="1"/>
  <c r="AC10" i="89"/>
  <c r="Z10" i="89"/>
  <c r="W10" i="89"/>
  <c r="T10" i="89"/>
  <c r="Q10" i="89"/>
  <c r="N10" i="89"/>
  <c r="AX9" i="89"/>
  <c r="AW9" i="89"/>
  <c r="AT9" i="89"/>
  <c r="AQ9" i="89"/>
  <c r="AN9" i="89"/>
  <c r="AK9" i="89"/>
  <c r="AH9" i="89"/>
  <c r="AD9" i="89"/>
  <c r="AC9" i="89"/>
  <c r="Z9" i="89"/>
  <c r="W9" i="89"/>
  <c r="T9" i="89"/>
  <c r="Q9" i="89"/>
  <c r="N9" i="89"/>
  <c r="G9" i="89"/>
  <c r="AY9" i="89" l="1"/>
  <c r="AE9" i="89"/>
  <c r="AY27" i="89"/>
  <c r="BA4" i="89" s="1"/>
  <c r="C38" i="10" s="1"/>
  <c r="AE27" i="89"/>
  <c r="AE26" i="89"/>
  <c r="AX50" i="88" l="1"/>
  <c r="AY50" i="88" s="1"/>
  <c r="AW50" i="88"/>
  <c r="AT50" i="88"/>
  <c r="AQ50" i="88"/>
  <c r="AN50" i="88"/>
  <c r="AK50" i="88"/>
  <c r="AH50" i="88"/>
  <c r="AD50" i="88"/>
  <c r="AE50" i="88" s="1"/>
  <c r="AC50" i="88"/>
  <c r="Z50" i="88"/>
  <c r="W50" i="88"/>
  <c r="T50" i="88"/>
  <c r="Q50" i="88"/>
  <c r="N50" i="88"/>
  <c r="AX48" i="88"/>
  <c r="AY48" i="88" s="1"/>
  <c r="AW48" i="88"/>
  <c r="AT48" i="88"/>
  <c r="AQ48" i="88"/>
  <c r="AN48" i="88"/>
  <c r="AK48" i="88"/>
  <c r="AH48" i="88"/>
  <c r="AD48" i="88"/>
  <c r="AE48" i="88" s="1"/>
  <c r="AC48" i="88"/>
  <c r="Z48" i="88"/>
  <c r="W48" i="88"/>
  <c r="T48" i="88"/>
  <c r="Q48" i="88"/>
  <c r="N48" i="88"/>
  <c r="AX47" i="88"/>
  <c r="AY47" i="88" s="1"/>
  <c r="AW47" i="88"/>
  <c r="AT47" i="88"/>
  <c r="AQ47" i="88"/>
  <c r="AN47" i="88"/>
  <c r="AK47" i="88"/>
  <c r="AH47" i="88"/>
  <c r="AD47" i="88"/>
  <c r="AE47" i="88" s="1"/>
  <c r="AC47" i="88"/>
  <c r="Z47" i="88"/>
  <c r="W47" i="88"/>
  <c r="T47" i="88"/>
  <c r="Q47" i="88"/>
  <c r="N47" i="88"/>
  <c r="AX46" i="88"/>
  <c r="AY46" i="88" s="1"/>
  <c r="AW46" i="88"/>
  <c r="AT46" i="88"/>
  <c r="AQ46" i="88"/>
  <c r="AN46" i="88"/>
  <c r="AK46" i="88"/>
  <c r="AH46" i="88"/>
  <c r="AD46" i="88"/>
  <c r="AE46" i="88" s="1"/>
  <c r="AC46" i="88"/>
  <c r="Z46" i="88"/>
  <c r="W46" i="88"/>
  <c r="T46" i="88"/>
  <c r="Q46" i="88"/>
  <c r="N46" i="88"/>
  <c r="AX45" i="88"/>
  <c r="AY45" i="88" s="1"/>
  <c r="AW45" i="88"/>
  <c r="AT45" i="88"/>
  <c r="AQ45" i="88"/>
  <c r="AN45" i="88"/>
  <c r="AK45" i="88"/>
  <c r="AH45" i="88"/>
  <c r="AD45" i="88"/>
  <c r="AE45" i="88" s="1"/>
  <c r="AC45" i="88"/>
  <c r="Z45" i="88"/>
  <c r="W45" i="88"/>
  <c r="T45" i="88"/>
  <c r="Q45" i="88"/>
  <c r="N45" i="88"/>
  <c r="AX43" i="88"/>
  <c r="AY43" i="88" s="1"/>
  <c r="AW43" i="88"/>
  <c r="AT43" i="88"/>
  <c r="AQ43" i="88"/>
  <c r="AN43" i="88"/>
  <c r="AK43" i="88"/>
  <c r="AH43" i="88"/>
  <c r="AD43" i="88"/>
  <c r="AE43" i="88" s="1"/>
  <c r="AC43" i="88"/>
  <c r="Z43" i="88"/>
  <c r="W43" i="88"/>
  <c r="T43" i="88"/>
  <c r="Q43" i="88"/>
  <c r="N43" i="88"/>
  <c r="AX42" i="88"/>
  <c r="AY42" i="88" s="1"/>
  <c r="AW42" i="88"/>
  <c r="AT42" i="88"/>
  <c r="AQ42" i="88"/>
  <c r="AN42" i="88"/>
  <c r="AK42" i="88"/>
  <c r="AH42" i="88"/>
  <c r="AD42" i="88"/>
  <c r="AE42" i="88" s="1"/>
  <c r="AC42" i="88"/>
  <c r="Z42" i="88"/>
  <c r="W42" i="88"/>
  <c r="T42" i="88"/>
  <c r="Q42" i="88"/>
  <c r="N42" i="88"/>
  <c r="AX41" i="88"/>
  <c r="AY41" i="88" s="1"/>
  <c r="AW41" i="88"/>
  <c r="AT41" i="88"/>
  <c r="AQ41" i="88"/>
  <c r="AN41" i="88"/>
  <c r="AK41" i="88"/>
  <c r="AH41" i="88"/>
  <c r="AD41" i="88"/>
  <c r="AE41" i="88" s="1"/>
  <c r="AC41" i="88"/>
  <c r="Z41" i="88"/>
  <c r="W41" i="88"/>
  <c r="T41" i="88"/>
  <c r="Q41" i="88"/>
  <c r="N41" i="88"/>
  <c r="AX40" i="88"/>
  <c r="AY40" i="88" s="1"/>
  <c r="AW40" i="88"/>
  <c r="AT40" i="88"/>
  <c r="AQ40" i="88"/>
  <c r="AN40" i="88"/>
  <c r="AK40" i="88"/>
  <c r="AH40" i="88"/>
  <c r="AD40" i="88"/>
  <c r="AE40" i="88" s="1"/>
  <c r="AC40" i="88"/>
  <c r="Z40" i="88"/>
  <c r="W40" i="88"/>
  <c r="T40" i="88"/>
  <c r="Q40" i="88"/>
  <c r="N40" i="88"/>
  <c r="AX39" i="88"/>
  <c r="AY39" i="88" s="1"/>
  <c r="AW39" i="88"/>
  <c r="AT39" i="88"/>
  <c r="AQ39" i="88"/>
  <c r="AN39" i="88"/>
  <c r="AK39" i="88"/>
  <c r="AH39" i="88"/>
  <c r="AD39" i="88"/>
  <c r="AE39" i="88" s="1"/>
  <c r="AC39" i="88"/>
  <c r="Z39" i="88"/>
  <c r="W39" i="88"/>
  <c r="T39" i="88"/>
  <c r="Q39" i="88"/>
  <c r="N39" i="88"/>
  <c r="AX38" i="88"/>
  <c r="AY38" i="88" s="1"/>
  <c r="AW38" i="88"/>
  <c r="AT38" i="88"/>
  <c r="AQ38" i="88"/>
  <c r="AN38" i="88"/>
  <c r="AK38" i="88"/>
  <c r="AH38" i="88"/>
  <c r="AD38" i="88"/>
  <c r="AE38" i="88" s="1"/>
  <c r="AC38" i="88"/>
  <c r="Z38" i="88"/>
  <c r="W38" i="88"/>
  <c r="T38" i="88"/>
  <c r="Q38" i="88"/>
  <c r="N38" i="88"/>
  <c r="AX37" i="88"/>
  <c r="AY37" i="88" s="1"/>
  <c r="AW37" i="88"/>
  <c r="AT37" i="88"/>
  <c r="AQ37" i="88"/>
  <c r="AN37" i="88"/>
  <c r="AK37" i="88"/>
  <c r="AH37" i="88"/>
  <c r="AD37" i="88"/>
  <c r="AE37" i="88" s="1"/>
  <c r="AC37" i="88"/>
  <c r="Z37" i="88"/>
  <c r="W37" i="88"/>
  <c r="T37" i="88"/>
  <c r="Q37" i="88"/>
  <c r="N37" i="88"/>
  <c r="AX36" i="88"/>
  <c r="AY36" i="88" s="1"/>
  <c r="AW36" i="88"/>
  <c r="AT36" i="88"/>
  <c r="AQ36" i="88"/>
  <c r="AN36" i="88"/>
  <c r="AK36" i="88"/>
  <c r="AH36" i="88"/>
  <c r="AD36" i="88"/>
  <c r="AE36" i="88" s="1"/>
  <c r="AC36" i="88"/>
  <c r="Z36" i="88"/>
  <c r="W36" i="88"/>
  <c r="T36" i="88"/>
  <c r="Q36" i="88"/>
  <c r="N36" i="88"/>
  <c r="AX35" i="88"/>
  <c r="AW35" i="88"/>
  <c r="AT35" i="88"/>
  <c r="AQ35" i="88"/>
  <c r="AN35" i="88"/>
  <c r="AK35" i="88"/>
  <c r="AH35" i="88"/>
  <c r="AD35" i="88"/>
  <c r="AC35" i="88"/>
  <c r="Z35" i="88"/>
  <c r="W35" i="88"/>
  <c r="T35" i="88"/>
  <c r="Q35" i="88"/>
  <c r="N35" i="88"/>
  <c r="AV34" i="88"/>
  <c r="AW34" i="88" s="1"/>
  <c r="AS34" i="88"/>
  <c r="AT34" i="88" s="1"/>
  <c r="AP34" i="88"/>
  <c r="AQ34" i="88" s="1"/>
  <c r="AM34" i="88"/>
  <c r="AN34" i="88" s="1"/>
  <c r="AJ34" i="88"/>
  <c r="AK34" i="88" s="1"/>
  <c r="AG34" i="88"/>
  <c r="AH34" i="88" s="1"/>
  <c r="AB34" i="88"/>
  <c r="AC34" i="88" s="1"/>
  <c r="Y34" i="88"/>
  <c r="Z34" i="88" s="1"/>
  <c r="V34" i="88"/>
  <c r="W34" i="88" s="1"/>
  <c r="S34" i="88"/>
  <c r="T34" i="88" s="1"/>
  <c r="P34" i="88"/>
  <c r="Q34" i="88" s="1"/>
  <c r="M34" i="88"/>
  <c r="AX33" i="88"/>
  <c r="AY33" i="88" s="1"/>
  <c r="AW33" i="88"/>
  <c r="AT33" i="88"/>
  <c r="AQ33" i="88"/>
  <c r="AN33" i="88"/>
  <c r="AK33" i="88"/>
  <c r="AH33" i="88"/>
  <c r="AD33" i="88"/>
  <c r="AE33" i="88" s="1"/>
  <c r="AC33" i="88"/>
  <c r="Z33" i="88"/>
  <c r="W33" i="88"/>
  <c r="T33" i="88"/>
  <c r="Q33" i="88"/>
  <c r="N33" i="88"/>
  <c r="AX32" i="88"/>
  <c r="AY32" i="88" s="1"/>
  <c r="AW32" i="88"/>
  <c r="AT32" i="88"/>
  <c r="AQ32" i="88"/>
  <c r="AN32" i="88"/>
  <c r="AK32" i="88"/>
  <c r="AH32" i="88"/>
  <c r="AD32" i="88"/>
  <c r="AE32" i="88" s="1"/>
  <c r="AC32" i="88"/>
  <c r="Z32" i="88"/>
  <c r="W32" i="88"/>
  <c r="T32" i="88"/>
  <c r="Q32" i="88"/>
  <c r="N32" i="88"/>
  <c r="AW31" i="88"/>
  <c r="AT31" i="88"/>
  <c r="AQ31" i="88"/>
  <c r="AN31" i="88"/>
  <c r="AK31" i="88"/>
  <c r="AH31" i="88"/>
  <c r="AD31" i="88"/>
  <c r="AE31" i="88" s="1"/>
  <c r="AC31" i="88"/>
  <c r="Z31" i="88"/>
  <c r="W31" i="88"/>
  <c r="T31" i="88"/>
  <c r="Q31" i="88"/>
  <c r="N31" i="88"/>
  <c r="AX30" i="88"/>
  <c r="AY30" i="88" s="1"/>
  <c r="AW30" i="88"/>
  <c r="AT30" i="88"/>
  <c r="AQ30" i="88"/>
  <c r="AN30" i="88"/>
  <c r="AK30" i="88"/>
  <c r="AH30" i="88"/>
  <c r="AD30" i="88"/>
  <c r="AE30" i="88" s="1"/>
  <c r="AC30" i="88"/>
  <c r="Z30" i="88"/>
  <c r="W30" i="88"/>
  <c r="T30" i="88"/>
  <c r="Q30" i="88"/>
  <c r="N30" i="88"/>
  <c r="AX29" i="88"/>
  <c r="AY29" i="88" s="1"/>
  <c r="AW29" i="88"/>
  <c r="AT29" i="88"/>
  <c r="AQ29" i="88"/>
  <c r="AN29" i="88"/>
  <c r="AK29" i="88"/>
  <c r="AH29" i="88"/>
  <c r="AD29" i="88"/>
  <c r="AE29" i="88" s="1"/>
  <c r="AC29" i="88"/>
  <c r="Z29" i="88"/>
  <c r="W29" i="88"/>
  <c r="T29" i="88"/>
  <c r="Q29" i="88"/>
  <c r="N29" i="88"/>
  <c r="AX28" i="88"/>
  <c r="AY28" i="88" s="1"/>
  <c r="AW28" i="88"/>
  <c r="AT28" i="88"/>
  <c r="AQ28" i="88"/>
  <c r="AN28" i="88"/>
  <c r="AK28" i="88"/>
  <c r="AH28" i="88"/>
  <c r="AD28" i="88"/>
  <c r="AE28" i="88" s="1"/>
  <c r="AC28" i="88"/>
  <c r="Z28" i="88"/>
  <c r="W28" i="88"/>
  <c r="T28" i="88"/>
  <c r="Q28" i="88"/>
  <c r="N28" i="88"/>
  <c r="AX27" i="88"/>
  <c r="AY27" i="88" s="1"/>
  <c r="AW27" i="88"/>
  <c r="AT27" i="88"/>
  <c r="AQ27" i="88"/>
  <c r="AN27" i="88"/>
  <c r="AK27" i="88"/>
  <c r="AH27" i="88"/>
  <c r="AD27" i="88"/>
  <c r="AE27" i="88" s="1"/>
  <c r="AC27" i="88"/>
  <c r="Z27" i="88"/>
  <c r="W27" i="88"/>
  <c r="T27" i="88"/>
  <c r="Q27" i="88"/>
  <c r="N27" i="88"/>
  <c r="AX26" i="88"/>
  <c r="AY26" i="88" s="1"/>
  <c r="AW26" i="88"/>
  <c r="AT26" i="88"/>
  <c r="AQ26" i="88"/>
  <c r="AN26" i="88"/>
  <c r="AK26" i="88"/>
  <c r="AH26" i="88"/>
  <c r="AD26" i="88"/>
  <c r="AE26" i="88" s="1"/>
  <c r="AC26" i="88"/>
  <c r="Z26" i="88"/>
  <c r="W26" i="88"/>
  <c r="T26" i="88"/>
  <c r="Q26" i="88"/>
  <c r="N26" i="88"/>
  <c r="AX25" i="88"/>
  <c r="AY25" i="88" s="1"/>
  <c r="AW25" i="88"/>
  <c r="AT25" i="88"/>
  <c r="AQ25" i="88"/>
  <c r="AN25" i="88"/>
  <c r="AK25" i="88"/>
  <c r="AH25" i="88"/>
  <c r="AD25" i="88"/>
  <c r="AE25" i="88" s="1"/>
  <c r="AC25" i="88"/>
  <c r="T25" i="88"/>
  <c r="Q25" i="88"/>
  <c r="N25" i="88"/>
  <c r="AX24" i="88"/>
  <c r="AY24" i="88" s="1"/>
  <c r="AW24" i="88"/>
  <c r="AT24" i="88"/>
  <c r="AQ24" i="88"/>
  <c r="AN24" i="88"/>
  <c r="AK24" i="88"/>
  <c r="AH24" i="88"/>
  <c r="AD24" i="88"/>
  <c r="AE24" i="88" s="1"/>
  <c r="AC24" i="88"/>
  <c r="Z24" i="88"/>
  <c r="W24" i="88"/>
  <c r="T24" i="88"/>
  <c r="Q24" i="88"/>
  <c r="N24" i="88"/>
  <c r="AX23" i="88"/>
  <c r="AY23" i="88" s="1"/>
  <c r="AW23" i="88"/>
  <c r="AT23" i="88"/>
  <c r="AQ23" i="88"/>
  <c r="AN23" i="88"/>
  <c r="AK23" i="88"/>
  <c r="AH23" i="88"/>
  <c r="AD23" i="88"/>
  <c r="AE23" i="88" s="1"/>
  <c r="AC23" i="88"/>
  <c r="Z23" i="88"/>
  <c r="W23" i="88"/>
  <c r="T23" i="88"/>
  <c r="Q23" i="88"/>
  <c r="N23" i="88"/>
  <c r="AX22" i="88"/>
  <c r="AY22" i="88" s="1"/>
  <c r="AW22" i="88"/>
  <c r="AT22" i="88"/>
  <c r="AQ22" i="88"/>
  <c r="AN22" i="88"/>
  <c r="AK22" i="88"/>
  <c r="AH22" i="88"/>
  <c r="AD22" i="88"/>
  <c r="AE22" i="88" s="1"/>
  <c r="AC22" i="88"/>
  <c r="Z22" i="88"/>
  <c r="W22" i="88"/>
  <c r="T22" i="88"/>
  <c r="Q22" i="88"/>
  <c r="N22" i="88"/>
  <c r="AX21" i="88"/>
  <c r="AY21" i="88" s="1"/>
  <c r="AW21" i="88"/>
  <c r="AT21" i="88"/>
  <c r="AQ21" i="88"/>
  <c r="AN21" i="88"/>
  <c r="AK21" i="88"/>
  <c r="AH21" i="88"/>
  <c r="AD21" i="88"/>
  <c r="AE21" i="88" s="1"/>
  <c r="AC21" i="88"/>
  <c r="Z21" i="88"/>
  <c r="W21" i="88"/>
  <c r="T21" i="88"/>
  <c r="Q21" i="88"/>
  <c r="N21" i="88"/>
  <c r="AX20" i="88"/>
  <c r="AY20" i="88" s="1"/>
  <c r="AW20" i="88"/>
  <c r="AT20" i="88"/>
  <c r="AQ20" i="88"/>
  <c r="AN20" i="88"/>
  <c r="AK20" i="88"/>
  <c r="AH20" i="88"/>
  <c r="AD20" i="88"/>
  <c r="AE20" i="88" s="1"/>
  <c r="AC20" i="88"/>
  <c r="Z20" i="88"/>
  <c r="W20" i="88"/>
  <c r="T20" i="88"/>
  <c r="Q20" i="88"/>
  <c r="N20" i="88"/>
  <c r="AX19" i="88"/>
  <c r="AY19" i="88" s="1"/>
  <c r="AW19" i="88"/>
  <c r="AT19" i="88"/>
  <c r="AQ19" i="88"/>
  <c r="AN19" i="88"/>
  <c r="AK19" i="88"/>
  <c r="AH19" i="88"/>
  <c r="AD19" i="88"/>
  <c r="AE19" i="88" s="1"/>
  <c r="AC19" i="88"/>
  <c r="Z19" i="88"/>
  <c r="W19" i="88"/>
  <c r="T19" i="88"/>
  <c r="Q19" i="88"/>
  <c r="N19" i="88"/>
  <c r="AX18" i="88"/>
  <c r="AY18" i="88" s="1"/>
  <c r="AW18" i="88"/>
  <c r="AT18" i="88"/>
  <c r="AQ18" i="88"/>
  <c r="AN18" i="88"/>
  <c r="AK18" i="88"/>
  <c r="AH18" i="88"/>
  <c r="AD18" i="88"/>
  <c r="AE18" i="88" s="1"/>
  <c r="AC18" i="88"/>
  <c r="Z18" i="88"/>
  <c r="W18" i="88"/>
  <c r="T18" i="88"/>
  <c r="Q18" i="88"/>
  <c r="N18" i="88"/>
  <c r="AX17" i="88"/>
  <c r="AY17" i="88" s="1"/>
  <c r="AW17" i="88"/>
  <c r="AT17" i="88"/>
  <c r="AQ17" i="88"/>
  <c r="AN17" i="88"/>
  <c r="AK17" i="88"/>
  <c r="AH17" i="88"/>
  <c r="AD17" i="88"/>
  <c r="AE17" i="88" s="1"/>
  <c r="AC17" i="88"/>
  <c r="Z17" i="88"/>
  <c r="W17" i="88"/>
  <c r="T17" i="88"/>
  <c r="Q17" i="88"/>
  <c r="N17" i="88"/>
  <c r="AX16" i="88"/>
  <c r="AY16" i="88" s="1"/>
  <c r="AW16" i="88"/>
  <c r="AT16" i="88"/>
  <c r="AQ16" i="88"/>
  <c r="AN16" i="88"/>
  <c r="AK16" i="88"/>
  <c r="AH16" i="88"/>
  <c r="AD16" i="88"/>
  <c r="AE16" i="88" s="1"/>
  <c r="AC16" i="88"/>
  <c r="Z16" i="88"/>
  <c r="W16" i="88"/>
  <c r="T16" i="88"/>
  <c r="Q16" i="88"/>
  <c r="N16" i="88"/>
  <c r="AX15" i="88"/>
  <c r="AY15" i="88" s="1"/>
  <c r="AW15" i="88"/>
  <c r="AT15" i="88"/>
  <c r="AQ15" i="88"/>
  <c r="AN15" i="88"/>
  <c r="AK15" i="88"/>
  <c r="AH15" i="88"/>
  <c r="AD15" i="88"/>
  <c r="AE15" i="88" s="1"/>
  <c r="AC15" i="88"/>
  <c r="Z15" i="88"/>
  <c r="W15" i="88"/>
  <c r="T15" i="88"/>
  <c r="Q15" i="88"/>
  <c r="N15" i="88"/>
  <c r="AX14" i="88"/>
  <c r="AY14" i="88" s="1"/>
  <c r="AW14" i="88"/>
  <c r="AT14" i="88"/>
  <c r="AQ14" i="88"/>
  <c r="AN14" i="88"/>
  <c r="AK14" i="88"/>
  <c r="AH14" i="88"/>
  <c r="AD14" i="88"/>
  <c r="AE14" i="88" s="1"/>
  <c r="AC14" i="88"/>
  <c r="Z14" i="88"/>
  <c r="W14" i="88"/>
  <c r="T14" i="88"/>
  <c r="Q14" i="88"/>
  <c r="N14" i="88"/>
  <c r="AX13" i="88"/>
  <c r="AY13" i="88" s="1"/>
  <c r="AW13" i="88"/>
  <c r="AT13" i="88"/>
  <c r="AQ13" i="88"/>
  <c r="AN13" i="88"/>
  <c r="AK13" i="88"/>
  <c r="AH13" i="88"/>
  <c r="AD13" i="88"/>
  <c r="AE13" i="88" s="1"/>
  <c r="AC13" i="88"/>
  <c r="Z13" i="88"/>
  <c r="W13" i="88"/>
  <c r="T13" i="88"/>
  <c r="Q13" i="88"/>
  <c r="N13" i="88"/>
  <c r="AX12" i="88"/>
  <c r="AY12" i="88" s="1"/>
  <c r="AW12" i="88"/>
  <c r="AT12" i="88"/>
  <c r="AQ12" i="88"/>
  <c r="AN12" i="88"/>
  <c r="AK12" i="88"/>
  <c r="AH12" i="88"/>
  <c r="AD12" i="88"/>
  <c r="AE12" i="88" s="1"/>
  <c r="AC12" i="88"/>
  <c r="Z12" i="88"/>
  <c r="W12" i="88"/>
  <c r="T12" i="88"/>
  <c r="Q12" i="88"/>
  <c r="N12" i="88"/>
  <c r="AX11" i="88"/>
  <c r="AY11" i="88" s="1"/>
  <c r="AW11" i="88"/>
  <c r="AT11" i="88"/>
  <c r="AQ11" i="88"/>
  <c r="AD11" i="88"/>
  <c r="AX10" i="88"/>
  <c r="AY10" i="88" s="1"/>
  <c r="AW10" i="88"/>
  <c r="AT10" i="88"/>
  <c r="AQ10" i="88"/>
  <c r="AN10" i="88"/>
  <c r="AK10" i="88"/>
  <c r="AH10" i="88"/>
  <c r="AE10" i="88"/>
  <c r="AC10" i="88"/>
  <c r="Z10" i="88"/>
  <c r="W10" i="88"/>
  <c r="T10" i="88"/>
  <c r="Q10" i="88"/>
  <c r="N10" i="88"/>
  <c r="AX9" i="88"/>
  <c r="AY9" i="88" s="1"/>
  <c r="AW9" i="88"/>
  <c r="AT9" i="88"/>
  <c r="AQ9" i="88"/>
  <c r="AN9" i="88"/>
  <c r="AK9" i="88"/>
  <c r="AH9" i="88"/>
  <c r="AD9" i="88"/>
  <c r="AE9" i="88" s="1"/>
  <c r="AC9" i="88"/>
  <c r="Z9" i="88"/>
  <c r="W9" i="88"/>
  <c r="T9" i="88"/>
  <c r="Q9" i="88"/>
  <c r="N9" i="88"/>
  <c r="G35" i="88"/>
  <c r="AX31" i="88" l="1"/>
  <c r="AY31" i="88" s="1"/>
  <c r="AY35" i="88"/>
  <c r="AZ3" i="88" s="1"/>
  <c r="C37" i="10" s="1"/>
  <c r="AE35" i="88"/>
  <c r="AD34" i="88"/>
  <c r="AE34" i="88" s="1"/>
  <c r="N34" i="88"/>
  <c r="AX33" i="85"/>
  <c r="AY33" i="85" s="1"/>
  <c r="AW33" i="85"/>
  <c r="AT33" i="85"/>
  <c r="AQ33" i="85"/>
  <c r="AN33" i="85"/>
  <c r="AK33" i="85"/>
  <c r="AH33" i="85"/>
  <c r="AD33" i="85"/>
  <c r="AE33" i="85" s="1"/>
  <c r="AC33" i="85"/>
  <c r="Z33" i="85"/>
  <c r="W33" i="85"/>
  <c r="T33" i="85"/>
  <c r="Q33" i="85"/>
  <c r="N33" i="85"/>
  <c r="AX30" i="85"/>
  <c r="AY30" i="85" s="1"/>
  <c r="AW30" i="85"/>
  <c r="AT30" i="85"/>
  <c r="AQ30" i="85"/>
  <c r="AN30" i="85"/>
  <c r="AK30" i="85"/>
  <c r="AH30" i="85"/>
  <c r="AD30" i="85"/>
  <c r="AE30" i="85" s="1"/>
  <c r="AC30" i="85"/>
  <c r="Z30" i="85"/>
  <c r="W30" i="85"/>
  <c r="T30" i="85"/>
  <c r="Q30" i="85"/>
  <c r="N30" i="85"/>
  <c r="AX29" i="85"/>
  <c r="AY29" i="85" s="1"/>
  <c r="AW29" i="85"/>
  <c r="AT29" i="85"/>
  <c r="AQ29" i="85"/>
  <c r="AN29" i="85"/>
  <c r="AK29" i="85"/>
  <c r="AH29" i="85"/>
  <c r="AD29" i="85"/>
  <c r="AE29" i="85" s="1"/>
  <c r="AC29" i="85"/>
  <c r="Z29" i="85"/>
  <c r="W29" i="85"/>
  <c r="T29" i="85"/>
  <c r="Q29" i="85"/>
  <c r="N29" i="85"/>
  <c r="AX27" i="85"/>
  <c r="AW27" i="85"/>
  <c r="AT27" i="85"/>
  <c r="AQ27" i="85"/>
  <c r="AN27" i="85"/>
  <c r="AK27" i="85"/>
  <c r="AH27" i="85"/>
  <c r="AD27" i="85"/>
  <c r="AC27" i="85"/>
  <c r="Z27" i="85"/>
  <c r="W27" i="85"/>
  <c r="T27" i="85"/>
  <c r="Q27" i="85"/>
  <c r="N27" i="85"/>
  <c r="G27" i="85"/>
  <c r="AX26" i="85"/>
  <c r="AY26" i="85" s="1"/>
  <c r="AW26" i="85"/>
  <c r="AT26" i="85"/>
  <c r="AQ26" i="85"/>
  <c r="AN26" i="85"/>
  <c r="AK26" i="85"/>
  <c r="AH26" i="85"/>
  <c r="AD26" i="85"/>
  <c r="AE26" i="85" s="1"/>
  <c r="AC26" i="85"/>
  <c r="Z26" i="85"/>
  <c r="W26" i="85"/>
  <c r="T26" i="85"/>
  <c r="Q26" i="85"/>
  <c r="N26" i="85"/>
  <c r="AY25" i="85"/>
  <c r="AW25" i="85"/>
  <c r="AT25" i="85"/>
  <c r="AQ25" i="85"/>
  <c r="AN25" i="85"/>
  <c r="AK25" i="85"/>
  <c r="AH25" i="85"/>
  <c r="AE25" i="85"/>
  <c r="AC25" i="85"/>
  <c r="Z25" i="85"/>
  <c r="W25" i="85"/>
  <c r="T25" i="85"/>
  <c r="Q25" i="85"/>
  <c r="N25" i="85"/>
  <c r="AY24" i="85"/>
  <c r="AW24" i="85"/>
  <c r="AT24" i="85"/>
  <c r="AQ24" i="85"/>
  <c r="AN24" i="85"/>
  <c r="AK24" i="85"/>
  <c r="AH24" i="85"/>
  <c r="AE24" i="85"/>
  <c r="AC24" i="85"/>
  <c r="Z24" i="85"/>
  <c r="W24" i="85"/>
  <c r="T24" i="85"/>
  <c r="Q24" i="85"/>
  <c r="N24" i="85"/>
  <c r="AX23" i="85"/>
  <c r="AY23" i="85" s="1"/>
  <c r="AW23" i="85"/>
  <c r="AT23" i="85"/>
  <c r="AQ23" i="85"/>
  <c r="AN23" i="85"/>
  <c r="AK23" i="85"/>
  <c r="AH23" i="85"/>
  <c r="AD23" i="85"/>
  <c r="AE23" i="85" s="1"/>
  <c r="AC23" i="85"/>
  <c r="Z23" i="85"/>
  <c r="W23" i="85"/>
  <c r="T23" i="85"/>
  <c r="Q23" i="85"/>
  <c r="N23" i="85"/>
  <c r="AX22" i="85"/>
  <c r="AY22" i="85" s="1"/>
  <c r="AW22" i="85"/>
  <c r="AT22" i="85"/>
  <c r="AQ22" i="85"/>
  <c r="AN22" i="85"/>
  <c r="AK22" i="85"/>
  <c r="AH22" i="85"/>
  <c r="AD22" i="85"/>
  <c r="AE22" i="85" s="1"/>
  <c r="AC22" i="85"/>
  <c r="Z22" i="85"/>
  <c r="W22" i="85"/>
  <c r="T22" i="85"/>
  <c r="Q22" i="85"/>
  <c r="N22" i="85"/>
  <c r="AX21" i="85"/>
  <c r="AY21" i="85" s="1"/>
  <c r="AW21" i="85"/>
  <c r="AT21" i="85"/>
  <c r="AQ21" i="85"/>
  <c r="AN21" i="85"/>
  <c r="AK21" i="85"/>
  <c r="AH21" i="85"/>
  <c r="AD21" i="85"/>
  <c r="AE21" i="85" s="1"/>
  <c r="AC21" i="85"/>
  <c r="Z21" i="85"/>
  <c r="W21" i="85"/>
  <c r="T21" i="85"/>
  <c r="Q21" i="85"/>
  <c r="N21" i="85"/>
  <c r="AX20" i="85"/>
  <c r="AY20" i="85" s="1"/>
  <c r="AW20" i="85"/>
  <c r="AT20" i="85"/>
  <c r="AQ20" i="85"/>
  <c r="AN20" i="85"/>
  <c r="AK20" i="85"/>
  <c r="AH20" i="85"/>
  <c r="AD20" i="85"/>
  <c r="AE20" i="85" s="1"/>
  <c r="AC20" i="85"/>
  <c r="Z20" i="85"/>
  <c r="W20" i="85"/>
  <c r="T20" i="85"/>
  <c r="Q20" i="85"/>
  <c r="N20" i="85"/>
  <c r="AX19" i="85"/>
  <c r="AY19" i="85" s="1"/>
  <c r="AW19" i="85"/>
  <c r="AT19" i="85"/>
  <c r="AQ19" i="85"/>
  <c r="AN19" i="85"/>
  <c r="AK19" i="85"/>
  <c r="AH19" i="85"/>
  <c r="AD19" i="85"/>
  <c r="AE19" i="85" s="1"/>
  <c r="AC19" i="85"/>
  <c r="Z19" i="85"/>
  <c r="W19" i="85"/>
  <c r="T19" i="85"/>
  <c r="Q19" i="85"/>
  <c r="N19" i="85"/>
  <c r="AX18" i="85"/>
  <c r="AY18" i="85" s="1"/>
  <c r="AW18" i="85"/>
  <c r="AT18" i="85"/>
  <c r="AQ18" i="85"/>
  <c r="AN18" i="85"/>
  <c r="AK18" i="85"/>
  <c r="AH18" i="85"/>
  <c r="AD18" i="85"/>
  <c r="AE18" i="85" s="1"/>
  <c r="AC18" i="85"/>
  <c r="Z18" i="85"/>
  <c r="W18" i="85"/>
  <c r="T18" i="85"/>
  <c r="Q18" i="85"/>
  <c r="N18" i="85"/>
  <c r="AX17" i="85"/>
  <c r="AY17" i="85" s="1"/>
  <c r="AW17" i="85"/>
  <c r="AT17" i="85"/>
  <c r="AQ17" i="85"/>
  <c r="AN17" i="85"/>
  <c r="AK17" i="85"/>
  <c r="AH17" i="85"/>
  <c r="AD17" i="85"/>
  <c r="AE17" i="85" s="1"/>
  <c r="AC17" i="85"/>
  <c r="Z17" i="85"/>
  <c r="W17" i="85"/>
  <c r="T17" i="85"/>
  <c r="Q17" i="85"/>
  <c r="N17" i="85"/>
  <c r="AX13" i="85"/>
  <c r="AX12" i="85"/>
  <c r="AY11" i="85"/>
  <c r="AW11" i="85"/>
  <c r="AT11" i="85"/>
  <c r="AQ11" i="85"/>
  <c r="AN11" i="85"/>
  <c r="AK11" i="85"/>
  <c r="AH11" i="85"/>
  <c r="AD11" i="85"/>
  <c r="AE11" i="85" s="1"/>
  <c r="AC11" i="85"/>
  <c r="Z11" i="85"/>
  <c r="W11" i="85"/>
  <c r="T11" i="85"/>
  <c r="Q11" i="85"/>
  <c r="N11" i="85"/>
  <c r="AX10" i="85"/>
  <c r="AY10" i="85" s="1"/>
  <c r="AW10" i="85"/>
  <c r="AT10" i="85"/>
  <c r="AQ10" i="85"/>
  <c r="AN10" i="85"/>
  <c r="AK10" i="85"/>
  <c r="AH10" i="85"/>
  <c r="AD10" i="85"/>
  <c r="AE10" i="85" s="1"/>
  <c r="AC10" i="85"/>
  <c r="Z10" i="85"/>
  <c r="W10" i="85"/>
  <c r="T10" i="85"/>
  <c r="Q10" i="85"/>
  <c r="N10" i="85"/>
  <c r="AX9" i="85"/>
  <c r="AY9" i="85" s="1"/>
  <c r="AW9" i="85"/>
  <c r="AT9" i="85"/>
  <c r="AQ9" i="85"/>
  <c r="AN9" i="85"/>
  <c r="AK9" i="85"/>
  <c r="AH9" i="85"/>
  <c r="AE9" i="85"/>
  <c r="AC9" i="85"/>
  <c r="Z9" i="85"/>
  <c r="W9" i="85"/>
  <c r="T9" i="85"/>
  <c r="Q9" i="85"/>
  <c r="N9" i="85"/>
  <c r="G9" i="85"/>
  <c r="AE27" i="85" l="1"/>
  <c r="AY27" i="85"/>
  <c r="AZ3" i="85" s="1"/>
  <c r="C36" i="10" s="1"/>
  <c r="AY33" i="84"/>
  <c r="AY31" i="84"/>
  <c r="AY30" i="84"/>
  <c r="AY27" i="84"/>
  <c r="AY19" i="84"/>
  <c r="AY18" i="84"/>
  <c r="AY17" i="84"/>
  <c r="AY16" i="84"/>
  <c r="AY15" i="84"/>
  <c r="AY14" i="84"/>
  <c r="AY13" i="84"/>
  <c r="AY12" i="84"/>
  <c r="AY10" i="84"/>
  <c r="AX9" i="84"/>
  <c r="G9" i="84"/>
  <c r="AY9" i="84" l="1"/>
  <c r="AZ3" i="84" s="1"/>
  <c r="C35" i="10" s="1"/>
  <c r="AX33" i="83"/>
  <c r="AY33" i="83" s="1"/>
  <c r="AW33" i="83"/>
  <c r="AT33" i="83"/>
  <c r="AQ33" i="83"/>
  <c r="AN33" i="83"/>
  <c r="AK33" i="83"/>
  <c r="AH33" i="83"/>
  <c r="AD33" i="83"/>
  <c r="AE33" i="83" s="1"/>
  <c r="AC33" i="83"/>
  <c r="Z33" i="83"/>
  <c r="W33" i="83"/>
  <c r="T33" i="83"/>
  <c r="Q33" i="83"/>
  <c r="N33" i="83"/>
  <c r="AX31" i="83"/>
  <c r="AY31" i="83" s="1"/>
  <c r="AW31" i="83"/>
  <c r="AT31" i="83"/>
  <c r="AQ31" i="83"/>
  <c r="AN31" i="83"/>
  <c r="AK31" i="83"/>
  <c r="AH31" i="83"/>
  <c r="AD31" i="83"/>
  <c r="AE31" i="83" s="1"/>
  <c r="AC31" i="83"/>
  <c r="Z31" i="83"/>
  <c r="W31" i="83"/>
  <c r="T31" i="83"/>
  <c r="Q31" i="83"/>
  <c r="N31" i="83"/>
  <c r="AX30" i="83"/>
  <c r="AY30" i="83" s="1"/>
  <c r="AW30" i="83"/>
  <c r="AT30" i="83"/>
  <c r="AQ30" i="83"/>
  <c r="AN30" i="83"/>
  <c r="AK30" i="83"/>
  <c r="AH30" i="83"/>
  <c r="AD30" i="83"/>
  <c r="AE30" i="83" s="1"/>
  <c r="AC30" i="83"/>
  <c r="Z30" i="83"/>
  <c r="W30" i="83"/>
  <c r="T30" i="83"/>
  <c r="Q30" i="83"/>
  <c r="N30" i="83"/>
  <c r="AX29" i="83"/>
  <c r="AY29" i="83" s="1"/>
  <c r="AW29" i="83"/>
  <c r="AT29" i="83"/>
  <c r="AQ29" i="83"/>
  <c r="AN29" i="83"/>
  <c r="AK29" i="83"/>
  <c r="AH29" i="83"/>
  <c r="AD29" i="83"/>
  <c r="AE29" i="83" s="1"/>
  <c r="AC29" i="83"/>
  <c r="Z29" i="83"/>
  <c r="W29" i="83"/>
  <c r="T29" i="83"/>
  <c r="Q29" i="83"/>
  <c r="N29" i="83"/>
  <c r="AX27" i="83"/>
  <c r="AW27" i="83"/>
  <c r="AT27" i="83"/>
  <c r="AQ27" i="83"/>
  <c r="AN27" i="83"/>
  <c r="AK27" i="83"/>
  <c r="AH27" i="83"/>
  <c r="AD27" i="83"/>
  <c r="AC27" i="83"/>
  <c r="Z27" i="83"/>
  <c r="W27" i="83"/>
  <c r="T27" i="83"/>
  <c r="Q27" i="83"/>
  <c r="N27" i="83"/>
  <c r="G27" i="83"/>
  <c r="AE27" i="83" s="1"/>
  <c r="AX26" i="83"/>
  <c r="AY26" i="83" s="1"/>
  <c r="AW26" i="83"/>
  <c r="AT26" i="83"/>
  <c r="AQ26" i="83"/>
  <c r="AN26" i="83"/>
  <c r="AK26" i="83"/>
  <c r="AH26" i="83"/>
  <c r="AD26" i="83"/>
  <c r="AE26" i="83" s="1"/>
  <c r="AC26" i="83"/>
  <c r="Z26" i="83"/>
  <c r="W26" i="83"/>
  <c r="T26" i="83"/>
  <c r="Q26" i="83"/>
  <c r="N26" i="83"/>
  <c r="AX25" i="83"/>
  <c r="AY25" i="83" s="1"/>
  <c r="AW25" i="83"/>
  <c r="AT25" i="83"/>
  <c r="AQ25" i="83"/>
  <c r="AN25" i="83"/>
  <c r="AK25" i="83"/>
  <c r="AH25" i="83"/>
  <c r="AD25" i="83"/>
  <c r="AE25" i="83" s="1"/>
  <c r="AC25" i="83"/>
  <c r="Z25" i="83"/>
  <c r="W25" i="83"/>
  <c r="T25" i="83"/>
  <c r="Q25" i="83"/>
  <c r="N25" i="83"/>
  <c r="AX24" i="83"/>
  <c r="AY24" i="83" s="1"/>
  <c r="AW24" i="83"/>
  <c r="AT24" i="83"/>
  <c r="AN24" i="83"/>
  <c r="AD24" i="83"/>
  <c r="AE24" i="83" s="1"/>
  <c r="AC24" i="83"/>
  <c r="Z24" i="83"/>
  <c r="W24" i="83"/>
  <c r="T24" i="83"/>
  <c r="Q24" i="83"/>
  <c r="N24" i="83"/>
  <c r="AX23" i="83"/>
  <c r="AY23" i="83" s="1"/>
  <c r="AW23" i="83"/>
  <c r="AT23" i="83"/>
  <c r="AQ23" i="83"/>
  <c r="AN23" i="83"/>
  <c r="AK23" i="83"/>
  <c r="AH23" i="83"/>
  <c r="AD23" i="83"/>
  <c r="AE23" i="83" s="1"/>
  <c r="AC23" i="83"/>
  <c r="Z23" i="83"/>
  <c r="W23" i="83"/>
  <c r="T23" i="83"/>
  <c r="Q23" i="83"/>
  <c r="N23" i="83"/>
  <c r="AX22" i="83"/>
  <c r="AY22" i="83" s="1"/>
  <c r="AW22" i="83"/>
  <c r="AT22" i="83"/>
  <c r="AQ22" i="83"/>
  <c r="AN22" i="83"/>
  <c r="AK22" i="83"/>
  <c r="AH22" i="83"/>
  <c r="AD22" i="83"/>
  <c r="AE22" i="83" s="1"/>
  <c r="AC22" i="83"/>
  <c r="Z22" i="83"/>
  <c r="W22" i="83"/>
  <c r="T22" i="83"/>
  <c r="Q22" i="83"/>
  <c r="N22" i="83"/>
  <c r="AX21" i="83"/>
  <c r="AY21" i="83" s="1"/>
  <c r="AW21" i="83"/>
  <c r="AT21" i="83"/>
  <c r="AQ21" i="83"/>
  <c r="AN21" i="83"/>
  <c r="AK21" i="83"/>
  <c r="AH21" i="83"/>
  <c r="AD21" i="83"/>
  <c r="AE21" i="83" s="1"/>
  <c r="AC21" i="83"/>
  <c r="Z21" i="83"/>
  <c r="W21" i="83"/>
  <c r="T21" i="83"/>
  <c r="Q21" i="83"/>
  <c r="N21" i="83"/>
  <c r="AX20" i="83"/>
  <c r="AY20" i="83" s="1"/>
  <c r="AW20" i="83"/>
  <c r="AT20" i="83"/>
  <c r="AQ20" i="83"/>
  <c r="AN20" i="83"/>
  <c r="AK20" i="83"/>
  <c r="AH20" i="83"/>
  <c r="AD20" i="83"/>
  <c r="AE20" i="83" s="1"/>
  <c r="AC20" i="83"/>
  <c r="Z20" i="83"/>
  <c r="W20" i="83"/>
  <c r="T20" i="83"/>
  <c r="Q20" i="83"/>
  <c r="N20" i="83"/>
  <c r="AX19" i="83"/>
  <c r="AY19" i="83" s="1"/>
  <c r="AW19" i="83"/>
  <c r="AT19" i="83"/>
  <c r="AQ19" i="83"/>
  <c r="AN19" i="83"/>
  <c r="AK19" i="83"/>
  <c r="AH19" i="83"/>
  <c r="AD19" i="83"/>
  <c r="AE19" i="83" s="1"/>
  <c r="AC19" i="83"/>
  <c r="Z19" i="83"/>
  <c r="W19" i="83"/>
  <c r="T19" i="83"/>
  <c r="Q19" i="83"/>
  <c r="N19" i="83"/>
  <c r="AX18" i="83"/>
  <c r="AY18" i="83" s="1"/>
  <c r="AW18" i="83"/>
  <c r="AT18" i="83"/>
  <c r="AQ18" i="83"/>
  <c r="AN18" i="83"/>
  <c r="AK18" i="83"/>
  <c r="AH18" i="83"/>
  <c r="AD18" i="83"/>
  <c r="AE18" i="83" s="1"/>
  <c r="AC18" i="83"/>
  <c r="Z18" i="83"/>
  <c r="W18" i="83"/>
  <c r="T18" i="83"/>
  <c r="Q18" i="83"/>
  <c r="N18" i="83"/>
  <c r="AX17" i="83"/>
  <c r="AY17" i="83" s="1"/>
  <c r="AW17" i="83"/>
  <c r="AT17" i="83"/>
  <c r="AQ17" i="83"/>
  <c r="AN17" i="83"/>
  <c r="AK17" i="83"/>
  <c r="AH17" i="83"/>
  <c r="AD17" i="83"/>
  <c r="AE17" i="83" s="1"/>
  <c r="AC17" i="83"/>
  <c r="Z17" i="83"/>
  <c r="W17" i="83"/>
  <c r="T17" i="83"/>
  <c r="Q17" i="83"/>
  <c r="N17" i="83"/>
  <c r="AW16" i="83"/>
  <c r="AT16" i="83"/>
  <c r="AQ16" i="83"/>
  <c r="AN16" i="83"/>
  <c r="AK16" i="83"/>
  <c r="AH16" i="83"/>
  <c r="AC16" i="83"/>
  <c r="Z16" i="83"/>
  <c r="W16" i="83"/>
  <c r="S16" i="83"/>
  <c r="AX16" i="83" s="1"/>
  <c r="AY16" i="83" s="1"/>
  <c r="Q16" i="83"/>
  <c r="N16" i="83"/>
  <c r="AX15" i="83"/>
  <c r="AY15" i="83" s="1"/>
  <c r="AW15" i="83"/>
  <c r="AT15" i="83"/>
  <c r="AQ15" i="83"/>
  <c r="AN15" i="83"/>
  <c r="AK15" i="83"/>
  <c r="AH15" i="83"/>
  <c r="AD15" i="83"/>
  <c r="AE15" i="83" s="1"/>
  <c r="AC15" i="83"/>
  <c r="Z15" i="83"/>
  <c r="W15" i="83"/>
  <c r="T15" i="83"/>
  <c r="Q15" i="83"/>
  <c r="N15" i="83"/>
  <c r="AX14" i="83"/>
  <c r="AY14" i="83" s="1"/>
  <c r="AW14" i="83"/>
  <c r="AT14" i="83"/>
  <c r="AQ14" i="83"/>
  <c r="AN14" i="83"/>
  <c r="AK14" i="83"/>
  <c r="AH14" i="83"/>
  <c r="AD14" i="83"/>
  <c r="AE14" i="83" s="1"/>
  <c r="AC14" i="83"/>
  <c r="Z14" i="83"/>
  <c r="W14" i="83"/>
  <c r="T14" i="83"/>
  <c r="Q14" i="83"/>
  <c r="N14" i="83"/>
  <c r="AX13" i="83"/>
  <c r="AY13" i="83" s="1"/>
  <c r="AW13" i="83"/>
  <c r="AT13" i="83"/>
  <c r="AQ13" i="83"/>
  <c r="AN13" i="83"/>
  <c r="AK13" i="83"/>
  <c r="AH13" i="83"/>
  <c r="AD13" i="83"/>
  <c r="AE13" i="83" s="1"/>
  <c r="AC13" i="83"/>
  <c r="Z13" i="83"/>
  <c r="W13" i="83"/>
  <c r="T13" i="83"/>
  <c r="Q13" i="83"/>
  <c r="N13" i="83"/>
  <c r="AX12" i="83"/>
  <c r="AY12" i="83" s="1"/>
  <c r="AW12" i="83"/>
  <c r="AT12" i="83"/>
  <c r="AQ12" i="83"/>
  <c r="AN12" i="83"/>
  <c r="AK12" i="83"/>
  <c r="AH12" i="83"/>
  <c r="AD12" i="83"/>
  <c r="AE12" i="83" s="1"/>
  <c r="AC12" i="83"/>
  <c r="Z12" i="83"/>
  <c r="W12" i="83"/>
  <c r="T12" i="83"/>
  <c r="Q12" i="83"/>
  <c r="N12" i="83"/>
  <c r="AX11" i="83"/>
  <c r="AY11" i="83" s="1"/>
  <c r="AW11" i="83"/>
  <c r="AT11" i="83"/>
  <c r="AQ11" i="83"/>
  <c r="AN11" i="83"/>
  <c r="AK11" i="83"/>
  <c r="AH11" i="83"/>
  <c r="AD11" i="83"/>
  <c r="AE11" i="83" s="1"/>
  <c r="AC11" i="83"/>
  <c r="Z11" i="83"/>
  <c r="W11" i="83"/>
  <c r="T11" i="83"/>
  <c r="Q11" i="83"/>
  <c r="N11" i="83"/>
  <c r="AX10" i="83"/>
  <c r="AY10" i="83" s="1"/>
  <c r="AW10" i="83"/>
  <c r="AT10" i="83"/>
  <c r="AQ10" i="83"/>
  <c r="AN10" i="83"/>
  <c r="AK10" i="83"/>
  <c r="AH10" i="83"/>
  <c r="AD10" i="83"/>
  <c r="AE10" i="83" s="1"/>
  <c r="AC10" i="83"/>
  <c r="Z10" i="83"/>
  <c r="W10" i="83"/>
  <c r="T10" i="83"/>
  <c r="Q10" i="83"/>
  <c r="N10" i="83"/>
  <c r="AX9" i="83"/>
  <c r="AW9" i="83"/>
  <c r="AT9" i="83"/>
  <c r="AQ9" i="83"/>
  <c r="AN9" i="83"/>
  <c r="AK9" i="83"/>
  <c r="AH9" i="83"/>
  <c r="AD9" i="83"/>
  <c r="AE9" i="83" s="1"/>
  <c r="AC9" i="83"/>
  <c r="Z9" i="83"/>
  <c r="W9" i="83"/>
  <c r="T9" i="83"/>
  <c r="Q9" i="83"/>
  <c r="N9" i="83"/>
  <c r="G9" i="83"/>
  <c r="AY9" i="83" l="1"/>
  <c r="AY27" i="83"/>
  <c r="AZ3" i="83" s="1"/>
  <c r="C34" i="10" s="1"/>
  <c r="T16" i="83"/>
  <c r="AD16" i="83"/>
  <c r="AE16" i="83" s="1"/>
  <c r="AU34" i="82" l="1"/>
  <c r="AV34" i="82" s="1"/>
  <c r="AT34" i="82"/>
  <c r="AQ34" i="82"/>
  <c r="AN34" i="82"/>
  <c r="AK34" i="82"/>
  <c r="AH34" i="82"/>
  <c r="AE34" i="82"/>
  <c r="AA34" i="82"/>
  <c r="AB34" i="82" s="1"/>
  <c r="Z34" i="82"/>
  <c r="W34" i="82"/>
  <c r="T34" i="82"/>
  <c r="Q34" i="82"/>
  <c r="N34" i="82"/>
  <c r="K34" i="82"/>
  <c r="AT32" i="82"/>
  <c r="AQ32" i="82"/>
  <c r="AN32" i="82"/>
  <c r="AK32" i="82"/>
  <c r="AH32" i="82"/>
  <c r="AE32" i="82"/>
  <c r="AA32" i="82"/>
  <c r="AB32" i="82" s="1"/>
  <c r="Z32" i="82"/>
  <c r="W32" i="82"/>
  <c r="T32" i="82"/>
  <c r="Q32" i="82"/>
  <c r="N32" i="82"/>
  <c r="K32" i="82"/>
  <c r="AV31" i="82"/>
  <c r="AT31" i="82"/>
  <c r="AQ31" i="82"/>
  <c r="AN31" i="82"/>
  <c r="AK31" i="82"/>
  <c r="AH31" i="82"/>
  <c r="AE31" i="82"/>
  <c r="AA31" i="82"/>
  <c r="AB31" i="82" s="1"/>
  <c r="Z31" i="82"/>
  <c r="W31" i="82"/>
  <c r="T31" i="82"/>
  <c r="Q31" i="82"/>
  <c r="N31" i="82"/>
  <c r="K31" i="82"/>
  <c r="AU30" i="82"/>
  <c r="AV30" i="82" s="1"/>
  <c r="AT30" i="82"/>
  <c r="AQ30" i="82"/>
  <c r="AN30" i="82"/>
  <c r="AK30" i="82"/>
  <c r="AH30" i="82"/>
  <c r="AE30" i="82"/>
  <c r="AA30" i="82"/>
  <c r="AB30" i="82" s="1"/>
  <c r="Z30" i="82"/>
  <c r="W30" i="82"/>
  <c r="T30" i="82"/>
  <c r="Q30" i="82"/>
  <c r="N30" i="82"/>
  <c r="K30" i="82"/>
  <c r="AU28" i="82"/>
  <c r="AT28" i="82"/>
  <c r="AQ28" i="82"/>
  <c r="AN28" i="82"/>
  <c r="AK28" i="82"/>
  <c r="AH28" i="82"/>
  <c r="AE28" i="82"/>
  <c r="AA28" i="82"/>
  <c r="Z28" i="82"/>
  <c r="W28" i="82"/>
  <c r="T28" i="82"/>
  <c r="Q28" i="82"/>
  <c r="N28" i="82"/>
  <c r="K28" i="82"/>
  <c r="G28" i="82"/>
  <c r="AU27" i="82"/>
  <c r="AT27" i="82"/>
  <c r="AQ27" i="82"/>
  <c r="AN27" i="82"/>
  <c r="AK27" i="82"/>
  <c r="AH27" i="82"/>
  <c r="AE27" i="82"/>
  <c r="AA27" i="82"/>
  <c r="AB27" i="82" s="1"/>
  <c r="Z27" i="82"/>
  <c r="W27" i="82"/>
  <c r="T27" i="82"/>
  <c r="Q27" i="82"/>
  <c r="N27" i="82"/>
  <c r="K27" i="82"/>
  <c r="AU26" i="82"/>
  <c r="AT26" i="82"/>
  <c r="AQ26" i="82"/>
  <c r="AN26" i="82"/>
  <c r="AK26" i="82"/>
  <c r="AH26" i="82"/>
  <c r="AE26" i="82"/>
  <c r="AA26" i="82"/>
  <c r="AB26" i="82" s="1"/>
  <c r="Z26" i="82"/>
  <c r="W26" i="82"/>
  <c r="T26" i="82"/>
  <c r="Q26" i="82"/>
  <c r="N26" i="82"/>
  <c r="K26" i="82"/>
  <c r="AV25" i="82"/>
  <c r="AT25" i="82"/>
  <c r="AQ25" i="82"/>
  <c r="AN25" i="82"/>
  <c r="AK25" i="82"/>
  <c r="AH25" i="82"/>
  <c r="AE25" i="82"/>
  <c r="AA25" i="82"/>
  <c r="AB25" i="82" s="1"/>
  <c r="Z25" i="82"/>
  <c r="W25" i="82"/>
  <c r="T25" i="82"/>
  <c r="Q25" i="82"/>
  <c r="N25" i="82"/>
  <c r="K25" i="82"/>
  <c r="AU24" i="82"/>
  <c r="AT24" i="82"/>
  <c r="AQ24" i="82"/>
  <c r="AN24" i="82"/>
  <c r="AK24" i="82"/>
  <c r="AH24" i="82"/>
  <c r="AE24" i="82"/>
  <c r="AA24" i="82"/>
  <c r="Z24" i="82"/>
  <c r="W24" i="82"/>
  <c r="T24" i="82"/>
  <c r="Q24" i="82"/>
  <c r="N24" i="82"/>
  <c r="K24" i="82"/>
  <c r="AU23" i="82"/>
  <c r="AV23" i="82" s="1"/>
  <c r="AT23" i="82"/>
  <c r="AQ23" i="82"/>
  <c r="AN23" i="82"/>
  <c r="AK23" i="82"/>
  <c r="AH23" i="82"/>
  <c r="AE23" i="82"/>
  <c r="AA23" i="82"/>
  <c r="AB23" i="82" s="1"/>
  <c r="Z23" i="82"/>
  <c r="W23" i="82"/>
  <c r="T23" i="82"/>
  <c r="Q23" i="82"/>
  <c r="N23" i="82"/>
  <c r="K23" i="82"/>
  <c r="AU22" i="82"/>
  <c r="AT22" i="82"/>
  <c r="AQ22" i="82"/>
  <c r="AN22" i="82"/>
  <c r="AK22" i="82"/>
  <c r="AH22" i="82"/>
  <c r="AE22" i="82"/>
  <c r="AB22" i="82"/>
  <c r="Z22" i="82"/>
  <c r="W22" i="82"/>
  <c r="T22" i="82"/>
  <c r="Q22" i="82"/>
  <c r="N22" i="82"/>
  <c r="K22" i="82"/>
  <c r="AU21" i="82"/>
  <c r="AQ21" i="82"/>
  <c r="AN21" i="82"/>
  <c r="AK21" i="82"/>
  <c r="AH21" i="82"/>
  <c r="AE21" i="82"/>
  <c r="AA21" i="82"/>
  <c r="AB21" i="82" s="1"/>
  <c r="Z21" i="82"/>
  <c r="W21" i="82"/>
  <c r="T21" i="82"/>
  <c r="Q21" i="82"/>
  <c r="N21" i="82"/>
  <c r="K21" i="82"/>
  <c r="AU20" i="82"/>
  <c r="AT20" i="82"/>
  <c r="AQ20" i="82"/>
  <c r="AN20" i="82"/>
  <c r="AK20" i="82"/>
  <c r="AH20" i="82"/>
  <c r="AE20" i="82"/>
  <c r="AA20" i="82"/>
  <c r="AB20" i="82" s="1"/>
  <c r="Z20" i="82"/>
  <c r="W20" i="82"/>
  <c r="T20" i="82"/>
  <c r="Q20" i="82"/>
  <c r="N20" i="82"/>
  <c r="K20" i="82"/>
  <c r="AU19" i="82"/>
  <c r="AV19" i="82" s="1"/>
  <c r="AT19" i="82"/>
  <c r="AQ19" i="82"/>
  <c r="AN19" i="82"/>
  <c r="AK19" i="82"/>
  <c r="AH19" i="82"/>
  <c r="AE19" i="82"/>
  <c r="AA19" i="82"/>
  <c r="AB19" i="82" s="1"/>
  <c r="Z19" i="82"/>
  <c r="W19" i="82"/>
  <c r="T19" i="82"/>
  <c r="Q19" i="82"/>
  <c r="N19" i="82"/>
  <c r="K19" i="82"/>
  <c r="AT18" i="82"/>
  <c r="AQ18" i="82"/>
  <c r="AN18" i="82"/>
  <c r="AK18" i="82"/>
  <c r="AH18" i="82"/>
  <c r="AE18" i="82"/>
  <c r="AB18" i="82"/>
  <c r="Z18" i="82"/>
  <c r="W18" i="82"/>
  <c r="T18" i="82"/>
  <c r="Q18" i="82"/>
  <c r="K18" i="82"/>
  <c r="AU17" i="82"/>
  <c r="AV17" i="82" s="1"/>
  <c r="AT17" i="82"/>
  <c r="AQ17" i="82"/>
  <c r="AN17" i="82"/>
  <c r="AK17" i="82"/>
  <c r="AH17" i="82"/>
  <c r="AE17" i="82"/>
  <c r="AA17" i="82"/>
  <c r="AB17" i="82" s="1"/>
  <c r="Z17" i="82"/>
  <c r="W17" i="82"/>
  <c r="T17" i="82"/>
  <c r="Q17" i="82"/>
  <c r="N17" i="82"/>
  <c r="K17" i="82"/>
  <c r="AU16" i="82"/>
  <c r="AV16" i="82" s="1"/>
  <c r="AT16" i="82"/>
  <c r="AQ16" i="82"/>
  <c r="AN16" i="82"/>
  <c r="AK16" i="82"/>
  <c r="AH16" i="82"/>
  <c r="AE16" i="82"/>
  <c r="AA16" i="82"/>
  <c r="AB16" i="82" s="1"/>
  <c r="Z16" i="82"/>
  <c r="W16" i="82"/>
  <c r="T16" i="82"/>
  <c r="Q16" i="82"/>
  <c r="N16" i="82"/>
  <c r="K16" i="82"/>
  <c r="AU15" i="82"/>
  <c r="AV15" i="82" s="1"/>
  <c r="AT15" i="82"/>
  <c r="AQ15" i="82"/>
  <c r="AN15" i="82"/>
  <c r="AK15" i="82"/>
  <c r="AH15" i="82"/>
  <c r="AE15" i="82"/>
  <c r="AA15" i="82"/>
  <c r="AB15" i="82" s="1"/>
  <c r="Z15" i="82"/>
  <c r="W15" i="82"/>
  <c r="T15" i="82"/>
  <c r="Q15" i="82"/>
  <c r="N15" i="82"/>
  <c r="K15" i="82"/>
  <c r="AU14" i="82"/>
  <c r="AV14" i="82" s="1"/>
  <c r="AT14" i="82"/>
  <c r="AQ14" i="82"/>
  <c r="AN14" i="82"/>
  <c r="AK14" i="82"/>
  <c r="AH14" i="82"/>
  <c r="AE14" i="82"/>
  <c r="AA14" i="82"/>
  <c r="AB14" i="82" s="1"/>
  <c r="Z14" i="82"/>
  <c r="W14" i="82"/>
  <c r="T14" i="82"/>
  <c r="Q14" i="82"/>
  <c r="N14" i="82"/>
  <c r="K14" i="82"/>
  <c r="AU13" i="82"/>
  <c r="AV13" i="82" s="1"/>
  <c r="AT13" i="82"/>
  <c r="AQ13" i="82"/>
  <c r="AN13" i="82"/>
  <c r="AK13" i="82"/>
  <c r="AH13" i="82"/>
  <c r="AE13" i="82"/>
  <c r="AA13" i="82"/>
  <c r="AB13" i="82" s="1"/>
  <c r="Z13" i="82"/>
  <c r="W13" i="82"/>
  <c r="T13" i="82"/>
  <c r="Q13" i="82"/>
  <c r="N13" i="82"/>
  <c r="K13" i="82"/>
  <c r="AU12" i="82"/>
  <c r="AV12" i="82" s="1"/>
  <c r="AT12" i="82"/>
  <c r="AQ12" i="82"/>
  <c r="AN12" i="82"/>
  <c r="AK12" i="82"/>
  <c r="AH12" i="82"/>
  <c r="AE12" i="82"/>
  <c r="AA12" i="82"/>
  <c r="AB12" i="82" s="1"/>
  <c r="Z12" i="82"/>
  <c r="W12" i="82"/>
  <c r="T12" i="82"/>
  <c r="Q12" i="82"/>
  <c r="N12" i="82"/>
  <c r="K12" i="82"/>
  <c r="AT11" i="82"/>
  <c r="AU10" i="82"/>
  <c r="AV10" i="82" s="1"/>
  <c r="AT10" i="82"/>
  <c r="AQ10" i="82"/>
  <c r="AN10" i="82"/>
  <c r="AK10" i="82"/>
  <c r="AH10" i="82"/>
  <c r="AE10" i="82"/>
  <c r="AA10" i="82"/>
  <c r="AB10" i="82" s="1"/>
  <c r="Z10" i="82"/>
  <c r="W10" i="82"/>
  <c r="T10" i="82"/>
  <c r="Q10" i="82"/>
  <c r="N10" i="82"/>
  <c r="K10" i="82"/>
  <c r="AU9" i="82"/>
  <c r="AT9" i="82"/>
  <c r="AQ9" i="82"/>
  <c r="AN9" i="82"/>
  <c r="AK9" i="82"/>
  <c r="AH9" i="82"/>
  <c r="AE9" i="82"/>
  <c r="AA9" i="82"/>
  <c r="Z9" i="82"/>
  <c r="W9" i="82"/>
  <c r="T9" i="82"/>
  <c r="Q9" i="82"/>
  <c r="N9" i="82"/>
  <c r="K9" i="82"/>
  <c r="G9" i="82"/>
  <c r="AV9" i="82" s="1"/>
  <c r="AV28" i="82" l="1"/>
  <c r="AW4" i="82" s="1"/>
  <c r="C33" i="10" s="1"/>
  <c r="AB28" i="82"/>
  <c r="AB9" i="82"/>
  <c r="AX45" i="81" l="1"/>
  <c r="AY45" i="81" s="1"/>
  <c r="AW45" i="81"/>
  <c r="AT45" i="81"/>
  <c r="AQ45" i="81"/>
  <c r="AN45" i="81"/>
  <c r="AK45" i="81"/>
  <c r="AH45" i="81"/>
  <c r="AD45" i="81"/>
  <c r="AE45" i="81" s="1"/>
  <c r="AC45" i="81"/>
  <c r="Z45" i="81"/>
  <c r="W45" i="81"/>
  <c r="T45" i="81"/>
  <c r="Q45" i="81"/>
  <c r="N45" i="81"/>
  <c r="AX43" i="81"/>
  <c r="AY43" i="81" s="1"/>
  <c r="AW43" i="81"/>
  <c r="AT43" i="81"/>
  <c r="AQ43" i="81"/>
  <c r="AN43" i="81"/>
  <c r="AK43" i="81"/>
  <c r="AH43" i="81"/>
  <c r="AD43" i="81"/>
  <c r="AE43" i="81" s="1"/>
  <c r="AC43" i="81"/>
  <c r="Z43" i="81"/>
  <c r="W43" i="81"/>
  <c r="T43" i="81"/>
  <c r="Q43" i="81"/>
  <c r="N43" i="81"/>
  <c r="AX42" i="81"/>
  <c r="AY42" i="81" s="1"/>
  <c r="AW42" i="81"/>
  <c r="AT42" i="81"/>
  <c r="AQ42" i="81"/>
  <c r="AN42" i="81"/>
  <c r="AK42" i="81"/>
  <c r="AH42" i="81"/>
  <c r="AD42" i="81"/>
  <c r="AE42" i="81" s="1"/>
  <c r="AC42" i="81"/>
  <c r="Z42" i="81"/>
  <c r="W42" i="81"/>
  <c r="T42" i="81"/>
  <c r="Q42" i="81"/>
  <c r="N42" i="81"/>
  <c r="AX41" i="81"/>
  <c r="AY41" i="81" s="1"/>
  <c r="AW41" i="81"/>
  <c r="AT41" i="81"/>
  <c r="AQ41" i="81"/>
  <c r="AN41" i="81"/>
  <c r="AK41" i="81"/>
  <c r="AH41" i="81"/>
  <c r="AD41" i="81"/>
  <c r="AE41" i="81" s="1"/>
  <c r="AC41" i="81"/>
  <c r="Z41" i="81"/>
  <c r="W41" i="81"/>
  <c r="T41" i="81"/>
  <c r="Q41" i="81"/>
  <c r="N41" i="81"/>
  <c r="AX39" i="81"/>
  <c r="AY39" i="81" s="1"/>
  <c r="AW39" i="81"/>
  <c r="AT39" i="81"/>
  <c r="AQ39" i="81"/>
  <c r="AN39" i="81"/>
  <c r="AK39" i="81"/>
  <c r="AH39" i="81"/>
  <c r="AD39" i="81"/>
  <c r="AE39" i="81" s="1"/>
  <c r="AC39" i="81"/>
  <c r="Z39" i="81"/>
  <c r="W39" i="81"/>
  <c r="T39" i="81"/>
  <c r="Q39" i="81"/>
  <c r="N39" i="81"/>
  <c r="AX38" i="81"/>
  <c r="AY38" i="81" s="1"/>
  <c r="AW38" i="81"/>
  <c r="AT38" i="81"/>
  <c r="AQ38" i="81"/>
  <c r="AN38" i="81"/>
  <c r="AK38" i="81"/>
  <c r="AH38" i="81"/>
  <c r="AD38" i="81"/>
  <c r="AE38" i="81" s="1"/>
  <c r="AC38" i="81"/>
  <c r="Z38" i="81"/>
  <c r="W38" i="81"/>
  <c r="T38" i="81"/>
  <c r="Q38" i="81"/>
  <c r="N38" i="81"/>
  <c r="G38" i="81"/>
  <c r="AX37" i="81"/>
  <c r="AY37" i="81" s="1"/>
  <c r="AW37" i="81"/>
  <c r="AT37" i="81"/>
  <c r="AQ37" i="81"/>
  <c r="AN37" i="81"/>
  <c r="AK37" i="81"/>
  <c r="AH37" i="81"/>
  <c r="AD37" i="81"/>
  <c r="AE37" i="81" s="1"/>
  <c r="AC37" i="81"/>
  <c r="Z37" i="81"/>
  <c r="W37" i="81"/>
  <c r="T37" i="81"/>
  <c r="Q37" i="81"/>
  <c r="N37" i="81"/>
  <c r="AX36" i="81"/>
  <c r="AY36" i="81" s="1"/>
  <c r="AW36" i="81"/>
  <c r="AT36" i="81"/>
  <c r="AQ36" i="81"/>
  <c r="AN36" i="81"/>
  <c r="AK36" i="81"/>
  <c r="AH36" i="81"/>
  <c r="AD36" i="81"/>
  <c r="AE36" i="81" s="1"/>
  <c r="AC36" i="81"/>
  <c r="Z36" i="81"/>
  <c r="W36" i="81"/>
  <c r="T36" i="81"/>
  <c r="Q36" i="81"/>
  <c r="N36" i="81"/>
  <c r="AX35" i="81"/>
  <c r="AY35" i="81" s="1"/>
  <c r="AW35" i="81"/>
  <c r="AT35" i="81"/>
  <c r="AQ35" i="81"/>
  <c r="AN35" i="81"/>
  <c r="AK35" i="81"/>
  <c r="AH35" i="81"/>
  <c r="AD35" i="81"/>
  <c r="AE35" i="81" s="1"/>
  <c r="AC35" i="81"/>
  <c r="Z35" i="81"/>
  <c r="W35" i="81"/>
  <c r="T35" i="81"/>
  <c r="Q35" i="81"/>
  <c r="N35" i="81"/>
  <c r="AX34" i="81"/>
  <c r="AW34" i="81"/>
  <c r="AT34" i="81"/>
  <c r="AQ34" i="81"/>
  <c r="AN34" i="81"/>
  <c r="AK34" i="81"/>
  <c r="AH34" i="81"/>
  <c r="AD34" i="81"/>
  <c r="AE34" i="81" s="1"/>
  <c r="AC34" i="81"/>
  <c r="Z34" i="81"/>
  <c r="W34" i="81"/>
  <c r="T34" i="81"/>
  <c r="Q34" i="81"/>
  <c r="N34" i="81"/>
  <c r="AX33" i="81"/>
  <c r="AY33" i="81" s="1"/>
  <c r="AW33" i="81"/>
  <c r="AT33" i="81"/>
  <c r="AQ33" i="81"/>
  <c r="AN33" i="81"/>
  <c r="AK33" i="81"/>
  <c r="AH33" i="81"/>
  <c r="AD33" i="81"/>
  <c r="AE33" i="81" s="1"/>
  <c r="AC33" i="81"/>
  <c r="Z33" i="81"/>
  <c r="W33" i="81"/>
  <c r="T33" i="81"/>
  <c r="Q33" i="81"/>
  <c r="N33" i="81"/>
  <c r="AX32" i="81"/>
  <c r="AY32" i="81" s="1"/>
  <c r="AW32" i="81"/>
  <c r="AT32" i="81"/>
  <c r="AQ32" i="81"/>
  <c r="AN32" i="81"/>
  <c r="AK32" i="81"/>
  <c r="AH32" i="81"/>
  <c r="AD32" i="81"/>
  <c r="AE32" i="81" s="1"/>
  <c r="AC32" i="81"/>
  <c r="Z32" i="81"/>
  <c r="W32" i="81"/>
  <c r="T32" i="81"/>
  <c r="Q32" i="81"/>
  <c r="N32" i="81"/>
  <c r="AX31" i="81"/>
  <c r="AY31" i="81" s="1"/>
  <c r="AW31" i="81"/>
  <c r="AT31" i="81"/>
  <c r="AQ31" i="81"/>
  <c r="AN31" i="81"/>
  <c r="AK31" i="81"/>
  <c r="AH31" i="81"/>
  <c r="AD31" i="81"/>
  <c r="AE31" i="81" s="1"/>
  <c r="AC31" i="81"/>
  <c r="Z31" i="81"/>
  <c r="W31" i="81"/>
  <c r="T31" i="81"/>
  <c r="Q31" i="81"/>
  <c r="N31" i="81"/>
  <c r="AX30" i="81"/>
  <c r="AY30" i="81" s="1"/>
  <c r="AW30" i="81"/>
  <c r="AT30" i="81"/>
  <c r="AQ30" i="81"/>
  <c r="AN30" i="81"/>
  <c r="AK30" i="81"/>
  <c r="AH30" i="81"/>
  <c r="AD30" i="81"/>
  <c r="AE30" i="81" s="1"/>
  <c r="AC30" i="81"/>
  <c r="Z30" i="81"/>
  <c r="W30" i="81"/>
  <c r="T30" i="81"/>
  <c r="Q30" i="81"/>
  <c r="N30" i="81"/>
  <c r="AX29" i="81"/>
  <c r="AY29" i="81" s="1"/>
  <c r="AW29" i="81"/>
  <c r="AT29" i="81"/>
  <c r="AQ29" i="81"/>
  <c r="AN29" i="81"/>
  <c r="AK29" i="81"/>
  <c r="AH29" i="81"/>
  <c r="AD29" i="81"/>
  <c r="AE29" i="81" s="1"/>
  <c r="AC29" i="81"/>
  <c r="Z29" i="81"/>
  <c r="W29" i="81"/>
  <c r="T29" i="81"/>
  <c r="Q29" i="81"/>
  <c r="N29" i="81"/>
  <c r="AX28" i="81"/>
  <c r="AY28" i="81" s="1"/>
  <c r="AW28" i="81"/>
  <c r="AT28" i="81"/>
  <c r="AQ28" i="81"/>
  <c r="AN28" i="81"/>
  <c r="AK28" i="81"/>
  <c r="AH28" i="81"/>
  <c r="AD28" i="81"/>
  <c r="AE28" i="81" s="1"/>
  <c r="AC28" i="81"/>
  <c r="Z28" i="81"/>
  <c r="W28" i="81"/>
  <c r="T28" i="81"/>
  <c r="Q28" i="81"/>
  <c r="N28" i="81"/>
  <c r="AX27" i="81"/>
  <c r="AY27" i="81" s="1"/>
  <c r="AW27" i="81"/>
  <c r="AT27" i="81"/>
  <c r="AQ27" i="81"/>
  <c r="AN27" i="81"/>
  <c r="AK27" i="81"/>
  <c r="AH27" i="81"/>
  <c r="AD27" i="81"/>
  <c r="AE27" i="81" s="1"/>
  <c r="Z27" i="81"/>
  <c r="W27" i="81"/>
  <c r="T27" i="81"/>
  <c r="Q27" i="81"/>
  <c r="N27" i="81"/>
  <c r="AY26" i="81"/>
  <c r="AX26" i="81"/>
  <c r="AW26" i="81"/>
  <c r="AT26" i="81"/>
  <c r="AQ26" i="81"/>
  <c r="AN26" i="81"/>
  <c r="AK26" i="81"/>
  <c r="AH26" i="81"/>
  <c r="AE26" i="81"/>
  <c r="AD26" i="81"/>
  <c r="AC26" i="81"/>
  <c r="Z26" i="81"/>
  <c r="W26" i="81"/>
  <c r="T26" i="81"/>
  <c r="Q26" i="81"/>
  <c r="N26" i="81"/>
  <c r="AY25" i="81"/>
  <c r="AX25" i="81"/>
  <c r="AW25" i="81"/>
  <c r="AT25" i="81"/>
  <c r="AQ25" i="81"/>
  <c r="AN25" i="81"/>
  <c r="AK25" i="81"/>
  <c r="AH25" i="81"/>
  <c r="AE25" i="81"/>
  <c r="AD25" i="81"/>
  <c r="AC25" i="81"/>
  <c r="Z25" i="81"/>
  <c r="W25" i="81"/>
  <c r="T25" i="81"/>
  <c r="Q25" i="81"/>
  <c r="N25" i="81"/>
  <c r="AY24" i="81"/>
  <c r="AX24" i="81"/>
  <c r="AW24" i="81"/>
  <c r="AT24" i="81"/>
  <c r="AQ24" i="81"/>
  <c r="AN24" i="81"/>
  <c r="AK24" i="81"/>
  <c r="AH24" i="81"/>
  <c r="AE24" i="81"/>
  <c r="AD24" i="81"/>
  <c r="AC24" i="81"/>
  <c r="Z24" i="81"/>
  <c r="W24" i="81"/>
  <c r="T24" i="81"/>
  <c r="Q24" i="81"/>
  <c r="N24" i="81"/>
  <c r="AY23" i="81"/>
  <c r="AX23" i="81"/>
  <c r="AW23" i="81"/>
  <c r="AT23" i="81"/>
  <c r="AQ23" i="81"/>
  <c r="AN23" i="81"/>
  <c r="AK23" i="81"/>
  <c r="AH23" i="81"/>
  <c r="AE23" i="81"/>
  <c r="AD23" i="81"/>
  <c r="AC23" i="81"/>
  <c r="Z23" i="81"/>
  <c r="W23" i="81"/>
  <c r="T23" i="81"/>
  <c r="Q23" i="81"/>
  <c r="N23" i="81"/>
  <c r="AY22" i="81"/>
  <c r="AX22" i="81"/>
  <c r="AW22" i="81"/>
  <c r="AT22" i="81"/>
  <c r="AQ22" i="81"/>
  <c r="AN22" i="81"/>
  <c r="AK22" i="81"/>
  <c r="AH22" i="81"/>
  <c r="AE22" i="81"/>
  <c r="AD22" i="81"/>
  <c r="AC22" i="81"/>
  <c r="Z22" i="81"/>
  <c r="W22" i="81"/>
  <c r="T22" i="81"/>
  <c r="Q22" i="81"/>
  <c r="N22" i="81"/>
  <c r="AY21" i="81"/>
  <c r="AX21" i="81"/>
  <c r="AW21" i="81"/>
  <c r="AT21" i="81"/>
  <c r="AQ21" i="81"/>
  <c r="AN21" i="81"/>
  <c r="AK21" i="81"/>
  <c r="AH21" i="81"/>
  <c r="AE21" i="81"/>
  <c r="AD21" i="81"/>
  <c r="AC21" i="81"/>
  <c r="Z21" i="81"/>
  <c r="W21" i="81"/>
  <c r="T21" i="81"/>
  <c r="Q21" i="81"/>
  <c r="N21" i="81"/>
  <c r="AY20" i="81"/>
  <c r="AX20" i="81"/>
  <c r="AW20" i="81"/>
  <c r="AT20" i="81"/>
  <c r="AQ20" i="81"/>
  <c r="AN20" i="81"/>
  <c r="AK20" i="81"/>
  <c r="AH20" i="81"/>
  <c r="AE20" i="81"/>
  <c r="AD20" i="81"/>
  <c r="AC20" i="81"/>
  <c r="Z20" i="81"/>
  <c r="W20" i="81"/>
  <c r="T20" i="81"/>
  <c r="Q20" i="81"/>
  <c r="N20" i="81"/>
  <c r="AY19" i="81"/>
  <c r="AX19" i="81"/>
  <c r="AW19" i="81"/>
  <c r="AT19" i="81"/>
  <c r="AQ19" i="81"/>
  <c r="AN19" i="81"/>
  <c r="AK19" i="81"/>
  <c r="AH19" i="81"/>
  <c r="AE19" i="81"/>
  <c r="AC19" i="81"/>
  <c r="Z19" i="81"/>
  <c r="W19" i="81"/>
  <c r="T19" i="81"/>
  <c r="Q19" i="81"/>
  <c r="N19" i="81"/>
  <c r="AX18" i="81"/>
  <c r="AY18" i="81" s="1"/>
  <c r="AW18" i="81"/>
  <c r="AT18" i="81"/>
  <c r="AQ18" i="81"/>
  <c r="AN18" i="81"/>
  <c r="AK18" i="81"/>
  <c r="AH18" i="81"/>
  <c r="AD18" i="81"/>
  <c r="AE18" i="81" s="1"/>
  <c r="AC18" i="81"/>
  <c r="Z18" i="81"/>
  <c r="W18" i="81"/>
  <c r="T18" i="81"/>
  <c r="Q18" i="81"/>
  <c r="N18" i="81"/>
  <c r="AX17" i="81"/>
  <c r="AY17" i="81" s="1"/>
  <c r="AW17" i="81"/>
  <c r="AT17" i="81"/>
  <c r="AQ17" i="81"/>
  <c r="AN17" i="81"/>
  <c r="AK17" i="81"/>
  <c r="AH17" i="81"/>
  <c r="AD17" i="81"/>
  <c r="AE17" i="81" s="1"/>
  <c r="AC17" i="81"/>
  <c r="Z17" i="81"/>
  <c r="W17" i="81"/>
  <c r="T17" i="81"/>
  <c r="Q17" i="81"/>
  <c r="N17" i="81"/>
  <c r="AX16" i="81"/>
  <c r="AY16" i="81" s="1"/>
  <c r="AW16" i="81"/>
  <c r="AT16" i="81"/>
  <c r="AQ16" i="81"/>
  <c r="AN16" i="81"/>
  <c r="AK16" i="81"/>
  <c r="AH16" i="81"/>
  <c r="AD16" i="81"/>
  <c r="AE16" i="81" s="1"/>
  <c r="AC16" i="81"/>
  <c r="Z16" i="81"/>
  <c r="W16" i="81"/>
  <c r="T16" i="81"/>
  <c r="Q16" i="81"/>
  <c r="N16" i="81"/>
  <c r="AX15" i="81"/>
  <c r="AY15" i="81" s="1"/>
  <c r="AW15" i="81"/>
  <c r="AT15" i="81"/>
  <c r="AQ15" i="81"/>
  <c r="AN15" i="81"/>
  <c r="AK15" i="81"/>
  <c r="AH15" i="81"/>
  <c r="AD15" i="81"/>
  <c r="AE15" i="81" s="1"/>
  <c r="AC15" i="81"/>
  <c r="Z15" i="81"/>
  <c r="W15" i="81"/>
  <c r="T15" i="81"/>
  <c r="Q15" i="81"/>
  <c r="N15" i="81"/>
  <c r="AX14" i="81"/>
  <c r="AY14" i="81" s="1"/>
  <c r="AW14" i="81"/>
  <c r="AT14" i="81"/>
  <c r="AQ14" i="81"/>
  <c r="AN14" i="81"/>
  <c r="AK14" i="81"/>
  <c r="AH14" i="81"/>
  <c r="AD14" i="81"/>
  <c r="AE14" i="81" s="1"/>
  <c r="AC14" i="81"/>
  <c r="Z14" i="81"/>
  <c r="W14" i="81"/>
  <c r="T14" i="81"/>
  <c r="Q14" i="81"/>
  <c r="N14" i="81"/>
  <c r="AX13" i="81"/>
  <c r="AY13" i="81" s="1"/>
  <c r="AW13" i="81"/>
  <c r="AT13" i="81"/>
  <c r="AQ13" i="81"/>
  <c r="AK13" i="81"/>
  <c r="AH13" i="81"/>
  <c r="AD13" i="81"/>
  <c r="AE13" i="81" s="1"/>
  <c r="AC13" i="81"/>
  <c r="Z13" i="81"/>
  <c r="W13" i="81"/>
  <c r="T13" i="81"/>
  <c r="Q13" i="81"/>
  <c r="N13" i="81"/>
  <c r="AX12" i="81"/>
  <c r="AY12" i="81" s="1"/>
  <c r="AW12" i="81"/>
  <c r="AT12" i="81"/>
  <c r="AQ12" i="81"/>
  <c r="AN12" i="81"/>
  <c r="AK12" i="81"/>
  <c r="AH12" i="81"/>
  <c r="AD12" i="81"/>
  <c r="AE12" i="81" s="1"/>
  <c r="AC12" i="81"/>
  <c r="Z12" i="81"/>
  <c r="W12" i="81"/>
  <c r="T12" i="81"/>
  <c r="Q12" i="81"/>
  <c r="N12" i="81"/>
  <c r="AX11" i="81"/>
  <c r="AY11" i="81" s="1"/>
  <c r="AW11" i="81"/>
  <c r="AT11" i="81"/>
  <c r="AQ11" i="81"/>
  <c r="AN11" i="81"/>
  <c r="AK11" i="81"/>
  <c r="AH11" i="81"/>
  <c r="AD11" i="81"/>
  <c r="AE11" i="81" s="1"/>
  <c r="AC11" i="81"/>
  <c r="Z11" i="81"/>
  <c r="W11" i="81"/>
  <c r="T11" i="81"/>
  <c r="Q11" i="81"/>
  <c r="N11" i="81"/>
  <c r="G11" i="81"/>
  <c r="AX10" i="81"/>
  <c r="AY10" i="81" s="1"/>
  <c r="AW10" i="81"/>
  <c r="AT10" i="81"/>
  <c r="AQ10" i="81"/>
  <c r="AN10" i="81"/>
  <c r="AK10" i="81"/>
  <c r="AH10" i="81"/>
  <c r="AD10" i="81"/>
  <c r="AE10" i="81" s="1"/>
  <c r="AC10" i="81"/>
  <c r="Z10" i="81"/>
  <c r="W10" i="81"/>
  <c r="T10" i="81"/>
  <c r="Q10" i="81"/>
  <c r="N10" i="81"/>
  <c r="AX9" i="81"/>
  <c r="AY9" i="81" s="1"/>
  <c r="AW9" i="81"/>
  <c r="AT9" i="81"/>
  <c r="AQ9" i="81"/>
  <c r="AN9" i="81"/>
  <c r="AK9" i="81"/>
  <c r="AH9" i="81"/>
  <c r="AD9" i="81"/>
  <c r="AE9" i="81" s="1"/>
  <c r="AC9" i="81"/>
  <c r="Z9" i="81"/>
  <c r="W9" i="81"/>
  <c r="T9" i="81"/>
  <c r="Q9" i="81"/>
  <c r="N9" i="81"/>
  <c r="AY3" i="81" l="1"/>
  <c r="C32" i="10" s="1"/>
  <c r="AX29" i="80"/>
  <c r="AY29" i="80" s="1"/>
  <c r="AW29" i="80"/>
  <c r="AR29" i="80"/>
  <c r="AT29" i="80" s="1"/>
  <c r="AQ29" i="80"/>
  <c r="AN29" i="80"/>
  <c r="AK29" i="80"/>
  <c r="AH29" i="80"/>
  <c r="AD29" i="80"/>
  <c r="AE29" i="80" s="1"/>
  <c r="AC29" i="80"/>
  <c r="Z29" i="80"/>
  <c r="W29" i="80"/>
  <c r="T29" i="80"/>
  <c r="Q29" i="80"/>
  <c r="N29" i="80"/>
  <c r="AX27" i="80"/>
  <c r="AY27" i="80" s="1"/>
  <c r="AW27" i="80"/>
  <c r="AR27" i="80"/>
  <c r="AT27" i="80" s="1"/>
  <c r="AQ27" i="80"/>
  <c r="AN27" i="80"/>
  <c r="AK27" i="80"/>
  <c r="AH27" i="80"/>
  <c r="AD27" i="80"/>
  <c r="AE27" i="80" s="1"/>
  <c r="AC27" i="80"/>
  <c r="Z27" i="80"/>
  <c r="W27" i="80"/>
  <c r="T27" i="80"/>
  <c r="Q27" i="80"/>
  <c r="N27" i="80"/>
  <c r="AX26" i="80"/>
  <c r="AY26" i="80" s="1"/>
  <c r="AW26" i="80"/>
  <c r="AR26" i="80"/>
  <c r="AT26" i="80" s="1"/>
  <c r="AQ26" i="80"/>
  <c r="AN26" i="80"/>
  <c r="AK26" i="80"/>
  <c r="AH26" i="80"/>
  <c r="AE26" i="80"/>
  <c r="AD26" i="80"/>
  <c r="AC26" i="80"/>
  <c r="Z26" i="80"/>
  <c r="W26" i="80"/>
  <c r="T26" i="80"/>
  <c r="Q26" i="80"/>
  <c r="N26" i="80"/>
  <c r="AY24" i="80"/>
  <c r="AX24" i="80"/>
  <c r="AW24" i="80"/>
  <c r="AR24" i="80"/>
  <c r="AT24" i="80" s="1"/>
  <c r="AQ24" i="80"/>
  <c r="AN24" i="80"/>
  <c r="AK24" i="80"/>
  <c r="AH24" i="80"/>
  <c r="AE24" i="80"/>
  <c r="AD24" i="80"/>
  <c r="AC24" i="80"/>
  <c r="Z24" i="80"/>
  <c r="W24" i="80"/>
  <c r="T24" i="80"/>
  <c r="Q24" i="80"/>
  <c r="N24" i="80"/>
  <c r="AX23" i="80"/>
  <c r="AY23" i="80" s="1"/>
  <c r="AW23" i="80"/>
  <c r="AR23" i="80"/>
  <c r="AT23" i="80" s="1"/>
  <c r="AQ23" i="80"/>
  <c r="AN23" i="80"/>
  <c r="AK23" i="80"/>
  <c r="AH23" i="80"/>
  <c r="AD23" i="80"/>
  <c r="AE23" i="80" s="1"/>
  <c r="AC23" i="80"/>
  <c r="Z23" i="80"/>
  <c r="W23" i="80"/>
  <c r="T23" i="80"/>
  <c r="Q23" i="80"/>
  <c r="N23" i="80"/>
  <c r="AX22" i="80"/>
  <c r="AW22" i="80"/>
  <c r="AR22" i="80"/>
  <c r="AT22" i="80" s="1"/>
  <c r="AQ22" i="80"/>
  <c r="AN22" i="80"/>
  <c r="AK22" i="80"/>
  <c r="AH22" i="80"/>
  <c r="AD22" i="80"/>
  <c r="AC22" i="80"/>
  <c r="Z22" i="80"/>
  <c r="W22" i="80"/>
  <c r="T22" i="80"/>
  <c r="Q22" i="80"/>
  <c r="N22" i="80"/>
  <c r="G22" i="80"/>
  <c r="AX21" i="80"/>
  <c r="AW21" i="80"/>
  <c r="AR21" i="80"/>
  <c r="AT21" i="80" s="1"/>
  <c r="AQ21" i="80"/>
  <c r="AN21" i="80"/>
  <c r="AK21" i="80"/>
  <c r="AH21" i="80"/>
  <c r="AE21" i="80"/>
  <c r="AD21" i="80"/>
  <c r="AC21" i="80"/>
  <c r="Z21" i="80"/>
  <c r="W21" i="80"/>
  <c r="T21" i="80"/>
  <c r="Q21" i="80"/>
  <c r="N21" i="80"/>
  <c r="AY20" i="80"/>
  <c r="AX20" i="80"/>
  <c r="AW20" i="80"/>
  <c r="AR20" i="80"/>
  <c r="AT20" i="80" s="1"/>
  <c r="AQ20" i="80"/>
  <c r="AN20" i="80"/>
  <c r="AK20" i="80"/>
  <c r="AH20" i="80"/>
  <c r="AE20" i="80"/>
  <c r="AD20" i="80"/>
  <c r="AC20" i="80"/>
  <c r="Z20" i="80"/>
  <c r="W20" i="80"/>
  <c r="T20" i="80"/>
  <c r="Q20" i="80"/>
  <c r="N20" i="80"/>
  <c r="AY19" i="80"/>
  <c r="AX19" i="80"/>
  <c r="AW19" i="80"/>
  <c r="AR19" i="80"/>
  <c r="AT19" i="80" s="1"/>
  <c r="AQ19" i="80"/>
  <c r="AN19" i="80"/>
  <c r="AK19" i="80"/>
  <c r="AH19" i="80"/>
  <c r="AE19" i="80"/>
  <c r="AD19" i="80"/>
  <c r="AC19" i="80"/>
  <c r="Z19" i="80"/>
  <c r="W19" i="80"/>
  <c r="T19" i="80"/>
  <c r="Q19" i="80"/>
  <c r="N19" i="80"/>
  <c r="AX18" i="80"/>
  <c r="AW18" i="80"/>
  <c r="AR18" i="80"/>
  <c r="AT18" i="80" s="1"/>
  <c r="AQ18" i="80"/>
  <c r="AN18" i="80"/>
  <c r="AK18" i="80"/>
  <c r="AH18" i="80"/>
  <c r="AD18" i="80"/>
  <c r="AE18" i="80" s="1"/>
  <c r="AC18" i="80"/>
  <c r="Z18" i="80"/>
  <c r="W18" i="80"/>
  <c r="T18" i="80"/>
  <c r="Q18" i="80"/>
  <c r="N18" i="80"/>
  <c r="AX17" i="80"/>
  <c r="AY17" i="80" s="1"/>
  <c r="AW17" i="80"/>
  <c r="AR17" i="80"/>
  <c r="AT17" i="80" s="1"/>
  <c r="AQ17" i="80"/>
  <c r="AN17" i="80"/>
  <c r="AK17" i="80"/>
  <c r="AH17" i="80"/>
  <c r="AD17" i="80"/>
  <c r="AE17" i="80" s="1"/>
  <c r="AC17" i="80"/>
  <c r="Z17" i="80"/>
  <c r="W17" i="80"/>
  <c r="T17" i="80"/>
  <c r="Q17" i="80"/>
  <c r="N17" i="80"/>
  <c r="AX16" i="80"/>
  <c r="AY16" i="80" s="1"/>
  <c r="AW16" i="80"/>
  <c r="AR16" i="80"/>
  <c r="AT16" i="80" s="1"/>
  <c r="AQ16" i="80"/>
  <c r="AN16" i="80"/>
  <c r="AK16" i="80"/>
  <c r="AH16" i="80"/>
  <c r="AD16" i="80"/>
  <c r="AE16" i="80" s="1"/>
  <c r="AC16" i="80"/>
  <c r="Z16" i="80"/>
  <c r="W16" i="80"/>
  <c r="T16" i="80"/>
  <c r="Q16" i="80"/>
  <c r="N16" i="80"/>
  <c r="AX15" i="80"/>
  <c r="AY15" i="80" s="1"/>
  <c r="AW15" i="80"/>
  <c r="AR15" i="80"/>
  <c r="AT15" i="80" s="1"/>
  <c r="AQ15" i="80"/>
  <c r="AN15" i="80"/>
  <c r="AK15" i="80"/>
  <c r="AH15" i="80"/>
  <c r="AD15" i="80"/>
  <c r="AE15" i="80" s="1"/>
  <c r="AC15" i="80"/>
  <c r="Z15" i="80"/>
  <c r="W15" i="80"/>
  <c r="T15" i="80"/>
  <c r="Q15" i="80"/>
  <c r="N15" i="80"/>
  <c r="AX14" i="80"/>
  <c r="AY14" i="80" s="1"/>
  <c r="AW14" i="80"/>
  <c r="AR14" i="80"/>
  <c r="AT14" i="80" s="1"/>
  <c r="AQ14" i="80"/>
  <c r="AN14" i="80"/>
  <c r="AK14" i="80"/>
  <c r="AH14" i="80"/>
  <c r="AD14" i="80"/>
  <c r="AE14" i="80" s="1"/>
  <c r="AC14" i="80"/>
  <c r="Z14" i="80"/>
  <c r="W14" i="80"/>
  <c r="T14" i="80"/>
  <c r="Q14" i="80"/>
  <c r="N14" i="80"/>
  <c r="AX13" i="80"/>
  <c r="AY13" i="80" s="1"/>
  <c r="AW13" i="80"/>
  <c r="AR13" i="80"/>
  <c r="AT13" i="80" s="1"/>
  <c r="AQ13" i="80"/>
  <c r="AN13" i="80"/>
  <c r="AK13" i="80"/>
  <c r="AH13" i="80"/>
  <c r="AD13" i="80"/>
  <c r="AE13" i="80" s="1"/>
  <c r="AC13" i="80"/>
  <c r="Z13" i="80"/>
  <c r="W13" i="80"/>
  <c r="T13" i="80"/>
  <c r="Q13" i="80"/>
  <c r="N13" i="80"/>
  <c r="AX12" i="80"/>
  <c r="AY12" i="80" s="1"/>
  <c r="AW12" i="80"/>
  <c r="AR12" i="80"/>
  <c r="AT12" i="80" s="1"/>
  <c r="AQ12" i="80"/>
  <c r="AN12" i="80"/>
  <c r="AK12" i="80"/>
  <c r="AH12" i="80"/>
  <c r="AE12" i="80"/>
  <c r="AD12" i="80"/>
  <c r="AC12" i="80"/>
  <c r="Z12" i="80"/>
  <c r="W12" i="80"/>
  <c r="T12" i="80"/>
  <c r="Q12" i="80"/>
  <c r="N12" i="80"/>
  <c r="AY11" i="80"/>
  <c r="AX11" i="80"/>
  <c r="AW11" i="80"/>
  <c r="AR11" i="80"/>
  <c r="AT11" i="80" s="1"/>
  <c r="AQ11" i="80"/>
  <c r="AN11" i="80"/>
  <c r="AK11" i="80"/>
  <c r="AH11" i="80"/>
  <c r="AD11" i="80"/>
  <c r="AE11" i="80" s="1"/>
  <c r="AC11" i="80"/>
  <c r="Z11" i="80"/>
  <c r="W11" i="80"/>
  <c r="T11" i="80"/>
  <c r="Q11" i="80"/>
  <c r="N11" i="80"/>
  <c r="AX10" i="80"/>
  <c r="AY10" i="80" s="1"/>
  <c r="AW10" i="80"/>
  <c r="AR10" i="80"/>
  <c r="AT10" i="80" s="1"/>
  <c r="AQ10" i="80"/>
  <c r="AN10" i="80"/>
  <c r="AK10" i="80"/>
  <c r="AH10" i="80"/>
  <c r="AD10" i="80"/>
  <c r="AE10" i="80" s="1"/>
  <c r="AC10" i="80"/>
  <c r="Z10" i="80"/>
  <c r="W10" i="80"/>
  <c r="T10" i="80"/>
  <c r="Q10" i="80"/>
  <c r="N10" i="80"/>
  <c r="AX9" i="80"/>
  <c r="AW9" i="80"/>
  <c r="AT9" i="80"/>
  <c r="AQ9" i="80"/>
  <c r="AN9" i="80"/>
  <c r="AK9" i="80"/>
  <c r="AH9" i="80"/>
  <c r="AD9" i="80"/>
  <c r="AE9" i="80" s="1"/>
  <c r="AC9" i="80"/>
  <c r="Z9" i="80"/>
  <c r="W9" i="80"/>
  <c r="T9" i="80"/>
  <c r="Q9" i="80"/>
  <c r="N9" i="80"/>
  <c r="G9" i="80"/>
  <c r="AY9" i="80" s="1"/>
  <c r="AY22" i="80" l="1"/>
  <c r="AZ4" i="80" s="1"/>
  <c r="C31" i="10" s="1"/>
  <c r="AE22" i="80"/>
  <c r="AX22" i="79"/>
  <c r="AX29" i="79" l="1"/>
  <c r="AX31" i="79"/>
  <c r="AY31" i="79" s="1"/>
  <c r="AW31" i="79"/>
  <c r="AT31" i="79"/>
  <c r="AQ31" i="79"/>
  <c r="AN31" i="79"/>
  <c r="AK31" i="79"/>
  <c r="AH31" i="79"/>
  <c r="AD31" i="79"/>
  <c r="AE31" i="79" s="1"/>
  <c r="AC31" i="79"/>
  <c r="Z31" i="79"/>
  <c r="W31" i="79"/>
  <c r="T31" i="79"/>
  <c r="Q31" i="79"/>
  <c r="N31" i="79"/>
  <c r="AY29" i="79"/>
  <c r="AW29" i="79"/>
  <c r="AT29" i="79"/>
  <c r="AQ29" i="79"/>
  <c r="AN29" i="79"/>
  <c r="AK29" i="79"/>
  <c r="AH29" i="79"/>
  <c r="AD29" i="79"/>
  <c r="AE29" i="79" s="1"/>
  <c r="AC29" i="79"/>
  <c r="Z29" i="79"/>
  <c r="W29" i="79"/>
  <c r="T29" i="79"/>
  <c r="Q29" i="79"/>
  <c r="N29" i="79"/>
  <c r="AX28" i="79"/>
  <c r="AY28" i="79" s="1"/>
  <c r="AW28" i="79"/>
  <c r="AT28" i="79"/>
  <c r="AQ28" i="79"/>
  <c r="AN28" i="79"/>
  <c r="AK28" i="79"/>
  <c r="AH28" i="79"/>
  <c r="AD28" i="79"/>
  <c r="AE28" i="79" s="1"/>
  <c r="AC28" i="79"/>
  <c r="Z28" i="79"/>
  <c r="W28" i="79"/>
  <c r="T28" i="79"/>
  <c r="Q28" i="79"/>
  <c r="N28" i="79"/>
  <c r="AX26" i="79"/>
  <c r="AW26" i="79"/>
  <c r="AT26" i="79"/>
  <c r="AQ26" i="79"/>
  <c r="AN26" i="79"/>
  <c r="AK26" i="79"/>
  <c r="AH26" i="79"/>
  <c r="AD26" i="79"/>
  <c r="AC26" i="79"/>
  <c r="Z26" i="79"/>
  <c r="W26" i="79"/>
  <c r="T26" i="79"/>
  <c r="Q26" i="79"/>
  <c r="N26" i="79"/>
  <c r="G26" i="79"/>
  <c r="AX25" i="79"/>
  <c r="AW25" i="79"/>
  <c r="AT25" i="79"/>
  <c r="AQ25" i="79"/>
  <c r="AN25" i="79"/>
  <c r="AK25" i="79"/>
  <c r="AH25" i="79"/>
  <c r="AD25" i="79"/>
  <c r="AE25" i="79" s="1"/>
  <c r="AC25" i="79"/>
  <c r="Z25" i="79"/>
  <c r="W25" i="79"/>
  <c r="T25" i="79"/>
  <c r="Q25" i="79"/>
  <c r="N25" i="79"/>
  <c r="AX24" i="79"/>
  <c r="AW24" i="79"/>
  <c r="AT24" i="79"/>
  <c r="AQ24" i="79"/>
  <c r="AN24" i="79"/>
  <c r="AK24" i="79"/>
  <c r="AH24" i="79"/>
  <c r="AE24" i="79"/>
  <c r="AD24" i="79"/>
  <c r="AC24" i="79"/>
  <c r="Z24" i="79"/>
  <c r="W24" i="79"/>
  <c r="T24" i="79"/>
  <c r="Q24" i="79"/>
  <c r="N24" i="79"/>
  <c r="AY23" i="79"/>
  <c r="AX23" i="79"/>
  <c r="AW23" i="79"/>
  <c r="AT23" i="79"/>
  <c r="AQ23" i="79"/>
  <c r="AN23" i="79"/>
  <c r="AK23" i="79"/>
  <c r="AH23" i="79"/>
  <c r="AE23" i="79"/>
  <c r="AD23" i="79"/>
  <c r="AC23" i="79"/>
  <c r="Z23" i="79"/>
  <c r="W23" i="79"/>
  <c r="T23" i="79"/>
  <c r="Q23" i="79"/>
  <c r="N23" i="79"/>
  <c r="AY22" i="79"/>
  <c r="AW22" i="79"/>
  <c r="AT22" i="79"/>
  <c r="AQ22" i="79"/>
  <c r="AN22" i="79"/>
  <c r="AK22" i="79"/>
  <c r="AH22" i="79"/>
  <c r="AE22" i="79"/>
  <c r="AD22" i="79"/>
  <c r="AC22" i="79"/>
  <c r="Z22" i="79"/>
  <c r="W22" i="79"/>
  <c r="T22" i="79"/>
  <c r="Q22" i="79"/>
  <c r="N22" i="79"/>
  <c r="AY21" i="79"/>
  <c r="AX21" i="79"/>
  <c r="AW21" i="79"/>
  <c r="AT21" i="79"/>
  <c r="AQ21" i="79"/>
  <c r="AN21" i="79"/>
  <c r="AK21" i="79"/>
  <c r="AH21" i="79"/>
  <c r="AE21" i="79"/>
  <c r="AD21" i="79"/>
  <c r="AC21" i="79"/>
  <c r="Z21" i="79"/>
  <c r="W21" i="79"/>
  <c r="T21" i="79"/>
  <c r="Q21" i="79"/>
  <c r="N21" i="79"/>
  <c r="AX20" i="79"/>
  <c r="AW20" i="79"/>
  <c r="AT20" i="79"/>
  <c r="AQ20" i="79"/>
  <c r="AN20" i="79"/>
  <c r="AK20" i="79"/>
  <c r="AH20" i="79"/>
  <c r="AD20" i="79"/>
  <c r="AE20" i="79" s="1"/>
  <c r="AC20" i="79"/>
  <c r="Z20" i="79"/>
  <c r="W20" i="79"/>
  <c r="T20" i="79"/>
  <c r="Q20" i="79"/>
  <c r="N20" i="79"/>
  <c r="AX19" i="79"/>
  <c r="AY19" i="79" s="1"/>
  <c r="AW19" i="79"/>
  <c r="AT19" i="79"/>
  <c r="AQ19" i="79"/>
  <c r="AN19" i="79"/>
  <c r="AK19" i="79"/>
  <c r="AH19" i="79"/>
  <c r="AD19" i="79"/>
  <c r="AE19" i="79" s="1"/>
  <c r="AC19" i="79"/>
  <c r="Z19" i="79"/>
  <c r="W19" i="79"/>
  <c r="T19" i="79"/>
  <c r="Q19" i="79"/>
  <c r="N19" i="79"/>
  <c r="AX18" i="79"/>
  <c r="AY18" i="79" s="1"/>
  <c r="AW18" i="79"/>
  <c r="AQ18" i="79"/>
  <c r="AN18" i="79"/>
  <c r="AK18" i="79"/>
  <c r="AH18" i="79"/>
  <c r="AD18" i="79"/>
  <c r="AE18" i="79" s="1"/>
  <c r="AC18" i="79"/>
  <c r="Z18" i="79"/>
  <c r="W18" i="79"/>
  <c r="T18" i="79"/>
  <c r="Q18" i="79"/>
  <c r="N18" i="79"/>
  <c r="AX17" i="79"/>
  <c r="AY17" i="79" s="1"/>
  <c r="AW17" i="79"/>
  <c r="AT17" i="79"/>
  <c r="AQ17" i="79"/>
  <c r="AN17" i="79"/>
  <c r="AK17" i="79"/>
  <c r="AH17" i="79"/>
  <c r="AD17" i="79"/>
  <c r="AE17" i="79" s="1"/>
  <c r="AC17" i="79"/>
  <c r="Z17" i="79"/>
  <c r="W17" i="79"/>
  <c r="T17" i="79"/>
  <c r="Q17" i="79"/>
  <c r="N17" i="79"/>
  <c r="AW16" i="79"/>
  <c r="AT16" i="79"/>
  <c r="AQ16" i="79"/>
  <c r="AN16" i="79"/>
  <c r="AK16" i="79"/>
  <c r="AH16" i="79"/>
  <c r="AC16" i="79"/>
  <c r="Z16" i="79"/>
  <c r="W16" i="79"/>
  <c r="T16" i="79"/>
  <c r="Q16" i="79"/>
  <c r="M16" i="79"/>
  <c r="N16" i="79" s="1"/>
  <c r="AX15" i="79"/>
  <c r="AY15" i="79" s="1"/>
  <c r="AW15" i="79"/>
  <c r="AT15" i="79"/>
  <c r="AQ15" i="79"/>
  <c r="AN15" i="79"/>
  <c r="AK15" i="79"/>
  <c r="AH15" i="79"/>
  <c r="AD15" i="79"/>
  <c r="AE15" i="79" s="1"/>
  <c r="AC15" i="79"/>
  <c r="Z15" i="79"/>
  <c r="W15" i="79"/>
  <c r="T15" i="79"/>
  <c r="Q15" i="79"/>
  <c r="N15" i="79"/>
  <c r="AX14" i="79"/>
  <c r="AY14" i="79" s="1"/>
  <c r="AW14" i="79"/>
  <c r="AT14" i="79"/>
  <c r="AQ14" i="79"/>
  <c r="AN14" i="79"/>
  <c r="AK14" i="79"/>
  <c r="AH14" i="79"/>
  <c r="AD14" i="79"/>
  <c r="AE14" i="79" s="1"/>
  <c r="AC14" i="79"/>
  <c r="Z14" i="79"/>
  <c r="W14" i="79"/>
  <c r="T14" i="79"/>
  <c r="Q14" i="79"/>
  <c r="N14" i="79"/>
  <c r="AX13" i="79"/>
  <c r="AY13" i="79" s="1"/>
  <c r="AW13" i="79"/>
  <c r="AT13" i="79"/>
  <c r="AQ13" i="79"/>
  <c r="AN13" i="79"/>
  <c r="AK13" i="79"/>
  <c r="AH13" i="79"/>
  <c r="AD13" i="79"/>
  <c r="AE13" i="79" s="1"/>
  <c r="AC13" i="79"/>
  <c r="Z13" i="79"/>
  <c r="W13" i="79"/>
  <c r="T13" i="79"/>
  <c r="Q13" i="79"/>
  <c r="N13" i="79"/>
  <c r="AX12" i="79"/>
  <c r="AY12" i="79" s="1"/>
  <c r="AW12" i="79"/>
  <c r="AT12" i="79"/>
  <c r="AQ12" i="79"/>
  <c r="AN12" i="79"/>
  <c r="AK12" i="79"/>
  <c r="AH12" i="79"/>
  <c r="AD12" i="79"/>
  <c r="AE12" i="79" s="1"/>
  <c r="AC12" i="79"/>
  <c r="Z12" i="79"/>
  <c r="W12" i="79"/>
  <c r="T12" i="79"/>
  <c r="Q12" i="79"/>
  <c r="N12" i="79"/>
  <c r="AY11" i="79"/>
  <c r="AW11" i="79"/>
  <c r="AT11" i="79"/>
  <c r="AQ11" i="79"/>
  <c r="AN11" i="79"/>
  <c r="AK11" i="79"/>
  <c r="AH11" i="79"/>
  <c r="AD11" i="79"/>
  <c r="AE11" i="79" s="1"/>
  <c r="AC11" i="79"/>
  <c r="Z11" i="79"/>
  <c r="W11" i="79"/>
  <c r="T11" i="79"/>
  <c r="Q11" i="79"/>
  <c r="N11" i="79"/>
  <c r="AX10" i="79"/>
  <c r="AY10" i="79" s="1"/>
  <c r="AW10" i="79"/>
  <c r="AT10" i="79"/>
  <c r="AQ10" i="79"/>
  <c r="AN10" i="79"/>
  <c r="AK10" i="79"/>
  <c r="AH10" i="79"/>
  <c r="AD10" i="79"/>
  <c r="AE10" i="79" s="1"/>
  <c r="AC10" i="79"/>
  <c r="Z10" i="79"/>
  <c r="W10" i="79"/>
  <c r="T10" i="79"/>
  <c r="Q10" i="79"/>
  <c r="N10" i="79"/>
  <c r="AX9" i="79"/>
  <c r="AW9" i="79"/>
  <c r="AT9" i="79"/>
  <c r="AQ9" i="79"/>
  <c r="AN9" i="79"/>
  <c r="AK9" i="79"/>
  <c r="AH9" i="79"/>
  <c r="AD9" i="79"/>
  <c r="AC9" i="79"/>
  <c r="Z9" i="79"/>
  <c r="W9" i="79"/>
  <c r="T9" i="79"/>
  <c r="Q9" i="79"/>
  <c r="N9" i="79"/>
  <c r="G9" i="79"/>
  <c r="AY9" i="79" s="1"/>
  <c r="AE26" i="79" l="1"/>
  <c r="AY26" i="79"/>
  <c r="AD16" i="79"/>
  <c r="AE16" i="79" s="1"/>
  <c r="AX16" i="79"/>
  <c r="AY16" i="79" s="1"/>
  <c r="AE9" i="79"/>
  <c r="AZ4" i="79" l="1"/>
  <c r="C30" i="10" s="1"/>
  <c r="AU33" i="77"/>
  <c r="AV33" i="77" s="1"/>
  <c r="AT33" i="77"/>
  <c r="AQ33" i="77"/>
  <c r="AN33" i="77"/>
  <c r="AK33" i="77"/>
  <c r="AH33" i="77"/>
  <c r="AE33" i="77"/>
  <c r="AA33" i="77"/>
  <c r="AB33" i="77" s="1"/>
  <c r="Z33" i="77"/>
  <c r="W33" i="77"/>
  <c r="T33" i="77"/>
  <c r="Q33" i="77"/>
  <c r="N33" i="77"/>
  <c r="K33" i="77"/>
  <c r="AU31" i="77"/>
  <c r="AV31" i="77" s="1"/>
  <c r="AT31" i="77"/>
  <c r="AQ31" i="77"/>
  <c r="AN31" i="77"/>
  <c r="AK31" i="77"/>
  <c r="AH31" i="77"/>
  <c r="AE31" i="77"/>
  <c r="AA31" i="77"/>
  <c r="AB31" i="77" s="1"/>
  <c r="Z31" i="77"/>
  <c r="W31" i="77"/>
  <c r="T31" i="77"/>
  <c r="Q31" i="77"/>
  <c r="N31" i="77"/>
  <c r="K31" i="77"/>
  <c r="AU30" i="77"/>
  <c r="AV30" i="77" s="1"/>
  <c r="AT30" i="77"/>
  <c r="AQ30" i="77"/>
  <c r="AN30" i="77"/>
  <c r="AK30" i="77"/>
  <c r="AH30" i="77"/>
  <c r="AE30" i="77"/>
  <c r="AA30" i="77"/>
  <c r="AB30" i="77" s="1"/>
  <c r="Z30" i="77"/>
  <c r="W30" i="77"/>
  <c r="T30" i="77"/>
  <c r="Q30" i="77"/>
  <c r="N30" i="77"/>
  <c r="K30" i="77"/>
  <c r="AU29" i="77"/>
  <c r="AV29" i="77" s="1"/>
  <c r="AT29" i="77"/>
  <c r="AQ29" i="77"/>
  <c r="AN29" i="77"/>
  <c r="AK29" i="77"/>
  <c r="AH29" i="77"/>
  <c r="AE29" i="77"/>
  <c r="AA29" i="77"/>
  <c r="AB29" i="77" s="1"/>
  <c r="Z29" i="77"/>
  <c r="W29" i="77"/>
  <c r="T29" i="77"/>
  <c r="Q29" i="77"/>
  <c r="N29" i="77"/>
  <c r="K29" i="77"/>
  <c r="AU27" i="77"/>
  <c r="AT27" i="77"/>
  <c r="AQ27" i="77"/>
  <c r="AN27" i="77"/>
  <c r="AK27" i="77"/>
  <c r="AH27" i="77"/>
  <c r="AE27" i="77"/>
  <c r="AA27" i="77"/>
  <c r="Z27" i="77"/>
  <c r="W27" i="77"/>
  <c r="T27" i="77"/>
  <c r="Q27" i="77"/>
  <c r="N27" i="77"/>
  <c r="K27" i="77"/>
  <c r="G27" i="77"/>
  <c r="AV26" i="77"/>
  <c r="AT26" i="77"/>
  <c r="AQ26" i="77"/>
  <c r="AN26" i="77"/>
  <c r="AK26" i="77"/>
  <c r="AH26" i="77"/>
  <c r="AE26" i="77"/>
  <c r="AA26" i="77"/>
  <c r="AB26" i="77" s="1"/>
  <c r="Z26" i="77"/>
  <c r="W26" i="77"/>
  <c r="T26" i="77"/>
  <c r="Q26" i="77"/>
  <c r="N26" i="77"/>
  <c r="K26" i="77"/>
  <c r="AV25" i="77"/>
  <c r="AT25" i="77"/>
  <c r="AQ25" i="77"/>
  <c r="AN25" i="77"/>
  <c r="AK25" i="77"/>
  <c r="AH25" i="77"/>
  <c r="AE25" i="77"/>
  <c r="AA25" i="77"/>
  <c r="AB25" i="77" s="1"/>
  <c r="Z25" i="77"/>
  <c r="W25" i="77"/>
  <c r="T25" i="77"/>
  <c r="Q25" i="77"/>
  <c r="N25" i="77"/>
  <c r="K25" i="77"/>
  <c r="AV24" i="77"/>
  <c r="AT24" i="77"/>
  <c r="AQ24" i="77"/>
  <c r="AN24" i="77"/>
  <c r="AK24" i="77"/>
  <c r="AH24" i="77"/>
  <c r="AE24" i="77"/>
  <c r="AA24" i="77"/>
  <c r="AB24" i="77" s="1"/>
  <c r="Z24" i="77"/>
  <c r="W24" i="77"/>
  <c r="T24" i="77"/>
  <c r="Q24" i="77"/>
  <c r="N24" i="77"/>
  <c r="K24" i="77"/>
  <c r="AV23" i="77"/>
  <c r="AT23" i="77"/>
  <c r="AQ23" i="77"/>
  <c r="AN23" i="77"/>
  <c r="AK23" i="77"/>
  <c r="AH23" i="77"/>
  <c r="AE23" i="77"/>
  <c r="AA23" i="77"/>
  <c r="AB23" i="77" s="1"/>
  <c r="Z23" i="77"/>
  <c r="W23" i="77"/>
  <c r="T23" i="77"/>
  <c r="Q23" i="77"/>
  <c r="N23" i="77"/>
  <c r="K23" i="77"/>
  <c r="AV22" i="77"/>
  <c r="AT22" i="77"/>
  <c r="AQ22" i="77"/>
  <c r="AN22" i="77"/>
  <c r="AK22" i="77"/>
  <c r="AH22" i="77"/>
  <c r="AE22" i="77"/>
  <c r="AA22" i="77"/>
  <c r="AB22" i="77" s="1"/>
  <c r="Z22" i="77"/>
  <c r="W22" i="77"/>
  <c r="T22" i="77"/>
  <c r="Q22" i="77"/>
  <c r="N22" i="77"/>
  <c r="K22" i="77"/>
  <c r="AV21" i="77"/>
  <c r="AT21" i="77"/>
  <c r="AQ21" i="77"/>
  <c r="AN21" i="77"/>
  <c r="AK21" i="77"/>
  <c r="AH21" i="77"/>
  <c r="AE21" i="77"/>
  <c r="AB21" i="77"/>
  <c r="AA21" i="77"/>
  <c r="Z21" i="77"/>
  <c r="W21" i="77"/>
  <c r="T21" i="77"/>
  <c r="Q21" i="77"/>
  <c r="N21" i="77"/>
  <c r="K21" i="77"/>
  <c r="AT20" i="77"/>
  <c r="AQ20" i="77"/>
  <c r="AN20" i="77"/>
  <c r="AJ20" i="77"/>
  <c r="AK20" i="77" s="1"/>
  <c r="AH20" i="77"/>
  <c r="AE20" i="77"/>
  <c r="Y20" i="77"/>
  <c r="Z20" i="77" s="1"/>
  <c r="W20" i="77"/>
  <c r="T20" i="77"/>
  <c r="P20" i="77"/>
  <c r="N20" i="77"/>
  <c r="K20" i="77"/>
  <c r="AS19" i="77"/>
  <c r="AT19" i="77" s="1"/>
  <c r="AQ19" i="77"/>
  <c r="AN19" i="77"/>
  <c r="AM19" i="77"/>
  <c r="AJ19" i="77"/>
  <c r="AK19" i="77" s="1"/>
  <c r="AH19" i="77"/>
  <c r="AG19" i="77"/>
  <c r="AD19" i="77"/>
  <c r="AE19" i="77" s="1"/>
  <c r="Z19" i="77"/>
  <c r="Y19" i="77"/>
  <c r="V19" i="77"/>
  <c r="W19" i="77" s="1"/>
  <c r="S19" i="77"/>
  <c r="AA19" i="77" s="1"/>
  <c r="AB19" i="77" s="1"/>
  <c r="Q19" i="77"/>
  <c r="N19" i="77"/>
  <c r="K19" i="77"/>
  <c r="AU18" i="77"/>
  <c r="AV18" i="77" s="1"/>
  <c r="AT18" i="77"/>
  <c r="AQ18" i="77"/>
  <c r="AN18" i="77"/>
  <c r="AK18" i="77"/>
  <c r="AH18" i="77"/>
  <c r="AE18" i="77"/>
  <c r="AA18" i="77"/>
  <c r="AB18" i="77" s="1"/>
  <c r="Z18" i="77"/>
  <c r="W18" i="77"/>
  <c r="T18" i="77"/>
  <c r="Q18" i="77"/>
  <c r="N18" i="77"/>
  <c r="K18" i="77"/>
  <c r="AU17" i="77"/>
  <c r="AV17" i="77" s="1"/>
  <c r="AT17" i="77"/>
  <c r="AQ17" i="77"/>
  <c r="AN17" i="77"/>
  <c r="AK17" i="77"/>
  <c r="AH17" i="77"/>
  <c r="AE17" i="77"/>
  <c r="AB17" i="77"/>
  <c r="Z17" i="77"/>
  <c r="W17" i="77"/>
  <c r="T17" i="77"/>
  <c r="Q17" i="77"/>
  <c r="N17" i="77"/>
  <c r="K17" i="77"/>
  <c r="AT16" i="77"/>
  <c r="AQ16" i="77"/>
  <c r="AN16" i="77"/>
  <c r="AK16" i="77"/>
  <c r="AH16" i="77"/>
  <c r="AE16" i="77"/>
  <c r="Z16" i="77"/>
  <c r="W16" i="77"/>
  <c r="T16" i="77"/>
  <c r="P16" i="77"/>
  <c r="AU16" i="77" s="1"/>
  <c r="AV16" i="77" s="1"/>
  <c r="N16" i="77"/>
  <c r="K16" i="77"/>
  <c r="AU15" i="77"/>
  <c r="AV15" i="77" s="1"/>
  <c r="AT15" i="77"/>
  <c r="AQ15" i="77"/>
  <c r="AN15" i="77"/>
  <c r="AK15" i="77"/>
  <c r="AH15" i="77"/>
  <c r="AE15" i="77"/>
  <c r="AA15" i="77"/>
  <c r="AB15" i="77" s="1"/>
  <c r="Z15" i="77"/>
  <c r="W15" i="77"/>
  <c r="T15" i="77"/>
  <c r="Q15" i="77"/>
  <c r="N15" i="77"/>
  <c r="K15" i="77"/>
  <c r="AU14" i="77"/>
  <c r="AV14" i="77" s="1"/>
  <c r="AT14" i="77"/>
  <c r="AQ14" i="77"/>
  <c r="AN14" i="77"/>
  <c r="AK14" i="77"/>
  <c r="AH14" i="77"/>
  <c r="AE14" i="77"/>
  <c r="AA14" i="77"/>
  <c r="AB14" i="77" s="1"/>
  <c r="Z14" i="77"/>
  <c r="W14" i="77"/>
  <c r="T14" i="77"/>
  <c r="Q14" i="77"/>
  <c r="N14" i="77"/>
  <c r="K14" i="77"/>
  <c r="AU13" i="77"/>
  <c r="AV13" i="77" s="1"/>
  <c r="AT13" i="77"/>
  <c r="AQ13" i="77"/>
  <c r="AN13" i="77"/>
  <c r="AK13" i="77"/>
  <c r="AH13" i="77"/>
  <c r="AE13" i="77"/>
  <c r="AA13" i="77"/>
  <c r="AB13" i="77" s="1"/>
  <c r="Z13" i="77"/>
  <c r="W13" i="77"/>
  <c r="T13" i="77"/>
  <c r="Q13" i="77"/>
  <c r="N13" i="77"/>
  <c r="K13" i="77"/>
  <c r="AU12" i="77"/>
  <c r="AV12" i="77" s="1"/>
  <c r="AT12" i="77"/>
  <c r="AQ12" i="77"/>
  <c r="AN12" i="77"/>
  <c r="AK12" i="77"/>
  <c r="AH12" i="77"/>
  <c r="AE12" i="77"/>
  <c r="AA12" i="77"/>
  <c r="AB12" i="77" s="1"/>
  <c r="Z12" i="77"/>
  <c r="W12" i="77"/>
  <c r="T12" i="77"/>
  <c r="Q12" i="77"/>
  <c r="N12" i="77"/>
  <c r="K12" i="77"/>
  <c r="AU11" i="77"/>
  <c r="AV11" i="77" s="1"/>
  <c r="AT11" i="77"/>
  <c r="AQ11" i="77"/>
  <c r="AN11" i="77"/>
  <c r="AK11" i="77"/>
  <c r="AH11" i="77"/>
  <c r="AE11" i="77"/>
  <c r="AA11" i="77"/>
  <c r="AB11" i="77" s="1"/>
  <c r="Z11" i="77"/>
  <c r="W11" i="77"/>
  <c r="T11" i="77"/>
  <c r="Q11" i="77"/>
  <c r="N11" i="77"/>
  <c r="K11" i="77"/>
  <c r="AU10" i="77"/>
  <c r="AV10" i="77" s="1"/>
  <c r="AT10" i="77"/>
  <c r="AQ10" i="77"/>
  <c r="AN10" i="77"/>
  <c r="AK10" i="77"/>
  <c r="AH10" i="77"/>
  <c r="AE10" i="77"/>
  <c r="AA10" i="77"/>
  <c r="AB10" i="77" s="1"/>
  <c r="Z10" i="77"/>
  <c r="W10" i="77"/>
  <c r="T10" i="77"/>
  <c r="Q10" i="77"/>
  <c r="N10" i="77"/>
  <c r="K10" i="77"/>
  <c r="AU9" i="77"/>
  <c r="AV9" i="77" s="1"/>
  <c r="AT9" i="77"/>
  <c r="AQ9" i="77"/>
  <c r="AN9" i="77"/>
  <c r="AK9" i="77"/>
  <c r="AH9" i="77"/>
  <c r="AE9" i="77"/>
  <c r="AA9" i="77"/>
  <c r="AB9" i="77" s="1"/>
  <c r="Z9" i="77"/>
  <c r="W9" i="77"/>
  <c r="T9" i="77"/>
  <c r="Q9" i="77"/>
  <c r="N9" i="77"/>
  <c r="K9" i="77"/>
  <c r="AU19" i="77" l="1"/>
  <c r="AV19" i="77" s="1"/>
  <c r="T19" i="77"/>
  <c r="AU20" i="77"/>
  <c r="AV20" i="77" s="1"/>
  <c r="AV27" i="77"/>
  <c r="AW3" i="77" s="1"/>
  <c r="C28" i="10" s="1"/>
  <c r="AB27" i="77"/>
  <c r="Q16" i="77"/>
  <c r="AA16" i="77"/>
  <c r="AB16" i="77" s="1"/>
  <c r="Q20" i="77"/>
  <c r="AA20" i="77"/>
  <c r="AB20" i="77" s="1"/>
  <c r="AX33" i="76" l="1"/>
  <c r="AY33" i="76" s="1"/>
  <c r="AW33" i="76"/>
  <c r="AT33" i="76"/>
  <c r="AQ33" i="76"/>
  <c r="AN33" i="76"/>
  <c r="AK33" i="76"/>
  <c r="AH33" i="76"/>
  <c r="AD33" i="76"/>
  <c r="AE33" i="76" s="1"/>
  <c r="AC33" i="76"/>
  <c r="Z33" i="76"/>
  <c r="W33" i="76"/>
  <c r="T33" i="76"/>
  <c r="Q33" i="76"/>
  <c r="N33" i="76"/>
  <c r="AX31" i="76"/>
  <c r="AY31" i="76" s="1"/>
  <c r="AW31" i="76"/>
  <c r="AT31" i="76"/>
  <c r="AQ31" i="76"/>
  <c r="AN31" i="76"/>
  <c r="AK31" i="76"/>
  <c r="AH31" i="76"/>
  <c r="AE31" i="76"/>
  <c r="AC31" i="76"/>
  <c r="Z31" i="76"/>
  <c r="W31" i="76"/>
  <c r="T31" i="76"/>
  <c r="Q31" i="76"/>
  <c r="N31" i="76"/>
  <c r="AY30" i="76"/>
  <c r="AX30" i="76"/>
  <c r="AW30" i="76"/>
  <c r="AT30" i="76"/>
  <c r="AQ30" i="76"/>
  <c r="AN30" i="76"/>
  <c r="AK30" i="76"/>
  <c r="AH30" i="76"/>
  <c r="AE30" i="76"/>
  <c r="AD30" i="76"/>
  <c r="AC30" i="76"/>
  <c r="Z30" i="76"/>
  <c r="W30" i="76"/>
  <c r="T30" i="76"/>
  <c r="Q30" i="76"/>
  <c r="N30" i="76"/>
  <c r="AY29" i="76"/>
  <c r="AX29" i="76"/>
  <c r="AW29" i="76"/>
  <c r="AT29" i="76"/>
  <c r="AQ29" i="76"/>
  <c r="AN29" i="76"/>
  <c r="AK29" i="76"/>
  <c r="AH29" i="76"/>
  <c r="AE29" i="76"/>
  <c r="AD29" i="76"/>
  <c r="AC29" i="76"/>
  <c r="Z29" i="76"/>
  <c r="W29" i="76"/>
  <c r="T29" i="76"/>
  <c r="Q29" i="76"/>
  <c r="N29" i="76"/>
  <c r="AY27" i="76"/>
  <c r="AX27" i="76"/>
  <c r="AW27" i="76"/>
  <c r="AT27" i="76"/>
  <c r="AQ27" i="76"/>
  <c r="AN27" i="76"/>
  <c r="AK27" i="76"/>
  <c r="AH27" i="76"/>
  <c r="AE27" i="76"/>
  <c r="AD27" i="76"/>
  <c r="AC27" i="76"/>
  <c r="Z27" i="76"/>
  <c r="W27" i="76"/>
  <c r="T27" i="76"/>
  <c r="Q27" i="76"/>
  <c r="N27" i="76"/>
  <c r="AY26" i="76"/>
  <c r="AX26" i="76"/>
  <c r="AW26" i="76"/>
  <c r="AT26" i="76"/>
  <c r="AQ26" i="76"/>
  <c r="AN26" i="76"/>
  <c r="AK26" i="76"/>
  <c r="AH26" i="76"/>
  <c r="AE26" i="76"/>
  <c r="AD26" i="76"/>
  <c r="AC26" i="76"/>
  <c r="Z26" i="76"/>
  <c r="W26" i="76"/>
  <c r="T26" i="76"/>
  <c r="Q26" i="76"/>
  <c r="N26" i="76"/>
  <c r="AY25" i="76"/>
  <c r="AX25" i="76"/>
  <c r="AW25" i="76"/>
  <c r="AT25" i="76"/>
  <c r="AQ25" i="76"/>
  <c r="AN25" i="76"/>
  <c r="AK25" i="76"/>
  <c r="AH25" i="76"/>
  <c r="AE25" i="76"/>
  <c r="AD25" i="76"/>
  <c r="AC25" i="76"/>
  <c r="Z25" i="76"/>
  <c r="W25" i="76"/>
  <c r="T25" i="76"/>
  <c r="Q25" i="76"/>
  <c r="N25" i="76"/>
  <c r="AY24" i="76"/>
  <c r="AX24" i="76"/>
  <c r="AW24" i="76"/>
  <c r="AT24" i="76"/>
  <c r="AQ24" i="76"/>
  <c r="AN24" i="76"/>
  <c r="AK24" i="76"/>
  <c r="AH24" i="76"/>
  <c r="AE24" i="76"/>
  <c r="AD24" i="76"/>
  <c r="AC24" i="76"/>
  <c r="Z24" i="76"/>
  <c r="W24" i="76"/>
  <c r="T24" i="76"/>
  <c r="Q24" i="76"/>
  <c r="N24" i="76"/>
  <c r="AY23" i="76"/>
  <c r="AX23" i="76"/>
  <c r="AW23" i="76"/>
  <c r="AT23" i="76"/>
  <c r="AQ23" i="76"/>
  <c r="AN23" i="76"/>
  <c r="AK23" i="76"/>
  <c r="AH23" i="76"/>
  <c r="AE23" i="76"/>
  <c r="AD23" i="76"/>
  <c r="AC23" i="76"/>
  <c r="Z23" i="76"/>
  <c r="W23" i="76"/>
  <c r="T23" i="76"/>
  <c r="Q23" i="76"/>
  <c r="N23" i="76"/>
  <c r="AY22" i="76"/>
  <c r="AX22" i="76"/>
  <c r="AW22" i="76"/>
  <c r="AT22" i="76"/>
  <c r="AQ22" i="76"/>
  <c r="AN22" i="76"/>
  <c r="AK22" i="76"/>
  <c r="AH22" i="76"/>
  <c r="AE22" i="76"/>
  <c r="AD22" i="76"/>
  <c r="AC22" i="76"/>
  <c r="Z22" i="76"/>
  <c r="W22" i="76"/>
  <c r="T22" i="76"/>
  <c r="Q22" i="76"/>
  <c r="N22" i="76"/>
  <c r="AW21" i="76"/>
  <c r="AT21" i="76"/>
  <c r="AQ21" i="76"/>
  <c r="AN21" i="76"/>
  <c r="AK21" i="76"/>
  <c r="AH21" i="76"/>
  <c r="AD21" i="76"/>
  <c r="AX21" i="76" s="1"/>
  <c r="AY21" i="76" s="1"/>
  <c r="AC21" i="76"/>
  <c r="Z21" i="76"/>
  <c r="W21" i="76"/>
  <c r="T21" i="76"/>
  <c r="Q21" i="76"/>
  <c r="N21" i="76"/>
  <c r="AX20" i="76"/>
  <c r="AY20" i="76" s="1"/>
  <c r="AW20" i="76"/>
  <c r="AT20" i="76"/>
  <c r="AQ20" i="76"/>
  <c r="AN20" i="76"/>
  <c r="AK20" i="76"/>
  <c r="AH20" i="76"/>
  <c r="AD20" i="76"/>
  <c r="AE20" i="76" s="1"/>
  <c r="AC20" i="76"/>
  <c r="Z20" i="76"/>
  <c r="W20" i="76"/>
  <c r="T20" i="76"/>
  <c r="Q20" i="76"/>
  <c r="N20" i="76"/>
  <c r="AX19" i="76"/>
  <c r="AY19" i="76" s="1"/>
  <c r="AW19" i="76"/>
  <c r="AT19" i="76"/>
  <c r="AQ19" i="76"/>
  <c r="AN19" i="76"/>
  <c r="AK19" i="76"/>
  <c r="AH19" i="76"/>
  <c r="AD19" i="76"/>
  <c r="AE19" i="76" s="1"/>
  <c r="AC19" i="76"/>
  <c r="Z19" i="76"/>
  <c r="W19" i="76"/>
  <c r="T19" i="76"/>
  <c r="Q19" i="76"/>
  <c r="N19" i="76"/>
  <c r="AX18" i="76"/>
  <c r="AY18" i="76" s="1"/>
  <c r="AW18" i="76"/>
  <c r="AT18" i="76"/>
  <c r="AQ18" i="76"/>
  <c r="AN18" i="76"/>
  <c r="AK18" i="76"/>
  <c r="AH18" i="76"/>
  <c r="AD18" i="76"/>
  <c r="AE18" i="76" s="1"/>
  <c r="AC18" i="76"/>
  <c r="Z18" i="76"/>
  <c r="W18" i="76"/>
  <c r="T18" i="76"/>
  <c r="Q18" i="76"/>
  <c r="N18" i="76"/>
  <c r="AX17" i="76"/>
  <c r="AY17" i="76" s="1"/>
  <c r="AW17" i="76"/>
  <c r="AT17" i="76"/>
  <c r="AQ17" i="76"/>
  <c r="AN17" i="76"/>
  <c r="AK17" i="76"/>
  <c r="AH17" i="76"/>
  <c r="AD17" i="76"/>
  <c r="AE17" i="76" s="1"/>
  <c r="AC17" i="76"/>
  <c r="Z17" i="76"/>
  <c r="W17" i="76"/>
  <c r="T17" i="76"/>
  <c r="Q17" i="76"/>
  <c r="N17" i="76"/>
  <c r="AX16" i="76"/>
  <c r="AY16" i="76" s="1"/>
  <c r="AW16" i="76"/>
  <c r="AT16" i="76"/>
  <c r="AQ16" i="76"/>
  <c r="AN16" i="76"/>
  <c r="AK16" i="76"/>
  <c r="AH16" i="76"/>
  <c r="AD16" i="76"/>
  <c r="AE16" i="76" s="1"/>
  <c r="AC16" i="76"/>
  <c r="Z16" i="76"/>
  <c r="W16" i="76"/>
  <c r="T16" i="76"/>
  <c r="Q16" i="76"/>
  <c r="N16" i="76"/>
  <c r="AX15" i="76"/>
  <c r="AY15" i="76" s="1"/>
  <c r="AW15" i="76"/>
  <c r="AT15" i="76"/>
  <c r="AQ15" i="76"/>
  <c r="AN15" i="76"/>
  <c r="AK15" i="76"/>
  <c r="AH15" i="76"/>
  <c r="AD15" i="76"/>
  <c r="AE15" i="76" s="1"/>
  <c r="AC15" i="76"/>
  <c r="Z15" i="76"/>
  <c r="W15" i="76"/>
  <c r="T15" i="76"/>
  <c r="Q15" i="76"/>
  <c r="N15" i="76"/>
  <c r="AX14" i="76"/>
  <c r="AY14" i="76" s="1"/>
  <c r="AW14" i="76"/>
  <c r="AT14" i="76"/>
  <c r="AQ14" i="76"/>
  <c r="AN14" i="76"/>
  <c r="AK14" i="76"/>
  <c r="AH14" i="76"/>
  <c r="AD14" i="76"/>
  <c r="AE14" i="76" s="1"/>
  <c r="AC14" i="76"/>
  <c r="Z14" i="76"/>
  <c r="W14" i="76"/>
  <c r="T14" i="76"/>
  <c r="Q14" i="76"/>
  <c r="N14" i="76"/>
  <c r="AX13" i="76"/>
  <c r="AY13" i="76" s="1"/>
  <c r="AW13" i="76"/>
  <c r="AT13" i="76"/>
  <c r="AQ13" i="76"/>
  <c r="AN13" i="76"/>
  <c r="AK13" i="76"/>
  <c r="AH13" i="76"/>
  <c r="AD13" i="76"/>
  <c r="AE13" i="76" s="1"/>
  <c r="AC13" i="76"/>
  <c r="Z13" i="76"/>
  <c r="W13" i="76"/>
  <c r="T13" i="76"/>
  <c r="Q13" i="76"/>
  <c r="N13" i="76"/>
  <c r="AX12" i="76"/>
  <c r="AY12" i="76" s="1"/>
  <c r="AW12" i="76"/>
  <c r="AT12" i="76"/>
  <c r="AQ12" i="76"/>
  <c r="AN12" i="76"/>
  <c r="AK12" i="76"/>
  <c r="AH12" i="76"/>
  <c r="AD12" i="76"/>
  <c r="AE12" i="76" s="1"/>
  <c r="AC12" i="76"/>
  <c r="Z12" i="76"/>
  <c r="W12" i="76"/>
  <c r="T12" i="76"/>
  <c r="Q12" i="76"/>
  <c r="N12" i="76"/>
  <c r="AY11" i="76"/>
  <c r="AW11" i="76"/>
  <c r="AT11" i="76"/>
  <c r="AQ11" i="76"/>
  <c r="AN11" i="76"/>
  <c r="AK11" i="76"/>
  <c r="AH11" i="76"/>
  <c r="AD11" i="76"/>
  <c r="AE11" i="76" s="1"/>
  <c r="AC11" i="76"/>
  <c r="Z11" i="76"/>
  <c r="W11" i="76"/>
  <c r="T11" i="76"/>
  <c r="Q11" i="76"/>
  <c r="N11" i="76"/>
  <c r="AX10" i="76"/>
  <c r="AY10" i="76" s="1"/>
  <c r="AW10" i="76"/>
  <c r="AT10" i="76"/>
  <c r="AQ10" i="76"/>
  <c r="AN10" i="76"/>
  <c r="AK10" i="76"/>
  <c r="AH10" i="76"/>
  <c r="AD10" i="76"/>
  <c r="AE10" i="76" s="1"/>
  <c r="AC10" i="76"/>
  <c r="Z10" i="76"/>
  <c r="W10" i="76"/>
  <c r="T10" i="76"/>
  <c r="Q10" i="76"/>
  <c r="N10" i="76"/>
  <c r="AX9" i="76"/>
  <c r="AW9" i="76"/>
  <c r="AT9" i="76"/>
  <c r="AQ9" i="76"/>
  <c r="AN9" i="76"/>
  <c r="AK9" i="76"/>
  <c r="AH9" i="76"/>
  <c r="AD9" i="76"/>
  <c r="AC9" i="76"/>
  <c r="Z9" i="76"/>
  <c r="W9" i="76"/>
  <c r="T9" i="76"/>
  <c r="Q9" i="76"/>
  <c r="N9" i="76"/>
  <c r="G9" i="76"/>
  <c r="AE9" i="76" l="1"/>
  <c r="AE21" i="76"/>
  <c r="AY9" i="76"/>
  <c r="AZ3" i="76" s="1"/>
  <c r="C27" i="10" s="1"/>
  <c r="AX33" i="75"/>
  <c r="AY33" i="75" s="1"/>
  <c r="AW33" i="75"/>
  <c r="AT33" i="75"/>
  <c r="AQ33" i="75"/>
  <c r="AN33" i="75"/>
  <c r="AK33" i="75"/>
  <c r="AH33" i="75"/>
  <c r="AD33" i="75"/>
  <c r="AE33" i="75" s="1"/>
  <c r="AC33" i="75"/>
  <c r="Z33" i="75"/>
  <c r="W33" i="75"/>
  <c r="T33" i="75"/>
  <c r="Q33" i="75"/>
  <c r="N33" i="75"/>
  <c r="AX31" i="75"/>
  <c r="AY31" i="75" s="1"/>
  <c r="AW31" i="75"/>
  <c r="AT31" i="75"/>
  <c r="AQ31" i="75"/>
  <c r="AN31" i="75"/>
  <c r="AK31" i="75"/>
  <c r="AH31" i="75"/>
  <c r="AD31" i="75"/>
  <c r="AE31" i="75" s="1"/>
  <c r="AC31" i="75"/>
  <c r="Z31" i="75"/>
  <c r="W31" i="75"/>
  <c r="T31" i="75"/>
  <c r="Q31" i="75"/>
  <c r="N31" i="75"/>
  <c r="AX30" i="75"/>
  <c r="AW30" i="75"/>
  <c r="AT30" i="75"/>
  <c r="AQ30" i="75"/>
  <c r="AN30" i="75"/>
  <c r="AK30" i="75"/>
  <c r="AH30" i="75"/>
  <c r="AE30" i="75"/>
  <c r="AD30" i="75"/>
  <c r="AC30" i="75"/>
  <c r="Z30" i="75"/>
  <c r="W30" i="75"/>
  <c r="T30" i="75"/>
  <c r="Q30" i="75"/>
  <c r="N30" i="75"/>
  <c r="AY29" i="75"/>
  <c r="AX29" i="75"/>
  <c r="AW29" i="75"/>
  <c r="AT29" i="75"/>
  <c r="AQ29" i="75"/>
  <c r="AN29" i="75"/>
  <c r="AK29" i="75"/>
  <c r="AH29" i="75"/>
  <c r="AE29" i="75"/>
  <c r="AD29" i="75"/>
  <c r="AC29" i="75"/>
  <c r="Z29" i="75"/>
  <c r="W29" i="75"/>
  <c r="T29" i="75"/>
  <c r="Q29" i="75"/>
  <c r="N29" i="75"/>
  <c r="AX27" i="75"/>
  <c r="AW27" i="75"/>
  <c r="AT27" i="75"/>
  <c r="AQ27" i="75"/>
  <c r="AN27" i="75"/>
  <c r="AK27" i="75"/>
  <c r="AH27" i="75"/>
  <c r="AD27" i="75"/>
  <c r="AC27" i="75"/>
  <c r="Z27" i="75"/>
  <c r="W27" i="75"/>
  <c r="T27" i="75"/>
  <c r="Q27" i="75"/>
  <c r="N27" i="75"/>
  <c r="G27" i="75"/>
  <c r="AW26" i="75"/>
  <c r="AT26" i="75"/>
  <c r="AQ26" i="75"/>
  <c r="AN26" i="75"/>
  <c r="AK26" i="75"/>
  <c r="AX26" i="75" s="1"/>
  <c r="AY26" i="75" s="1"/>
  <c r="AH26" i="75"/>
  <c r="AD26" i="75"/>
  <c r="AE26" i="75" s="1"/>
  <c r="AC26" i="75"/>
  <c r="Z26" i="75"/>
  <c r="W26" i="75"/>
  <c r="T26" i="75"/>
  <c r="Q26" i="75"/>
  <c r="N26" i="75"/>
  <c r="AX25" i="75"/>
  <c r="AY25" i="75" s="1"/>
  <c r="AW25" i="75"/>
  <c r="AT25" i="75"/>
  <c r="AQ25" i="75"/>
  <c r="AN25" i="75"/>
  <c r="AK25" i="75"/>
  <c r="AH25" i="75"/>
  <c r="AD25" i="75"/>
  <c r="AE25" i="75" s="1"/>
  <c r="AC25" i="75"/>
  <c r="Z25" i="75"/>
  <c r="W25" i="75"/>
  <c r="T25" i="75"/>
  <c r="Q25" i="75"/>
  <c r="N25" i="75"/>
  <c r="AX24" i="75"/>
  <c r="AY24" i="75" s="1"/>
  <c r="AW24" i="75"/>
  <c r="AT24" i="75"/>
  <c r="AQ24" i="75"/>
  <c r="AN24" i="75"/>
  <c r="AK24" i="75"/>
  <c r="AH24" i="75"/>
  <c r="AD24" i="75"/>
  <c r="AE24" i="75" s="1"/>
  <c r="AC24" i="75"/>
  <c r="Z24" i="75"/>
  <c r="W24" i="75"/>
  <c r="T24" i="75"/>
  <c r="Q24" i="75"/>
  <c r="N24" i="75"/>
  <c r="AX23" i="75"/>
  <c r="AY23" i="75" s="1"/>
  <c r="AW23" i="75"/>
  <c r="AT23" i="75"/>
  <c r="AQ23" i="75"/>
  <c r="AN23" i="75"/>
  <c r="AK23" i="75"/>
  <c r="AH23" i="75"/>
  <c r="AD23" i="75"/>
  <c r="AE23" i="75" s="1"/>
  <c r="AC23" i="75"/>
  <c r="Z23" i="75"/>
  <c r="W23" i="75"/>
  <c r="T23" i="75"/>
  <c r="Q23" i="75"/>
  <c r="N23" i="75"/>
  <c r="AX22" i="75"/>
  <c r="AY22" i="75" s="1"/>
  <c r="AW22" i="75"/>
  <c r="AT22" i="75"/>
  <c r="AQ22" i="75"/>
  <c r="AN22" i="75"/>
  <c r="AK22" i="75"/>
  <c r="AH22" i="75"/>
  <c r="AD22" i="75"/>
  <c r="AE22" i="75" s="1"/>
  <c r="AC22" i="75"/>
  <c r="Z22" i="75"/>
  <c r="W22" i="75"/>
  <c r="T22" i="75"/>
  <c r="Q22" i="75"/>
  <c r="N22" i="75"/>
  <c r="AX21" i="75"/>
  <c r="AY21" i="75" s="1"/>
  <c r="AW21" i="75"/>
  <c r="AT21" i="75"/>
  <c r="AQ21" i="75"/>
  <c r="AN21" i="75"/>
  <c r="AK21" i="75"/>
  <c r="AH21" i="75"/>
  <c r="AD21" i="75"/>
  <c r="AE21" i="75" s="1"/>
  <c r="AC21" i="75"/>
  <c r="Z21" i="75"/>
  <c r="W21" i="75"/>
  <c r="T21" i="75"/>
  <c r="Q21" i="75"/>
  <c r="N21" i="75"/>
  <c r="AX20" i="75"/>
  <c r="AW20" i="75"/>
  <c r="AT20" i="75"/>
  <c r="AQ20" i="75"/>
  <c r="AN20" i="75"/>
  <c r="AK20" i="75"/>
  <c r="AH20" i="75"/>
  <c r="AE20" i="75"/>
  <c r="AD20" i="75"/>
  <c r="AC20" i="75"/>
  <c r="Z20" i="75"/>
  <c r="W20" i="75"/>
  <c r="T20" i="75"/>
  <c r="Q20" i="75"/>
  <c r="N20" i="75"/>
  <c r="AY19" i="75"/>
  <c r="AX19" i="75"/>
  <c r="AW19" i="75"/>
  <c r="AT19" i="75"/>
  <c r="AQ19" i="75"/>
  <c r="AN19" i="75"/>
  <c r="AK19" i="75"/>
  <c r="AH19" i="75"/>
  <c r="AE19" i="75"/>
  <c r="AD19" i="75"/>
  <c r="AC19" i="75"/>
  <c r="Z19" i="75"/>
  <c r="W19" i="75"/>
  <c r="T19" i="75"/>
  <c r="Q19" i="75"/>
  <c r="N19" i="75"/>
  <c r="AX18" i="75"/>
  <c r="AY18" i="75" s="1"/>
  <c r="AW18" i="75"/>
  <c r="AT18" i="75"/>
  <c r="AQ18" i="75"/>
  <c r="AN18" i="75"/>
  <c r="AK18" i="75"/>
  <c r="AH18" i="75"/>
  <c r="AD18" i="75"/>
  <c r="AE18" i="75" s="1"/>
  <c r="AC18" i="75"/>
  <c r="Z18" i="75"/>
  <c r="W18" i="75"/>
  <c r="T18" i="75"/>
  <c r="Q18" i="75"/>
  <c r="N18" i="75"/>
  <c r="AX17" i="75"/>
  <c r="AY17" i="75" s="1"/>
  <c r="AW17" i="75"/>
  <c r="AT17" i="75"/>
  <c r="AQ17" i="75"/>
  <c r="AN17" i="75"/>
  <c r="AK17" i="75"/>
  <c r="AH17" i="75"/>
  <c r="AD17" i="75"/>
  <c r="AE17" i="75" s="1"/>
  <c r="AC17" i="75"/>
  <c r="Z17" i="75"/>
  <c r="W17" i="75"/>
  <c r="T17" i="75"/>
  <c r="Q17" i="75"/>
  <c r="N17" i="75"/>
  <c r="AX16" i="75"/>
  <c r="AY16" i="75" s="1"/>
  <c r="AW16" i="75"/>
  <c r="AT16" i="75"/>
  <c r="AQ16" i="75"/>
  <c r="AN16" i="75"/>
  <c r="AK16" i="75"/>
  <c r="AH16" i="75"/>
  <c r="AD16" i="75"/>
  <c r="AE16" i="75" s="1"/>
  <c r="AC16" i="75"/>
  <c r="Z16" i="75"/>
  <c r="W16" i="75"/>
  <c r="T16" i="75"/>
  <c r="Q16" i="75"/>
  <c r="N16" i="75"/>
  <c r="AX15" i="75"/>
  <c r="AY15" i="75" s="1"/>
  <c r="AW15" i="75"/>
  <c r="AT15" i="75"/>
  <c r="AQ15" i="75"/>
  <c r="AN15" i="75"/>
  <c r="AK15" i="75"/>
  <c r="AH15" i="75"/>
  <c r="AD15" i="75"/>
  <c r="AE15" i="75" s="1"/>
  <c r="AC15" i="75"/>
  <c r="Z15" i="75"/>
  <c r="W15" i="75"/>
  <c r="T15" i="75"/>
  <c r="Q15" i="75"/>
  <c r="N15" i="75"/>
  <c r="AX14" i="75"/>
  <c r="AY14" i="75" s="1"/>
  <c r="AW14" i="75"/>
  <c r="AT14" i="75"/>
  <c r="AQ14" i="75"/>
  <c r="AN14" i="75"/>
  <c r="AK14" i="75"/>
  <c r="AH14" i="75"/>
  <c r="AD14" i="75"/>
  <c r="AE14" i="75" s="1"/>
  <c r="AC14" i="75"/>
  <c r="Z14" i="75"/>
  <c r="W14" i="75"/>
  <c r="T14" i="75"/>
  <c r="Q14" i="75"/>
  <c r="N14" i="75"/>
  <c r="AX13" i="75"/>
  <c r="AY13" i="75" s="1"/>
  <c r="AW13" i="75"/>
  <c r="AT13" i="75"/>
  <c r="AQ13" i="75"/>
  <c r="AN13" i="75"/>
  <c r="AK13" i="75"/>
  <c r="AH13" i="75"/>
  <c r="AD13" i="75"/>
  <c r="AE13" i="75" s="1"/>
  <c r="AC13" i="75"/>
  <c r="Z13" i="75"/>
  <c r="W13" i="75"/>
  <c r="T13" i="75"/>
  <c r="Q13" i="75"/>
  <c r="N13" i="75"/>
  <c r="AX12" i="75"/>
  <c r="AY12" i="75" s="1"/>
  <c r="AW12" i="75"/>
  <c r="AT12" i="75"/>
  <c r="AQ12" i="75"/>
  <c r="AN12" i="75"/>
  <c r="AK12" i="75"/>
  <c r="AH12" i="75"/>
  <c r="AD12" i="75"/>
  <c r="AE12" i="75" s="1"/>
  <c r="AC12" i="75"/>
  <c r="Z12" i="75"/>
  <c r="W12" i="75"/>
  <c r="T12" i="75"/>
  <c r="Q12" i="75"/>
  <c r="N12" i="75"/>
  <c r="AY11" i="75"/>
  <c r="AV11" i="75"/>
  <c r="AU11" i="75"/>
  <c r="AW11" i="75" s="1"/>
  <c r="AS11" i="75"/>
  <c r="AT11" i="75" s="1"/>
  <c r="AR11" i="75"/>
  <c r="AP11" i="75"/>
  <c r="AQ11" i="75" s="1"/>
  <c r="AO11" i="75"/>
  <c r="AM11" i="75"/>
  <c r="AN11" i="75" s="1"/>
  <c r="AL11" i="75"/>
  <c r="AK11" i="75"/>
  <c r="AJ11" i="75"/>
  <c r="AI11" i="75"/>
  <c r="AG11" i="75"/>
  <c r="AH11" i="75" s="1"/>
  <c r="AF11" i="75"/>
  <c r="AB11" i="75"/>
  <c r="AA11" i="75"/>
  <c r="AC11" i="75" s="1"/>
  <c r="Y11" i="75"/>
  <c r="X11" i="75"/>
  <c r="Z11" i="75" s="1"/>
  <c r="V11" i="75"/>
  <c r="W11" i="75" s="1"/>
  <c r="U11" i="75"/>
  <c r="S11" i="75"/>
  <c r="T11" i="75" s="1"/>
  <c r="R11" i="75"/>
  <c r="Q11" i="75"/>
  <c r="P11" i="75"/>
  <c r="O11" i="75"/>
  <c r="M11" i="75"/>
  <c r="N11" i="75" s="1"/>
  <c r="L11" i="75"/>
  <c r="AX10" i="75"/>
  <c r="AY10" i="75" s="1"/>
  <c r="AW10" i="75"/>
  <c r="AT10" i="75"/>
  <c r="AQ10" i="75"/>
  <c r="AN10" i="75"/>
  <c r="AK10" i="75"/>
  <c r="AH10" i="75"/>
  <c r="AD10" i="75"/>
  <c r="AE10" i="75" s="1"/>
  <c r="AC10" i="75"/>
  <c r="Z10" i="75"/>
  <c r="W10" i="75"/>
  <c r="T10" i="75"/>
  <c r="Q10" i="75"/>
  <c r="N10" i="75"/>
  <c r="AX9" i="75"/>
  <c r="AY9" i="75" s="1"/>
  <c r="AW9" i="75"/>
  <c r="AT9" i="75"/>
  <c r="AQ9" i="75"/>
  <c r="AN9" i="75"/>
  <c r="AK9" i="75"/>
  <c r="AH9" i="75"/>
  <c r="AD9" i="75"/>
  <c r="AE9" i="75" s="1"/>
  <c r="AC9" i="75"/>
  <c r="Z9" i="75"/>
  <c r="W9" i="75"/>
  <c r="T9" i="75"/>
  <c r="Q9" i="75"/>
  <c r="N9" i="75"/>
  <c r="G9" i="75"/>
  <c r="AY27" i="75" l="1"/>
  <c r="AZ7" i="75" s="1"/>
  <c r="C26" i="10" s="1"/>
  <c r="AD11" i="75"/>
  <c r="AE11" i="75" s="1"/>
  <c r="AE27" i="75"/>
  <c r="AU50" i="74" l="1"/>
  <c r="AV50" i="74" s="1"/>
  <c r="AT50" i="74"/>
  <c r="AQ50" i="74"/>
  <c r="AN50" i="74"/>
  <c r="AK50" i="74"/>
  <c r="AH50" i="74"/>
  <c r="AE50" i="74"/>
  <c r="AA50" i="74"/>
  <c r="AB50" i="74" s="1"/>
  <c r="Z50" i="74"/>
  <c r="W50" i="74"/>
  <c r="T50" i="74"/>
  <c r="Q50" i="74"/>
  <c r="N50" i="74"/>
  <c r="AU48" i="74"/>
  <c r="AV48" i="74" s="1"/>
  <c r="AT48" i="74"/>
  <c r="AQ48" i="74"/>
  <c r="AN48" i="74"/>
  <c r="AK48" i="74"/>
  <c r="AH48" i="74"/>
  <c r="AE48" i="74"/>
  <c r="AA48" i="74"/>
  <c r="AB48" i="74" s="1"/>
  <c r="Z48" i="74"/>
  <c r="W48" i="74"/>
  <c r="T48" i="74"/>
  <c r="Q48" i="74"/>
  <c r="N48" i="74"/>
  <c r="AU47" i="74"/>
  <c r="AV47" i="74" s="1"/>
  <c r="AT47" i="74"/>
  <c r="AQ47" i="74"/>
  <c r="AN47" i="74"/>
  <c r="AK47" i="74"/>
  <c r="AH47" i="74"/>
  <c r="AE47" i="74"/>
  <c r="AA47" i="74"/>
  <c r="AB47" i="74" s="1"/>
  <c r="Z47" i="74"/>
  <c r="W47" i="74"/>
  <c r="T47" i="74"/>
  <c r="Q47" i="74"/>
  <c r="N47" i="74"/>
  <c r="AU46" i="74"/>
  <c r="AV46" i="74" s="1"/>
  <c r="AT46" i="74"/>
  <c r="AQ46" i="74"/>
  <c r="AN46" i="74"/>
  <c r="AK46" i="74"/>
  <c r="AH46" i="74"/>
  <c r="AE46" i="74"/>
  <c r="AA46" i="74"/>
  <c r="AB46" i="74" s="1"/>
  <c r="Z46" i="74"/>
  <c r="W46" i="74"/>
  <c r="T46" i="74"/>
  <c r="Q46" i="74"/>
  <c r="N46" i="74"/>
  <c r="AT45" i="74"/>
  <c r="AQ45" i="74"/>
  <c r="AN45" i="74"/>
  <c r="AK45" i="74"/>
  <c r="AH45" i="74"/>
  <c r="AE45" i="74"/>
  <c r="AA45" i="74"/>
  <c r="AB45" i="74" s="1"/>
  <c r="Z45" i="74"/>
  <c r="W45" i="74"/>
  <c r="T45" i="74"/>
  <c r="Q45" i="74"/>
  <c r="N45" i="74"/>
  <c r="AU44" i="74"/>
  <c r="AV44" i="74" s="1"/>
  <c r="AT44" i="74"/>
  <c r="AQ44" i="74"/>
  <c r="AN44" i="74"/>
  <c r="AK44" i="74"/>
  <c r="AH44" i="74"/>
  <c r="AE44" i="74"/>
  <c r="AA44" i="74"/>
  <c r="AB44" i="74" s="1"/>
  <c r="Z44" i="74"/>
  <c r="W44" i="74"/>
  <c r="T44" i="74"/>
  <c r="Q44" i="74"/>
  <c r="N44" i="74"/>
  <c r="AU42" i="74"/>
  <c r="AV42" i="74" s="1"/>
  <c r="AT42" i="74"/>
  <c r="AQ42" i="74"/>
  <c r="AN42" i="74"/>
  <c r="AK42" i="74"/>
  <c r="AH42" i="74"/>
  <c r="AE42" i="74"/>
  <c r="AA42" i="74"/>
  <c r="AB42" i="74" s="1"/>
  <c r="Z42" i="74"/>
  <c r="W42" i="74"/>
  <c r="T42" i="74"/>
  <c r="Q42" i="74"/>
  <c r="N42" i="74"/>
  <c r="AU41" i="74"/>
  <c r="AV41" i="74" s="1"/>
  <c r="AT41" i="74"/>
  <c r="AQ41" i="74"/>
  <c r="AN41" i="74"/>
  <c r="AK41" i="74"/>
  <c r="AH41" i="74"/>
  <c r="AE41" i="74"/>
  <c r="AA41" i="74"/>
  <c r="AB41" i="74" s="1"/>
  <c r="Z41" i="74"/>
  <c r="W41" i="74"/>
  <c r="T41" i="74"/>
  <c r="Q41" i="74"/>
  <c r="N41" i="74"/>
  <c r="AU40" i="74"/>
  <c r="AV40" i="74" s="1"/>
  <c r="AT40" i="74"/>
  <c r="AQ40" i="74"/>
  <c r="AN40" i="74"/>
  <c r="AK40" i="74"/>
  <c r="AH40" i="74"/>
  <c r="AE40" i="74"/>
  <c r="AA40" i="74"/>
  <c r="AB40" i="74" s="1"/>
  <c r="Z40" i="74"/>
  <c r="W40" i="74"/>
  <c r="T40" i="74"/>
  <c r="Q40" i="74"/>
  <c r="N40" i="74"/>
  <c r="AV39" i="74"/>
  <c r="AU39" i="74"/>
  <c r="AT39" i="74"/>
  <c r="AQ39" i="74"/>
  <c r="AN39" i="74"/>
  <c r="AK39" i="74"/>
  <c r="AH39" i="74"/>
  <c r="AE39" i="74"/>
  <c r="AB39" i="74"/>
  <c r="AA39" i="74"/>
  <c r="Z39" i="74"/>
  <c r="W39" i="74"/>
  <c r="T39" i="74"/>
  <c r="Q39" i="74"/>
  <c r="N39" i="74"/>
  <c r="AU38" i="74"/>
  <c r="AV38" i="74" s="1"/>
  <c r="AT38" i="74"/>
  <c r="AQ38" i="74"/>
  <c r="AN38" i="74"/>
  <c r="AK38" i="74"/>
  <c r="AH38" i="74"/>
  <c r="AE38" i="74"/>
  <c r="AA38" i="74"/>
  <c r="AB38" i="74" s="1"/>
  <c r="Z38" i="74"/>
  <c r="W38" i="74"/>
  <c r="T38" i="74"/>
  <c r="Q38" i="74"/>
  <c r="N38" i="74"/>
  <c r="AT37" i="74"/>
  <c r="AQ37" i="74"/>
  <c r="AN37" i="74"/>
  <c r="AK37" i="74"/>
  <c r="AH37" i="74"/>
  <c r="AD37" i="74"/>
  <c r="AE37" i="74" s="1"/>
  <c r="Y37" i="74"/>
  <c r="W37" i="74"/>
  <c r="S37" i="74"/>
  <c r="AU37" i="74" s="1"/>
  <c r="AV37" i="74" s="1"/>
  <c r="Q37" i="74"/>
  <c r="N37" i="74"/>
  <c r="AU36" i="74"/>
  <c r="AV36" i="74" s="1"/>
  <c r="AT36" i="74"/>
  <c r="AQ36" i="74"/>
  <c r="AN36" i="74"/>
  <c r="AK36" i="74"/>
  <c r="AH36" i="74"/>
  <c r="AE36" i="74"/>
  <c r="AA36" i="74"/>
  <c r="AB36" i="74" s="1"/>
  <c r="Z36" i="74"/>
  <c r="W36" i="74"/>
  <c r="T36" i="74"/>
  <c r="Q36" i="74"/>
  <c r="M36" i="74"/>
  <c r="N36" i="74" s="1"/>
  <c r="AV35" i="74"/>
  <c r="AU35" i="74"/>
  <c r="AT35" i="74"/>
  <c r="AQ35" i="74"/>
  <c r="AN35" i="74"/>
  <c r="AK35" i="74"/>
  <c r="AH35" i="74"/>
  <c r="AE35" i="74"/>
  <c r="AB35" i="74"/>
  <c r="AA35" i="74"/>
  <c r="Z35" i="74"/>
  <c r="W35" i="74"/>
  <c r="T35" i="74"/>
  <c r="Q35" i="74"/>
  <c r="N35" i="74"/>
  <c r="AU34" i="74"/>
  <c r="AT34" i="74"/>
  <c r="AQ34" i="74"/>
  <c r="AN34" i="74"/>
  <c r="AK34" i="74"/>
  <c r="AH34" i="74"/>
  <c r="AE34" i="74"/>
  <c r="AA34" i="74"/>
  <c r="Z34" i="74"/>
  <c r="W34" i="74"/>
  <c r="T34" i="74"/>
  <c r="Q34" i="74"/>
  <c r="N34" i="74"/>
  <c r="AU33" i="74"/>
  <c r="AV33" i="74" s="1"/>
  <c r="AT33" i="74"/>
  <c r="AQ33" i="74"/>
  <c r="AN33" i="74"/>
  <c r="AK33" i="74"/>
  <c r="AH33" i="74"/>
  <c r="AE33" i="74"/>
  <c r="AA33" i="74"/>
  <c r="AB33" i="74" s="1"/>
  <c r="Z33" i="74"/>
  <c r="W33" i="74"/>
  <c r="T33" i="74"/>
  <c r="Q33" i="74"/>
  <c r="N33" i="74"/>
  <c r="AU32" i="74"/>
  <c r="AV32" i="74" s="1"/>
  <c r="AT32" i="74"/>
  <c r="AQ32" i="74"/>
  <c r="AN32" i="74"/>
  <c r="AK32" i="74"/>
  <c r="AH32" i="74"/>
  <c r="AE32" i="74"/>
  <c r="AA32" i="74"/>
  <c r="AB32" i="74" s="1"/>
  <c r="Z32" i="74"/>
  <c r="W32" i="74"/>
  <c r="T32" i="74"/>
  <c r="Q32" i="74"/>
  <c r="N32" i="74"/>
  <c r="AU31" i="74"/>
  <c r="AV31" i="74" s="1"/>
  <c r="AT31" i="74"/>
  <c r="AQ31" i="74"/>
  <c r="AN31" i="74"/>
  <c r="AK31" i="74"/>
  <c r="AH31" i="74"/>
  <c r="AE31" i="74"/>
  <c r="AA31" i="74"/>
  <c r="AB31" i="74" s="1"/>
  <c r="Z31" i="74"/>
  <c r="W31" i="74"/>
  <c r="T31" i="74"/>
  <c r="Q31" i="74"/>
  <c r="N31" i="74"/>
  <c r="AU30" i="74"/>
  <c r="AV30" i="74" s="1"/>
  <c r="AT30" i="74"/>
  <c r="AQ30" i="74"/>
  <c r="AN30" i="74"/>
  <c r="AK30" i="74"/>
  <c r="AH30" i="74"/>
  <c r="AE30" i="74"/>
  <c r="AA30" i="74"/>
  <c r="AB30" i="74" s="1"/>
  <c r="Z30" i="74"/>
  <c r="W30" i="74"/>
  <c r="T30" i="74"/>
  <c r="Q30" i="74"/>
  <c r="N30" i="74"/>
  <c r="AU29" i="74"/>
  <c r="AV29" i="74" s="1"/>
  <c r="AT29" i="74"/>
  <c r="AQ29" i="74"/>
  <c r="AN29" i="74"/>
  <c r="AK29" i="74"/>
  <c r="AH29" i="74"/>
  <c r="AE29" i="74"/>
  <c r="AA29" i="74"/>
  <c r="AB29" i="74" s="1"/>
  <c r="Z29" i="74"/>
  <c r="W29" i="74"/>
  <c r="T29" i="74"/>
  <c r="Q29" i="74"/>
  <c r="N29" i="74"/>
  <c r="AU28" i="74"/>
  <c r="AV28" i="74" s="1"/>
  <c r="AT28" i="74"/>
  <c r="AQ28" i="74"/>
  <c r="AN28" i="74"/>
  <c r="AK28" i="74"/>
  <c r="AH28" i="74"/>
  <c r="AE28" i="74"/>
  <c r="AA28" i="74"/>
  <c r="AB28" i="74" s="1"/>
  <c r="Z28" i="74"/>
  <c r="W28" i="74"/>
  <c r="T28" i="74"/>
  <c r="Q28" i="74"/>
  <c r="N28" i="74"/>
  <c r="AU27" i="74"/>
  <c r="AV27" i="74" s="1"/>
  <c r="AT27" i="74"/>
  <c r="AQ27" i="74"/>
  <c r="AN27" i="74"/>
  <c r="AK27" i="74"/>
  <c r="AH27" i="74"/>
  <c r="AE27" i="74"/>
  <c r="AA27" i="74"/>
  <c r="AB27" i="74" s="1"/>
  <c r="Z27" i="74"/>
  <c r="W27" i="74"/>
  <c r="T27" i="74"/>
  <c r="Q27" i="74"/>
  <c r="N27" i="74"/>
  <c r="AU26" i="74"/>
  <c r="AV26" i="74" s="1"/>
  <c r="AT26" i="74"/>
  <c r="AQ26" i="74"/>
  <c r="AN26" i="74"/>
  <c r="AK26" i="74"/>
  <c r="AH26" i="74"/>
  <c r="AE26" i="74"/>
  <c r="AB26" i="74"/>
  <c r="Z26" i="74"/>
  <c r="W26" i="74"/>
  <c r="T26" i="74"/>
  <c r="Q26" i="74"/>
  <c r="AU25" i="74"/>
  <c r="AV25" i="74" s="1"/>
  <c r="AT25" i="74"/>
  <c r="AQ25" i="74"/>
  <c r="AN25" i="74"/>
  <c r="AK25" i="74"/>
  <c r="AH25" i="74"/>
  <c r="AE25" i="74"/>
  <c r="AA25" i="74"/>
  <c r="AB25" i="74" s="1"/>
  <c r="Z25" i="74"/>
  <c r="W25" i="74"/>
  <c r="T25" i="74"/>
  <c r="Q25" i="74"/>
  <c r="N25" i="74"/>
  <c r="AV24" i="74"/>
  <c r="AU24" i="74"/>
  <c r="AT24" i="74"/>
  <c r="AQ24" i="74"/>
  <c r="AN24" i="74"/>
  <c r="AK24" i="74"/>
  <c r="AH24" i="74"/>
  <c r="AE24" i="74"/>
  <c r="AA24" i="74"/>
  <c r="AB24" i="74" s="1"/>
  <c r="Z24" i="74"/>
  <c r="W24" i="74"/>
  <c r="T24" i="74"/>
  <c r="Q24" i="74"/>
  <c r="N24" i="74"/>
  <c r="AU23" i="74"/>
  <c r="AV23" i="74" s="1"/>
  <c r="AT23" i="74"/>
  <c r="AQ23" i="74"/>
  <c r="AN23" i="74"/>
  <c r="AK23" i="74"/>
  <c r="AH23" i="74"/>
  <c r="AE23" i="74"/>
  <c r="AA23" i="74"/>
  <c r="AB23" i="74" s="1"/>
  <c r="Z23" i="74"/>
  <c r="W23" i="74"/>
  <c r="T23" i="74"/>
  <c r="Q23" i="74"/>
  <c r="N23" i="74"/>
  <c r="AU22" i="74"/>
  <c r="AV22" i="74" s="1"/>
  <c r="AT22" i="74"/>
  <c r="AQ22" i="74"/>
  <c r="AN22" i="74"/>
  <c r="AK22" i="74"/>
  <c r="AH22" i="74"/>
  <c r="AE22" i="74"/>
  <c r="AA22" i="74"/>
  <c r="AB22" i="74" s="1"/>
  <c r="Z22" i="74"/>
  <c r="W22" i="74"/>
  <c r="T22" i="74"/>
  <c r="Q22" i="74"/>
  <c r="N22" i="74"/>
  <c r="AU21" i="74"/>
  <c r="AV21" i="74" s="1"/>
  <c r="AT21" i="74"/>
  <c r="AQ21" i="74"/>
  <c r="AN21" i="74"/>
  <c r="AK21" i="74"/>
  <c r="AH21" i="74"/>
  <c r="AE21" i="74"/>
  <c r="AA21" i="74"/>
  <c r="AB21" i="74" s="1"/>
  <c r="Z21" i="74"/>
  <c r="W21" i="74"/>
  <c r="T21" i="74"/>
  <c r="Q21" i="74"/>
  <c r="N21" i="74"/>
  <c r="AT20" i="74"/>
  <c r="AQ20" i="74"/>
  <c r="AN20" i="74"/>
  <c r="AK20" i="74"/>
  <c r="AH20" i="74"/>
  <c r="AE20" i="74"/>
  <c r="AB20" i="74"/>
  <c r="AA20" i="74"/>
  <c r="AU20" i="74" s="1"/>
  <c r="AV20" i="74" s="1"/>
  <c r="Z20" i="74"/>
  <c r="W20" i="74"/>
  <c r="T20" i="74"/>
  <c r="Q20" i="74"/>
  <c r="N20" i="74"/>
  <c r="AU19" i="74"/>
  <c r="AV19" i="74" s="1"/>
  <c r="AT19" i="74"/>
  <c r="AQ19" i="74"/>
  <c r="AN19" i="74"/>
  <c r="AK19" i="74"/>
  <c r="AH19" i="74"/>
  <c r="AE19" i="74"/>
  <c r="AA19" i="74"/>
  <c r="AB19" i="74" s="1"/>
  <c r="Z19" i="74"/>
  <c r="W19" i="74"/>
  <c r="T19" i="74"/>
  <c r="Q19" i="74"/>
  <c r="N19" i="74"/>
  <c r="AU18" i="74"/>
  <c r="AV18" i="74" s="1"/>
  <c r="AT18" i="74"/>
  <c r="AQ18" i="74"/>
  <c r="AN18" i="74"/>
  <c r="AK18" i="74"/>
  <c r="AH18" i="74"/>
  <c r="AE18" i="74"/>
  <c r="AA18" i="74"/>
  <c r="AB18" i="74" s="1"/>
  <c r="Z18" i="74"/>
  <c r="W18" i="74"/>
  <c r="T18" i="74"/>
  <c r="Q18" i="74"/>
  <c r="N18" i="74"/>
  <c r="AU17" i="74"/>
  <c r="AV17" i="74" s="1"/>
  <c r="AT17" i="74"/>
  <c r="AQ17" i="74"/>
  <c r="AN17" i="74"/>
  <c r="AK17" i="74"/>
  <c r="AH17" i="74"/>
  <c r="AE17" i="74"/>
  <c r="AA17" i="74"/>
  <c r="AB17" i="74" s="1"/>
  <c r="Z17" i="74"/>
  <c r="W17" i="74"/>
  <c r="T17" i="74"/>
  <c r="Q17" i="74"/>
  <c r="N17" i="74"/>
  <c r="AV16" i="74"/>
  <c r="AU16" i="74"/>
  <c r="AT16" i="74"/>
  <c r="AQ16" i="74"/>
  <c r="AN16" i="74"/>
  <c r="AK16" i="74"/>
  <c r="AH16" i="74"/>
  <c r="AE16" i="74"/>
  <c r="AB16" i="74"/>
  <c r="AA16" i="74"/>
  <c r="Z16" i="74"/>
  <c r="W16" i="74"/>
  <c r="T16" i="74"/>
  <c r="Q16" i="74"/>
  <c r="N16" i="74"/>
  <c r="AT15" i="74"/>
  <c r="AQ15" i="74"/>
  <c r="AN15" i="74"/>
  <c r="AK15" i="74"/>
  <c r="AH15" i="74"/>
  <c r="AG15" i="74"/>
  <c r="AE15" i="74"/>
  <c r="Y15" i="74"/>
  <c r="W15" i="74"/>
  <c r="T15" i="74"/>
  <c r="P15" i="74"/>
  <c r="Q15" i="74" s="1"/>
  <c r="M15" i="74"/>
  <c r="N15" i="74" s="1"/>
  <c r="AT14" i="74"/>
  <c r="AQ14" i="74"/>
  <c r="AN14" i="74"/>
  <c r="AK14" i="74"/>
  <c r="AG14" i="74"/>
  <c r="AH14" i="74" s="1"/>
  <c r="AD14" i="74"/>
  <c r="AE14" i="74" s="1"/>
  <c r="Y14" i="74"/>
  <c r="W14" i="74"/>
  <c r="S14" i="74"/>
  <c r="T14" i="74" s="1"/>
  <c r="P14" i="74"/>
  <c r="AU14" i="74" s="1"/>
  <c r="AV14" i="74" s="1"/>
  <c r="M14" i="74"/>
  <c r="N14" i="74" s="1"/>
  <c r="AT13" i="74"/>
  <c r="AQ13" i="74"/>
  <c r="AN13" i="74"/>
  <c r="AK13" i="74"/>
  <c r="AG13" i="74"/>
  <c r="AH13" i="74" s="1"/>
  <c r="AD13" i="74"/>
  <c r="AE13" i="74" s="1"/>
  <c r="Y13" i="74"/>
  <c r="W13" i="74"/>
  <c r="T13" i="74"/>
  <c r="Q13" i="74"/>
  <c r="M13" i="74"/>
  <c r="N13" i="74" s="1"/>
  <c r="AU12" i="74"/>
  <c r="AV12" i="74" s="1"/>
  <c r="AT12" i="74"/>
  <c r="AQ12" i="74"/>
  <c r="AN12" i="74"/>
  <c r="AK12" i="74"/>
  <c r="AH12" i="74"/>
  <c r="AE12" i="74"/>
  <c r="AA12" i="74"/>
  <c r="AB12" i="74" s="1"/>
  <c r="Z12" i="74"/>
  <c r="W12" i="74"/>
  <c r="T12" i="74"/>
  <c r="Q12" i="74"/>
  <c r="N12" i="74"/>
  <c r="AV11" i="74"/>
  <c r="AT11" i="74"/>
  <c r="AQ11" i="74"/>
  <c r="AN11" i="74"/>
  <c r="AK11" i="74"/>
  <c r="AH11" i="74"/>
  <c r="AE11" i="74"/>
  <c r="AB11" i="74"/>
  <c r="Z11" i="74"/>
  <c r="W11" i="74"/>
  <c r="T11" i="74"/>
  <c r="Q11" i="74"/>
  <c r="AU10" i="74"/>
  <c r="AV10" i="74" s="1"/>
  <c r="AT10" i="74"/>
  <c r="AQ10" i="74"/>
  <c r="AN10" i="74"/>
  <c r="AK10" i="74"/>
  <c r="AH10" i="74"/>
  <c r="AE10" i="74"/>
  <c r="AA10" i="74"/>
  <c r="AB10" i="74" s="1"/>
  <c r="Z10" i="74"/>
  <c r="W10" i="74"/>
  <c r="T10" i="74"/>
  <c r="Q10" i="74"/>
  <c r="N10" i="74"/>
  <c r="AU9" i="74"/>
  <c r="AT9" i="74"/>
  <c r="AQ9" i="74"/>
  <c r="AN9" i="74"/>
  <c r="AK9" i="74"/>
  <c r="AH9" i="74"/>
  <c r="AE9" i="74"/>
  <c r="AA9" i="74"/>
  <c r="Z9" i="74"/>
  <c r="W9" i="74"/>
  <c r="T9" i="74"/>
  <c r="Q9" i="74"/>
  <c r="N9" i="74"/>
  <c r="K50" i="74"/>
  <c r="K48" i="74"/>
  <c r="K47" i="74"/>
  <c r="K46" i="74"/>
  <c r="K45" i="74"/>
  <c r="K44" i="74"/>
  <c r="K42" i="74"/>
  <c r="K41" i="74"/>
  <c r="K40" i="74"/>
  <c r="K39" i="74"/>
  <c r="K38" i="74"/>
  <c r="K37" i="74"/>
  <c r="J36" i="74"/>
  <c r="K36" i="74" s="1"/>
  <c r="K35" i="74"/>
  <c r="K34" i="74"/>
  <c r="K33" i="74"/>
  <c r="K32" i="74"/>
  <c r="K31" i="74"/>
  <c r="K30" i="74"/>
  <c r="K29" i="74"/>
  <c r="K28" i="74"/>
  <c r="K27" i="74"/>
  <c r="K26" i="74"/>
  <c r="K25" i="74"/>
  <c r="K24" i="74"/>
  <c r="K23" i="74"/>
  <c r="K22" i="74"/>
  <c r="K21" i="74"/>
  <c r="K20" i="74"/>
  <c r="K19" i="74"/>
  <c r="K18" i="74"/>
  <c r="K17" i="74"/>
  <c r="K16" i="74"/>
  <c r="J15" i="74"/>
  <c r="K15" i="74" s="1"/>
  <c r="J14" i="74"/>
  <c r="K14" i="74" s="1"/>
  <c r="J13" i="74"/>
  <c r="K13" i="74" s="1"/>
  <c r="K12" i="74"/>
  <c r="K11" i="74"/>
  <c r="K10" i="74"/>
  <c r="K9" i="74"/>
  <c r="G34" i="74"/>
  <c r="G9" i="74"/>
  <c r="AV9" i="74" s="1"/>
  <c r="T37" i="74" l="1"/>
  <c r="AB9" i="74"/>
  <c r="AA15" i="74"/>
  <c r="AB15" i="74" s="1"/>
  <c r="AA14" i="74"/>
  <c r="AB14" i="74" s="1"/>
  <c r="AA37" i="74"/>
  <c r="AB37" i="74" s="1"/>
  <c r="AV34" i="74"/>
  <c r="AA13" i="74"/>
  <c r="AB13" i="74" s="1"/>
  <c r="AU15" i="74"/>
  <c r="AV15" i="74" s="1"/>
  <c r="AB34" i="74"/>
  <c r="AU13" i="74"/>
  <c r="AV13" i="74" s="1"/>
  <c r="AW4" i="74" s="1"/>
  <c r="C25" i="10" s="1"/>
  <c r="Z13" i="74"/>
  <c r="Q14" i="74"/>
  <c r="Z14" i="74"/>
  <c r="Z15" i="74"/>
  <c r="Z37" i="74"/>
  <c r="AX53" i="68" l="1"/>
  <c r="AY53" i="68" s="1"/>
  <c r="AW53" i="68"/>
  <c r="AT53" i="68"/>
  <c r="AQ53" i="68"/>
  <c r="AN53" i="68"/>
  <c r="AK53" i="68"/>
  <c r="AH53" i="68"/>
  <c r="AD53" i="68"/>
  <c r="AE53" i="68" s="1"/>
  <c r="AC53" i="68"/>
  <c r="Z53" i="68"/>
  <c r="W53" i="68"/>
  <c r="T53" i="68"/>
  <c r="Q53" i="68"/>
  <c r="N53" i="68"/>
  <c r="AX51" i="68"/>
  <c r="AY51" i="68" s="1"/>
  <c r="AW51" i="68"/>
  <c r="AT51" i="68"/>
  <c r="AQ51" i="68"/>
  <c r="AN51" i="68"/>
  <c r="AK51" i="68"/>
  <c r="AH51" i="68"/>
  <c r="AD51" i="68"/>
  <c r="AE51" i="68" s="1"/>
  <c r="AC51" i="68"/>
  <c r="Z51" i="68"/>
  <c r="W51" i="68"/>
  <c r="T51" i="68"/>
  <c r="Q51" i="68"/>
  <c r="N51" i="68"/>
  <c r="AX50" i="68"/>
  <c r="AY50" i="68" s="1"/>
  <c r="AT50" i="68"/>
  <c r="AQ50" i="68"/>
  <c r="AN50" i="68"/>
  <c r="AK50" i="68"/>
  <c r="AH50" i="68"/>
  <c r="AD50" i="68"/>
  <c r="AE50" i="68" s="1"/>
  <c r="AC50" i="68"/>
  <c r="Z50" i="68"/>
  <c r="W50" i="68"/>
  <c r="T50" i="68"/>
  <c r="Q50" i="68"/>
  <c r="N50" i="68"/>
  <c r="AX49" i="68"/>
  <c r="AW49" i="68"/>
  <c r="AT49" i="68"/>
  <c r="AQ49" i="68"/>
  <c r="AN49" i="68"/>
  <c r="AK49" i="68"/>
  <c r="AH49" i="68"/>
  <c r="AD49" i="68"/>
  <c r="AE49" i="68" s="1"/>
  <c r="AC49" i="68"/>
  <c r="Z49" i="68"/>
  <c r="W49" i="68"/>
  <c r="T49" i="68"/>
  <c r="Q49" i="68"/>
  <c r="N49" i="68"/>
  <c r="AX48" i="68"/>
  <c r="AY48" i="68" s="1"/>
  <c r="AW48" i="68"/>
  <c r="AT48" i="68"/>
  <c r="AQ48" i="68"/>
  <c r="AN48" i="68"/>
  <c r="AK48" i="68"/>
  <c r="AH48" i="68"/>
  <c r="AD48" i="68"/>
  <c r="AE48" i="68" s="1"/>
  <c r="AC48" i="68"/>
  <c r="Z48" i="68"/>
  <c r="W48" i="68"/>
  <c r="T48" i="68"/>
  <c r="Q48" i="68"/>
  <c r="N48" i="68"/>
  <c r="AX47" i="68"/>
  <c r="AY47" i="68" s="1"/>
  <c r="AW47" i="68"/>
  <c r="AT47" i="68"/>
  <c r="AQ47" i="68"/>
  <c r="AN47" i="68"/>
  <c r="AK47" i="68"/>
  <c r="AH47" i="68"/>
  <c r="AD47" i="68"/>
  <c r="AE47" i="68" s="1"/>
  <c r="AC47" i="68"/>
  <c r="Z47" i="68"/>
  <c r="W47" i="68"/>
  <c r="T47" i="68"/>
  <c r="Q47" i="68"/>
  <c r="N47" i="68"/>
  <c r="AX45" i="68"/>
  <c r="AY45" i="68" s="1"/>
  <c r="AW45" i="68"/>
  <c r="AT45" i="68"/>
  <c r="AQ45" i="68"/>
  <c r="AN45" i="68"/>
  <c r="AK45" i="68"/>
  <c r="AH45" i="68"/>
  <c r="AE45" i="68"/>
  <c r="AC45" i="68"/>
  <c r="Z45" i="68"/>
  <c r="W45" i="68"/>
  <c r="T45" i="68"/>
  <c r="Q45" i="68"/>
  <c r="N45" i="68"/>
  <c r="AX44" i="68"/>
  <c r="AY44" i="68" s="1"/>
  <c r="AW44" i="68"/>
  <c r="AT44" i="68"/>
  <c r="AQ44" i="68"/>
  <c r="AN44" i="68"/>
  <c r="AK44" i="68"/>
  <c r="AH44" i="68"/>
  <c r="AD44" i="68"/>
  <c r="AC44" i="68"/>
  <c r="Z44" i="68"/>
  <c r="W44" i="68"/>
  <c r="T44" i="68"/>
  <c r="Q44" i="68"/>
  <c r="N44" i="68"/>
  <c r="AX43" i="68"/>
  <c r="AY43" i="68" s="1"/>
  <c r="AW43" i="68"/>
  <c r="AT43" i="68"/>
  <c r="AQ43" i="68"/>
  <c r="AN43" i="68"/>
  <c r="AK43" i="68"/>
  <c r="AH43" i="68"/>
  <c r="Z43" i="68"/>
  <c r="W43" i="68"/>
  <c r="T43" i="68"/>
  <c r="Q43" i="68"/>
  <c r="N43" i="68"/>
  <c r="AX42" i="68"/>
  <c r="AY42" i="68" s="1"/>
  <c r="AW42" i="68"/>
  <c r="AT42" i="68"/>
  <c r="AQ42" i="68"/>
  <c r="AN42" i="68"/>
  <c r="AK42" i="68"/>
  <c r="AH42" i="68"/>
  <c r="AD42" i="68"/>
  <c r="AC42" i="68"/>
  <c r="Z42" i="68"/>
  <c r="W42" i="68"/>
  <c r="T42" i="68"/>
  <c r="AW41" i="68"/>
  <c r="AT41" i="68"/>
  <c r="AQ41" i="68"/>
  <c r="AN41" i="68"/>
  <c r="AK41" i="68"/>
  <c r="AH41" i="68"/>
  <c r="Z41" i="68"/>
  <c r="W41" i="68"/>
  <c r="T41" i="68"/>
  <c r="AX40" i="68"/>
  <c r="AY40" i="68" s="1"/>
  <c r="AW40" i="68"/>
  <c r="AT40" i="68"/>
  <c r="AQ40" i="68"/>
  <c r="AN40" i="68"/>
  <c r="AK40" i="68"/>
  <c r="AH40" i="68"/>
  <c r="AD40" i="68"/>
  <c r="AE40" i="68" s="1"/>
  <c r="AC40" i="68"/>
  <c r="Z40" i="68"/>
  <c r="W40" i="68"/>
  <c r="T40" i="68"/>
  <c r="Q40" i="68"/>
  <c r="N40" i="68"/>
  <c r="AX39" i="68"/>
  <c r="AY39" i="68" s="1"/>
  <c r="AW39" i="68"/>
  <c r="AT39" i="68"/>
  <c r="AQ39" i="68"/>
  <c r="AN39" i="68"/>
  <c r="AK39" i="68"/>
  <c r="AH39" i="68"/>
  <c r="AD39" i="68"/>
  <c r="AE39" i="68" s="1"/>
  <c r="AC39" i="68"/>
  <c r="W39" i="68"/>
  <c r="T39" i="68"/>
  <c r="Q39" i="68"/>
  <c r="N39" i="68"/>
  <c r="G39" i="68"/>
  <c r="AY38" i="68"/>
  <c r="AW38" i="68"/>
  <c r="AT38" i="68"/>
  <c r="AQ38" i="68"/>
  <c r="AN38" i="68"/>
  <c r="AK38" i="68"/>
  <c r="AH38" i="68"/>
  <c r="AE38" i="68"/>
  <c r="AC38" i="68"/>
  <c r="Z38" i="68"/>
  <c r="W38" i="68"/>
  <c r="T38" i="68"/>
  <c r="Q38" i="68"/>
  <c r="N38" i="68"/>
  <c r="AY37" i="68"/>
  <c r="AW37" i="68"/>
  <c r="AT37" i="68"/>
  <c r="AH37" i="68"/>
  <c r="AE37" i="68"/>
  <c r="AC37" i="68"/>
  <c r="Z37" i="68"/>
  <c r="W37" i="68"/>
  <c r="T37" i="68"/>
  <c r="Q37" i="68"/>
  <c r="N37" i="68"/>
  <c r="AY36" i="68"/>
  <c r="AW36" i="68"/>
  <c r="AT36" i="68"/>
  <c r="AQ36" i="68"/>
  <c r="AN36" i="68"/>
  <c r="AH36" i="68"/>
  <c r="AE36" i="68"/>
  <c r="AC36" i="68"/>
  <c r="Z36" i="68"/>
  <c r="W36" i="68"/>
  <c r="T36" i="68"/>
  <c r="Q36" i="68"/>
  <c r="N36" i="68"/>
  <c r="AY35" i="68"/>
  <c r="AW35" i="68"/>
  <c r="AT35" i="68"/>
  <c r="AQ35" i="68"/>
  <c r="AN35" i="68"/>
  <c r="AK35" i="68"/>
  <c r="AH35" i="68"/>
  <c r="AD35" i="68"/>
  <c r="AE35" i="68" s="1"/>
  <c r="AC35" i="68"/>
  <c r="Z35" i="68"/>
  <c r="W35" i="68"/>
  <c r="T35" i="68"/>
  <c r="Q35" i="68"/>
  <c r="N35" i="68"/>
  <c r="AY34" i="68"/>
  <c r="AW34" i="68"/>
  <c r="AT34" i="68"/>
  <c r="AQ34" i="68"/>
  <c r="AN34" i="68"/>
  <c r="AK34" i="68"/>
  <c r="AH34" i="68"/>
  <c r="AD34" i="68"/>
  <c r="AE34" i="68" s="1"/>
  <c r="Z34" i="68"/>
  <c r="W34" i="68"/>
  <c r="T34" i="68"/>
  <c r="Q34" i="68"/>
  <c r="N34" i="68"/>
  <c r="AW33" i="68"/>
  <c r="AT33" i="68"/>
  <c r="AQ33" i="68"/>
  <c r="AN33" i="68"/>
  <c r="AK33" i="68"/>
  <c r="AH33" i="68"/>
  <c r="AE33" i="68"/>
  <c r="AC33" i="68"/>
  <c r="Z33" i="68"/>
  <c r="W33" i="68"/>
  <c r="T33" i="68"/>
  <c r="Q33" i="68"/>
  <c r="N33" i="68"/>
  <c r="AW32" i="68"/>
  <c r="AT32" i="68"/>
  <c r="AQ32" i="68"/>
  <c r="AN32" i="68"/>
  <c r="AK32" i="68"/>
  <c r="AH32" i="68"/>
  <c r="AE32" i="68"/>
  <c r="AD32" i="68"/>
  <c r="AX32" i="68" s="1"/>
  <c r="AY32" i="68" s="1"/>
  <c r="AC32" i="68"/>
  <c r="Z32" i="68"/>
  <c r="W32" i="68"/>
  <c r="T32" i="68"/>
  <c r="Q32" i="68"/>
  <c r="N32" i="68"/>
  <c r="AY31" i="68"/>
  <c r="AX31" i="68"/>
  <c r="AW31" i="68"/>
  <c r="AT31" i="68"/>
  <c r="AQ31" i="68"/>
  <c r="AN31" i="68"/>
  <c r="AK31" i="68"/>
  <c r="AH31" i="68"/>
  <c r="AE31" i="68"/>
  <c r="AD31" i="68"/>
  <c r="AC31" i="68"/>
  <c r="Z31" i="68"/>
  <c r="W31" i="68"/>
  <c r="T31" i="68"/>
  <c r="Q31" i="68"/>
  <c r="N31" i="68"/>
  <c r="AY30" i="68"/>
  <c r="AX30" i="68"/>
  <c r="AW30" i="68"/>
  <c r="AT30" i="68"/>
  <c r="AQ30" i="68"/>
  <c r="AN30" i="68"/>
  <c r="AK30" i="68"/>
  <c r="AH30" i="68"/>
  <c r="AE30" i="68"/>
  <c r="AD30" i="68"/>
  <c r="AC30" i="68"/>
  <c r="Z30" i="68"/>
  <c r="W30" i="68"/>
  <c r="T30" i="68"/>
  <c r="Q30" i="68"/>
  <c r="N30" i="68"/>
  <c r="AY29" i="68"/>
  <c r="AX29" i="68"/>
  <c r="AW29" i="68"/>
  <c r="AT29" i="68"/>
  <c r="AQ29" i="68"/>
  <c r="AN29" i="68"/>
  <c r="AK29" i="68"/>
  <c r="AH29" i="68"/>
  <c r="AE29" i="68"/>
  <c r="AD29" i="68"/>
  <c r="AC29" i="68"/>
  <c r="Z29" i="68"/>
  <c r="W29" i="68"/>
  <c r="T29" i="68"/>
  <c r="Q29" i="68"/>
  <c r="N29" i="68"/>
  <c r="AY28" i="68"/>
  <c r="AX28" i="68"/>
  <c r="AW28" i="68"/>
  <c r="AT28" i="68"/>
  <c r="AQ28" i="68"/>
  <c r="AN28" i="68"/>
  <c r="AK28" i="68"/>
  <c r="AH28" i="68"/>
  <c r="AE28" i="68"/>
  <c r="AD28" i="68"/>
  <c r="AC28" i="68"/>
  <c r="Z28" i="68"/>
  <c r="W28" i="68"/>
  <c r="T28" i="68"/>
  <c r="Q28" i="68"/>
  <c r="N28" i="68"/>
  <c r="AY27" i="68"/>
  <c r="AX27" i="68"/>
  <c r="AW27" i="68"/>
  <c r="AT27" i="68"/>
  <c r="AQ27" i="68"/>
  <c r="AN27" i="68"/>
  <c r="AK27" i="68"/>
  <c r="AH27" i="68"/>
  <c r="AE27" i="68"/>
  <c r="AD27" i="68"/>
  <c r="AC27" i="68"/>
  <c r="Z27" i="68"/>
  <c r="W27" i="68"/>
  <c r="T27" i="68"/>
  <c r="Q27" i="68"/>
  <c r="N27" i="68"/>
  <c r="AY26" i="68"/>
  <c r="AX26" i="68"/>
  <c r="AW26" i="68"/>
  <c r="AT26" i="68"/>
  <c r="AQ26" i="68"/>
  <c r="AN26" i="68"/>
  <c r="AK26" i="68"/>
  <c r="AH26" i="68"/>
  <c r="AE26" i="68"/>
  <c r="AD26" i="68"/>
  <c r="AC26" i="68"/>
  <c r="Z26" i="68"/>
  <c r="W26" i="68"/>
  <c r="T26" i="68"/>
  <c r="Q26" i="68"/>
  <c r="N26" i="68"/>
  <c r="AY25" i="68"/>
  <c r="AX25" i="68"/>
  <c r="AW25" i="68"/>
  <c r="AT25" i="68"/>
  <c r="AQ25" i="68"/>
  <c r="AN25" i="68"/>
  <c r="AK25" i="68"/>
  <c r="AH25" i="68"/>
  <c r="AE25" i="68"/>
  <c r="AD25" i="68"/>
  <c r="AC25" i="68"/>
  <c r="Z25" i="68"/>
  <c r="W25" i="68"/>
  <c r="T25" i="68"/>
  <c r="Q25" i="68"/>
  <c r="N25" i="68"/>
  <c r="AX24" i="68"/>
  <c r="AW24" i="68"/>
  <c r="AT24" i="68"/>
  <c r="AQ24" i="68"/>
  <c r="AN24" i="68"/>
  <c r="AK24" i="68"/>
  <c r="AH24" i="68"/>
  <c r="AD24" i="68"/>
  <c r="AE24" i="68" s="1"/>
  <c r="AC24" i="68"/>
  <c r="Z24" i="68"/>
  <c r="W24" i="68"/>
  <c r="T24" i="68"/>
  <c r="Q24" i="68"/>
  <c r="N24" i="68"/>
  <c r="AX23" i="68"/>
  <c r="AY23" i="68" s="1"/>
  <c r="AW23" i="68"/>
  <c r="AT23" i="68"/>
  <c r="AQ23" i="68"/>
  <c r="AN23" i="68"/>
  <c r="AK23" i="68"/>
  <c r="AH23" i="68"/>
  <c r="AD23" i="68"/>
  <c r="AE23" i="68" s="1"/>
  <c r="AC23" i="68"/>
  <c r="Z23" i="68"/>
  <c r="W23" i="68"/>
  <c r="T23" i="68"/>
  <c r="Q23" i="68"/>
  <c r="N23" i="68"/>
  <c r="AY22" i="68"/>
  <c r="AW22" i="68"/>
  <c r="AT22" i="68"/>
  <c r="AQ22" i="68"/>
  <c r="AN22" i="68"/>
  <c r="AK22" i="68"/>
  <c r="AH22" i="68"/>
  <c r="AD22" i="68"/>
  <c r="AE22" i="68" s="1"/>
  <c r="AC22" i="68"/>
  <c r="Z22" i="68"/>
  <c r="W22" i="68"/>
  <c r="T22" i="68"/>
  <c r="Q22" i="68"/>
  <c r="N22" i="68"/>
  <c r="AX21" i="68"/>
  <c r="AY21" i="68" s="1"/>
  <c r="AW21" i="68"/>
  <c r="AT21" i="68"/>
  <c r="AQ21" i="68"/>
  <c r="AN21" i="68"/>
  <c r="AK21" i="68"/>
  <c r="AH21" i="68"/>
  <c r="AD21" i="68"/>
  <c r="AE21" i="68" s="1"/>
  <c r="AC21" i="68"/>
  <c r="Z21" i="68"/>
  <c r="W21" i="68"/>
  <c r="T21" i="68"/>
  <c r="Q21" i="68"/>
  <c r="N21" i="68"/>
  <c r="AX20" i="68"/>
  <c r="AY20" i="68" s="1"/>
  <c r="AW20" i="68"/>
  <c r="AT20" i="68"/>
  <c r="AQ20" i="68"/>
  <c r="AN20" i="68"/>
  <c r="AK20" i="68"/>
  <c r="AH20" i="68"/>
  <c r="AD20" i="68"/>
  <c r="AE20" i="68" s="1"/>
  <c r="AC20" i="68"/>
  <c r="Z20" i="68"/>
  <c r="W20" i="68"/>
  <c r="T20" i="68"/>
  <c r="Q20" i="68"/>
  <c r="N20" i="68"/>
  <c r="AX19" i="68"/>
  <c r="AY19" i="68" s="1"/>
  <c r="AW19" i="68"/>
  <c r="AT19" i="68"/>
  <c r="AQ19" i="68"/>
  <c r="AN19" i="68"/>
  <c r="AK19" i="68"/>
  <c r="AH19" i="68"/>
  <c r="AD19" i="68"/>
  <c r="AE19" i="68" s="1"/>
  <c r="AC19" i="68"/>
  <c r="Z19" i="68"/>
  <c r="W19" i="68"/>
  <c r="T19" i="68"/>
  <c r="Q19" i="68"/>
  <c r="N19" i="68"/>
  <c r="AX18" i="68"/>
  <c r="AY18" i="68" s="1"/>
  <c r="AW18" i="68"/>
  <c r="AT18" i="68"/>
  <c r="AQ18" i="68"/>
  <c r="AN18" i="68"/>
  <c r="AK18" i="68"/>
  <c r="AH18" i="68"/>
  <c r="AD18" i="68"/>
  <c r="AE18" i="68" s="1"/>
  <c r="AC18" i="68"/>
  <c r="Z18" i="68"/>
  <c r="W18" i="68"/>
  <c r="T18" i="68"/>
  <c r="Q18" i="68"/>
  <c r="N18" i="68"/>
  <c r="AX17" i="68"/>
  <c r="AY17" i="68" s="1"/>
  <c r="AW17" i="68"/>
  <c r="AT17" i="68"/>
  <c r="AQ17" i="68"/>
  <c r="AN17" i="68"/>
  <c r="AK17" i="68"/>
  <c r="AH17" i="68"/>
  <c r="AD17" i="68"/>
  <c r="AE17" i="68" s="1"/>
  <c r="AC17" i="68"/>
  <c r="Z17" i="68"/>
  <c r="W17" i="68"/>
  <c r="T17" i="68"/>
  <c r="Q17" i="68"/>
  <c r="N17" i="68"/>
  <c r="AX16" i="68"/>
  <c r="AY16" i="68" s="1"/>
  <c r="AW16" i="68"/>
  <c r="AT16" i="68"/>
  <c r="AQ16" i="68"/>
  <c r="AN16" i="68"/>
  <c r="AK16" i="68"/>
  <c r="AH16" i="68"/>
  <c r="AD16" i="68"/>
  <c r="AE16" i="68" s="1"/>
  <c r="AC16" i="68"/>
  <c r="Z16" i="68"/>
  <c r="W16" i="68"/>
  <c r="T16" i="68"/>
  <c r="Q16" i="68"/>
  <c r="N16" i="68"/>
  <c r="AX15" i="68"/>
  <c r="AY15" i="68" s="1"/>
  <c r="AW15" i="68"/>
  <c r="AT15" i="68"/>
  <c r="AQ15" i="68"/>
  <c r="AN15" i="68"/>
  <c r="AK15" i="68"/>
  <c r="AH15" i="68"/>
  <c r="AD15" i="68"/>
  <c r="AE15" i="68" s="1"/>
  <c r="AC15" i="68"/>
  <c r="Z15" i="68"/>
  <c r="W15" i="68"/>
  <c r="T15" i="68"/>
  <c r="Q15" i="68"/>
  <c r="N15" i="68"/>
  <c r="AX14" i="68"/>
  <c r="AY14" i="68" s="1"/>
  <c r="AW14" i="68"/>
  <c r="AT14" i="68"/>
  <c r="AQ14" i="68"/>
  <c r="AN14" i="68"/>
  <c r="AK14" i="68"/>
  <c r="AH14" i="68"/>
  <c r="AD14" i="68"/>
  <c r="AE14" i="68" s="1"/>
  <c r="AC14" i="68"/>
  <c r="Z14" i="68"/>
  <c r="W14" i="68"/>
  <c r="T14" i="68"/>
  <c r="Q14" i="68"/>
  <c r="N14" i="68"/>
  <c r="AX13" i="68"/>
  <c r="AY13" i="68" s="1"/>
  <c r="AW13" i="68"/>
  <c r="AT13" i="68"/>
  <c r="AQ13" i="68"/>
  <c r="AN13" i="68"/>
  <c r="AK13" i="68"/>
  <c r="AH13" i="68"/>
  <c r="AD13" i="68"/>
  <c r="AE13" i="68" s="1"/>
  <c r="AC13" i="68"/>
  <c r="Z13" i="68"/>
  <c r="W13" i="68"/>
  <c r="T13" i="68"/>
  <c r="Q13" i="68"/>
  <c r="N13" i="68"/>
  <c r="AX12" i="68"/>
  <c r="AY12" i="68" s="1"/>
  <c r="AW12" i="68"/>
  <c r="AT12" i="68"/>
  <c r="AQ12" i="68"/>
  <c r="AN12" i="68"/>
  <c r="AK12" i="68"/>
  <c r="AH12" i="68"/>
  <c r="AD12" i="68"/>
  <c r="AE12" i="68" s="1"/>
  <c r="AC12" i="68"/>
  <c r="Z12" i="68"/>
  <c r="W12" i="68"/>
  <c r="T12" i="68"/>
  <c r="Q12" i="68"/>
  <c r="N12" i="68"/>
  <c r="AX11" i="68"/>
  <c r="AY11" i="68" s="1"/>
  <c r="AW11" i="68"/>
  <c r="AT11" i="68"/>
  <c r="AQ11" i="68"/>
  <c r="AN11" i="68"/>
  <c r="AK11" i="68"/>
  <c r="AH11" i="68"/>
  <c r="AD11" i="68"/>
  <c r="AE11" i="68" s="1"/>
  <c r="AC11" i="68"/>
  <c r="Z11" i="68"/>
  <c r="W11" i="68"/>
  <c r="T11" i="68"/>
  <c r="Q11" i="68"/>
  <c r="N11" i="68"/>
  <c r="AX10" i="68"/>
  <c r="AY10" i="68" s="1"/>
  <c r="AW10" i="68"/>
  <c r="AT10" i="68"/>
  <c r="AQ10" i="68"/>
  <c r="AN10" i="68"/>
  <c r="AK10" i="68"/>
  <c r="AH10" i="68"/>
  <c r="AD10" i="68"/>
  <c r="AE10" i="68" s="1"/>
  <c r="AC10" i="68"/>
  <c r="Z10" i="68"/>
  <c r="W10" i="68"/>
  <c r="T10" i="68"/>
  <c r="Q10" i="68"/>
  <c r="N10" i="68"/>
  <c r="AX9" i="68"/>
  <c r="AW9" i="68"/>
  <c r="AT9" i="68"/>
  <c r="AQ9" i="68"/>
  <c r="AN9" i="68"/>
  <c r="AK9" i="68"/>
  <c r="AH9" i="68"/>
  <c r="AD9" i="68"/>
  <c r="AC9" i="68"/>
  <c r="Z9" i="68"/>
  <c r="W9" i="68"/>
  <c r="T9" i="68"/>
  <c r="Q9" i="68"/>
  <c r="N9" i="68"/>
  <c r="G9" i="68"/>
  <c r="AE9" i="68" l="1"/>
  <c r="AY9" i="68"/>
  <c r="AZ5" i="68" s="1"/>
  <c r="C24" i="10" s="1"/>
  <c r="AX33" i="66"/>
  <c r="AY33" i="66" s="1"/>
  <c r="AW33" i="66"/>
  <c r="AT33" i="66"/>
  <c r="AQ33" i="66"/>
  <c r="AN33" i="66"/>
  <c r="AK33" i="66"/>
  <c r="AH33" i="66"/>
  <c r="AD33" i="66"/>
  <c r="AE33" i="66" s="1"/>
  <c r="AC33" i="66"/>
  <c r="Z33" i="66"/>
  <c r="W33" i="66"/>
  <c r="T33" i="66"/>
  <c r="Q33" i="66"/>
  <c r="N33" i="66"/>
  <c r="AX31" i="66"/>
  <c r="AY31" i="66" s="1"/>
  <c r="AW31" i="66"/>
  <c r="AT31" i="66"/>
  <c r="AQ31" i="66"/>
  <c r="AN31" i="66"/>
  <c r="AK31" i="66"/>
  <c r="AH31" i="66"/>
  <c r="AD31" i="66"/>
  <c r="AE31" i="66" s="1"/>
  <c r="AC31" i="66"/>
  <c r="Z31" i="66"/>
  <c r="W31" i="66"/>
  <c r="T31" i="66"/>
  <c r="Q31" i="66"/>
  <c r="N31" i="66"/>
  <c r="AX30" i="66"/>
  <c r="AW30" i="66"/>
  <c r="AT30" i="66"/>
  <c r="AQ30" i="66"/>
  <c r="AN30" i="66"/>
  <c r="AK30" i="66"/>
  <c r="AH30" i="66"/>
  <c r="AD30" i="66"/>
  <c r="AE30" i="66" s="1"/>
  <c r="AC30" i="66"/>
  <c r="Z30" i="66"/>
  <c r="W30" i="66"/>
  <c r="T30" i="66"/>
  <c r="Q30" i="66"/>
  <c r="N30" i="66"/>
  <c r="AX29" i="66"/>
  <c r="AY29" i="66" s="1"/>
  <c r="AW29" i="66"/>
  <c r="AT29" i="66"/>
  <c r="AQ29" i="66"/>
  <c r="AN29" i="66"/>
  <c r="AK29" i="66"/>
  <c r="AH29" i="66"/>
  <c r="AD29" i="66"/>
  <c r="AE29" i="66" s="1"/>
  <c r="AC29" i="66"/>
  <c r="Z29" i="66"/>
  <c r="W29" i="66"/>
  <c r="T29" i="66"/>
  <c r="Q29" i="66"/>
  <c r="N29" i="66"/>
  <c r="AX27" i="66"/>
  <c r="AW27" i="66"/>
  <c r="AT27" i="66"/>
  <c r="AQ27" i="66"/>
  <c r="AN27" i="66"/>
  <c r="AK27" i="66"/>
  <c r="AH27" i="66"/>
  <c r="AD27" i="66"/>
  <c r="AC27" i="66"/>
  <c r="Z27" i="66"/>
  <c r="W27" i="66"/>
  <c r="T27" i="66"/>
  <c r="Q27" i="66"/>
  <c r="N27" i="66"/>
  <c r="G27" i="66"/>
  <c r="AX26" i="66"/>
  <c r="AY26" i="66" s="1"/>
  <c r="AW26" i="66"/>
  <c r="AT26" i="66"/>
  <c r="AQ26" i="66"/>
  <c r="AN26" i="66"/>
  <c r="AK26" i="66"/>
  <c r="AH26" i="66"/>
  <c r="AD26" i="66"/>
  <c r="AE26" i="66" s="1"/>
  <c r="AC26" i="66"/>
  <c r="Z26" i="66"/>
  <c r="W26" i="66"/>
  <c r="T26" i="66"/>
  <c r="Q26" i="66"/>
  <c r="N26" i="66"/>
  <c r="AX25" i="66"/>
  <c r="AY25" i="66" s="1"/>
  <c r="AW25" i="66"/>
  <c r="AT25" i="66"/>
  <c r="AQ25" i="66"/>
  <c r="AN25" i="66"/>
  <c r="AK25" i="66"/>
  <c r="AH25" i="66"/>
  <c r="AD25" i="66"/>
  <c r="AE25" i="66" s="1"/>
  <c r="AC25" i="66"/>
  <c r="Z25" i="66"/>
  <c r="W25" i="66"/>
  <c r="T25" i="66"/>
  <c r="Q25" i="66"/>
  <c r="N25" i="66"/>
  <c r="AX24" i="66"/>
  <c r="AY24" i="66" s="1"/>
  <c r="AW24" i="66"/>
  <c r="AT24" i="66"/>
  <c r="AQ24" i="66"/>
  <c r="AN24" i="66"/>
  <c r="AK24" i="66"/>
  <c r="AH24" i="66"/>
  <c r="AD24" i="66"/>
  <c r="AE24" i="66" s="1"/>
  <c r="AC24" i="66"/>
  <c r="Z24" i="66"/>
  <c r="W24" i="66"/>
  <c r="T24" i="66"/>
  <c r="Q24" i="66"/>
  <c r="N24" i="66"/>
  <c r="AX23" i="66"/>
  <c r="AY23" i="66" s="1"/>
  <c r="AW23" i="66"/>
  <c r="AT23" i="66"/>
  <c r="AQ23" i="66"/>
  <c r="AN23" i="66"/>
  <c r="AK23" i="66"/>
  <c r="AH23" i="66"/>
  <c r="AD23" i="66"/>
  <c r="AE23" i="66" s="1"/>
  <c r="AC23" i="66"/>
  <c r="Z23" i="66"/>
  <c r="W23" i="66"/>
  <c r="T23" i="66"/>
  <c r="Q23" i="66"/>
  <c r="N23" i="66"/>
  <c r="AX22" i="66"/>
  <c r="AY22" i="66" s="1"/>
  <c r="AW22" i="66"/>
  <c r="AT22" i="66"/>
  <c r="AQ22" i="66"/>
  <c r="AN22" i="66"/>
  <c r="AK22" i="66"/>
  <c r="AH22" i="66"/>
  <c r="AD22" i="66"/>
  <c r="AE22" i="66" s="1"/>
  <c r="AC22" i="66"/>
  <c r="Z22" i="66"/>
  <c r="W22" i="66"/>
  <c r="T22" i="66"/>
  <c r="Q22" i="66"/>
  <c r="N22" i="66"/>
  <c r="AX21" i="66"/>
  <c r="AY21" i="66" s="1"/>
  <c r="AW21" i="66"/>
  <c r="AT21" i="66"/>
  <c r="AQ21" i="66"/>
  <c r="AN21" i="66"/>
  <c r="AK21" i="66"/>
  <c r="AH21" i="66"/>
  <c r="AD21" i="66"/>
  <c r="AE21" i="66" s="1"/>
  <c r="AC21" i="66"/>
  <c r="Z21" i="66"/>
  <c r="W21" i="66"/>
  <c r="T21" i="66"/>
  <c r="Q21" i="66"/>
  <c r="N21" i="66"/>
  <c r="AX20" i="66"/>
  <c r="AY20" i="66" s="1"/>
  <c r="AW20" i="66"/>
  <c r="AT20" i="66"/>
  <c r="AQ20" i="66"/>
  <c r="AN20" i="66"/>
  <c r="AK20" i="66"/>
  <c r="AH20" i="66"/>
  <c r="AD20" i="66"/>
  <c r="AE20" i="66" s="1"/>
  <c r="AC20" i="66"/>
  <c r="Z20" i="66"/>
  <c r="W20" i="66"/>
  <c r="T20" i="66"/>
  <c r="Q20" i="66"/>
  <c r="N20" i="66"/>
  <c r="AX19" i="66"/>
  <c r="AY19" i="66" s="1"/>
  <c r="AW19" i="66"/>
  <c r="AT19" i="66"/>
  <c r="AQ19" i="66"/>
  <c r="AN19" i="66"/>
  <c r="AK19" i="66"/>
  <c r="AH19" i="66"/>
  <c r="AD19" i="66"/>
  <c r="AE19" i="66" s="1"/>
  <c r="AC19" i="66"/>
  <c r="Z19" i="66"/>
  <c r="W19" i="66"/>
  <c r="T19" i="66"/>
  <c r="Q19" i="66"/>
  <c r="N19" i="66"/>
  <c r="AX18" i="66"/>
  <c r="AY18" i="66" s="1"/>
  <c r="AW18" i="66"/>
  <c r="AT18" i="66"/>
  <c r="AQ18" i="66"/>
  <c r="AN18" i="66"/>
  <c r="AK18" i="66"/>
  <c r="AH18" i="66"/>
  <c r="AD18" i="66"/>
  <c r="AE18" i="66" s="1"/>
  <c r="AC18" i="66"/>
  <c r="Z18" i="66"/>
  <c r="W18" i="66"/>
  <c r="T18" i="66"/>
  <c r="Q18" i="66"/>
  <c r="N18" i="66"/>
  <c r="AX17" i="66"/>
  <c r="AY17" i="66" s="1"/>
  <c r="AW17" i="66"/>
  <c r="AT17" i="66"/>
  <c r="AQ17" i="66"/>
  <c r="AN17" i="66"/>
  <c r="AK17" i="66"/>
  <c r="AH17" i="66"/>
  <c r="AD17" i="66"/>
  <c r="AE17" i="66" s="1"/>
  <c r="AC17" i="66"/>
  <c r="Z17" i="66"/>
  <c r="W17" i="66"/>
  <c r="T17" i="66"/>
  <c r="Q17" i="66"/>
  <c r="N17" i="66"/>
  <c r="AX16" i="66"/>
  <c r="AY16" i="66" s="1"/>
  <c r="AW16" i="66"/>
  <c r="AT16" i="66"/>
  <c r="AQ16" i="66"/>
  <c r="AN16" i="66"/>
  <c r="AK16" i="66"/>
  <c r="AH16" i="66"/>
  <c r="AD16" i="66"/>
  <c r="AE16" i="66" s="1"/>
  <c r="AC16" i="66"/>
  <c r="Z16" i="66"/>
  <c r="W16" i="66"/>
  <c r="T16" i="66"/>
  <c r="Q16" i="66"/>
  <c r="N16" i="66"/>
  <c r="AX15" i="66"/>
  <c r="AY15" i="66" s="1"/>
  <c r="AW15" i="66"/>
  <c r="AT15" i="66"/>
  <c r="AQ15" i="66"/>
  <c r="AN15" i="66"/>
  <c r="AK15" i="66"/>
  <c r="AH15" i="66"/>
  <c r="AD15" i="66"/>
  <c r="AE15" i="66" s="1"/>
  <c r="AC15" i="66"/>
  <c r="Z15" i="66"/>
  <c r="W15" i="66"/>
  <c r="T15" i="66"/>
  <c r="Q15" i="66"/>
  <c r="N15" i="66"/>
  <c r="AX14" i="66"/>
  <c r="AY14" i="66" s="1"/>
  <c r="AW14" i="66"/>
  <c r="AT14" i="66"/>
  <c r="AQ14" i="66"/>
  <c r="AN14" i="66"/>
  <c r="AK14" i="66"/>
  <c r="AH14" i="66"/>
  <c r="AD14" i="66"/>
  <c r="AE14" i="66" s="1"/>
  <c r="AC14" i="66"/>
  <c r="Z14" i="66"/>
  <c r="W14" i="66"/>
  <c r="T14" i="66"/>
  <c r="Q14" i="66"/>
  <c r="N14" i="66"/>
  <c r="AX13" i="66"/>
  <c r="AY13" i="66" s="1"/>
  <c r="AW13" i="66"/>
  <c r="AT13" i="66"/>
  <c r="AQ13" i="66"/>
  <c r="AN13" i="66"/>
  <c r="AK13" i="66"/>
  <c r="AH13" i="66"/>
  <c r="AD13" i="66"/>
  <c r="AE13" i="66" s="1"/>
  <c r="AC13" i="66"/>
  <c r="Z13" i="66"/>
  <c r="W13" i="66"/>
  <c r="T13" i="66"/>
  <c r="Q13" i="66"/>
  <c r="N13" i="66"/>
  <c r="AX12" i="66"/>
  <c r="AY12" i="66" s="1"/>
  <c r="AW12" i="66"/>
  <c r="AT12" i="66"/>
  <c r="AQ12" i="66"/>
  <c r="AN12" i="66"/>
  <c r="AK12" i="66"/>
  <c r="AH12" i="66"/>
  <c r="AD12" i="66"/>
  <c r="AE12" i="66" s="1"/>
  <c r="AC12" i="66"/>
  <c r="Z12" i="66"/>
  <c r="W12" i="66"/>
  <c r="T12" i="66"/>
  <c r="Q12" i="66"/>
  <c r="N12" i="66"/>
  <c r="AX11" i="66"/>
  <c r="AY11" i="66" s="1"/>
  <c r="AW11" i="66"/>
  <c r="AT11" i="66"/>
  <c r="AQ11" i="66"/>
  <c r="AN11" i="66"/>
  <c r="AK11" i="66"/>
  <c r="AH11" i="66"/>
  <c r="AD11" i="66"/>
  <c r="AE11" i="66" s="1"/>
  <c r="AC11" i="66"/>
  <c r="Z11" i="66"/>
  <c r="W11" i="66"/>
  <c r="T11" i="66"/>
  <c r="Q11" i="66"/>
  <c r="N11" i="66"/>
  <c r="AX10" i="66"/>
  <c r="AY10" i="66" s="1"/>
  <c r="AW10" i="66"/>
  <c r="AT10" i="66"/>
  <c r="AQ10" i="66"/>
  <c r="AN10" i="66"/>
  <c r="AK10" i="66"/>
  <c r="AH10" i="66"/>
  <c r="AD10" i="66"/>
  <c r="AE10" i="66" s="1"/>
  <c r="AC10" i="66"/>
  <c r="Z10" i="66"/>
  <c r="W10" i="66"/>
  <c r="T10" i="66"/>
  <c r="Q10" i="66"/>
  <c r="N10" i="66"/>
  <c r="AX9" i="66"/>
  <c r="AY9" i="66" s="1"/>
  <c r="AW9" i="66"/>
  <c r="AT9" i="66"/>
  <c r="AQ9" i="66"/>
  <c r="AN9" i="66"/>
  <c r="AK9" i="66"/>
  <c r="AH9" i="66"/>
  <c r="AD9" i="66"/>
  <c r="AE9" i="66" s="1"/>
  <c r="AC9" i="66"/>
  <c r="Z9" i="66"/>
  <c r="W9" i="66"/>
  <c r="T9" i="66"/>
  <c r="Q9" i="66"/>
  <c r="N9" i="66"/>
  <c r="G9" i="66"/>
  <c r="AE27" i="66" l="1"/>
  <c r="AY27" i="66"/>
  <c r="AY3" i="66" s="1"/>
  <c r="C23" i="10" s="1"/>
  <c r="AX45" i="65" l="1"/>
  <c r="AY45" i="65" s="1"/>
  <c r="AW45" i="65"/>
  <c r="AT45" i="65"/>
  <c r="AQ45" i="65"/>
  <c r="AN45" i="65"/>
  <c r="AK45" i="65"/>
  <c r="AH45" i="65"/>
  <c r="AD45" i="65"/>
  <c r="AE45" i="65" s="1"/>
  <c r="AC45" i="65"/>
  <c r="Z45" i="65"/>
  <c r="W45" i="65"/>
  <c r="T45" i="65"/>
  <c r="Q45" i="65"/>
  <c r="N45" i="65"/>
  <c r="AX43" i="65"/>
  <c r="AY43" i="65" s="1"/>
  <c r="AW43" i="65"/>
  <c r="AT43" i="65"/>
  <c r="AQ43" i="65"/>
  <c r="AN43" i="65"/>
  <c r="AK43" i="65"/>
  <c r="AH43" i="65"/>
  <c r="AD43" i="65"/>
  <c r="AE43" i="65" s="1"/>
  <c r="AC43" i="65"/>
  <c r="Z43" i="65"/>
  <c r="W43" i="65"/>
  <c r="T43" i="65"/>
  <c r="Q43" i="65"/>
  <c r="N43" i="65"/>
  <c r="AX42" i="65"/>
  <c r="AY42" i="65" s="1"/>
  <c r="AW42" i="65"/>
  <c r="AT42" i="65"/>
  <c r="AQ42" i="65"/>
  <c r="AN42" i="65"/>
  <c r="AK42" i="65"/>
  <c r="AH42" i="65"/>
  <c r="AD42" i="65"/>
  <c r="AE42" i="65" s="1"/>
  <c r="AC42" i="65"/>
  <c r="Z42" i="65"/>
  <c r="W42" i="65"/>
  <c r="T42" i="65"/>
  <c r="Q42" i="65"/>
  <c r="N42" i="65"/>
  <c r="AX41" i="65"/>
  <c r="AY41" i="65" s="1"/>
  <c r="AW41" i="65"/>
  <c r="AT41" i="65"/>
  <c r="AX39" i="65"/>
  <c r="AW39" i="65"/>
  <c r="AT39" i="65"/>
  <c r="AQ39" i="65"/>
  <c r="AN39" i="65"/>
  <c r="AK39" i="65"/>
  <c r="AH39" i="65"/>
  <c r="AD39" i="65"/>
  <c r="AE39" i="65" s="1"/>
  <c r="AC39" i="65"/>
  <c r="Z39" i="65"/>
  <c r="W39" i="65"/>
  <c r="T39" i="65"/>
  <c r="Q39" i="65"/>
  <c r="N39" i="65"/>
  <c r="AX38" i="65"/>
  <c r="AW38" i="65"/>
  <c r="AT38" i="65"/>
  <c r="AQ38" i="65"/>
  <c r="AN38" i="65"/>
  <c r="AK38" i="65"/>
  <c r="AH38" i="65"/>
  <c r="AD38" i="65"/>
  <c r="AE38" i="65" s="1"/>
  <c r="AC38" i="65"/>
  <c r="Z38" i="65"/>
  <c r="W38" i="65"/>
  <c r="T38" i="65"/>
  <c r="Q38" i="65"/>
  <c r="N38" i="65"/>
  <c r="AX37" i="65"/>
  <c r="AY37" i="65" s="1"/>
  <c r="AW37" i="65"/>
  <c r="AT37" i="65"/>
  <c r="AQ37" i="65"/>
  <c r="AN37" i="65"/>
  <c r="AK37" i="65"/>
  <c r="AH37" i="65"/>
  <c r="AD37" i="65"/>
  <c r="AE37" i="65" s="1"/>
  <c r="AC37" i="65"/>
  <c r="Z37" i="65"/>
  <c r="W37" i="65"/>
  <c r="T37" i="65"/>
  <c r="Q37" i="65"/>
  <c r="N37" i="65"/>
  <c r="AX36" i="65"/>
  <c r="AW36" i="65"/>
  <c r="AT36" i="65"/>
  <c r="AQ36" i="65"/>
  <c r="AN36" i="65"/>
  <c r="AK36" i="65"/>
  <c r="AH36" i="65"/>
  <c r="AD36" i="65"/>
  <c r="AC36" i="65"/>
  <c r="Z36" i="65"/>
  <c r="W36" i="65"/>
  <c r="T36" i="65"/>
  <c r="Q36" i="65"/>
  <c r="N36" i="65"/>
  <c r="G36" i="65"/>
  <c r="AY35" i="65"/>
  <c r="AX35" i="65"/>
  <c r="AW35" i="65"/>
  <c r="AT35" i="65"/>
  <c r="AQ35" i="65"/>
  <c r="AN35" i="65"/>
  <c r="AK35" i="65"/>
  <c r="AH35" i="65"/>
  <c r="AE35" i="65"/>
  <c r="AD35" i="65"/>
  <c r="AC35" i="65"/>
  <c r="Z35" i="65"/>
  <c r="W35" i="65"/>
  <c r="T35" i="65"/>
  <c r="Q35" i="65"/>
  <c r="N35" i="65"/>
  <c r="AW34" i="65"/>
  <c r="AT34" i="65"/>
  <c r="AQ34" i="65"/>
  <c r="AN34" i="65"/>
  <c r="AK34" i="65"/>
  <c r="AH34" i="65"/>
  <c r="AD34" i="65"/>
  <c r="AE34" i="65" s="1"/>
  <c r="AC34" i="65"/>
  <c r="Z34" i="65"/>
  <c r="W34" i="65"/>
  <c r="T34" i="65"/>
  <c r="Q34" i="65"/>
  <c r="N34" i="65"/>
  <c r="AX33" i="65"/>
  <c r="AW33" i="65"/>
  <c r="AT33" i="65"/>
  <c r="AQ33" i="65"/>
  <c r="AN33" i="65"/>
  <c r="AK33" i="65"/>
  <c r="AH33" i="65"/>
  <c r="AD33" i="65"/>
  <c r="AE33" i="65" s="1"/>
  <c r="AC33" i="65"/>
  <c r="Z33" i="65"/>
  <c r="W33" i="65"/>
  <c r="T33" i="65"/>
  <c r="Q33" i="65"/>
  <c r="N33" i="65"/>
  <c r="AY32" i="65"/>
  <c r="AT32" i="65"/>
  <c r="AQ32" i="65"/>
  <c r="AN32" i="65"/>
  <c r="AK32" i="65"/>
  <c r="AH32" i="65"/>
  <c r="AD32" i="65"/>
  <c r="AE32" i="65" s="1"/>
  <c r="AC32" i="65"/>
  <c r="Z32" i="65"/>
  <c r="W32" i="65"/>
  <c r="T32" i="65"/>
  <c r="Q32" i="65"/>
  <c r="N32" i="65"/>
  <c r="AX31" i="65"/>
  <c r="AY31" i="65" s="1"/>
  <c r="AW31" i="65"/>
  <c r="AT31" i="65"/>
  <c r="AQ31" i="65"/>
  <c r="AN31" i="65"/>
  <c r="AK31" i="65"/>
  <c r="AH31" i="65"/>
  <c r="AD31" i="65"/>
  <c r="AE31" i="65" s="1"/>
  <c r="AC31" i="65"/>
  <c r="Z31" i="65"/>
  <c r="W31" i="65"/>
  <c r="T31" i="65"/>
  <c r="Q31" i="65"/>
  <c r="N31" i="65"/>
  <c r="AX30" i="65"/>
  <c r="AY30" i="65" s="1"/>
  <c r="AW30" i="65"/>
  <c r="AT30" i="65"/>
  <c r="AQ30" i="65"/>
  <c r="AN30" i="65"/>
  <c r="AK30" i="65"/>
  <c r="AH30" i="65"/>
  <c r="AD30" i="65"/>
  <c r="AE30" i="65" s="1"/>
  <c r="AC30" i="65"/>
  <c r="Z30" i="65"/>
  <c r="W30" i="65"/>
  <c r="T30" i="65"/>
  <c r="Q30" i="65"/>
  <c r="N30" i="65"/>
  <c r="AX29" i="65"/>
  <c r="AY29" i="65" s="1"/>
  <c r="AW29" i="65"/>
  <c r="AT29" i="65"/>
  <c r="AQ29" i="65"/>
  <c r="AN29" i="65"/>
  <c r="AK29" i="65"/>
  <c r="AH29" i="65"/>
  <c r="AD29" i="65"/>
  <c r="AE29" i="65" s="1"/>
  <c r="AC29" i="65"/>
  <c r="Z29" i="65"/>
  <c r="W29" i="65"/>
  <c r="T29" i="65"/>
  <c r="Q29" i="65"/>
  <c r="N29" i="65"/>
  <c r="AX28" i="65"/>
  <c r="AY28" i="65" s="1"/>
  <c r="AW28" i="65"/>
  <c r="AT28" i="65"/>
  <c r="AQ28" i="65"/>
  <c r="AN28" i="65"/>
  <c r="AK28" i="65"/>
  <c r="AH28" i="65"/>
  <c r="AD28" i="65"/>
  <c r="AE28" i="65" s="1"/>
  <c r="AC28" i="65"/>
  <c r="Z28" i="65"/>
  <c r="W28" i="65"/>
  <c r="T28" i="65"/>
  <c r="Q28" i="65"/>
  <c r="N28" i="65"/>
  <c r="AT27" i="65"/>
  <c r="AQ27" i="65"/>
  <c r="AN27" i="65"/>
  <c r="AK27" i="65"/>
  <c r="AH27" i="65"/>
  <c r="AD27" i="65"/>
  <c r="AE27" i="65" s="1"/>
  <c r="AC27" i="65"/>
  <c r="Z27" i="65"/>
  <c r="W27" i="65"/>
  <c r="T27" i="65"/>
  <c r="Q27" i="65"/>
  <c r="N27" i="65"/>
  <c r="AX26" i="65"/>
  <c r="AY26" i="65" s="1"/>
  <c r="AW26" i="65"/>
  <c r="AT26" i="65"/>
  <c r="AQ26" i="65"/>
  <c r="AN26" i="65"/>
  <c r="AK26" i="65"/>
  <c r="AH26" i="65"/>
  <c r="AD26" i="65"/>
  <c r="AE26" i="65" s="1"/>
  <c r="AC26" i="65"/>
  <c r="Z26" i="65"/>
  <c r="W26" i="65"/>
  <c r="T26" i="65"/>
  <c r="Q26" i="65"/>
  <c r="N26" i="65"/>
  <c r="AW25" i="65"/>
  <c r="AT25" i="65"/>
  <c r="AQ25" i="65"/>
  <c r="AN25" i="65"/>
  <c r="AK25" i="65"/>
  <c r="AH25" i="65"/>
  <c r="AD25" i="65"/>
  <c r="AE25" i="65" s="1"/>
  <c r="AC25" i="65"/>
  <c r="Z25" i="65"/>
  <c r="W25" i="65"/>
  <c r="T25" i="65"/>
  <c r="Q25" i="65"/>
  <c r="N25" i="65"/>
  <c r="AX24" i="65"/>
  <c r="AY24" i="65" s="1"/>
  <c r="AW24" i="65"/>
  <c r="AT24" i="65"/>
  <c r="AQ24" i="65"/>
  <c r="AN24" i="65"/>
  <c r="AK24" i="65"/>
  <c r="AH24" i="65"/>
  <c r="AD24" i="65"/>
  <c r="AE24" i="65" s="1"/>
  <c r="AC24" i="65"/>
  <c r="Z24" i="65"/>
  <c r="W24" i="65"/>
  <c r="T24" i="65"/>
  <c r="Q24" i="65"/>
  <c r="N24" i="65"/>
  <c r="AX23" i="65"/>
  <c r="AY23" i="65" s="1"/>
  <c r="AW23" i="65"/>
  <c r="AT23" i="65"/>
  <c r="AQ23" i="65"/>
  <c r="AN23" i="65"/>
  <c r="AK23" i="65"/>
  <c r="AH23" i="65"/>
  <c r="AD23" i="65"/>
  <c r="AE23" i="65" s="1"/>
  <c r="AC23" i="65"/>
  <c r="Z23" i="65"/>
  <c r="W23" i="65"/>
  <c r="T23" i="65"/>
  <c r="Q23" i="65"/>
  <c r="N23" i="65"/>
  <c r="AX22" i="65"/>
  <c r="AY22" i="65" s="1"/>
  <c r="AW22" i="65"/>
  <c r="AT22" i="65"/>
  <c r="AX21" i="65"/>
  <c r="AY21" i="65" s="1"/>
  <c r="AW21" i="65"/>
  <c r="AT21" i="65"/>
  <c r="AX20" i="65"/>
  <c r="AY20" i="65" s="1"/>
  <c r="AW20" i="65"/>
  <c r="AT20" i="65"/>
  <c r="AQ20" i="65"/>
  <c r="AN20" i="65"/>
  <c r="AK20" i="65"/>
  <c r="AH20" i="65"/>
  <c r="AD20" i="65"/>
  <c r="AE20" i="65" s="1"/>
  <c r="AC20" i="65"/>
  <c r="Z20" i="65"/>
  <c r="W20" i="65"/>
  <c r="T20" i="65"/>
  <c r="Q20" i="65"/>
  <c r="N20" i="65"/>
  <c r="AX19" i="65"/>
  <c r="AY19" i="65" s="1"/>
  <c r="AW19" i="65"/>
  <c r="AT19" i="65"/>
  <c r="AQ19" i="65"/>
  <c r="AN19" i="65"/>
  <c r="AK19" i="65"/>
  <c r="AH19" i="65"/>
  <c r="AD19" i="65"/>
  <c r="AE19" i="65" s="1"/>
  <c r="AC19" i="65"/>
  <c r="Z19" i="65"/>
  <c r="W19" i="65"/>
  <c r="T19" i="65"/>
  <c r="Q19" i="65"/>
  <c r="N19" i="65"/>
  <c r="AX18" i="65"/>
  <c r="AY18" i="65" s="1"/>
  <c r="AW18" i="65"/>
  <c r="AT18" i="65"/>
  <c r="AQ18" i="65"/>
  <c r="AN18" i="65"/>
  <c r="AK18" i="65"/>
  <c r="AH18" i="65"/>
  <c r="AD18" i="65"/>
  <c r="AE18" i="65" s="1"/>
  <c r="AC18" i="65"/>
  <c r="Z18" i="65"/>
  <c r="W18" i="65"/>
  <c r="T18" i="65"/>
  <c r="Q18" i="65"/>
  <c r="N18" i="65"/>
  <c r="AX17" i="65"/>
  <c r="AY17" i="65" s="1"/>
  <c r="AW17" i="65"/>
  <c r="AT17" i="65"/>
  <c r="AQ17" i="65"/>
  <c r="AN17" i="65"/>
  <c r="AK17" i="65"/>
  <c r="AH17" i="65"/>
  <c r="AD17" i="65"/>
  <c r="AE17" i="65" s="1"/>
  <c r="AC17" i="65"/>
  <c r="Z17" i="65"/>
  <c r="W17" i="65"/>
  <c r="T17" i="65"/>
  <c r="Q17" i="65"/>
  <c r="N17" i="65"/>
  <c r="AX16" i="65"/>
  <c r="AY16" i="65" s="1"/>
  <c r="AW16" i="65"/>
  <c r="AT16" i="65"/>
  <c r="AQ16" i="65"/>
  <c r="AN16" i="65"/>
  <c r="AK16" i="65"/>
  <c r="AH16" i="65"/>
  <c r="AD16" i="65"/>
  <c r="AE16" i="65" s="1"/>
  <c r="AC16" i="65"/>
  <c r="Z16" i="65"/>
  <c r="W16" i="65"/>
  <c r="T16" i="65"/>
  <c r="Q16" i="65"/>
  <c r="N16" i="65"/>
  <c r="AX15" i="65"/>
  <c r="AY15" i="65" s="1"/>
  <c r="AW15" i="65"/>
  <c r="AT15" i="65"/>
  <c r="AQ15" i="65"/>
  <c r="AN15" i="65"/>
  <c r="AK15" i="65"/>
  <c r="AH15" i="65"/>
  <c r="AD15" i="65"/>
  <c r="AE15" i="65" s="1"/>
  <c r="AC15" i="65"/>
  <c r="Z15" i="65"/>
  <c r="W15" i="65"/>
  <c r="T15" i="65"/>
  <c r="Q15" i="65"/>
  <c r="N15" i="65"/>
  <c r="AX14" i="65"/>
  <c r="AY14" i="65" s="1"/>
  <c r="AW14" i="65"/>
  <c r="AT14" i="65"/>
  <c r="AQ14" i="65"/>
  <c r="AN14" i="65"/>
  <c r="AK14" i="65"/>
  <c r="AH14" i="65"/>
  <c r="AD14" i="65"/>
  <c r="AE14" i="65" s="1"/>
  <c r="AC14" i="65"/>
  <c r="Z14" i="65"/>
  <c r="W14" i="65"/>
  <c r="T14" i="65"/>
  <c r="Q14" i="65"/>
  <c r="N14" i="65"/>
  <c r="AX13" i="65"/>
  <c r="AY13" i="65" s="1"/>
  <c r="AW13" i="65"/>
  <c r="AT13" i="65"/>
  <c r="AQ13" i="65"/>
  <c r="AN13" i="65"/>
  <c r="AK13" i="65"/>
  <c r="AH13" i="65"/>
  <c r="AD13" i="65"/>
  <c r="AE13" i="65" s="1"/>
  <c r="AC13" i="65"/>
  <c r="Z13" i="65"/>
  <c r="W13" i="65"/>
  <c r="T13" i="65"/>
  <c r="Q13" i="65"/>
  <c r="N13" i="65"/>
  <c r="AX12" i="65"/>
  <c r="AY12" i="65" s="1"/>
  <c r="AW12" i="65"/>
  <c r="AT12" i="65"/>
  <c r="AQ12" i="65"/>
  <c r="AN12" i="65"/>
  <c r="AK12" i="65"/>
  <c r="AH12" i="65"/>
  <c r="AD12" i="65"/>
  <c r="AE12" i="65" s="1"/>
  <c r="AC12" i="65"/>
  <c r="Z12" i="65"/>
  <c r="W12" i="65"/>
  <c r="T12" i="65"/>
  <c r="Q12" i="65"/>
  <c r="N12" i="65"/>
  <c r="AW11" i="65"/>
  <c r="AT11" i="65"/>
  <c r="AQ11" i="65"/>
  <c r="AN11" i="65"/>
  <c r="AK11" i="65"/>
  <c r="AH11" i="65"/>
  <c r="AD11" i="65"/>
  <c r="AE11" i="65" s="1"/>
  <c r="AC11" i="65"/>
  <c r="Z11" i="65"/>
  <c r="W11" i="65"/>
  <c r="T11" i="65"/>
  <c r="Q11" i="65"/>
  <c r="N11" i="65"/>
  <c r="AX10" i="65"/>
  <c r="AY10" i="65" s="1"/>
  <c r="AW10" i="65"/>
  <c r="AT10" i="65"/>
  <c r="AQ10" i="65"/>
  <c r="AN10" i="65"/>
  <c r="AK10" i="65"/>
  <c r="AH10" i="65"/>
  <c r="AD10" i="65"/>
  <c r="AE10" i="65" s="1"/>
  <c r="AC10" i="65"/>
  <c r="Z10" i="65"/>
  <c r="W10" i="65"/>
  <c r="T10" i="65"/>
  <c r="Q10" i="65"/>
  <c r="N10" i="65"/>
  <c r="AX9" i="65"/>
  <c r="AY9" i="65" s="1"/>
  <c r="AW9" i="65"/>
  <c r="AT9" i="65"/>
  <c r="AQ9" i="65"/>
  <c r="AN9" i="65"/>
  <c r="AK9" i="65"/>
  <c r="AH9" i="65"/>
  <c r="AD9" i="65"/>
  <c r="AE9" i="65" s="1"/>
  <c r="AC9" i="65"/>
  <c r="Z9" i="65"/>
  <c r="W9" i="65"/>
  <c r="T9" i="65"/>
  <c r="Q9" i="65"/>
  <c r="N9" i="65"/>
  <c r="AE36" i="65" l="1"/>
  <c r="AY36" i="65"/>
  <c r="AZ6" i="65" l="1"/>
  <c r="C22" i="10" s="1"/>
  <c r="AX42" i="64"/>
  <c r="AY42" i="64" s="1"/>
  <c r="AW42" i="64"/>
  <c r="AT42" i="64"/>
  <c r="AQ42" i="64"/>
  <c r="AN42" i="64"/>
  <c r="AK42" i="64"/>
  <c r="AH42" i="64"/>
  <c r="AD42" i="64"/>
  <c r="AE42" i="64" s="1"/>
  <c r="AC42" i="64"/>
  <c r="Z42" i="64"/>
  <c r="W42" i="64"/>
  <c r="T42" i="64"/>
  <c r="Q42" i="64"/>
  <c r="N42" i="64"/>
  <c r="AX40" i="64"/>
  <c r="AY40" i="64" s="1"/>
  <c r="AW40" i="64"/>
  <c r="AT40" i="64"/>
  <c r="AQ40" i="64"/>
  <c r="AN40" i="64"/>
  <c r="AK40" i="64"/>
  <c r="AH40" i="64"/>
  <c r="AD40" i="64"/>
  <c r="AE40" i="64" s="1"/>
  <c r="AC40" i="64"/>
  <c r="Z40" i="64"/>
  <c r="W40" i="64"/>
  <c r="T40" i="64"/>
  <c r="Q40" i="64"/>
  <c r="N40" i="64"/>
  <c r="AX39" i="64"/>
  <c r="AY39" i="64" s="1"/>
  <c r="AW39" i="64"/>
  <c r="AT39" i="64"/>
  <c r="AQ39" i="64"/>
  <c r="AN39" i="64"/>
  <c r="AK39" i="64"/>
  <c r="AH39" i="64"/>
  <c r="AD39" i="64"/>
  <c r="AE39" i="64" s="1"/>
  <c r="AC39" i="64"/>
  <c r="Z39" i="64"/>
  <c r="W39" i="64"/>
  <c r="T39" i="64"/>
  <c r="Q39" i="64"/>
  <c r="N39" i="64"/>
  <c r="AX38" i="64"/>
  <c r="AW38" i="64"/>
  <c r="AT38" i="64"/>
  <c r="AQ38" i="64"/>
  <c r="AN38" i="64"/>
  <c r="AK38" i="64"/>
  <c r="AH38" i="64"/>
  <c r="AD38" i="64"/>
  <c r="AE38" i="64" s="1"/>
  <c r="AC38" i="64"/>
  <c r="Z38" i="64"/>
  <c r="W38" i="64"/>
  <c r="T38" i="64"/>
  <c r="Q38" i="64"/>
  <c r="N38" i="64"/>
  <c r="AX37" i="64"/>
  <c r="AY37" i="64" s="1"/>
  <c r="AW37" i="64"/>
  <c r="AT37" i="64"/>
  <c r="AQ37" i="64"/>
  <c r="AN37" i="64"/>
  <c r="AK37" i="64"/>
  <c r="AH37" i="64"/>
  <c r="AD37" i="64"/>
  <c r="AE37" i="64" s="1"/>
  <c r="AC37" i="64"/>
  <c r="Z37" i="64"/>
  <c r="W37" i="64"/>
  <c r="T37" i="64"/>
  <c r="Q37" i="64"/>
  <c r="N37" i="64"/>
  <c r="AX35" i="64"/>
  <c r="AY35" i="64" s="1"/>
  <c r="AW35" i="64"/>
  <c r="AT35" i="64"/>
  <c r="AQ35" i="64"/>
  <c r="AN35" i="64"/>
  <c r="AK35" i="64"/>
  <c r="AH35" i="64"/>
  <c r="AD35" i="64"/>
  <c r="AE35" i="64" s="1"/>
  <c r="AC35" i="64"/>
  <c r="Z35" i="64"/>
  <c r="W35" i="64"/>
  <c r="T35" i="64"/>
  <c r="Q35" i="64"/>
  <c r="N35" i="64"/>
  <c r="AX34" i="64"/>
  <c r="AY34" i="64" s="1"/>
  <c r="AW34" i="64"/>
  <c r="AT34" i="64"/>
  <c r="AQ34" i="64"/>
  <c r="AN34" i="64"/>
  <c r="AK34" i="64"/>
  <c r="AH34" i="64"/>
  <c r="AD34" i="64"/>
  <c r="AE34" i="64" s="1"/>
  <c r="AC34" i="64"/>
  <c r="Z34" i="64"/>
  <c r="W34" i="64"/>
  <c r="T34" i="64"/>
  <c r="Q34" i="64"/>
  <c r="N34" i="64"/>
  <c r="AX33" i="64"/>
  <c r="AW33" i="64"/>
  <c r="AT33" i="64"/>
  <c r="AQ33" i="64"/>
  <c r="AN33" i="64"/>
  <c r="AK33" i="64"/>
  <c r="AH33" i="64"/>
  <c r="AD33" i="64"/>
  <c r="AC33" i="64"/>
  <c r="Z33" i="64"/>
  <c r="W33" i="64"/>
  <c r="T33" i="64"/>
  <c r="Q33" i="64"/>
  <c r="N33" i="64"/>
  <c r="G33" i="64"/>
  <c r="AY32" i="64"/>
  <c r="AX32" i="64"/>
  <c r="AW32" i="64"/>
  <c r="AT32" i="64"/>
  <c r="AQ32" i="64"/>
  <c r="AN32" i="64"/>
  <c r="AK32" i="64"/>
  <c r="AH32" i="64"/>
  <c r="AE32" i="64"/>
  <c r="AD32" i="64"/>
  <c r="AC32" i="64"/>
  <c r="Z32" i="64"/>
  <c r="W32" i="64"/>
  <c r="T32" i="64"/>
  <c r="Q32" i="64"/>
  <c r="N32" i="64"/>
  <c r="AW31" i="64"/>
  <c r="AT31" i="64"/>
  <c r="AQ31" i="64"/>
  <c r="AN31" i="64"/>
  <c r="AK31" i="64"/>
  <c r="AH31" i="64"/>
  <c r="AE31" i="64"/>
  <c r="AC31" i="64"/>
  <c r="Z31" i="64"/>
  <c r="W31" i="64"/>
  <c r="T31" i="64"/>
  <c r="Q31" i="64"/>
  <c r="N31" i="64"/>
  <c r="AX30" i="64"/>
  <c r="AY30" i="64" s="1"/>
  <c r="AW30" i="64"/>
  <c r="AT30" i="64"/>
  <c r="AQ30" i="64"/>
  <c r="AN30" i="64"/>
  <c r="AK30" i="64"/>
  <c r="AH30" i="64"/>
  <c r="AD30" i="64"/>
  <c r="AE30" i="64" s="1"/>
  <c r="AC30" i="64"/>
  <c r="Z30" i="64"/>
  <c r="W30" i="64"/>
  <c r="T30" i="64"/>
  <c r="Q30" i="64"/>
  <c r="N30" i="64"/>
  <c r="AX29" i="64"/>
  <c r="AY29" i="64" s="1"/>
  <c r="AW29" i="64"/>
  <c r="AT29" i="64"/>
  <c r="AQ29" i="64"/>
  <c r="AN29" i="64"/>
  <c r="AK29" i="64"/>
  <c r="AH29" i="64"/>
  <c r="AD29" i="64"/>
  <c r="AE29" i="64" s="1"/>
  <c r="AC29" i="64"/>
  <c r="Z29" i="64"/>
  <c r="W29" i="64"/>
  <c r="T29" i="64"/>
  <c r="Q29" i="64"/>
  <c r="N29" i="64"/>
  <c r="AX28" i="64"/>
  <c r="AY28" i="64" s="1"/>
  <c r="AW28" i="64"/>
  <c r="AT28" i="64"/>
  <c r="AQ28" i="64"/>
  <c r="AN28" i="64"/>
  <c r="AK28" i="64"/>
  <c r="AH28" i="64"/>
  <c r="AD28" i="64"/>
  <c r="AE28" i="64" s="1"/>
  <c r="AC28" i="64"/>
  <c r="Z28" i="64"/>
  <c r="W28" i="64"/>
  <c r="T28" i="64"/>
  <c r="Q28" i="64"/>
  <c r="N28" i="64"/>
  <c r="AX27" i="64"/>
  <c r="AY27" i="64" s="1"/>
  <c r="AW27" i="64"/>
  <c r="AT27" i="64"/>
  <c r="AQ27" i="64"/>
  <c r="AN27" i="64"/>
  <c r="AK27" i="64"/>
  <c r="AH27" i="64"/>
  <c r="AD27" i="64"/>
  <c r="AE27" i="64" s="1"/>
  <c r="AC27" i="64"/>
  <c r="Z27" i="64"/>
  <c r="W27" i="64"/>
  <c r="T27" i="64"/>
  <c r="Q27" i="64"/>
  <c r="N27" i="64"/>
  <c r="AX26" i="64"/>
  <c r="AY26" i="64" s="1"/>
  <c r="AW26" i="64"/>
  <c r="AT26" i="64"/>
  <c r="AQ26" i="64"/>
  <c r="AN26" i="64"/>
  <c r="AK26" i="64"/>
  <c r="AH26" i="64"/>
  <c r="AD26" i="64"/>
  <c r="AE26" i="64" s="1"/>
  <c r="AC26" i="64"/>
  <c r="Z26" i="64"/>
  <c r="W26" i="64"/>
  <c r="T26" i="64"/>
  <c r="Q26" i="64"/>
  <c r="N26" i="64"/>
  <c r="AX25" i="64"/>
  <c r="AY25" i="64" s="1"/>
  <c r="AW25" i="64"/>
  <c r="AT25" i="64"/>
  <c r="AQ25" i="64"/>
  <c r="AN25" i="64"/>
  <c r="AK25" i="64"/>
  <c r="AH25" i="64"/>
  <c r="AD25" i="64"/>
  <c r="AE25" i="64" s="1"/>
  <c r="AC25" i="64"/>
  <c r="Z25" i="64"/>
  <c r="W25" i="64"/>
  <c r="T25" i="64"/>
  <c r="Q25" i="64"/>
  <c r="N25" i="64"/>
  <c r="AX24" i="64"/>
  <c r="AY24" i="64" s="1"/>
  <c r="AW24" i="64"/>
  <c r="AT24" i="64"/>
  <c r="AQ24" i="64"/>
  <c r="AN24" i="64"/>
  <c r="AK24" i="64"/>
  <c r="AH24" i="64"/>
  <c r="AC24" i="64"/>
  <c r="Z24" i="64"/>
  <c r="W24" i="64"/>
  <c r="T24" i="64"/>
  <c r="Q24" i="64"/>
  <c r="N24" i="64"/>
  <c r="AX23" i="64"/>
  <c r="AY23" i="64" s="1"/>
  <c r="AW23" i="64"/>
  <c r="AT23" i="64"/>
  <c r="AQ23" i="64"/>
  <c r="AN23" i="64"/>
  <c r="AK23" i="64"/>
  <c r="AH23" i="64"/>
  <c r="AD23" i="64"/>
  <c r="AE23" i="64" s="1"/>
  <c r="AC23" i="64"/>
  <c r="Z23" i="64"/>
  <c r="W23" i="64"/>
  <c r="T23" i="64"/>
  <c r="Q23" i="64"/>
  <c r="N23" i="64"/>
  <c r="AX22" i="64"/>
  <c r="AY22" i="64" s="1"/>
  <c r="AW22" i="64"/>
  <c r="AT22" i="64"/>
  <c r="AQ22" i="64"/>
  <c r="AN22" i="64"/>
  <c r="AK22" i="64"/>
  <c r="AH22" i="64"/>
  <c r="AD22" i="64"/>
  <c r="AE22" i="64" s="1"/>
  <c r="AC22" i="64"/>
  <c r="Z22" i="64"/>
  <c r="W22" i="64"/>
  <c r="T22" i="64"/>
  <c r="Q22" i="64"/>
  <c r="N22" i="64"/>
  <c r="AX21" i="64"/>
  <c r="AY21" i="64" s="1"/>
  <c r="AW21" i="64"/>
  <c r="AT21" i="64"/>
  <c r="AQ21" i="64"/>
  <c r="AN21" i="64"/>
  <c r="AK21" i="64"/>
  <c r="AH21" i="64"/>
  <c r="AD21" i="64"/>
  <c r="AE21" i="64" s="1"/>
  <c r="AC21" i="64"/>
  <c r="Z21" i="64"/>
  <c r="W21" i="64"/>
  <c r="T21" i="64"/>
  <c r="Q21" i="64"/>
  <c r="N21" i="64"/>
  <c r="AW20" i="64"/>
  <c r="AT20" i="64"/>
  <c r="AQ20" i="64"/>
  <c r="AN20" i="64"/>
  <c r="AK20" i="64"/>
  <c r="AH20" i="64"/>
  <c r="AD20" i="64"/>
  <c r="AE20" i="64" s="1"/>
  <c r="AC20" i="64"/>
  <c r="Z20" i="64"/>
  <c r="W20" i="64"/>
  <c r="T20" i="64"/>
  <c r="Q20" i="64"/>
  <c r="N20" i="64"/>
  <c r="AD19" i="64"/>
  <c r="AX19" i="64" s="1"/>
  <c r="AX18" i="64"/>
  <c r="AY18" i="64" s="1"/>
  <c r="AW18" i="64"/>
  <c r="AT18" i="64"/>
  <c r="AQ18" i="64"/>
  <c r="AN18" i="64"/>
  <c r="AK18" i="64"/>
  <c r="AH18" i="64"/>
  <c r="AE18" i="64"/>
  <c r="AC18" i="64"/>
  <c r="Z18" i="64"/>
  <c r="W18" i="64"/>
  <c r="T18" i="64"/>
  <c r="Q18" i="64"/>
  <c r="N18" i="64"/>
  <c r="AY17" i="64"/>
  <c r="AX17" i="64"/>
  <c r="AW17" i="64"/>
  <c r="AT17" i="64"/>
  <c r="AQ17" i="64"/>
  <c r="AN17" i="64"/>
  <c r="AK17" i="64"/>
  <c r="AH17" i="64"/>
  <c r="AE17" i="64"/>
  <c r="AD17" i="64"/>
  <c r="AC17" i="64"/>
  <c r="Z17" i="64"/>
  <c r="W17" i="64"/>
  <c r="T17" i="64"/>
  <c r="Q17" i="64"/>
  <c r="N17" i="64"/>
  <c r="AY16" i="64"/>
  <c r="AX16" i="64"/>
  <c r="AW16" i="64"/>
  <c r="AT16" i="64"/>
  <c r="AQ16" i="64"/>
  <c r="AN16" i="64"/>
  <c r="AK16" i="64"/>
  <c r="AH16" i="64"/>
  <c r="AE16" i="64"/>
  <c r="AD16" i="64"/>
  <c r="AC16" i="64"/>
  <c r="Z16" i="64"/>
  <c r="W16" i="64"/>
  <c r="T16" i="64"/>
  <c r="Q16" i="64"/>
  <c r="N16" i="64"/>
  <c r="AY15" i="64"/>
  <c r="AX15" i="64"/>
  <c r="AW15" i="64"/>
  <c r="AT15" i="64"/>
  <c r="AQ15" i="64"/>
  <c r="AN15" i="64"/>
  <c r="AK15" i="64"/>
  <c r="AH15" i="64"/>
  <c r="AE15" i="64"/>
  <c r="AD15" i="64"/>
  <c r="AC15" i="64"/>
  <c r="Z15" i="64"/>
  <c r="W15" i="64"/>
  <c r="T15" i="64"/>
  <c r="Q15" i="64"/>
  <c r="N15" i="64"/>
  <c r="AW14" i="64"/>
  <c r="AT14" i="64"/>
  <c r="AP14" i="64"/>
  <c r="AQ14" i="64" s="1"/>
  <c r="AN14" i="64"/>
  <c r="AM14" i="64"/>
  <c r="AJ14" i="64"/>
  <c r="AK14" i="64" s="1"/>
  <c r="AH14" i="64"/>
  <c r="AG14" i="64"/>
  <c r="AB14" i="64"/>
  <c r="AC14" i="64" s="1"/>
  <c r="Z14" i="64"/>
  <c r="Y14" i="64"/>
  <c r="V14" i="64"/>
  <c r="W14" i="64" s="1"/>
  <c r="T14" i="64"/>
  <c r="S14" i="64"/>
  <c r="P14" i="64"/>
  <c r="Q14" i="64" s="1"/>
  <c r="M14" i="64"/>
  <c r="AX13" i="64"/>
  <c r="AY13" i="64" s="1"/>
  <c r="AW13" i="64"/>
  <c r="AT13" i="64"/>
  <c r="AQ13" i="64"/>
  <c r="AN13" i="64"/>
  <c r="AK13" i="64"/>
  <c r="AH13" i="64"/>
  <c r="AD13" i="64"/>
  <c r="AE13" i="64" s="1"/>
  <c r="AC13" i="64"/>
  <c r="Z13" i="64"/>
  <c r="W13" i="64"/>
  <c r="T13" i="64"/>
  <c r="Q13" i="64"/>
  <c r="N13" i="64"/>
  <c r="AX12" i="64"/>
  <c r="AY12" i="64" s="1"/>
  <c r="AW12" i="64"/>
  <c r="AT12" i="64"/>
  <c r="AQ12" i="64"/>
  <c r="AN12" i="64"/>
  <c r="AK12" i="64"/>
  <c r="AH12" i="64"/>
  <c r="AD12" i="64"/>
  <c r="AE12" i="64" s="1"/>
  <c r="AC12" i="64"/>
  <c r="Z12" i="64"/>
  <c r="W12" i="64"/>
  <c r="T12" i="64"/>
  <c r="Q12" i="64"/>
  <c r="N12" i="64"/>
  <c r="AW11" i="64"/>
  <c r="AT11" i="64"/>
  <c r="AQ11" i="64"/>
  <c r="AN11" i="64"/>
  <c r="AK11" i="64"/>
  <c r="AH11" i="64"/>
  <c r="AE11" i="64"/>
  <c r="AD11" i="64"/>
  <c r="AC11" i="64"/>
  <c r="Z11" i="64"/>
  <c r="W11" i="64"/>
  <c r="T11" i="64"/>
  <c r="Q11" i="64"/>
  <c r="N11" i="64"/>
  <c r="AY10" i="64"/>
  <c r="AX10" i="64"/>
  <c r="AW10" i="64"/>
  <c r="AT10" i="64"/>
  <c r="AQ10" i="64"/>
  <c r="AN10" i="64"/>
  <c r="AK10" i="64"/>
  <c r="AH10" i="64"/>
  <c r="AE10" i="64"/>
  <c r="AD10" i="64"/>
  <c r="AC10" i="64"/>
  <c r="Z10" i="64"/>
  <c r="W10" i="64"/>
  <c r="T10" i="64"/>
  <c r="Q10" i="64"/>
  <c r="N10" i="64"/>
  <c r="AY9" i="64"/>
  <c r="AW9" i="64"/>
  <c r="AT9" i="64"/>
  <c r="AQ9" i="64"/>
  <c r="AN9" i="64"/>
  <c r="AK9" i="64"/>
  <c r="AH9" i="64"/>
  <c r="AD9" i="64"/>
  <c r="AE9" i="64" s="1"/>
  <c r="AC9" i="64"/>
  <c r="Z9" i="64"/>
  <c r="W9" i="64"/>
  <c r="T9" i="64"/>
  <c r="Q9" i="64"/>
  <c r="N9" i="64"/>
  <c r="AX14" i="64" l="1"/>
  <c r="AY14" i="64" s="1"/>
  <c r="AD14" i="64"/>
  <c r="AE14" i="64" s="1"/>
  <c r="N14" i="64"/>
  <c r="AY33" i="64"/>
  <c r="BA4" i="64" s="1"/>
  <c r="C21" i="10" s="1"/>
  <c r="AE33" i="64"/>
  <c r="AX29" i="146" l="1"/>
  <c r="AY29" i="146" s="1"/>
  <c r="AW29" i="146"/>
  <c r="AT29" i="146"/>
  <c r="AQ29" i="146"/>
  <c r="AN29" i="146"/>
  <c r="AK29" i="146"/>
  <c r="AH29" i="146"/>
  <c r="AD29" i="146"/>
  <c r="AE29" i="146" s="1"/>
  <c r="AC29" i="146"/>
  <c r="Z29" i="146"/>
  <c r="W29" i="146"/>
  <c r="T29" i="146"/>
  <c r="Q29" i="146"/>
  <c r="N29" i="146"/>
  <c r="AX27" i="146"/>
  <c r="AY27" i="146" s="1"/>
  <c r="AW27" i="146"/>
  <c r="AT27" i="146"/>
  <c r="AQ27" i="146"/>
  <c r="AN27" i="146"/>
  <c r="AK27" i="146"/>
  <c r="AH27" i="146"/>
  <c r="AD27" i="146"/>
  <c r="AE27" i="146" s="1"/>
  <c r="AC27" i="146"/>
  <c r="Z27" i="146"/>
  <c r="W27" i="146"/>
  <c r="T27" i="146"/>
  <c r="Q27" i="146"/>
  <c r="N27" i="146"/>
  <c r="AX26" i="146"/>
  <c r="AY26" i="146" s="1"/>
  <c r="AW26" i="146"/>
  <c r="AT26" i="146"/>
  <c r="AQ26" i="146"/>
  <c r="AN26" i="146"/>
  <c r="AK26" i="146"/>
  <c r="AH26" i="146"/>
  <c r="AD26" i="146"/>
  <c r="AE26" i="146" s="1"/>
  <c r="AC26" i="146"/>
  <c r="Z26" i="146"/>
  <c r="W26" i="146"/>
  <c r="T26" i="146"/>
  <c r="Q26" i="146"/>
  <c r="N26" i="146"/>
  <c r="AX25" i="146"/>
  <c r="AY25" i="146" s="1"/>
  <c r="AW25" i="146"/>
  <c r="AT25" i="146"/>
  <c r="AQ25" i="146"/>
  <c r="AN25" i="146"/>
  <c r="AK25" i="146"/>
  <c r="AH25" i="146"/>
  <c r="AD25" i="146"/>
  <c r="AE25" i="146" s="1"/>
  <c r="AC25" i="146"/>
  <c r="Z25" i="146"/>
  <c r="W25" i="146"/>
  <c r="T25" i="146"/>
  <c r="Q25" i="146"/>
  <c r="N25" i="146"/>
  <c r="AW23" i="146"/>
  <c r="AT23" i="146"/>
  <c r="AQ23" i="146"/>
  <c r="AN23" i="146"/>
  <c r="AK23" i="146"/>
  <c r="AH23" i="146"/>
  <c r="AB23" i="146"/>
  <c r="AX23" i="146" s="1"/>
  <c r="AY23" i="146" s="1"/>
  <c r="Z23" i="146"/>
  <c r="W23" i="146"/>
  <c r="T23" i="146"/>
  <c r="Q23" i="146"/>
  <c r="N23" i="146"/>
  <c r="AX22" i="146"/>
  <c r="AY22" i="146" s="1"/>
  <c r="AW22" i="146"/>
  <c r="AT22" i="146"/>
  <c r="AQ22" i="146"/>
  <c r="AN22" i="146"/>
  <c r="AK22" i="146"/>
  <c r="AH22" i="146"/>
  <c r="AD22" i="146"/>
  <c r="AE22" i="146" s="1"/>
  <c r="AC22" i="146"/>
  <c r="Z22" i="146"/>
  <c r="W22" i="146"/>
  <c r="T22" i="146"/>
  <c r="Q22" i="146"/>
  <c r="N22" i="146"/>
  <c r="AX21" i="146"/>
  <c r="AY21" i="146" s="1"/>
  <c r="AW21" i="146"/>
  <c r="AT21" i="146"/>
  <c r="AQ21" i="146"/>
  <c r="AN21" i="146"/>
  <c r="AK21" i="146"/>
  <c r="AH21" i="146"/>
  <c r="AD21" i="146"/>
  <c r="AE21" i="146" s="1"/>
  <c r="AC21" i="146"/>
  <c r="Z21" i="146"/>
  <c r="W21" i="146"/>
  <c r="T21" i="146"/>
  <c r="Q21" i="146"/>
  <c r="N21" i="146"/>
  <c r="AX20" i="146"/>
  <c r="AY20" i="146" s="1"/>
  <c r="AW20" i="146"/>
  <c r="AV20" i="146"/>
  <c r="AS20" i="146"/>
  <c r="AT20" i="146" s="1"/>
  <c r="AQ20" i="146"/>
  <c r="AP20" i="146"/>
  <c r="AM20" i="146"/>
  <c r="AN20" i="146" s="1"/>
  <c r="AK20" i="146"/>
  <c r="AJ20" i="146"/>
  <c r="AG20" i="146"/>
  <c r="AH20" i="146" s="1"/>
  <c r="AD20" i="146"/>
  <c r="AE20" i="146" s="1"/>
  <c r="AC20" i="146"/>
  <c r="Z20" i="146"/>
  <c r="W20" i="146"/>
  <c r="T20" i="146"/>
  <c r="Q20" i="146"/>
  <c r="N20" i="146"/>
  <c r="AW19" i="146"/>
  <c r="AT19" i="146"/>
  <c r="AQ19" i="146"/>
  <c r="AM19" i="146"/>
  <c r="AX19" i="146" s="1"/>
  <c r="AY19" i="146" s="1"/>
  <c r="AK19" i="146"/>
  <c r="AC19" i="146"/>
  <c r="Z19" i="146"/>
  <c r="W19" i="146"/>
  <c r="S19" i="146"/>
  <c r="AD19" i="146" s="1"/>
  <c r="AE19" i="146" s="1"/>
  <c r="Q19" i="146"/>
  <c r="N19" i="146"/>
  <c r="AW18" i="146"/>
  <c r="AT18" i="146"/>
  <c r="AP18" i="146"/>
  <c r="AQ18" i="146" s="1"/>
  <c r="AN18" i="146"/>
  <c r="AK18" i="146"/>
  <c r="AH18" i="146"/>
  <c r="AC18" i="146"/>
  <c r="Z18" i="146"/>
  <c r="W18" i="146"/>
  <c r="V18" i="146"/>
  <c r="AD18" i="146" s="1"/>
  <c r="AE18" i="146" s="1"/>
  <c r="T18" i="146"/>
  <c r="Q18" i="146"/>
  <c r="N18" i="146"/>
  <c r="AY17" i="146"/>
  <c r="AV17" i="146"/>
  <c r="AW17" i="146" s="1"/>
  <c r="AT17" i="146"/>
  <c r="AS17" i="146"/>
  <c r="AQ17" i="146"/>
  <c r="AP17" i="146"/>
  <c r="AN17" i="146"/>
  <c r="AK17" i="146"/>
  <c r="AH17" i="146"/>
  <c r="AD17" i="146"/>
  <c r="AE17" i="146" s="1"/>
  <c r="AC17" i="146"/>
  <c r="Z17" i="146"/>
  <c r="W17" i="146"/>
  <c r="T17" i="146"/>
  <c r="Q17" i="146"/>
  <c r="N17" i="146"/>
  <c r="AX16" i="146"/>
  <c r="AY16" i="146" s="1"/>
  <c r="AW16" i="146"/>
  <c r="AT16" i="146"/>
  <c r="AQ16" i="146"/>
  <c r="AN16" i="146"/>
  <c r="AK16" i="146"/>
  <c r="AH16" i="146"/>
  <c r="AD16" i="146"/>
  <c r="AE16" i="146" s="1"/>
  <c r="AC16" i="146"/>
  <c r="Z16" i="146"/>
  <c r="W16" i="146"/>
  <c r="T16" i="146"/>
  <c r="Q16" i="146"/>
  <c r="N16" i="146"/>
  <c r="AX15" i="146"/>
  <c r="AY15" i="146" s="1"/>
  <c r="AW15" i="146"/>
  <c r="AT15" i="146"/>
  <c r="AQ15" i="146"/>
  <c r="AN15" i="146"/>
  <c r="AK15" i="146"/>
  <c r="AH15" i="146"/>
  <c r="AD15" i="146"/>
  <c r="AE15" i="146" s="1"/>
  <c r="AC15" i="146"/>
  <c r="Z15" i="146"/>
  <c r="W15" i="146"/>
  <c r="T15" i="146"/>
  <c r="Q15" i="146"/>
  <c r="N15" i="146"/>
  <c r="AX14" i="146"/>
  <c r="AY14" i="146" s="1"/>
  <c r="AW14" i="146"/>
  <c r="AT14" i="146"/>
  <c r="AQ14" i="146"/>
  <c r="AN14" i="146"/>
  <c r="AK14" i="146"/>
  <c r="AH14" i="146"/>
  <c r="AD14" i="146"/>
  <c r="AE14" i="146" s="1"/>
  <c r="AC14" i="146"/>
  <c r="Z14" i="146"/>
  <c r="W14" i="146"/>
  <c r="T14" i="146"/>
  <c r="Q14" i="146"/>
  <c r="N14" i="146"/>
  <c r="AX13" i="146"/>
  <c r="AY13" i="146" s="1"/>
  <c r="AW13" i="146"/>
  <c r="AT13" i="146"/>
  <c r="AQ13" i="146"/>
  <c r="AN13" i="146"/>
  <c r="AK13" i="146"/>
  <c r="AH13" i="146"/>
  <c r="AD13" i="146"/>
  <c r="AE13" i="146" s="1"/>
  <c r="AC13" i="146"/>
  <c r="Z13" i="146"/>
  <c r="W13" i="146"/>
  <c r="T13" i="146"/>
  <c r="Q13" i="146"/>
  <c r="N13" i="146"/>
  <c r="AX12" i="146"/>
  <c r="AY12" i="146" s="1"/>
  <c r="AW12" i="146"/>
  <c r="AT12" i="146"/>
  <c r="AQ12" i="146"/>
  <c r="AN12" i="146"/>
  <c r="AK12" i="146"/>
  <c r="AH12" i="146"/>
  <c r="AD12" i="146"/>
  <c r="AE12" i="146" s="1"/>
  <c r="AC12" i="146"/>
  <c r="Z12" i="146"/>
  <c r="W12" i="146"/>
  <c r="T12" i="146"/>
  <c r="Q12" i="146"/>
  <c r="N12" i="146"/>
  <c r="AX11" i="146"/>
  <c r="AW11" i="146"/>
  <c r="AT11" i="146"/>
  <c r="AQ11" i="146"/>
  <c r="AN11" i="146"/>
  <c r="AK11" i="146"/>
  <c r="AH11" i="146"/>
  <c r="AD11" i="146"/>
  <c r="AE11" i="146" s="1"/>
  <c r="AC11" i="146"/>
  <c r="Z11" i="146"/>
  <c r="W11" i="146"/>
  <c r="T11" i="146"/>
  <c r="Q11" i="146"/>
  <c r="N11" i="146"/>
  <c r="AX10" i="146"/>
  <c r="AY10" i="146" s="1"/>
  <c r="AW10" i="146"/>
  <c r="AT10" i="146"/>
  <c r="AQ10" i="146"/>
  <c r="AN10" i="146"/>
  <c r="AK10" i="146"/>
  <c r="AH10" i="146"/>
  <c r="AD10" i="146"/>
  <c r="AE10" i="146" s="1"/>
  <c r="AC10" i="146"/>
  <c r="Z10" i="146"/>
  <c r="W10" i="146"/>
  <c r="T10" i="146"/>
  <c r="Q10" i="146"/>
  <c r="N10" i="146"/>
  <c r="AX9" i="146"/>
  <c r="AW9" i="146"/>
  <c r="AT9" i="146"/>
  <c r="AQ9" i="146"/>
  <c r="AN9" i="146"/>
  <c r="AK9" i="146"/>
  <c r="AH9" i="146"/>
  <c r="AD9" i="146"/>
  <c r="AC9" i="146"/>
  <c r="Z9" i="146"/>
  <c r="W9" i="146"/>
  <c r="T9" i="146"/>
  <c r="Q9" i="146"/>
  <c r="N9" i="146"/>
  <c r="G9" i="146"/>
  <c r="AY9" i="146" s="1"/>
  <c r="AC23" i="146" l="1"/>
  <c r="AE9" i="146"/>
  <c r="AX18" i="146"/>
  <c r="AY18" i="146" s="1"/>
  <c r="AZ7" i="146" s="1"/>
  <c r="C10" i="10" s="1"/>
  <c r="AD23" i="146"/>
  <c r="AE23" i="146" s="1"/>
  <c r="T19" i="146"/>
  <c r="AN19" i="146"/>
  <c r="AZ8" i="63" l="1"/>
  <c r="C18" i="10" s="1"/>
  <c r="AX41" i="62" l="1"/>
  <c r="AY41" i="62" s="1"/>
  <c r="AW41" i="62"/>
  <c r="AT41" i="62"/>
  <c r="AQ41" i="62"/>
  <c r="AN41" i="62"/>
  <c r="AK41" i="62"/>
  <c r="AH41" i="62"/>
  <c r="AD41" i="62"/>
  <c r="AE41" i="62" s="1"/>
  <c r="AC41" i="62"/>
  <c r="Z41" i="62"/>
  <c r="W41" i="62"/>
  <c r="T41" i="62"/>
  <c r="Q41" i="62"/>
  <c r="N41" i="62"/>
  <c r="AX39" i="62"/>
  <c r="AY39" i="62" s="1"/>
  <c r="AW39" i="62"/>
  <c r="AT39" i="62"/>
  <c r="AQ39" i="62"/>
  <c r="AN39" i="62"/>
  <c r="AK39" i="62"/>
  <c r="AH39" i="62"/>
  <c r="AD39" i="62"/>
  <c r="AE39" i="62" s="1"/>
  <c r="AC39" i="62"/>
  <c r="Z39" i="62"/>
  <c r="W39" i="62"/>
  <c r="T39" i="62"/>
  <c r="Q39" i="62"/>
  <c r="N39" i="62"/>
  <c r="AW38" i="62"/>
  <c r="AT38" i="62"/>
  <c r="AQ38" i="62"/>
  <c r="AN38" i="62"/>
  <c r="AK38" i="62"/>
  <c r="AH38" i="62"/>
  <c r="AE38" i="62"/>
  <c r="AC38" i="62"/>
  <c r="Z38" i="62"/>
  <c r="W38" i="62"/>
  <c r="T38" i="62"/>
  <c r="Q38" i="62"/>
  <c r="N38" i="62"/>
  <c r="AX36" i="62"/>
  <c r="AY36" i="62" s="1"/>
  <c r="AW36" i="62"/>
  <c r="AT36" i="62"/>
  <c r="AQ36" i="62"/>
  <c r="AN36" i="62"/>
  <c r="AK36" i="62"/>
  <c r="AH36" i="62"/>
  <c r="AD36" i="62"/>
  <c r="AE36" i="62" s="1"/>
  <c r="AC36" i="62"/>
  <c r="Z36" i="62"/>
  <c r="W36" i="62"/>
  <c r="T36" i="62"/>
  <c r="Q36" i="62"/>
  <c r="N36" i="62"/>
  <c r="AX35" i="62"/>
  <c r="AY35" i="62" s="1"/>
  <c r="AW35" i="62"/>
  <c r="AT35" i="62"/>
  <c r="AQ35" i="62"/>
  <c r="AN35" i="62"/>
  <c r="AK35" i="62"/>
  <c r="AH35" i="62"/>
  <c r="AD35" i="62"/>
  <c r="AE35" i="62" s="1"/>
  <c r="AC35" i="62"/>
  <c r="Z35" i="62"/>
  <c r="W35" i="62"/>
  <c r="T35" i="62"/>
  <c r="Q35" i="62"/>
  <c r="N35" i="62"/>
  <c r="AW34" i="62"/>
  <c r="AT34" i="62"/>
  <c r="AQ34" i="62"/>
  <c r="AN34" i="62"/>
  <c r="AK34" i="62"/>
  <c r="AH34" i="62"/>
  <c r="AE34" i="62"/>
  <c r="AC34" i="62"/>
  <c r="Z34" i="62"/>
  <c r="W34" i="62"/>
  <c r="T34" i="62"/>
  <c r="Q34" i="62"/>
  <c r="N34" i="62"/>
  <c r="AW33" i="62"/>
  <c r="AT33" i="62"/>
  <c r="AQ33" i="62"/>
  <c r="AN33" i="62"/>
  <c r="AK33" i="62"/>
  <c r="AH33" i="62"/>
  <c r="AD33" i="62"/>
  <c r="AE33" i="62" s="1"/>
  <c r="AC33" i="62"/>
  <c r="Z33" i="62"/>
  <c r="W33" i="62"/>
  <c r="T33" i="62"/>
  <c r="Q33" i="62"/>
  <c r="N33" i="62"/>
  <c r="AX32" i="62"/>
  <c r="AY32" i="62" s="1"/>
  <c r="AW32" i="62"/>
  <c r="AT32" i="62"/>
  <c r="AQ32" i="62"/>
  <c r="AN32" i="62"/>
  <c r="AK32" i="62"/>
  <c r="AH32" i="62"/>
  <c r="AD32" i="62"/>
  <c r="AE32" i="62" s="1"/>
  <c r="AC32" i="62"/>
  <c r="Z32" i="62"/>
  <c r="W32" i="62"/>
  <c r="T32" i="62"/>
  <c r="Q32" i="62"/>
  <c r="N32" i="62"/>
  <c r="AX31" i="62"/>
  <c r="AY31" i="62" s="1"/>
  <c r="AW31" i="62"/>
  <c r="AT31" i="62"/>
  <c r="AQ31" i="62"/>
  <c r="AN31" i="62"/>
  <c r="AK31" i="62"/>
  <c r="AH31" i="62"/>
  <c r="AD31" i="62"/>
  <c r="AE31" i="62" s="1"/>
  <c r="AC31" i="62"/>
  <c r="Z31" i="62"/>
  <c r="W31" i="62"/>
  <c r="T31" i="62"/>
  <c r="Q31" i="62"/>
  <c r="N31" i="62"/>
  <c r="AX30" i="62"/>
  <c r="AW30" i="62"/>
  <c r="AT30" i="62"/>
  <c r="AQ30" i="62"/>
  <c r="AN30" i="62"/>
  <c r="AK30" i="62"/>
  <c r="AH30" i="62"/>
  <c r="AD30" i="62"/>
  <c r="AC30" i="62"/>
  <c r="Z30" i="62"/>
  <c r="W30" i="62"/>
  <c r="T30" i="62"/>
  <c r="Q30" i="62"/>
  <c r="N30" i="62"/>
  <c r="G30" i="62"/>
  <c r="AY30" i="62" s="1"/>
  <c r="AX29" i="62"/>
  <c r="AY29" i="62" s="1"/>
  <c r="AW29" i="62"/>
  <c r="AT29" i="62"/>
  <c r="AQ29" i="62"/>
  <c r="AN29" i="62"/>
  <c r="AK29" i="62"/>
  <c r="AH29" i="62"/>
  <c r="AD29" i="62"/>
  <c r="AE29" i="62" s="1"/>
  <c r="AC29" i="62"/>
  <c r="Z29" i="62"/>
  <c r="W29" i="62"/>
  <c r="T29" i="62"/>
  <c r="Q29" i="62"/>
  <c r="N29" i="62"/>
  <c r="AW28" i="62"/>
  <c r="AT28" i="62"/>
  <c r="AQ28" i="62"/>
  <c r="AN28" i="62"/>
  <c r="AK28" i="62"/>
  <c r="AH28" i="62"/>
  <c r="AD28" i="62"/>
  <c r="AE28" i="62" s="1"/>
  <c r="AC28" i="62"/>
  <c r="AX28" i="62" s="1"/>
  <c r="AY28" i="62" s="1"/>
  <c r="Z28" i="62"/>
  <c r="W28" i="62"/>
  <c r="T28" i="62"/>
  <c r="Q28" i="62"/>
  <c r="N28" i="62"/>
  <c r="AW27" i="62"/>
  <c r="AX27" i="62" s="1"/>
  <c r="AY27" i="62" s="1"/>
  <c r="AT27" i="62"/>
  <c r="AQ27" i="62"/>
  <c r="AN27" i="62"/>
  <c r="AK27" i="62"/>
  <c r="AH27" i="62"/>
  <c r="AD27" i="62"/>
  <c r="AE27" i="62" s="1"/>
  <c r="AC27" i="62"/>
  <c r="Z27" i="62"/>
  <c r="W27" i="62"/>
  <c r="T27" i="62"/>
  <c r="Q27" i="62"/>
  <c r="N27" i="62"/>
  <c r="AX26" i="62"/>
  <c r="AY26" i="62" s="1"/>
  <c r="AW26" i="62"/>
  <c r="AT26" i="62"/>
  <c r="AQ26" i="62"/>
  <c r="AN26" i="62"/>
  <c r="AK26" i="62"/>
  <c r="AH26" i="62"/>
  <c r="AD26" i="62"/>
  <c r="AE26" i="62" s="1"/>
  <c r="AC26" i="62"/>
  <c r="Z26" i="62"/>
  <c r="W26" i="62"/>
  <c r="T26" i="62"/>
  <c r="Q26" i="62"/>
  <c r="N26" i="62"/>
  <c r="AX25" i="62"/>
  <c r="AY25" i="62" s="1"/>
  <c r="AW25" i="62"/>
  <c r="AT25" i="62"/>
  <c r="AQ25" i="62"/>
  <c r="AN25" i="62"/>
  <c r="AK25" i="62"/>
  <c r="AH25" i="62"/>
  <c r="AD25" i="62"/>
  <c r="AE25" i="62" s="1"/>
  <c r="AC25" i="62"/>
  <c r="Z25" i="62"/>
  <c r="W25" i="62"/>
  <c r="T25" i="62"/>
  <c r="Q25" i="62"/>
  <c r="N25" i="62"/>
  <c r="AX24" i="62"/>
  <c r="AY24" i="62" s="1"/>
  <c r="AW24" i="62"/>
  <c r="AT24" i="62"/>
  <c r="AQ24" i="62"/>
  <c r="AN24" i="62"/>
  <c r="AK24" i="62"/>
  <c r="AH24" i="62"/>
  <c r="AD24" i="62"/>
  <c r="AE24" i="62" s="1"/>
  <c r="AC24" i="62"/>
  <c r="Z24" i="62"/>
  <c r="W24" i="62"/>
  <c r="T24" i="62"/>
  <c r="Q24" i="62"/>
  <c r="N24" i="62"/>
  <c r="AX23" i="62"/>
  <c r="AY23" i="62" s="1"/>
  <c r="AW23" i="62"/>
  <c r="AT23" i="62"/>
  <c r="AQ23" i="62"/>
  <c r="AN23" i="62"/>
  <c r="AK23" i="62"/>
  <c r="AH23" i="62"/>
  <c r="AD23" i="62"/>
  <c r="AE23" i="62" s="1"/>
  <c r="AC23" i="62"/>
  <c r="Z23" i="62"/>
  <c r="W23" i="62"/>
  <c r="T23" i="62"/>
  <c r="Q23" i="62"/>
  <c r="N23" i="62"/>
  <c r="AX22" i="62"/>
  <c r="AY22" i="62" s="1"/>
  <c r="AW22" i="62"/>
  <c r="AT22" i="62"/>
  <c r="AQ22" i="62"/>
  <c r="AN22" i="62"/>
  <c r="AK22" i="62"/>
  <c r="AH22" i="62"/>
  <c r="AD22" i="62"/>
  <c r="AE22" i="62" s="1"/>
  <c r="AC22" i="62"/>
  <c r="Z22" i="62"/>
  <c r="W22" i="62"/>
  <c r="T22" i="62"/>
  <c r="Q22" i="62"/>
  <c r="N22" i="62"/>
  <c r="AX21" i="62"/>
  <c r="AY21" i="62" s="1"/>
  <c r="AW21" i="62"/>
  <c r="AT21" i="62"/>
  <c r="AQ21" i="62"/>
  <c r="AN21" i="62"/>
  <c r="AK21" i="62"/>
  <c r="AH21" i="62"/>
  <c r="AD21" i="62"/>
  <c r="AE21" i="62" s="1"/>
  <c r="AC21" i="62"/>
  <c r="Z21" i="62"/>
  <c r="W21" i="62"/>
  <c r="T21" i="62"/>
  <c r="Q21" i="62"/>
  <c r="N21" i="62"/>
  <c r="AX20" i="62"/>
  <c r="AY20" i="62" s="1"/>
  <c r="AW20" i="62"/>
  <c r="AT20" i="62"/>
  <c r="AQ20" i="62"/>
  <c r="AN20" i="62"/>
  <c r="AK20" i="62"/>
  <c r="AH20" i="62"/>
  <c r="AD20" i="62"/>
  <c r="AE20" i="62" s="1"/>
  <c r="AC20" i="62"/>
  <c r="Z20" i="62"/>
  <c r="W20" i="62"/>
  <c r="T20" i="62"/>
  <c r="Q20" i="62"/>
  <c r="N20" i="62"/>
  <c r="AW19" i="62"/>
  <c r="AT19" i="62"/>
  <c r="AQ19" i="62"/>
  <c r="AN19" i="62"/>
  <c r="AK19" i="62"/>
  <c r="AH19" i="62"/>
  <c r="AE19" i="62"/>
  <c r="AC19" i="62"/>
  <c r="Z19" i="62"/>
  <c r="W19" i="62"/>
  <c r="T19" i="62"/>
  <c r="Q19" i="62"/>
  <c r="N19" i="62"/>
  <c r="AX18" i="62"/>
  <c r="AY18" i="62" s="1"/>
  <c r="AW18" i="62"/>
  <c r="AT18" i="62"/>
  <c r="AQ18" i="62"/>
  <c r="AN18" i="62"/>
  <c r="AK18" i="62"/>
  <c r="AH18" i="62"/>
  <c r="AD18" i="62"/>
  <c r="AE18" i="62" s="1"/>
  <c r="AC18" i="62"/>
  <c r="Z18" i="62"/>
  <c r="W18" i="62"/>
  <c r="T18" i="62"/>
  <c r="Q18" i="62"/>
  <c r="N18" i="62"/>
  <c r="AX17" i="62"/>
  <c r="AY17" i="62" s="1"/>
  <c r="AW17" i="62"/>
  <c r="AT17" i="62"/>
  <c r="AQ17" i="62"/>
  <c r="AN17" i="62"/>
  <c r="AK17" i="62"/>
  <c r="AH17" i="62"/>
  <c r="AD17" i="62"/>
  <c r="AE17" i="62" s="1"/>
  <c r="AC17" i="62"/>
  <c r="Z17" i="62"/>
  <c r="W17" i="62"/>
  <c r="T17" i="62"/>
  <c r="Q17" i="62"/>
  <c r="N17" i="62"/>
  <c r="AX16" i="62"/>
  <c r="AY16" i="62" s="1"/>
  <c r="AW16" i="62"/>
  <c r="AT16" i="62"/>
  <c r="AQ16" i="62"/>
  <c r="AN16" i="62"/>
  <c r="AK16" i="62"/>
  <c r="AH16" i="62"/>
  <c r="AD16" i="62"/>
  <c r="AE16" i="62" s="1"/>
  <c r="AC16" i="62"/>
  <c r="Z16" i="62"/>
  <c r="W16" i="62"/>
  <c r="T16" i="62"/>
  <c r="Q16" i="62"/>
  <c r="N16" i="62"/>
  <c r="AX15" i="62"/>
  <c r="AY15" i="62" s="1"/>
  <c r="AW15" i="62"/>
  <c r="AT15" i="62"/>
  <c r="AQ15" i="62"/>
  <c r="AN15" i="62"/>
  <c r="AK15" i="62"/>
  <c r="AH15" i="62"/>
  <c r="AD15" i="62"/>
  <c r="AE15" i="62" s="1"/>
  <c r="AC15" i="62"/>
  <c r="Z15" i="62"/>
  <c r="W15" i="62"/>
  <c r="T15" i="62"/>
  <c r="Q15" i="62"/>
  <c r="N15" i="62"/>
  <c r="AX14" i="62"/>
  <c r="AY14" i="62" s="1"/>
  <c r="AW14" i="62"/>
  <c r="AT14" i="62"/>
  <c r="AQ14" i="62"/>
  <c r="AN14" i="62"/>
  <c r="AK14" i="62"/>
  <c r="AH14" i="62"/>
  <c r="AD14" i="62"/>
  <c r="AE14" i="62" s="1"/>
  <c r="AC14" i="62"/>
  <c r="Z14" i="62"/>
  <c r="W14" i="62"/>
  <c r="T14" i="62"/>
  <c r="Q14" i="62"/>
  <c r="N14" i="62"/>
  <c r="AX13" i="62"/>
  <c r="AY13" i="62" s="1"/>
  <c r="AW13" i="62"/>
  <c r="AT13" i="62"/>
  <c r="AQ13" i="62"/>
  <c r="AN13" i="62"/>
  <c r="AK13" i="62"/>
  <c r="AH13" i="62"/>
  <c r="AD13" i="62"/>
  <c r="AE13" i="62" s="1"/>
  <c r="AC13" i="62"/>
  <c r="Z13" i="62"/>
  <c r="W13" i="62"/>
  <c r="T13" i="62"/>
  <c r="Q13" i="62"/>
  <c r="N13" i="62"/>
  <c r="AX12" i="62"/>
  <c r="AY12" i="62" s="1"/>
  <c r="AW12" i="62"/>
  <c r="AT12" i="62"/>
  <c r="AQ12" i="62"/>
  <c r="AN12" i="62"/>
  <c r="AK12" i="62"/>
  <c r="AH12" i="62"/>
  <c r="AD12" i="62"/>
  <c r="AE12" i="62" s="1"/>
  <c r="AC12" i="62"/>
  <c r="Z12" i="62"/>
  <c r="W12" i="62"/>
  <c r="T12" i="62"/>
  <c r="Q12" i="62"/>
  <c r="N12" i="62"/>
  <c r="AX11" i="62"/>
  <c r="AY11" i="62" s="1"/>
  <c r="AW11" i="62"/>
  <c r="AT11" i="62"/>
  <c r="AQ11" i="62"/>
  <c r="AN11" i="62"/>
  <c r="AK11" i="62"/>
  <c r="AH11" i="62"/>
  <c r="AD11" i="62"/>
  <c r="AE11" i="62" s="1"/>
  <c r="AC11" i="62"/>
  <c r="Z11" i="62"/>
  <c r="W11" i="62"/>
  <c r="T11" i="62"/>
  <c r="Q11" i="62"/>
  <c r="N11" i="62"/>
  <c r="AX10" i="62"/>
  <c r="AY10" i="62" s="1"/>
  <c r="AW10" i="62"/>
  <c r="AT10" i="62"/>
  <c r="AQ10" i="62"/>
  <c r="AN10" i="62"/>
  <c r="AK10" i="62"/>
  <c r="AH10" i="62"/>
  <c r="AD10" i="62"/>
  <c r="AE10" i="62" s="1"/>
  <c r="AC10" i="62"/>
  <c r="Z10" i="62"/>
  <c r="W10" i="62"/>
  <c r="T10" i="62"/>
  <c r="Q10" i="62"/>
  <c r="N10" i="62"/>
  <c r="AY9" i="62"/>
  <c r="AW9" i="62"/>
  <c r="AT9" i="62"/>
  <c r="AQ9" i="62"/>
  <c r="AN9" i="62"/>
  <c r="AK9" i="62"/>
  <c r="AH9" i="62"/>
  <c r="AD9" i="62"/>
  <c r="AE9" i="62" s="1"/>
  <c r="AC9" i="62"/>
  <c r="Z9" i="62"/>
  <c r="W9" i="62"/>
  <c r="T9" i="62"/>
  <c r="Q9" i="62"/>
  <c r="N9" i="62"/>
  <c r="AX19" i="62" l="1"/>
  <c r="AY19" i="62" s="1"/>
  <c r="AZ7" i="62" s="1"/>
  <c r="C17" i="10" s="1"/>
  <c r="AE30" i="62"/>
  <c r="AX47" i="61" l="1"/>
  <c r="AY47" i="61" s="1"/>
  <c r="AW47" i="61"/>
  <c r="AT47" i="61"/>
  <c r="AQ47" i="61"/>
  <c r="AN47" i="61"/>
  <c r="AK47" i="61"/>
  <c r="AH47" i="61"/>
  <c r="AD47" i="61"/>
  <c r="AE47" i="61" s="1"/>
  <c r="AC47" i="61"/>
  <c r="Z47" i="61"/>
  <c r="W47" i="61"/>
  <c r="T47" i="61"/>
  <c r="Q47" i="61"/>
  <c r="N47" i="61"/>
  <c r="AX45" i="61"/>
  <c r="AY45" i="61" s="1"/>
  <c r="AW45" i="61"/>
  <c r="AT45" i="61"/>
  <c r="AQ45" i="61"/>
  <c r="AN45" i="61"/>
  <c r="AK45" i="61"/>
  <c r="AH45" i="61"/>
  <c r="AD45" i="61"/>
  <c r="AE45" i="61" s="1"/>
  <c r="AC45" i="61"/>
  <c r="Z45" i="61"/>
  <c r="W45" i="61"/>
  <c r="T45" i="61"/>
  <c r="Q45" i="61"/>
  <c r="N45" i="61"/>
  <c r="AX44" i="61"/>
  <c r="AY44" i="61" s="1"/>
  <c r="AW44" i="61"/>
  <c r="AT44" i="61"/>
  <c r="AQ44" i="61"/>
  <c r="AN44" i="61"/>
  <c r="AK44" i="61"/>
  <c r="AH44" i="61"/>
  <c r="AD44" i="61"/>
  <c r="AE44" i="61" s="1"/>
  <c r="AC44" i="61"/>
  <c r="Z44" i="61"/>
  <c r="W44" i="61"/>
  <c r="T44" i="61"/>
  <c r="Q44" i="61"/>
  <c r="N44" i="61"/>
  <c r="AX42" i="61"/>
  <c r="AY42" i="61" s="1"/>
  <c r="AW42" i="61"/>
  <c r="AT42" i="61"/>
  <c r="AQ42" i="61"/>
  <c r="AN42" i="61"/>
  <c r="AK42" i="61"/>
  <c r="AH42" i="61"/>
  <c r="AD42" i="61"/>
  <c r="AE42" i="61" s="1"/>
  <c r="AC42" i="61"/>
  <c r="Z42" i="61"/>
  <c r="W42" i="61"/>
  <c r="T42" i="61"/>
  <c r="Q42" i="61"/>
  <c r="N42" i="61"/>
  <c r="AX41" i="61"/>
  <c r="AY41" i="61" s="1"/>
  <c r="AW41" i="61"/>
  <c r="AT41" i="61"/>
  <c r="AQ41" i="61"/>
  <c r="AN41" i="61"/>
  <c r="AK41" i="61"/>
  <c r="AH41" i="61"/>
  <c r="AD41" i="61"/>
  <c r="AE41" i="61" s="1"/>
  <c r="AC41" i="61"/>
  <c r="Z41" i="61"/>
  <c r="W41" i="61"/>
  <c r="T41" i="61"/>
  <c r="Q41" i="61"/>
  <c r="N41" i="61"/>
  <c r="AX40" i="61"/>
  <c r="AY40" i="61" s="1"/>
  <c r="AW40" i="61"/>
  <c r="AT40" i="61"/>
  <c r="AQ40" i="61"/>
  <c r="AN40" i="61"/>
  <c r="AK40" i="61"/>
  <c r="AH40" i="61"/>
  <c r="AD40" i="61"/>
  <c r="AE40" i="61" s="1"/>
  <c r="AC40" i="61"/>
  <c r="Z40" i="61"/>
  <c r="W40" i="61"/>
  <c r="T40" i="61"/>
  <c r="Q40" i="61"/>
  <c r="N40" i="61"/>
  <c r="AX39" i="61"/>
  <c r="AY39" i="61" s="1"/>
  <c r="AW39" i="61"/>
  <c r="AT39" i="61"/>
  <c r="AQ39" i="61"/>
  <c r="AN39" i="61"/>
  <c r="AK39" i="61"/>
  <c r="AH39" i="61"/>
  <c r="AD39" i="61"/>
  <c r="AE39" i="61" s="1"/>
  <c r="AC39" i="61"/>
  <c r="Z39" i="61"/>
  <c r="W39" i="61"/>
  <c r="T39" i="61"/>
  <c r="Q39" i="61"/>
  <c r="N39" i="61"/>
  <c r="AX38" i="61"/>
  <c r="AY38" i="61" s="1"/>
  <c r="AW38" i="61"/>
  <c r="AT38" i="61"/>
  <c r="AQ38" i="61"/>
  <c r="AN38" i="61"/>
  <c r="AK38" i="61"/>
  <c r="AH38" i="61"/>
  <c r="AD38" i="61"/>
  <c r="AE38" i="61" s="1"/>
  <c r="AC38" i="61"/>
  <c r="Z38" i="61"/>
  <c r="W38" i="61"/>
  <c r="T38" i="61"/>
  <c r="Q38" i="61"/>
  <c r="N38" i="61"/>
  <c r="AX37" i="61"/>
  <c r="AY37" i="61" s="1"/>
  <c r="AW37" i="61"/>
  <c r="AT37" i="61"/>
  <c r="AQ37" i="61"/>
  <c r="AN37" i="61"/>
  <c r="AK37" i="61"/>
  <c r="AH37" i="61"/>
  <c r="AD37" i="61"/>
  <c r="AE37" i="61" s="1"/>
  <c r="AC37" i="61"/>
  <c r="Z37" i="61"/>
  <c r="W37" i="61"/>
  <c r="T37" i="61"/>
  <c r="Q37" i="61"/>
  <c r="N37" i="61"/>
  <c r="AX36" i="61"/>
  <c r="AY36" i="61" s="1"/>
  <c r="AW36" i="61"/>
  <c r="AT36" i="61"/>
  <c r="AQ36" i="61"/>
  <c r="AN36" i="61"/>
  <c r="AK36" i="61"/>
  <c r="AH36" i="61"/>
  <c r="AD36" i="61"/>
  <c r="AE36" i="61" s="1"/>
  <c r="AC36" i="61"/>
  <c r="Z36" i="61"/>
  <c r="W36" i="61"/>
  <c r="T36" i="61"/>
  <c r="Q36" i="61"/>
  <c r="N36" i="61"/>
  <c r="AX35" i="61"/>
  <c r="AY35" i="61" s="1"/>
  <c r="AW35" i="61"/>
  <c r="AT35" i="61"/>
  <c r="AQ35" i="61"/>
  <c r="AN35" i="61"/>
  <c r="AK35" i="61"/>
  <c r="AH35" i="61"/>
  <c r="AD35" i="61"/>
  <c r="AE35" i="61" s="1"/>
  <c r="AC35" i="61"/>
  <c r="Z35" i="61"/>
  <c r="W35" i="61"/>
  <c r="T35" i="61"/>
  <c r="Q35" i="61"/>
  <c r="N35" i="61"/>
  <c r="AX34" i="61"/>
  <c r="AY34" i="61" s="1"/>
  <c r="AW34" i="61"/>
  <c r="AT34" i="61"/>
  <c r="AQ34" i="61"/>
  <c r="AN34" i="61"/>
  <c r="AK34" i="61"/>
  <c r="AH34" i="61"/>
  <c r="AD34" i="61"/>
  <c r="AE34" i="61" s="1"/>
  <c r="AC34" i="61"/>
  <c r="Z34" i="61"/>
  <c r="W34" i="61"/>
  <c r="T34" i="61"/>
  <c r="Q34" i="61"/>
  <c r="N34" i="61"/>
  <c r="AX33" i="61"/>
  <c r="AY33" i="61" s="1"/>
  <c r="AW33" i="61"/>
  <c r="AT33" i="61"/>
  <c r="AQ33" i="61"/>
  <c r="AN33" i="61"/>
  <c r="AK33" i="61"/>
  <c r="AH33" i="61"/>
  <c r="AD33" i="61"/>
  <c r="AE33" i="61" s="1"/>
  <c r="AC33" i="61"/>
  <c r="Z33" i="61"/>
  <c r="W33" i="61"/>
  <c r="T33" i="61"/>
  <c r="Q33" i="61"/>
  <c r="N33" i="61"/>
  <c r="AX32" i="61"/>
  <c r="AY32" i="61" s="1"/>
  <c r="AW32" i="61"/>
  <c r="AT32" i="61"/>
  <c r="AQ32" i="61"/>
  <c r="AN32" i="61"/>
  <c r="AK32" i="61"/>
  <c r="AH32" i="61"/>
  <c r="AD32" i="61"/>
  <c r="AE32" i="61" s="1"/>
  <c r="AC32" i="61"/>
  <c r="Z32" i="61"/>
  <c r="W32" i="61"/>
  <c r="T32" i="61"/>
  <c r="Q32" i="61"/>
  <c r="N32" i="61"/>
  <c r="AX31" i="61"/>
  <c r="AY31" i="61" s="1"/>
  <c r="AW31" i="61"/>
  <c r="AT31" i="61"/>
  <c r="AQ31" i="61"/>
  <c r="AN31" i="61"/>
  <c r="AK31" i="61"/>
  <c r="AH31" i="61"/>
  <c r="AD31" i="61"/>
  <c r="AE31" i="61" s="1"/>
  <c r="AC31" i="61"/>
  <c r="Z31" i="61"/>
  <c r="W31" i="61"/>
  <c r="T31" i="61"/>
  <c r="Q31" i="61"/>
  <c r="N31" i="61"/>
  <c r="AX30" i="61"/>
  <c r="AY30" i="61" s="1"/>
  <c r="AW30" i="61"/>
  <c r="AT30" i="61"/>
  <c r="AQ30" i="61"/>
  <c r="AN30" i="61"/>
  <c r="AK30" i="61"/>
  <c r="AH30" i="61"/>
  <c r="AD30" i="61"/>
  <c r="AE30" i="61" s="1"/>
  <c r="AC30" i="61"/>
  <c r="Z30" i="61"/>
  <c r="W30" i="61"/>
  <c r="T30" i="61"/>
  <c r="Q30" i="61"/>
  <c r="N30" i="61"/>
  <c r="AX29" i="61"/>
  <c r="AW29" i="61"/>
  <c r="AT29" i="61"/>
  <c r="AQ29" i="61"/>
  <c r="AN29" i="61"/>
  <c r="AK29" i="61"/>
  <c r="AH29" i="61"/>
  <c r="AD29" i="61"/>
  <c r="AE29" i="61" s="1"/>
  <c r="AC29" i="61"/>
  <c r="Z29" i="61"/>
  <c r="W29" i="61"/>
  <c r="T29" i="61"/>
  <c r="Q29" i="61"/>
  <c r="N29" i="61"/>
  <c r="AX28" i="61"/>
  <c r="AY28" i="61" s="1"/>
  <c r="AW28" i="61"/>
  <c r="AT28" i="61"/>
  <c r="AQ28" i="61"/>
  <c r="AN28" i="61"/>
  <c r="AK28" i="61"/>
  <c r="AH28" i="61"/>
  <c r="AD28" i="61"/>
  <c r="AE28" i="61" s="1"/>
  <c r="AC28" i="61"/>
  <c r="Z28" i="61"/>
  <c r="W28" i="61"/>
  <c r="T28" i="61"/>
  <c r="Q28" i="61"/>
  <c r="N28" i="61"/>
  <c r="AX27" i="61"/>
  <c r="AY27" i="61" s="1"/>
  <c r="AQ27" i="61"/>
  <c r="AN27" i="61"/>
  <c r="AK27" i="61"/>
  <c r="AH27" i="61"/>
  <c r="AD27" i="61"/>
  <c r="AE27" i="61" s="1"/>
  <c r="AC27" i="61"/>
  <c r="Z27" i="61"/>
  <c r="W27" i="61"/>
  <c r="T27" i="61"/>
  <c r="Q27" i="61"/>
  <c r="N27" i="61"/>
  <c r="AX26" i="61"/>
  <c r="AY26" i="61" s="1"/>
  <c r="AQ26" i="61"/>
  <c r="AN26" i="61"/>
  <c r="AK26" i="61"/>
  <c r="AH26" i="61"/>
  <c r="AD26" i="61"/>
  <c r="AE26" i="61" s="1"/>
  <c r="AC26" i="61"/>
  <c r="Z26" i="61"/>
  <c r="W26" i="61"/>
  <c r="T26" i="61"/>
  <c r="Q26" i="61"/>
  <c r="N26" i="61"/>
  <c r="AX25" i="61"/>
  <c r="AY25" i="61" s="1"/>
  <c r="AQ25" i="61"/>
  <c r="AN25" i="61"/>
  <c r="AK25" i="61"/>
  <c r="AH25" i="61"/>
  <c r="AD25" i="61"/>
  <c r="AE25" i="61" s="1"/>
  <c r="AC25" i="61"/>
  <c r="Z25" i="61"/>
  <c r="W25" i="61"/>
  <c r="T25" i="61"/>
  <c r="Q25" i="61"/>
  <c r="N25" i="61"/>
  <c r="AX24" i="61"/>
  <c r="AY24" i="61" s="1"/>
  <c r="AQ24" i="61"/>
  <c r="AN24" i="61"/>
  <c r="AK24" i="61"/>
  <c r="AH24" i="61"/>
  <c r="AD24" i="61"/>
  <c r="AE24" i="61" s="1"/>
  <c r="AC24" i="61"/>
  <c r="Z24" i="61"/>
  <c r="W24" i="61"/>
  <c r="T24" i="61"/>
  <c r="Q24" i="61"/>
  <c r="N24" i="61"/>
  <c r="AX23" i="61"/>
  <c r="AY23" i="61" s="1"/>
  <c r="AW23" i="61"/>
  <c r="AT23" i="61"/>
  <c r="AQ23" i="61"/>
  <c r="AN23" i="61"/>
  <c r="AK23" i="61"/>
  <c r="AH23" i="61"/>
  <c r="AD23" i="61"/>
  <c r="AE23" i="61" s="1"/>
  <c r="AC23" i="61"/>
  <c r="Z23" i="61"/>
  <c r="T23" i="61"/>
  <c r="Q23" i="61"/>
  <c r="N23" i="61"/>
  <c r="AX22" i="61"/>
  <c r="AY22" i="61" s="1"/>
  <c r="AQ22" i="61"/>
  <c r="AN22" i="61"/>
  <c r="AK22" i="61"/>
  <c r="AH22" i="61"/>
  <c r="AD22" i="61"/>
  <c r="AE22" i="61" s="1"/>
  <c r="AC22" i="61"/>
  <c r="Z22" i="61"/>
  <c r="W22" i="61"/>
  <c r="T22" i="61"/>
  <c r="Q22" i="61"/>
  <c r="N22" i="61"/>
  <c r="AX21" i="61"/>
  <c r="AY21" i="61" s="1"/>
  <c r="AW21" i="61"/>
  <c r="AT21" i="61"/>
  <c r="AQ21" i="61"/>
  <c r="AN21" i="61"/>
  <c r="AK21" i="61"/>
  <c r="AH21" i="61"/>
  <c r="AD21" i="61"/>
  <c r="AE21" i="61" s="1"/>
  <c r="AC21" i="61"/>
  <c r="Z21" i="61"/>
  <c r="W21" i="61"/>
  <c r="T21" i="61"/>
  <c r="Q21" i="61"/>
  <c r="N21" i="61"/>
  <c r="AX20" i="61"/>
  <c r="AY20" i="61" s="1"/>
  <c r="AW20" i="61"/>
  <c r="AT20" i="61"/>
  <c r="AQ20" i="61"/>
  <c r="AN20" i="61"/>
  <c r="AK20" i="61"/>
  <c r="AH20" i="61"/>
  <c r="AD20" i="61"/>
  <c r="AE20" i="61" s="1"/>
  <c r="AC20" i="61"/>
  <c r="Z20" i="61"/>
  <c r="W20" i="61"/>
  <c r="T20" i="61"/>
  <c r="Q20" i="61"/>
  <c r="N20" i="61"/>
  <c r="AX19" i="61"/>
  <c r="AY19" i="61" s="1"/>
  <c r="AW19" i="61"/>
  <c r="AT19" i="61"/>
  <c r="AQ19" i="61"/>
  <c r="AN19" i="61"/>
  <c r="AK19" i="61"/>
  <c r="AH19" i="61"/>
  <c r="AD19" i="61"/>
  <c r="AE19" i="61" s="1"/>
  <c r="AC19" i="61"/>
  <c r="Z19" i="61"/>
  <c r="W19" i="61"/>
  <c r="T19" i="61"/>
  <c r="Q19" i="61"/>
  <c r="N19" i="61"/>
  <c r="AY18" i="61"/>
  <c r="AW18" i="61"/>
  <c r="AT18" i="61"/>
  <c r="AQ18" i="61"/>
  <c r="AN18" i="61"/>
  <c r="AK18" i="61"/>
  <c r="AH18" i="61"/>
  <c r="AD18" i="61"/>
  <c r="AE18" i="61" s="1"/>
  <c r="AC18" i="61"/>
  <c r="Z18" i="61"/>
  <c r="W18" i="61"/>
  <c r="T18" i="61"/>
  <c r="Q18" i="61"/>
  <c r="N18" i="61"/>
  <c r="AX17" i="61"/>
  <c r="AY17" i="61" s="1"/>
  <c r="AW17" i="61"/>
  <c r="AT17" i="61"/>
  <c r="AQ17" i="61"/>
  <c r="AN17" i="61"/>
  <c r="AK17" i="61"/>
  <c r="AH17" i="61"/>
  <c r="AD17" i="61"/>
  <c r="AE17" i="61" s="1"/>
  <c r="AC17" i="61"/>
  <c r="Z17" i="61"/>
  <c r="W17" i="61"/>
  <c r="T17" i="61"/>
  <c r="Q17" i="61"/>
  <c r="N17" i="61"/>
  <c r="AX16" i="61"/>
  <c r="AY16" i="61" s="1"/>
  <c r="AW16" i="61"/>
  <c r="AT16" i="61"/>
  <c r="AQ16" i="61"/>
  <c r="AN16" i="61"/>
  <c r="AK16" i="61"/>
  <c r="AH16" i="61"/>
  <c r="AD16" i="61"/>
  <c r="AE16" i="61" s="1"/>
  <c r="AC16" i="61"/>
  <c r="Z16" i="61"/>
  <c r="W16" i="61"/>
  <c r="T16" i="61"/>
  <c r="Q16" i="61"/>
  <c r="N16" i="61"/>
  <c r="AX15" i="61"/>
  <c r="AY15" i="61" s="1"/>
  <c r="AW15" i="61"/>
  <c r="AT15" i="61"/>
  <c r="AQ15" i="61"/>
  <c r="AN15" i="61"/>
  <c r="AK15" i="61"/>
  <c r="AH15" i="61"/>
  <c r="AE15" i="61"/>
  <c r="AC15" i="61"/>
  <c r="Z15" i="61"/>
  <c r="W15" i="61"/>
  <c r="T15" i="61"/>
  <c r="Q15" i="61"/>
  <c r="N15" i="61"/>
  <c r="AX14" i="61"/>
  <c r="AY14" i="61" s="1"/>
  <c r="AW14" i="61"/>
  <c r="AT14" i="61"/>
  <c r="AQ14" i="61"/>
  <c r="AN14" i="61"/>
  <c r="AK14" i="61"/>
  <c r="AH14" i="61"/>
  <c r="AD14" i="61"/>
  <c r="AE14" i="61" s="1"/>
  <c r="AC14" i="61"/>
  <c r="Z14" i="61"/>
  <c r="W14" i="61"/>
  <c r="T14" i="61"/>
  <c r="Q14" i="61"/>
  <c r="N14" i="61"/>
  <c r="AX13" i="61"/>
  <c r="AY13" i="61" s="1"/>
  <c r="AW13" i="61"/>
  <c r="AT13" i="61"/>
  <c r="AQ13" i="61"/>
  <c r="AN13" i="61"/>
  <c r="AK13" i="61"/>
  <c r="AH13" i="61"/>
  <c r="AD13" i="61"/>
  <c r="AE13" i="61" s="1"/>
  <c r="AC13" i="61"/>
  <c r="Z13" i="61"/>
  <c r="W13" i="61"/>
  <c r="T13" i="61"/>
  <c r="Q13" i="61"/>
  <c r="N13" i="61"/>
  <c r="AX12" i="61"/>
  <c r="AY12" i="61" s="1"/>
  <c r="AW12" i="61"/>
  <c r="AT12" i="61"/>
  <c r="AQ12" i="61"/>
  <c r="AN12" i="61"/>
  <c r="AK12" i="61"/>
  <c r="AH12" i="61"/>
  <c r="AD12" i="61"/>
  <c r="AE12" i="61" s="1"/>
  <c r="AC12" i="61"/>
  <c r="Z12" i="61"/>
  <c r="W12" i="61"/>
  <c r="T12" i="61"/>
  <c r="Q12" i="61"/>
  <c r="N12" i="61"/>
  <c r="AX11" i="61"/>
  <c r="AY11" i="61" s="1"/>
  <c r="AW11" i="61"/>
  <c r="AT11" i="61"/>
  <c r="AQ11" i="61"/>
  <c r="AN11" i="61"/>
  <c r="AK11" i="61"/>
  <c r="AH11" i="61"/>
  <c r="AD11" i="61"/>
  <c r="AE11" i="61" s="1"/>
  <c r="AC11" i="61"/>
  <c r="Z11" i="61"/>
  <c r="W11" i="61"/>
  <c r="T11" i="61"/>
  <c r="Q11" i="61"/>
  <c r="N11" i="61"/>
  <c r="AX10" i="61"/>
  <c r="AY10" i="61" s="1"/>
  <c r="AW10" i="61"/>
  <c r="AT10" i="61"/>
  <c r="AQ10" i="61"/>
  <c r="AN10" i="61"/>
  <c r="AK10" i="61"/>
  <c r="AH10" i="61"/>
  <c r="AD10" i="61"/>
  <c r="AE10" i="61" s="1"/>
  <c r="AC10" i="61"/>
  <c r="Z10" i="61"/>
  <c r="W10" i="61"/>
  <c r="T10" i="61"/>
  <c r="Q10" i="61"/>
  <c r="N10" i="61"/>
  <c r="AW9" i="61"/>
  <c r="AT9" i="61"/>
  <c r="AQ9" i="61"/>
  <c r="AN9" i="61"/>
  <c r="AK9" i="61"/>
  <c r="AH9" i="61"/>
  <c r="AD9" i="61"/>
  <c r="AC9" i="61"/>
  <c r="Z9" i="61"/>
  <c r="W9" i="61"/>
  <c r="T9" i="61"/>
  <c r="Q9" i="61"/>
  <c r="N9" i="61"/>
  <c r="G9" i="61"/>
  <c r="AE9" i="61" l="1"/>
  <c r="AY9" i="61"/>
  <c r="AZ7" i="61" s="1"/>
  <c r="C16" i="10" s="1"/>
  <c r="AX45" i="60" l="1"/>
  <c r="AY45" i="60" s="1"/>
  <c r="AW45" i="60"/>
  <c r="AT45" i="60"/>
  <c r="AQ45" i="60"/>
  <c r="AN45" i="60"/>
  <c r="AK45" i="60"/>
  <c r="AH45" i="60"/>
  <c r="AD45" i="60"/>
  <c r="AE45" i="60" s="1"/>
  <c r="AC45" i="60"/>
  <c r="Z45" i="60"/>
  <c r="W45" i="60"/>
  <c r="T45" i="60"/>
  <c r="Q45" i="60"/>
  <c r="N45" i="60"/>
  <c r="AX43" i="60"/>
  <c r="AY43" i="60" s="1"/>
  <c r="AW43" i="60"/>
  <c r="AT43" i="60"/>
  <c r="AQ43" i="60"/>
  <c r="AN43" i="60"/>
  <c r="AK43" i="60"/>
  <c r="AH43" i="60"/>
  <c r="AD43" i="60"/>
  <c r="AE43" i="60" s="1"/>
  <c r="AC43" i="60"/>
  <c r="Z43" i="60"/>
  <c r="W43" i="60"/>
  <c r="T43" i="60"/>
  <c r="Q43" i="60"/>
  <c r="N43" i="60"/>
  <c r="AY42" i="60"/>
  <c r="AW42" i="60"/>
  <c r="AT42" i="60"/>
  <c r="AQ42" i="60"/>
  <c r="AN42" i="60"/>
  <c r="AK42" i="60"/>
  <c r="AH42" i="60"/>
  <c r="AD42" i="60"/>
  <c r="AE42" i="60" s="1"/>
  <c r="AC42" i="60"/>
  <c r="Z42" i="60"/>
  <c r="W42" i="60"/>
  <c r="T42" i="60"/>
  <c r="Q42" i="60"/>
  <c r="N42" i="60"/>
  <c r="AX40" i="60"/>
  <c r="AY40" i="60" s="1"/>
  <c r="AW40" i="60"/>
  <c r="AT40" i="60"/>
  <c r="AQ40" i="60"/>
  <c r="AN40" i="60"/>
  <c r="AK40" i="60"/>
  <c r="AH40" i="60"/>
  <c r="AD40" i="60"/>
  <c r="AE40" i="60" s="1"/>
  <c r="AC40" i="60"/>
  <c r="Z40" i="60"/>
  <c r="W40" i="60"/>
  <c r="T40" i="60"/>
  <c r="Q40" i="60"/>
  <c r="N40" i="60"/>
  <c r="AX39" i="60"/>
  <c r="AY39" i="60" s="1"/>
  <c r="AW39" i="60"/>
  <c r="AT39" i="60"/>
  <c r="AQ39" i="60"/>
  <c r="AN39" i="60"/>
  <c r="AK39" i="60"/>
  <c r="AH39" i="60"/>
  <c r="AD39" i="60"/>
  <c r="AE39" i="60" s="1"/>
  <c r="AC39" i="60"/>
  <c r="Z39" i="60"/>
  <c r="W39" i="60"/>
  <c r="T39" i="60"/>
  <c r="Q39" i="60"/>
  <c r="N39" i="60"/>
  <c r="AX38" i="60"/>
  <c r="AY38" i="60" s="1"/>
  <c r="AW38" i="60"/>
  <c r="AT38" i="60"/>
  <c r="AQ38" i="60"/>
  <c r="AN38" i="60"/>
  <c r="AK38" i="60"/>
  <c r="AH38" i="60"/>
  <c r="AD38" i="60"/>
  <c r="AE38" i="60" s="1"/>
  <c r="AC38" i="60"/>
  <c r="Z38" i="60"/>
  <c r="W38" i="60"/>
  <c r="T38" i="60"/>
  <c r="Q38" i="60"/>
  <c r="N38" i="60"/>
  <c r="AX37" i="60"/>
  <c r="AY37" i="60" s="1"/>
  <c r="AW37" i="60"/>
  <c r="AT37" i="60"/>
  <c r="AQ37" i="60"/>
  <c r="AN37" i="60"/>
  <c r="AK37" i="60"/>
  <c r="AH37" i="60"/>
  <c r="AD37" i="60"/>
  <c r="AE37" i="60" s="1"/>
  <c r="AC37" i="60"/>
  <c r="Z37" i="60"/>
  <c r="W37" i="60"/>
  <c r="T37" i="60"/>
  <c r="Q37" i="60"/>
  <c r="N37" i="60"/>
  <c r="AX36" i="60"/>
  <c r="AY36" i="60" s="1"/>
  <c r="AW36" i="60"/>
  <c r="AT36" i="60"/>
  <c r="AQ36" i="60"/>
  <c r="AN36" i="60"/>
  <c r="AK36" i="60"/>
  <c r="AH36" i="60"/>
  <c r="AD36" i="60"/>
  <c r="AE36" i="60" s="1"/>
  <c r="AC36" i="60"/>
  <c r="Z36" i="60"/>
  <c r="W36" i="60"/>
  <c r="T36" i="60"/>
  <c r="Q36" i="60"/>
  <c r="N36" i="60"/>
  <c r="AX35" i="60"/>
  <c r="AY35" i="60" s="1"/>
  <c r="AW35" i="60"/>
  <c r="AT35" i="60"/>
  <c r="AQ35" i="60"/>
  <c r="AN35" i="60"/>
  <c r="AK35" i="60"/>
  <c r="AH35" i="60"/>
  <c r="AD35" i="60"/>
  <c r="AE35" i="60" s="1"/>
  <c r="AC35" i="60"/>
  <c r="Z35" i="60"/>
  <c r="W35" i="60"/>
  <c r="T35" i="60"/>
  <c r="Q35" i="60"/>
  <c r="N35" i="60"/>
  <c r="AX34" i="60"/>
  <c r="AY34" i="60" s="1"/>
  <c r="AW34" i="60"/>
  <c r="AT34" i="60"/>
  <c r="AQ34" i="60"/>
  <c r="AN34" i="60"/>
  <c r="AK34" i="60"/>
  <c r="AH34" i="60"/>
  <c r="AD34" i="60"/>
  <c r="AE34" i="60" s="1"/>
  <c r="AC34" i="60"/>
  <c r="Z34" i="60"/>
  <c r="W34" i="60"/>
  <c r="T34" i="60"/>
  <c r="Q34" i="60"/>
  <c r="N34" i="60"/>
  <c r="AX33" i="60"/>
  <c r="AY33" i="60" s="1"/>
  <c r="AW33" i="60"/>
  <c r="AT33" i="60"/>
  <c r="AQ33" i="60"/>
  <c r="AN33" i="60"/>
  <c r="AK33" i="60"/>
  <c r="AH33" i="60"/>
  <c r="AD33" i="60"/>
  <c r="AE33" i="60" s="1"/>
  <c r="AC33" i="60"/>
  <c r="Z33" i="60"/>
  <c r="W33" i="60"/>
  <c r="T33" i="60"/>
  <c r="Q33" i="60"/>
  <c r="N33" i="60"/>
  <c r="AX32" i="60"/>
  <c r="AY32" i="60" s="1"/>
  <c r="AW32" i="60"/>
  <c r="AT32" i="60"/>
  <c r="AQ32" i="60"/>
  <c r="AN32" i="60"/>
  <c r="AK32" i="60"/>
  <c r="AH32" i="60"/>
  <c r="AD32" i="60"/>
  <c r="AE32" i="60" s="1"/>
  <c r="AC32" i="60"/>
  <c r="Z32" i="60"/>
  <c r="W32" i="60"/>
  <c r="T32" i="60"/>
  <c r="Q32" i="60"/>
  <c r="N32" i="60"/>
  <c r="AX31" i="60"/>
  <c r="AY31" i="60" s="1"/>
  <c r="AW31" i="60"/>
  <c r="AT31" i="60"/>
  <c r="AQ31" i="60"/>
  <c r="AN31" i="60"/>
  <c r="AK31" i="60"/>
  <c r="AH31" i="60"/>
  <c r="AD31" i="60"/>
  <c r="AE31" i="60" s="1"/>
  <c r="AC31" i="60"/>
  <c r="Z31" i="60"/>
  <c r="W31" i="60"/>
  <c r="T31" i="60"/>
  <c r="Q31" i="60"/>
  <c r="N31" i="60"/>
  <c r="AX30" i="60"/>
  <c r="AY30" i="60" s="1"/>
  <c r="AW30" i="60"/>
  <c r="AT30" i="60"/>
  <c r="AQ30" i="60"/>
  <c r="AN30" i="60"/>
  <c r="AK30" i="60"/>
  <c r="AH30" i="60"/>
  <c r="AD30" i="60"/>
  <c r="AE30" i="60" s="1"/>
  <c r="AC30" i="60"/>
  <c r="Z30" i="60"/>
  <c r="W30" i="60"/>
  <c r="T30" i="60"/>
  <c r="Q30" i="60"/>
  <c r="N30" i="60"/>
  <c r="AW29" i="60"/>
  <c r="AT29" i="60"/>
  <c r="AQ29" i="60"/>
  <c r="AN29" i="60"/>
  <c r="AK29" i="60"/>
  <c r="AH29" i="60"/>
  <c r="AD29" i="60"/>
  <c r="AE29" i="60" s="1"/>
  <c r="AC29" i="60"/>
  <c r="Z29" i="60"/>
  <c r="W29" i="60"/>
  <c r="T29" i="60"/>
  <c r="Q29" i="60"/>
  <c r="N29" i="60"/>
  <c r="AX28" i="60"/>
  <c r="AY28" i="60" s="1"/>
  <c r="AW28" i="60"/>
  <c r="AT28" i="60"/>
  <c r="AQ28" i="60"/>
  <c r="AN28" i="60"/>
  <c r="AK28" i="60"/>
  <c r="AH28" i="60"/>
  <c r="AD28" i="60"/>
  <c r="AE28" i="60" s="1"/>
  <c r="AC28" i="60"/>
  <c r="Z28" i="60"/>
  <c r="W28" i="60"/>
  <c r="T28" i="60"/>
  <c r="Q28" i="60"/>
  <c r="N28" i="60"/>
  <c r="AX27" i="60"/>
  <c r="AY27" i="60" s="1"/>
  <c r="AW27" i="60"/>
  <c r="AT27" i="60"/>
  <c r="AQ27" i="60"/>
  <c r="AN27" i="60"/>
  <c r="AK27" i="60"/>
  <c r="AH27" i="60"/>
  <c r="AD27" i="60"/>
  <c r="AE27" i="60" s="1"/>
  <c r="AC27" i="60"/>
  <c r="Z27" i="60"/>
  <c r="W27" i="60"/>
  <c r="T27" i="60"/>
  <c r="Q27" i="60"/>
  <c r="N27" i="60"/>
  <c r="AX26" i="60"/>
  <c r="AY26" i="60" s="1"/>
  <c r="AW26" i="60"/>
  <c r="AT26" i="60"/>
  <c r="AQ26" i="60"/>
  <c r="AN26" i="60"/>
  <c r="AK26" i="60"/>
  <c r="AH26" i="60"/>
  <c r="AD26" i="60"/>
  <c r="AE26" i="60" s="1"/>
  <c r="AC26" i="60"/>
  <c r="Z26" i="60"/>
  <c r="W26" i="60"/>
  <c r="T26" i="60"/>
  <c r="Q26" i="60"/>
  <c r="N26" i="60"/>
  <c r="AX25" i="60"/>
  <c r="AY25" i="60" s="1"/>
  <c r="AW25" i="60"/>
  <c r="AT25" i="60"/>
  <c r="AQ25" i="60"/>
  <c r="AN25" i="60"/>
  <c r="AK25" i="60"/>
  <c r="AH25" i="60"/>
  <c r="AD25" i="60"/>
  <c r="AE25" i="60" s="1"/>
  <c r="AC25" i="60"/>
  <c r="Z25" i="60"/>
  <c r="W25" i="60"/>
  <c r="T25" i="60"/>
  <c r="Q25" i="60"/>
  <c r="N25" i="60"/>
  <c r="AX24" i="60"/>
  <c r="AY24" i="60" s="1"/>
  <c r="AW24" i="60"/>
  <c r="AT24" i="60"/>
  <c r="AQ24" i="60"/>
  <c r="AN24" i="60"/>
  <c r="AK24" i="60"/>
  <c r="AH24" i="60"/>
  <c r="AD24" i="60"/>
  <c r="AE24" i="60" s="1"/>
  <c r="AC24" i="60"/>
  <c r="Z24" i="60"/>
  <c r="W24" i="60"/>
  <c r="T24" i="60"/>
  <c r="Q24" i="60"/>
  <c r="N24" i="60"/>
  <c r="AX23" i="60"/>
  <c r="AY23" i="60" s="1"/>
  <c r="AW23" i="60"/>
  <c r="AT23" i="60"/>
  <c r="AQ23" i="60"/>
  <c r="AN23" i="60"/>
  <c r="AK23" i="60"/>
  <c r="AH23" i="60"/>
  <c r="AD23" i="60"/>
  <c r="AE23" i="60" s="1"/>
  <c r="AC23" i="60"/>
  <c r="Z23" i="60"/>
  <c r="W23" i="60"/>
  <c r="T23" i="60"/>
  <c r="Q23" i="60"/>
  <c r="N23" i="60"/>
  <c r="AX22" i="60"/>
  <c r="AY22" i="60" s="1"/>
  <c r="AW22" i="60"/>
  <c r="AT22" i="60"/>
  <c r="AQ22" i="60"/>
  <c r="AN22" i="60"/>
  <c r="AK22" i="60"/>
  <c r="AH22" i="60"/>
  <c r="AD22" i="60"/>
  <c r="AE22" i="60" s="1"/>
  <c r="AC22" i="60"/>
  <c r="Z22" i="60"/>
  <c r="W22" i="60"/>
  <c r="T22" i="60"/>
  <c r="Q22" i="60"/>
  <c r="N22" i="60"/>
  <c r="AX21" i="60"/>
  <c r="AY21" i="60" s="1"/>
  <c r="AW21" i="60"/>
  <c r="AT21" i="60"/>
  <c r="AQ21" i="60"/>
  <c r="AN21" i="60"/>
  <c r="AK21" i="60"/>
  <c r="AH21" i="60"/>
  <c r="AD21" i="60"/>
  <c r="AE21" i="60" s="1"/>
  <c r="AC21" i="60"/>
  <c r="Z21" i="60"/>
  <c r="W21" i="60"/>
  <c r="T21" i="60"/>
  <c r="Q21" i="60"/>
  <c r="N21" i="60"/>
  <c r="AX20" i="60"/>
  <c r="AY20" i="60" s="1"/>
  <c r="AW20" i="60"/>
  <c r="AT20" i="60"/>
  <c r="AQ20" i="60"/>
  <c r="AN20" i="60"/>
  <c r="AK20" i="60"/>
  <c r="AH20" i="60"/>
  <c r="AD20" i="60"/>
  <c r="AE20" i="60" s="1"/>
  <c r="AC20" i="60"/>
  <c r="Z20" i="60"/>
  <c r="W20" i="60"/>
  <c r="T20" i="60"/>
  <c r="Q20" i="60"/>
  <c r="N20" i="60"/>
  <c r="AX19" i="60"/>
  <c r="AY19" i="60" s="1"/>
  <c r="AW19" i="60"/>
  <c r="AT19" i="60"/>
  <c r="AQ19" i="60"/>
  <c r="AN19" i="60"/>
  <c r="AK19" i="60"/>
  <c r="AH19" i="60"/>
  <c r="AD19" i="60"/>
  <c r="AE19" i="60" s="1"/>
  <c r="AC19" i="60"/>
  <c r="Z19" i="60"/>
  <c r="W19" i="60"/>
  <c r="T19" i="60"/>
  <c r="Q19" i="60"/>
  <c r="N19" i="60"/>
  <c r="AX18" i="60"/>
  <c r="AY18" i="60" s="1"/>
  <c r="AW18" i="60"/>
  <c r="AT18" i="60"/>
  <c r="AQ18" i="60"/>
  <c r="AN18" i="60"/>
  <c r="AK18" i="60"/>
  <c r="AH18" i="60"/>
  <c r="AD18" i="60"/>
  <c r="AE18" i="60" s="1"/>
  <c r="AC18" i="60"/>
  <c r="Z18" i="60"/>
  <c r="W18" i="60"/>
  <c r="T18" i="60"/>
  <c r="Q18" i="60"/>
  <c r="N18" i="60"/>
  <c r="AX17" i="60"/>
  <c r="AY17" i="60" s="1"/>
  <c r="AW17" i="60"/>
  <c r="AT17" i="60"/>
  <c r="AQ17" i="60"/>
  <c r="AN17" i="60"/>
  <c r="AK17" i="60"/>
  <c r="AH17" i="60"/>
  <c r="AD17" i="60"/>
  <c r="AE17" i="60" s="1"/>
  <c r="AC17" i="60"/>
  <c r="Z17" i="60"/>
  <c r="W17" i="60"/>
  <c r="T17" i="60"/>
  <c r="Q17" i="60"/>
  <c r="N17" i="60"/>
  <c r="AX16" i="60"/>
  <c r="AY16" i="60" s="1"/>
  <c r="AW16" i="60"/>
  <c r="AT16" i="60"/>
  <c r="AQ16" i="60"/>
  <c r="AN16" i="60"/>
  <c r="AK16" i="60"/>
  <c r="AH16" i="60"/>
  <c r="AD16" i="60"/>
  <c r="AE16" i="60" s="1"/>
  <c r="AC16" i="60"/>
  <c r="Z16" i="60"/>
  <c r="W16" i="60"/>
  <c r="T16" i="60"/>
  <c r="Q16" i="60"/>
  <c r="N16" i="60"/>
  <c r="AW15" i="60"/>
  <c r="AT15" i="60"/>
  <c r="AP15" i="60"/>
  <c r="AQ15" i="60" s="1"/>
  <c r="AM15" i="60"/>
  <c r="AN15" i="60" s="1"/>
  <c r="AK15" i="60"/>
  <c r="AG15" i="60"/>
  <c r="AH15" i="60" s="1"/>
  <c r="AC15" i="60"/>
  <c r="Z15" i="60"/>
  <c r="W15" i="60"/>
  <c r="T15" i="60"/>
  <c r="P15" i="60"/>
  <c r="AD15" i="60" s="1"/>
  <c r="AE15" i="60" s="1"/>
  <c r="N15" i="60"/>
  <c r="M15" i="60"/>
  <c r="AX14" i="60"/>
  <c r="AY14" i="60" s="1"/>
  <c r="AW14" i="60"/>
  <c r="AT14" i="60"/>
  <c r="AQ14" i="60"/>
  <c r="AN14" i="60"/>
  <c r="AK14" i="60"/>
  <c r="AH14" i="60"/>
  <c r="AD14" i="60"/>
  <c r="AE14" i="60" s="1"/>
  <c r="AC14" i="60"/>
  <c r="Z14" i="60"/>
  <c r="W14" i="60"/>
  <c r="T14" i="60"/>
  <c r="Q14" i="60"/>
  <c r="N14" i="60"/>
  <c r="AX13" i="60"/>
  <c r="AY13" i="60" s="1"/>
  <c r="AW13" i="60"/>
  <c r="AT13" i="60"/>
  <c r="AQ13" i="60"/>
  <c r="AN13" i="60"/>
  <c r="AK13" i="60"/>
  <c r="AH13" i="60"/>
  <c r="AD13" i="60"/>
  <c r="AE13" i="60" s="1"/>
  <c r="AC13" i="60"/>
  <c r="Z13" i="60"/>
  <c r="W13" i="60"/>
  <c r="T13" i="60"/>
  <c r="Q13" i="60"/>
  <c r="N13" i="60"/>
  <c r="AX12" i="60"/>
  <c r="AY12" i="60" s="1"/>
  <c r="AW12" i="60"/>
  <c r="AT12" i="60"/>
  <c r="AQ12" i="60"/>
  <c r="AN12" i="60"/>
  <c r="AK12" i="60"/>
  <c r="AH12" i="60"/>
  <c r="AD12" i="60"/>
  <c r="AE12" i="60" s="1"/>
  <c r="AC12" i="60"/>
  <c r="Z12" i="60"/>
  <c r="W12" i="60"/>
  <c r="T12" i="60"/>
  <c r="Q12" i="60"/>
  <c r="N12" i="60"/>
  <c r="AX11" i="60"/>
  <c r="AY11" i="60" s="1"/>
  <c r="AW11" i="60"/>
  <c r="AT11" i="60"/>
  <c r="AQ11" i="60"/>
  <c r="AN11" i="60"/>
  <c r="AK11" i="60"/>
  <c r="AH11" i="60"/>
  <c r="AE11" i="60"/>
  <c r="AC11" i="60"/>
  <c r="Z11" i="60"/>
  <c r="W11" i="60"/>
  <c r="T11" i="60"/>
  <c r="Q11" i="60"/>
  <c r="N11" i="60"/>
  <c r="AX10" i="60"/>
  <c r="AY10" i="60" s="1"/>
  <c r="AW10" i="60"/>
  <c r="AT10" i="60"/>
  <c r="AQ10" i="60"/>
  <c r="AN10" i="60"/>
  <c r="AK10" i="60"/>
  <c r="AH10" i="60"/>
  <c r="AD10" i="60"/>
  <c r="AE10" i="60" s="1"/>
  <c r="AC10" i="60"/>
  <c r="Z10" i="60"/>
  <c r="W10" i="60"/>
  <c r="T10" i="60"/>
  <c r="Q10" i="60"/>
  <c r="N10" i="60"/>
  <c r="AW9" i="60"/>
  <c r="AT9" i="60"/>
  <c r="AQ9" i="60"/>
  <c r="AN9" i="60"/>
  <c r="AK9" i="60"/>
  <c r="AH9" i="60"/>
  <c r="AD9" i="60"/>
  <c r="AC9" i="60"/>
  <c r="Z9" i="60"/>
  <c r="W9" i="60"/>
  <c r="T9" i="60"/>
  <c r="Q9" i="60"/>
  <c r="N9" i="60"/>
  <c r="G9" i="60"/>
  <c r="AY9" i="60" s="1"/>
  <c r="AE9" i="60" l="1"/>
  <c r="Q15" i="60"/>
  <c r="AX15" i="60"/>
  <c r="AY15" i="60" s="1"/>
  <c r="AZ8" i="60" s="1"/>
  <c r="C15" i="10" s="1"/>
  <c r="AX48" i="58" l="1"/>
  <c r="AY48" i="58" s="1"/>
  <c r="AW48" i="58"/>
  <c r="AT48" i="58"/>
  <c r="AQ48" i="58"/>
  <c r="AN48" i="58"/>
  <c r="AK48" i="58"/>
  <c r="AH48" i="58"/>
  <c r="AD48" i="58"/>
  <c r="AE48" i="58" s="1"/>
  <c r="AC48" i="58"/>
  <c r="Z48" i="58"/>
  <c r="W48" i="58"/>
  <c r="T48" i="58"/>
  <c r="Q48" i="58"/>
  <c r="N48" i="58"/>
  <c r="AX46" i="58"/>
  <c r="AY46" i="58" s="1"/>
  <c r="AW46" i="58"/>
  <c r="AT46" i="58"/>
  <c r="AQ46" i="58"/>
  <c r="AN46" i="58"/>
  <c r="AK46" i="58"/>
  <c r="AH46" i="58"/>
  <c r="AD46" i="58"/>
  <c r="AE46" i="58" s="1"/>
  <c r="AC46" i="58"/>
  <c r="Z46" i="58"/>
  <c r="W46" i="58"/>
  <c r="T46" i="58"/>
  <c r="Q46" i="58"/>
  <c r="N46" i="58"/>
  <c r="AX45" i="58"/>
  <c r="AY45" i="58" s="1"/>
  <c r="AW45" i="58"/>
  <c r="AT45" i="58"/>
  <c r="AQ45" i="58"/>
  <c r="AN45" i="58"/>
  <c r="AK45" i="58"/>
  <c r="AH45" i="58"/>
  <c r="AD45" i="58"/>
  <c r="AE45" i="58" s="1"/>
  <c r="AC45" i="58"/>
  <c r="Z45" i="58"/>
  <c r="W45" i="58"/>
  <c r="T45" i="58"/>
  <c r="Q45" i="58"/>
  <c r="N45" i="58"/>
  <c r="AX44" i="58"/>
  <c r="AY44" i="58" s="1"/>
  <c r="AW44" i="58"/>
  <c r="AT44" i="58"/>
  <c r="AQ44" i="58"/>
  <c r="AN44" i="58"/>
  <c r="AK44" i="58"/>
  <c r="AH44" i="58"/>
  <c r="AD44" i="58"/>
  <c r="AE44" i="58" s="1"/>
  <c r="AC44" i="58"/>
  <c r="Z44" i="58"/>
  <c r="W44" i="58"/>
  <c r="T44" i="58"/>
  <c r="Q44" i="58"/>
  <c r="N44" i="58"/>
  <c r="AX42" i="58"/>
  <c r="AY42" i="58" s="1"/>
  <c r="AW42" i="58"/>
  <c r="AT42" i="58"/>
  <c r="AQ42" i="58"/>
  <c r="AN42" i="58"/>
  <c r="AK42" i="58"/>
  <c r="AH42" i="58"/>
  <c r="AD42" i="58"/>
  <c r="AE42" i="58" s="1"/>
  <c r="AC42" i="58"/>
  <c r="Z42" i="58"/>
  <c r="W42" i="58"/>
  <c r="T42" i="58"/>
  <c r="Q42" i="58"/>
  <c r="N42" i="58"/>
  <c r="AX41" i="58"/>
  <c r="AY41" i="58" s="1"/>
  <c r="AW41" i="58"/>
  <c r="AT41" i="58"/>
  <c r="AQ41" i="58"/>
  <c r="AN41" i="58"/>
  <c r="AK41" i="58"/>
  <c r="AH41" i="58"/>
  <c r="AD41" i="58"/>
  <c r="AE41" i="58" s="1"/>
  <c r="AC41" i="58"/>
  <c r="Z41" i="58"/>
  <c r="W41" i="58"/>
  <c r="T41" i="58"/>
  <c r="Q41" i="58"/>
  <c r="N41" i="58"/>
  <c r="AX40" i="58"/>
  <c r="AY40" i="58" s="1"/>
  <c r="AW40" i="58"/>
  <c r="AT40" i="58"/>
  <c r="AQ40" i="58"/>
  <c r="AN40" i="58"/>
  <c r="AK40" i="58"/>
  <c r="AH40" i="58"/>
  <c r="AD40" i="58"/>
  <c r="AE40" i="58" s="1"/>
  <c r="AC40" i="58"/>
  <c r="Z40" i="58"/>
  <c r="W40" i="58"/>
  <c r="T40" i="58"/>
  <c r="Q40" i="58"/>
  <c r="N40" i="58"/>
  <c r="AX39" i="58"/>
  <c r="AY39" i="58" s="1"/>
  <c r="AW39" i="58"/>
  <c r="AT39" i="58"/>
  <c r="AQ39" i="58"/>
  <c r="AN39" i="58"/>
  <c r="AK39" i="58"/>
  <c r="AH39" i="58"/>
  <c r="AD39" i="58"/>
  <c r="AE39" i="58" s="1"/>
  <c r="AC39" i="58"/>
  <c r="Z39" i="58"/>
  <c r="W39" i="58"/>
  <c r="T39" i="58"/>
  <c r="Q39" i="58"/>
  <c r="N39" i="58"/>
  <c r="AX38" i="58"/>
  <c r="AY38" i="58" s="1"/>
  <c r="AW38" i="58"/>
  <c r="AT38" i="58"/>
  <c r="AQ38" i="58"/>
  <c r="AN38" i="58"/>
  <c r="AK38" i="58"/>
  <c r="AH38" i="58"/>
  <c r="AD38" i="58"/>
  <c r="AE38" i="58" s="1"/>
  <c r="AC38" i="58"/>
  <c r="Z38" i="58"/>
  <c r="W38" i="58"/>
  <c r="T38" i="58"/>
  <c r="Q38" i="58"/>
  <c r="N38" i="58"/>
  <c r="AX37" i="58"/>
  <c r="AY37" i="58" s="1"/>
  <c r="AW37" i="58"/>
  <c r="AT37" i="58"/>
  <c r="AQ37" i="58"/>
  <c r="AN37" i="58"/>
  <c r="AK37" i="58"/>
  <c r="AH37" i="58"/>
  <c r="AD37" i="58"/>
  <c r="AE37" i="58" s="1"/>
  <c r="AC37" i="58"/>
  <c r="Z37" i="58"/>
  <c r="W37" i="58"/>
  <c r="T37" i="58"/>
  <c r="Q37" i="58"/>
  <c r="N37" i="58"/>
  <c r="AX36" i="58"/>
  <c r="AY36" i="58" s="1"/>
  <c r="AW36" i="58"/>
  <c r="AT36" i="58"/>
  <c r="AQ36" i="58"/>
  <c r="AN36" i="58"/>
  <c r="AK36" i="58"/>
  <c r="AH36" i="58"/>
  <c r="AD36" i="58"/>
  <c r="AE36" i="58" s="1"/>
  <c r="AC36" i="58"/>
  <c r="Z36" i="58"/>
  <c r="W36" i="58"/>
  <c r="T36" i="58"/>
  <c r="Q36" i="58"/>
  <c r="N36" i="58"/>
  <c r="AX35" i="58"/>
  <c r="AY35" i="58" s="1"/>
  <c r="AW35" i="58"/>
  <c r="AT35" i="58"/>
  <c r="AQ35" i="58"/>
  <c r="AN35" i="58"/>
  <c r="AK35" i="58"/>
  <c r="AH35" i="58"/>
  <c r="AD35" i="58"/>
  <c r="AE35" i="58" s="1"/>
  <c r="AC35" i="58"/>
  <c r="Z35" i="58"/>
  <c r="W35" i="58"/>
  <c r="T35" i="58"/>
  <c r="Q35" i="58"/>
  <c r="N35" i="58"/>
  <c r="AX34" i="58"/>
  <c r="AY34" i="58" s="1"/>
  <c r="AW34" i="58"/>
  <c r="AT34" i="58"/>
  <c r="AQ34" i="58"/>
  <c r="AN34" i="58"/>
  <c r="AK34" i="58"/>
  <c r="AH34" i="58"/>
  <c r="AD34" i="58"/>
  <c r="AE34" i="58" s="1"/>
  <c r="AC34" i="58"/>
  <c r="Z34" i="58"/>
  <c r="W34" i="58"/>
  <c r="T34" i="58"/>
  <c r="Q34" i="58"/>
  <c r="N34" i="58"/>
  <c r="AX33" i="58"/>
  <c r="AY33" i="58" s="1"/>
  <c r="AW33" i="58"/>
  <c r="AT33" i="58"/>
  <c r="AQ33" i="58"/>
  <c r="AN33" i="58"/>
  <c r="AK33" i="58"/>
  <c r="AH33" i="58"/>
  <c r="AD33" i="58"/>
  <c r="AE33" i="58" s="1"/>
  <c r="AC33" i="58"/>
  <c r="Z33" i="58"/>
  <c r="W33" i="58"/>
  <c r="T33" i="58"/>
  <c r="Q33" i="58"/>
  <c r="N33" i="58"/>
  <c r="AX32" i="58"/>
  <c r="AY32" i="58" s="1"/>
  <c r="AW32" i="58"/>
  <c r="AT32" i="58"/>
  <c r="AQ32" i="58"/>
  <c r="AN32" i="58"/>
  <c r="AK32" i="58"/>
  <c r="AH32" i="58"/>
  <c r="AD32" i="58"/>
  <c r="AE32" i="58" s="1"/>
  <c r="AC32" i="58"/>
  <c r="Z32" i="58"/>
  <c r="W32" i="58"/>
  <c r="T32" i="58"/>
  <c r="Q32" i="58"/>
  <c r="N32" i="58"/>
  <c r="AX31" i="58"/>
  <c r="AY31" i="58" s="1"/>
  <c r="AW31" i="58"/>
  <c r="AT31" i="58"/>
  <c r="AQ31" i="58"/>
  <c r="AN31" i="58"/>
  <c r="AK31" i="58"/>
  <c r="AH31" i="58"/>
  <c r="AD31" i="58"/>
  <c r="AE31" i="58" s="1"/>
  <c r="AC31" i="58"/>
  <c r="Z31" i="58"/>
  <c r="W31" i="58"/>
  <c r="T31" i="58"/>
  <c r="Q31" i="58"/>
  <c r="N31" i="58"/>
  <c r="AX30" i="58"/>
  <c r="AY30" i="58" s="1"/>
  <c r="AW30" i="58"/>
  <c r="AT30" i="58"/>
  <c r="AQ30" i="58"/>
  <c r="AN30" i="58"/>
  <c r="AK30" i="58"/>
  <c r="AH30" i="58"/>
  <c r="AD30" i="58"/>
  <c r="AE30" i="58" s="1"/>
  <c r="AC30" i="58"/>
  <c r="Z30" i="58"/>
  <c r="W30" i="58"/>
  <c r="T30" i="58"/>
  <c r="Q30" i="58"/>
  <c r="N30" i="58"/>
  <c r="AV29" i="58"/>
  <c r="AW29" i="58" s="1"/>
  <c r="AU29" i="58"/>
  <c r="AS29" i="58"/>
  <c r="AT29" i="58" s="1"/>
  <c r="AR29" i="58"/>
  <c r="AP29" i="58"/>
  <c r="AO29" i="58"/>
  <c r="AM29" i="58"/>
  <c r="AN29" i="58" s="1"/>
  <c r="AL29" i="58"/>
  <c r="AJ29" i="58"/>
  <c r="AI29" i="58"/>
  <c r="AG29" i="58"/>
  <c r="AH29" i="58" s="1"/>
  <c r="AF29" i="58"/>
  <c r="AB29" i="58"/>
  <c r="AA29" i="58"/>
  <c r="Y29" i="58"/>
  <c r="Z29" i="58" s="1"/>
  <c r="X29" i="58"/>
  <c r="V29" i="58"/>
  <c r="U29" i="58"/>
  <c r="T29" i="58"/>
  <c r="S29" i="58"/>
  <c r="R29" i="58"/>
  <c r="P29" i="58"/>
  <c r="O29" i="58"/>
  <c r="M29" i="58"/>
  <c r="L29" i="58"/>
  <c r="G29" i="58"/>
  <c r="AX28" i="58"/>
  <c r="AY28" i="58" s="1"/>
  <c r="AW28" i="58"/>
  <c r="AT28" i="58"/>
  <c r="AQ28" i="58"/>
  <c r="AN28" i="58"/>
  <c r="AK28" i="58"/>
  <c r="AH28" i="58"/>
  <c r="AD28" i="58"/>
  <c r="AE28" i="58" s="1"/>
  <c r="AC28" i="58"/>
  <c r="Z28" i="58"/>
  <c r="W28" i="58"/>
  <c r="T28" i="58"/>
  <c r="Q28" i="58"/>
  <c r="N28" i="58"/>
  <c r="AX27" i="58"/>
  <c r="AY27" i="58" s="1"/>
  <c r="AW27" i="58"/>
  <c r="AT27" i="58"/>
  <c r="AQ27" i="58"/>
  <c r="AN27" i="58"/>
  <c r="AK27" i="58"/>
  <c r="AH27" i="58"/>
  <c r="AD27" i="58"/>
  <c r="AE27" i="58" s="1"/>
  <c r="AC27" i="58"/>
  <c r="Z27" i="58"/>
  <c r="W27" i="58"/>
  <c r="T27" i="58"/>
  <c r="Q27" i="58"/>
  <c r="N27" i="58"/>
  <c r="AX26" i="58"/>
  <c r="AY26" i="58" s="1"/>
  <c r="AW26" i="58"/>
  <c r="AT26" i="58"/>
  <c r="AQ26" i="58"/>
  <c r="AN26" i="58"/>
  <c r="AK26" i="58"/>
  <c r="AH26" i="58"/>
  <c r="AD26" i="58"/>
  <c r="AE26" i="58" s="1"/>
  <c r="AC26" i="58"/>
  <c r="Z26" i="58"/>
  <c r="W26" i="58"/>
  <c r="T26" i="58"/>
  <c r="Q26" i="58"/>
  <c r="N26" i="58"/>
  <c r="AX25" i="58"/>
  <c r="AY25" i="58" s="1"/>
  <c r="AW25" i="58"/>
  <c r="AT25" i="58"/>
  <c r="AQ25" i="58"/>
  <c r="AN25" i="58"/>
  <c r="AK25" i="58"/>
  <c r="AH25" i="58"/>
  <c r="AD25" i="58"/>
  <c r="AE25" i="58" s="1"/>
  <c r="AC25" i="58"/>
  <c r="Z25" i="58"/>
  <c r="W25" i="58"/>
  <c r="T25" i="58"/>
  <c r="Q25" i="58"/>
  <c r="N25" i="58"/>
  <c r="AX24" i="58"/>
  <c r="AY24" i="58" s="1"/>
  <c r="AW24" i="58"/>
  <c r="AT24" i="58"/>
  <c r="AQ24" i="58"/>
  <c r="AN24" i="58"/>
  <c r="AK24" i="58"/>
  <c r="AH24" i="58"/>
  <c r="AD24" i="58"/>
  <c r="AE24" i="58" s="1"/>
  <c r="AC24" i="58"/>
  <c r="Z24" i="58"/>
  <c r="W24" i="58"/>
  <c r="T24" i="58"/>
  <c r="Q24" i="58"/>
  <c r="N24" i="58"/>
  <c r="AX23" i="58"/>
  <c r="AY23" i="58" s="1"/>
  <c r="AW23" i="58"/>
  <c r="AT23" i="58"/>
  <c r="AQ23" i="58"/>
  <c r="AN23" i="58"/>
  <c r="AK23" i="58"/>
  <c r="AH23" i="58"/>
  <c r="AD23" i="58"/>
  <c r="AE23" i="58" s="1"/>
  <c r="AC23" i="58"/>
  <c r="Z23" i="58"/>
  <c r="W23" i="58"/>
  <c r="T23" i="58"/>
  <c r="Q23" i="58"/>
  <c r="N23" i="58"/>
  <c r="AX22" i="58"/>
  <c r="AY22" i="58" s="1"/>
  <c r="AW22" i="58"/>
  <c r="AT22" i="58"/>
  <c r="AQ22" i="58"/>
  <c r="AN22" i="58"/>
  <c r="AK22" i="58"/>
  <c r="AH22" i="58"/>
  <c r="AD22" i="58"/>
  <c r="AE22" i="58" s="1"/>
  <c r="AC22" i="58"/>
  <c r="Z22" i="58"/>
  <c r="W22" i="58"/>
  <c r="T22" i="58"/>
  <c r="Q22" i="58"/>
  <c r="N22" i="58"/>
  <c r="AX21" i="58"/>
  <c r="AY21" i="58" s="1"/>
  <c r="AW21" i="58"/>
  <c r="AT21" i="58"/>
  <c r="AQ21" i="58"/>
  <c r="AN21" i="58"/>
  <c r="AK21" i="58"/>
  <c r="AH21" i="58"/>
  <c r="AD21" i="58"/>
  <c r="AE21" i="58" s="1"/>
  <c r="AC21" i="58"/>
  <c r="Z21" i="58"/>
  <c r="W21" i="58"/>
  <c r="T21" i="58"/>
  <c r="Q21" i="58"/>
  <c r="N21" i="58"/>
  <c r="AX20" i="58"/>
  <c r="AY20" i="58" s="1"/>
  <c r="AW20" i="58"/>
  <c r="AT20" i="58"/>
  <c r="AQ20" i="58"/>
  <c r="AN20" i="58"/>
  <c r="AK20" i="58"/>
  <c r="AH20" i="58"/>
  <c r="AD20" i="58"/>
  <c r="AE20" i="58" s="1"/>
  <c r="AC20" i="58"/>
  <c r="Z20" i="58"/>
  <c r="W20" i="58"/>
  <c r="T20" i="58"/>
  <c r="Q20" i="58"/>
  <c r="N20" i="58"/>
  <c r="AX19" i="58"/>
  <c r="AY19" i="58" s="1"/>
  <c r="AW19" i="58"/>
  <c r="AT19" i="58"/>
  <c r="AQ19" i="58"/>
  <c r="AN19" i="58"/>
  <c r="AK19" i="58"/>
  <c r="AH19" i="58"/>
  <c r="AD19" i="58"/>
  <c r="AE19" i="58" s="1"/>
  <c r="AC19" i="58"/>
  <c r="Z19" i="58"/>
  <c r="W19" i="58"/>
  <c r="T19" i="58"/>
  <c r="N19" i="58"/>
  <c r="AX18" i="58"/>
  <c r="AY18" i="58" s="1"/>
  <c r="AW18" i="58"/>
  <c r="AT18" i="58"/>
  <c r="AQ18" i="58"/>
  <c r="AN18" i="58"/>
  <c r="AK18" i="58"/>
  <c r="AH18" i="58"/>
  <c r="AD18" i="58"/>
  <c r="AE18" i="58" s="1"/>
  <c r="AC18" i="58"/>
  <c r="Z18" i="58"/>
  <c r="W18" i="58"/>
  <c r="T18" i="58"/>
  <c r="Q18" i="58"/>
  <c r="N18" i="58"/>
  <c r="AX17" i="58"/>
  <c r="AY17" i="58" s="1"/>
  <c r="AW17" i="58"/>
  <c r="AT17" i="58"/>
  <c r="AQ17" i="58"/>
  <c r="AN17" i="58"/>
  <c r="AK17" i="58"/>
  <c r="AH17" i="58"/>
  <c r="AE17" i="58"/>
  <c r="AD17" i="58"/>
  <c r="AC17" i="58"/>
  <c r="Z17" i="58"/>
  <c r="W17" i="58"/>
  <c r="T17" i="58"/>
  <c r="Q17" i="58"/>
  <c r="N17" i="58"/>
  <c r="AX16" i="58"/>
  <c r="AY16" i="58" s="1"/>
  <c r="AW16" i="58"/>
  <c r="AT16" i="58"/>
  <c r="AQ16" i="58"/>
  <c r="AN16" i="58"/>
  <c r="AK16" i="58"/>
  <c r="AH16" i="58"/>
  <c r="AD16" i="58"/>
  <c r="AE16" i="58" s="1"/>
  <c r="AC16" i="58"/>
  <c r="Z16" i="58"/>
  <c r="W16" i="58"/>
  <c r="T16" i="58"/>
  <c r="Q16" i="58"/>
  <c r="N16" i="58"/>
  <c r="AX15" i="58"/>
  <c r="AY15" i="58" s="1"/>
  <c r="AW15" i="58"/>
  <c r="AT15" i="58"/>
  <c r="AQ15" i="58"/>
  <c r="AN15" i="58"/>
  <c r="AK15" i="58"/>
  <c r="AH15" i="58"/>
  <c r="AD15" i="58"/>
  <c r="AE15" i="58" s="1"/>
  <c r="AC15" i="58"/>
  <c r="Z15" i="58"/>
  <c r="W15" i="58"/>
  <c r="T15" i="58"/>
  <c r="Q15" i="58"/>
  <c r="N15" i="58"/>
  <c r="AX14" i="58"/>
  <c r="AY14" i="58" s="1"/>
  <c r="AW14" i="58"/>
  <c r="AT14" i="58"/>
  <c r="AQ14" i="58"/>
  <c r="AN14" i="58"/>
  <c r="AK14" i="58"/>
  <c r="AH14" i="58"/>
  <c r="AD14" i="58"/>
  <c r="AE14" i="58" s="1"/>
  <c r="AC14" i="58"/>
  <c r="Z14" i="58"/>
  <c r="W14" i="58"/>
  <c r="T14" i="58"/>
  <c r="Q14" i="58"/>
  <c r="N14" i="58"/>
  <c r="AX13" i="58"/>
  <c r="AY13" i="58" s="1"/>
  <c r="AW13" i="58"/>
  <c r="AT13" i="58"/>
  <c r="AQ13" i="58"/>
  <c r="AN13" i="58"/>
  <c r="AK13" i="58"/>
  <c r="AH13" i="58"/>
  <c r="AD13" i="58"/>
  <c r="AE13" i="58" s="1"/>
  <c r="AC13" i="58"/>
  <c r="Z13" i="58"/>
  <c r="W13" i="58"/>
  <c r="T13" i="58"/>
  <c r="Q13" i="58"/>
  <c r="N13" i="58"/>
  <c r="AX12" i="58"/>
  <c r="AY12" i="58" s="1"/>
  <c r="AW12" i="58"/>
  <c r="AT12" i="58"/>
  <c r="AQ12" i="58"/>
  <c r="AN12" i="58"/>
  <c r="AK12" i="58"/>
  <c r="AH12" i="58"/>
  <c r="AD12" i="58"/>
  <c r="AE12" i="58" s="1"/>
  <c r="AC12" i="58"/>
  <c r="Z12" i="58"/>
  <c r="W12" i="58"/>
  <c r="T12" i="58"/>
  <c r="Q12" i="58"/>
  <c r="N12" i="58"/>
  <c r="AX11" i="58"/>
  <c r="AY11" i="58" s="1"/>
  <c r="AW11" i="58"/>
  <c r="AT11" i="58"/>
  <c r="AQ11" i="58"/>
  <c r="AN11" i="58"/>
  <c r="AK11" i="58"/>
  <c r="AH11" i="58"/>
  <c r="AD11" i="58"/>
  <c r="AE11" i="58" s="1"/>
  <c r="AC11" i="58"/>
  <c r="Z11" i="58"/>
  <c r="W11" i="58"/>
  <c r="T11" i="58"/>
  <c r="Q11" i="58"/>
  <c r="N11" i="58"/>
  <c r="AX10" i="58"/>
  <c r="AY10" i="58" s="1"/>
  <c r="AW10" i="58"/>
  <c r="AT10" i="58"/>
  <c r="AQ10" i="58"/>
  <c r="AN10" i="58"/>
  <c r="AK10" i="58"/>
  <c r="AH10" i="58"/>
  <c r="AD10" i="58"/>
  <c r="AE10" i="58" s="1"/>
  <c r="AC10" i="58"/>
  <c r="Z10" i="58"/>
  <c r="W10" i="58"/>
  <c r="T10" i="58"/>
  <c r="Q10" i="58"/>
  <c r="N10" i="58"/>
  <c r="AX9" i="58"/>
  <c r="AW9" i="58"/>
  <c r="AT9" i="58"/>
  <c r="AQ9" i="58"/>
  <c r="AN9" i="58"/>
  <c r="AK9" i="58"/>
  <c r="AH9" i="58"/>
  <c r="AD9" i="58"/>
  <c r="AC9" i="58"/>
  <c r="Z9" i="58"/>
  <c r="W9" i="58"/>
  <c r="T9" i="58"/>
  <c r="Q9" i="58"/>
  <c r="N9" i="58"/>
  <c r="G9" i="58"/>
  <c r="AX29" i="58" l="1"/>
  <c r="AY29" i="58" s="1"/>
  <c r="AY9" i="58"/>
  <c r="AZ7" i="58" s="1"/>
  <c r="C13" i="10" s="1"/>
  <c r="AC29" i="58"/>
  <c r="AE9" i="58"/>
  <c r="AQ29" i="58"/>
  <c r="Q29" i="58"/>
  <c r="W29" i="58"/>
  <c r="AK29" i="58"/>
  <c r="N29" i="58"/>
  <c r="AD29" i="58"/>
  <c r="AE29" i="58" s="1"/>
  <c r="AX31" i="57" l="1"/>
  <c r="AY31" i="57" s="1"/>
  <c r="AW31" i="57"/>
  <c r="AT31" i="57"/>
  <c r="AQ31" i="57"/>
  <c r="AN31" i="57"/>
  <c r="AK31" i="57"/>
  <c r="AH31" i="57"/>
  <c r="AD31" i="57"/>
  <c r="AE31" i="57" s="1"/>
  <c r="AC31" i="57"/>
  <c r="Z31" i="57"/>
  <c r="W31" i="57"/>
  <c r="T31" i="57"/>
  <c r="Q31" i="57"/>
  <c r="N31" i="57"/>
  <c r="AX29" i="57"/>
  <c r="AY29" i="57" s="1"/>
  <c r="AW29" i="57"/>
  <c r="AT29" i="57"/>
  <c r="AQ29" i="57"/>
  <c r="AN29" i="57"/>
  <c r="AK29" i="57"/>
  <c r="AH29" i="57"/>
  <c r="AD29" i="57"/>
  <c r="AE29" i="57" s="1"/>
  <c r="AC29" i="57"/>
  <c r="Z29" i="57"/>
  <c r="W29" i="57"/>
  <c r="T29" i="57"/>
  <c r="Q29" i="57"/>
  <c r="N29" i="57"/>
  <c r="AX28" i="57"/>
  <c r="AY28" i="57" s="1"/>
  <c r="AW28" i="57"/>
  <c r="AT28" i="57"/>
  <c r="AQ28" i="57"/>
  <c r="AN28" i="57"/>
  <c r="AK28" i="57"/>
  <c r="AH28" i="57"/>
  <c r="AD28" i="57"/>
  <c r="AE28" i="57" s="1"/>
  <c r="AC28" i="57"/>
  <c r="Z28" i="57"/>
  <c r="W28" i="57"/>
  <c r="T28" i="57"/>
  <c r="Q28" i="57"/>
  <c r="N28" i="57"/>
  <c r="AX27" i="57"/>
  <c r="AY27" i="57" s="1"/>
  <c r="AW27" i="57"/>
  <c r="AT27" i="57"/>
  <c r="AQ27" i="57"/>
  <c r="AN27" i="57"/>
  <c r="AK27" i="57"/>
  <c r="AH27" i="57"/>
  <c r="AD27" i="57"/>
  <c r="AE27" i="57" s="1"/>
  <c r="Z27" i="57"/>
  <c r="W27" i="57"/>
  <c r="T27" i="57"/>
  <c r="Q27" i="57"/>
  <c r="N27" i="57"/>
  <c r="AX25" i="57"/>
  <c r="AY25" i="57" s="1"/>
  <c r="AW25" i="57"/>
  <c r="AT25" i="57"/>
  <c r="AQ25" i="57"/>
  <c r="AN25" i="57"/>
  <c r="AK25" i="57"/>
  <c r="AH25" i="57"/>
  <c r="AD25" i="57"/>
  <c r="AE25" i="57" s="1"/>
  <c r="AC25" i="57"/>
  <c r="Z25" i="57"/>
  <c r="W25" i="57"/>
  <c r="T25" i="57"/>
  <c r="Q25" i="57"/>
  <c r="N25" i="57"/>
  <c r="AX24" i="57"/>
  <c r="AY24" i="57" s="1"/>
  <c r="AW24" i="57"/>
  <c r="AT24" i="57"/>
  <c r="AQ24" i="57"/>
  <c r="AN24" i="57"/>
  <c r="AK24" i="57"/>
  <c r="AH24" i="57"/>
  <c r="AD24" i="57"/>
  <c r="AE24" i="57" s="1"/>
  <c r="AC24" i="57"/>
  <c r="Z24" i="57"/>
  <c r="W24" i="57"/>
  <c r="T24" i="57"/>
  <c r="Q24" i="57"/>
  <c r="N24" i="57"/>
  <c r="AX23" i="57"/>
  <c r="AY23" i="57" s="1"/>
  <c r="AW23" i="57"/>
  <c r="AT23" i="57"/>
  <c r="AQ23" i="57"/>
  <c r="AN23" i="57"/>
  <c r="AK23" i="57"/>
  <c r="AH23" i="57"/>
  <c r="AD23" i="57"/>
  <c r="AE23" i="57" s="1"/>
  <c r="AC23" i="57"/>
  <c r="Z23" i="57"/>
  <c r="W23" i="57"/>
  <c r="T23" i="57"/>
  <c r="Q23" i="57"/>
  <c r="N23" i="57"/>
  <c r="AX22" i="57"/>
  <c r="AY22" i="57" s="1"/>
  <c r="AW22" i="57"/>
  <c r="AT22" i="57"/>
  <c r="AQ22" i="57"/>
  <c r="AN22" i="57"/>
  <c r="AK22" i="57"/>
  <c r="AH22" i="57"/>
  <c r="AD22" i="57"/>
  <c r="AE22" i="57" s="1"/>
  <c r="AC22" i="57"/>
  <c r="Z22" i="57"/>
  <c r="W22" i="57"/>
  <c r="T22" i="57"/>
  <c r="Q22" i="57"/>
  <c r="N22" i="57"/>
  <c r="AX21" i="57"/>
  <c r="AY21" i="57" s="1"/>
  <c r="AW21" i="57"/>
  <c r="AT21" i="57"/>
  <c r="AQ21" i="57"/>
  <c r="AN21" i="57"/>
  <c r="AK21" i="57"/>
  <c r="AH21" i="57"/>
  <c r="AD21" i="57"/>
  <c r="AE21" i="57" s="1"/>
  <c r="AC21" i="57"/>
  <c r="Z21" i="57"/>
  <c r="W21" i="57"/>
  <c r="T21" i="57"/>
  <c r="Q21" i="57"/>
  <c r="N21" i="57"/>
  <c r="AX20" i="57"/>
  <c r="AY20" i="57" s="1"/>
  <c r="AW20" i="57"/>
  <c r="AT20" i="57"/>
  <c r="AQ20" i="57"/>
  <c r="AN20" i="57"/>
  <c r="AK20" i="57"/>
  <c r="AH20" i="57"/>
  <c r="AD20" i="57"/>
  <c r="AE20" i="57" s="1"/>
  <c r="AC20" i="57"/>
  <c r="Z20" i="57"/>
  <c r="W20" i="57"/>
  <c r="T20" i="57"/>
  <c r="Q20" i="57"/>
  <c r="N20" i="57"/>
  <c r="AX19" i="57"/>
  <c r="AY19" i="57" s="1"/>
  <c r="AW19" i="57"/>
  <c r="AT19" i="57"/>
  <c r="AQ19" i="57"/>
  <c r="AN19" i="57"/>
  <c r="AK19" i="57"/>
  <c r="AH19" i="57"/>
  <c r="AD19" i="57"/>
  <c r="AE19" i="57" s="1"/>
  <c r="AC19" i="57"/>
  <c r="Z19" i="57"/>
  <c r="W19" i="57"/>
  <c r="T19" i="57"/>
  <c r="Q19" i="57"/>
  <c r="N19" i="57"/>
  <c r="AX18" i="57"/>
  <c r="AY18" i="57" s="1"/>
  <c r="AW18" i="57"/>
  <c r="AT18" i="57"/>
  <c r="AQ18" i="57"/>
  <c r="AN18" i="57"/>
  <c r="AK18" i="57"/>
  <c r="AH18" i="57"/>
  <c r="AD18" i="57"/>
  <c r="AE18" i="57" s="1"/>
  <c r="AC18" i="57"/>
  <c r="Z18" i="57"/>
  <c r="W18" i="57"/>
  <c r="T18" i="57"/>
  <c r="Q18" i="57"/>
  <c r="N18" i="57"/>
  <c r="AX17" i="57"/>
  <c r="AY17" i="57" s="1"/>
  <c r="AW17" i="57"/>
  <c r="AT17" i="57"/>
  <c r="AQ17" i="57"/>
  <c r="AN17" i="57"/>
  <c r="AK17" i="57"/>
  <c r="AH17" i="57"/>
  <c r="AD17" i="57"/>
  <c r="AE17" i="57" s="1"/>
  <c r="AC17" i="57"/>
  <c r="Z17" i="57"/>
  <c r="W17" i="57"/>
  <c r="T17" i="57"/>
  <c r="Q17" i="57"/>
  <c r="N17" i="57"/>
  <c r="AX16" i="57"/>
  <c r="AY16" i="57" s="1"/>
  <c r="AW16" i="57"/>
  <c r="AT16" i="57"/>
  <c r="AQ16" i="57"/>
  <c r="AN16" i="57"/>
  <c r="AK16" i="57"/>
  <c r="AH16" i="57"/>
  <c r="AD16" i="57"/>
  <c r="AE16" i="57" s="1"/>
  <c r="AC16" i="57"/>
  <c r="Z16" i="57"/>
  <c r="W16" i="57"/>
  <c r="T16" i="57"/>
  <c r="Q16" i="57"/>
  <c r="N16" i="57"/>
  <c r="AX15" i="57"/>
  <c r="AY15" i="57" s="1"/>
  <c r="AW15" i="57"/>
  <c r="AT15" i="57"/>
  <c r="AQ15" i="57"/>
  <c r="AN15" i="57"/>
  <c r="AK15" i="57"/>
  <c r="AH15" i="57"/>
  <c r="AD15" i="57"/>
  <c r="AE15" i="57" s="1"/>
  <c r="AC15" i="57"/>
  <c r="Z15" i="57"/>
  <c r="W15" i="57"/>
  <c r="T15" i="57"/>
  <c r="Q15" i="57"/>
  <c r="N15" i="57"/>
  <c r="AX14" i="57"/>
  <c r="AY14" i="57" s="1"/>
  <c r="AW14" i="57"/>
  <c r="AT14" i="57"/>
  <c r="AQ14" i="57"/>
  <c r="AN14" i="57"/>
  <c r="AK14" i="57"/>
  <c r="AH14" i="57"/>
  <c r="AD14" i="57"/>
  <c r="AE14" i="57" s="1"/>
  <c r="AC14" i="57"/>
  <c r="Z14" i="57"/>
  <c r="W14" i="57"/>
  <c r="T14" i="57"/>
  <c r="Q14" i="57"/>
  <c r="N14" i="57"/>
  <c r="AW13" i="57"/>
  <c r="AT13" i="57"/>
  <c r="AQ13" i="57"/>
  <c r="AN13" i="57"/>
  <c r="AK13" i="57"/>
  <c r="AH13" i="57"/>
  <c r="AE13" i="57"/>
  <c r="AD13" i="57"/>
  <c r="AX13" i="57" s="1"/>
  <c r="AY13" i="57" s="1"/>
  <c r="AC13" i="57"/>
  <c r="Z13" i="57"/>
  <c r="W13" i="57"/>
  <c r="T13" i="57"/>
  <c r="Q13" i="57"/>
  <c r="N13" i="57"/>
  <c r="AY12" i="57"/>
  <c r="AX12" i="57"/>
  <c r="AW12" i="57"/>
  <c r="AT12" i="57"/>
  <c r="AQ12" i="57"/>
  <c r="AN12" i="57"/>
  <c r="AK12" i="57"/>
  <c r="AH12" i="57"/>
  <c r="AE12" i="57"/>
  <c r="AC12" i="57"/>
  <c r="Z12" i="57"/>
  <c r="W12" i="57"/>
  <c r="T12" i="57"/>
  <c r="Q12" i="57"/>
  <c r="N12" i="57"/>
  <c r="AX11" i="57"/>
  <c r="AY11" i="57" s="1"/>
  <c r="AW11" i="57"/>
  <c r="AT11" i="57"/>
  <c r="AQ11" i="57"/>
  <c r="AN11" i="57"/>
  <c r="AK11" i="57"/>
  <c r="AH11" i="57"/>
  <c r="AD11" i="57"/>
  <c r="AE11" i="57" s="1"/>
  <c r="AC11" i="57"/>
  <c r="Z11" i="57"/>
  <c r="W11" i="57"/>
  <c r="T11" i="57"/>
  <c r="Q11" i="57"/>
  <c r="N11" i="57"/>
  <c r="AX10" i="57"/>
  <c r="AY10" i="57" s="1"/>
  <c r="AW10" i="57"/>
  <c r="AT10" i="57"/>
  <c r="AQ10" i="57"/>
  <c r="AN10" i="57"/>
  <c r="AK10" i="57"/>
  <c r="AH10" i="57"/>
  <c r="AD10" i="57"/>
  <c r="AE10" i="57" s="1"/>
  <c r="AC10" i="57"/>
  <c r="Z10" i="57"/>
  <c r="W10" i="57"/>
  <c r="T10" i="57"/>
  <c r="Q10" i="57"/>
  <c r="N10" i="57"/>
  <c r="AX9" i="57"/>
  <c r="AY9" i="57" s="1"/>
  <c r="AW9" i="57"/>
  <c r="AT9" i="57"/>
  <c r="AQ9" i="57"/>
  <c r="AN9" i="57"/>
  <c r="AK9" i="57"/>
  <c r="AH9" i="57"/>
  <c r="AD9" i="57"/>
  <c r="AE9" i="57" s="1"/>
  <c r="AC9" i="57"/>
  <c r="Z9" i="57"/>
  <c r="W9" i="57"/>
  <c r="T9" i="57"/>
  <c r="Q9" i="57"/>
  <c r="N9" i="57"/>
  <c r="AZ8" i="57" l="1"/>
  <c r="C9" i="10" s="1"/>
  <c r="AX30" i="55"/>
  <c r="AY30" i="55" s="1"/>
  <c r="AW30" i="55"/>
  <c r="AT30" i="55"/>
  <c r="AQ30" i="55"/>
  <c r="AN30" i="55"/>
  <c r="AK30" i="55"/>
  <c r="AH30" i="55"/>
  <c r="AD30" i="55"/>
  <c r="AE30" i="55" s="1"/>
  <c r="AC30" i="55"/>
  <c r="Z30" i="55"/>
  <c r="W30" i="55"/>
  <c r="T30" i="55"/>
  <c r="Q30" i="55"/>
  <c r="N30" i="55"/>
  <c r="AX28" i="55"/>
  <c r="AY28" i="55" s="1"/>
  <c r="AW28" i="55"/>
  <c r="AT28" i="55"/>
  <c r="AQ28" i="55"/>
  <c r="AN28" i="55"/>
  <c r="AK28" i="55"/>
  <c r="AH28" i="55"/>
  <c r="AD28" i="55"/>
  <c r="AE28" i="55" s="1"/>
  <c r="AC28" i="55"/>
  <c r="Z28" i="55"/>
  <c r="W28" i="55"/>
  <c r="T28" i="55"/>
  <c r="Q28" i="55"/>
  <c r="N28" i="55"/>
  <c r="AX27" i="55"/>
  <c r="AY27" i="55" s="1"/>
  <c r="AW27" i="55"/>
  <c r="AT27" i="55"/>
  <c r="AQ27" i="55"/>
  <c r="AN27" i="55"/>
  <c r="AK27" i="55"/>
  <c r="AH27" i="55"/>
  <c r="AD27" i="55"/>
  <c r="AE27" i="55" s="1"/>
  <c r="AC27" i="55"/>
  <c r="Z27" i="55"/>
  <c r="W27" i="55"/>
  <c r="T27" i="55"/>
  <c r="Q27" i="55"/>
  <c r="N27" i="55"/>
  <c r="AW26" i="55"/>
  <c r="AT26" i="55"/>
  <c r="AQ26" i="55"/>
  <c r="AN26" i="55"/>
  <c r="AJ26" i="55"/>
  <c r="AX26" i="55" s="1"/>
  <c r="AY26" i="55" s="1"/>
  <c r="AH26" i="55"/>
  <c r="AD26" i="55"/>
  <c r="AE26" i="55" s="1"/>
  <c r="AC26" i="55"/>
  <c r="Z26" i="55"/>
  <c r="W26" i="55"/>
  <c r="T26" i="55"/>
  <c r="Q26" i="55"/>
  <c r="N26" i="55"/>
  <c r="AY24" i="55"/>
  <c r="AW24" i="55"/>
  <c r="AT24" i="55"/>
  <c r="AQ24" i="55"/>
  <c r="AN24" i="55"/>
  <c r="AK24" i="55"/>
  <c r="AH24" i="55"/>
  <c r="AE24" i="55"/>
  <c r="AC24" i="55"/>
  <c r="Z24" i="55"/>
  <c r="W24" i="55"/>
  <c r="T24" i="55"/>
  <c r="Q24" i="55"/>
  <c r="N24" i="55"/>
  <c r="AY23" i="55"/>
  <c r="AX23" i="55"/>
  <c r="AW23" i="55"/>
  <c r="AT23" i="55"/>
  <c r="AQ23" i="55"/>
  <c r="AN23" i="55"/>
  <c r="AK23" i="55"/>
  <c r="AH23" i="55"/>
  <c r="AE23" i="55"/>
  <c r="AC23" i="55"/>
  <c r="Z23" i="55"/>
  <c r="W23" i="55"/>
  <c r="T23" i="55"/>
  <c r="Q23" i="55"/>
  <c r="N23" i="55"/>
  <c r="AY22" i="55"/>
  <c r="AW22" i="55"/>
  <c r="AT22" i="55"/>
  <c r="AQ22" i="55"/>
  <c r="AN22" i="55"/>
  <c r="AK22" i="55"/>
  <c r="AH22" i="55"/>
  <c r="AE22" i="55"/>
  <c r="AC22" i="55"/>
  <c r="Z22" i="55"/>
  <c r="W22" i="55"/>
  <c r="T22" i="55"/>
  <c r="Q22" i="55"/>
  <c r="N22" i="55"/>
  <c r="AY21" i="55"/>
  <c r="AW21" i="55"/>
  <c r="AT21" i="55"/>
  <c r="AQ21" i="55"/>
  <c r="AN21" i="55"/>
  <c r="AK21" i="55"/>
  <c r="AH21" i="55"/>
  <c r="AE21" i="55"/>
  <c r="AC21" i="55"/>
  <c r="Z21" i="55"/>
  <c r="W21" i="55"/>
  <c r="T21" i="55"/>
  <c r="Q21" i="55"/>
  <c r="N21" i="55"/>
  <c r="AY20" i="55"/>
  <c r="AW20" i="55"/>
  <c r="AT20" i="55"/>
  <c r="AQ20" i="55"/>
  <c r="AN20" i="55"/>
  <c r="AK20" i="55"/>
  <c r="AH20" i="55"/>
  <c r="AE20" i="55"/>
  <c r="AC20" i="55"/>
  <c r="Z20" i="55"/>
  <c r="W20" i="55"/>
  <c r="T20" i="55"/>
  <c r="Q20" i="55"/>
  <c r="N20" i="55"/>
  <c r="AY19" i="55"/>
  <c r="AW19" i="55"/>
  <c r="AT19" i="55"/>
  <c r="AQ19" i="55"/>
  <c r="AN19" i="55"/>
  <c r="AK19" i="55"/>
  <c r="AH19" i="55"/>
  <c r="AE19" i="55"/>
  <c r="AC19" i="55"/>
  <c r="Z19" i="55"/>
  <c r="W19" i="55"/>
  <c r="T19" i="55"/>
  <c r="Q19" i="55"/>
  <c r="N19" i="55"/>
  <c r="AY18" i="55"/>
  <c r="AW18" i="55"/>
  <c r="AT18" i="55"/>
  <c r="AQ18" i="55"/>
  <c r="AN18" i="55"/>
  <c r="AK18" i="55"/>
  <c r="AJ18" i="55"/>
  <c r="AH18" i="55"/>
  <c r="AE18" i="55"/>
  <c r="AC18" i="55"/>
  <c r="Z18" i="55"/>
  <c r="W18" i="55"/>
  <c r="T18" i="55"/>
  <c r="Q18" i="55"/>
  <c r="N18" i="55"/>
  <c r="AX17" i="55"/>
  <c r="AY17" i="55" s="1"/>
  <c r="AW17" i="55"/>
  <c r="AT17" i="55"/>
  <c r="AQ17" i="55"/>
  <c r="AN17" i="55"/>
  <c r="AK17" i="55"/>
  <c r="AH17" i="55"/>
  <c r="AD17" i="55"/>
  <c r="AE17" i="55" s="1"/>
  <c r="AC17" i="55"/>
  <c r="Z17" i="55"/>
  <c r="W17" i="55"/>
  <c r="T17" i="55"/>
  <c r="Q17" i="55"/>
  <c r="N17" i="55"/>
  <c r="AX16" i="55"/>
  <c r="AY16" i="55" s="1"/>
  <c r="AW16" i="55"/>
  <c r="AT16" i="55"/>
  <c r="AQ16" i="55"/>
  <c r="AN16" i="55"/>
  <c r="AK16" i="55"/>
  <c r="AH16" i="55"/>
  <c r="AD16" i="55"/>
  <c r="AE16" i="55" s="1"/>
  <c r="AC16" i="55"/>
  <c r="Z16" i="55"/>
  <c r="W16" i="55"/>
  <c r="T16" i="55"/>
  <c r="Q16" i="55"/>
  <c r="N16" i="55"/>
  <c r="AX15" i="55"/>
  <c r="AY15" i="55" s="1"/>
  <c r="AW15" i="55"/>
  <c r="AT15" i="55"/>
  <c r="AQ15" i="55"/>
  <c r="AN15" i="55"/>
  <c r="AK15" i="55"/>
  <c r="AH15" i="55"/>
  <c r="AD15" i="55"/>
  <c r="AC15" i="55"/>
  <c r="Z15" i="55"/>
  <c r="W15" i="55"/>
  <c r="T15" i="55"/>
  <c r="Q15" i="55"/>
  <c r="N15" i="55"/>
  <c r="AX14" i="55"/>
  <c r="AY14" i="55" s="1"/>
  <c r="AW14" i="55"/>
  <c r="AT14" i="55"/>
  <c r="AQ14" i="55"/>
  <c r="AN14" i="55"/>
  <c r="AK14" i="55"/>
  <c r="AH14" i="55"/>
  <c r="AD14" i="55"/>
  <c r="AE14" i="55" s="1"/>
  <c r="AC14" i="55"/>
  <c r="Z14" i="55"/>
  <c r="W14" i="55"/>
  <c r="T14" i="55"/>
  <c r="Q14" i="55"/>
  <c r="N14" i="55"/>
  <c r="AX13" i="55"/>
  <c r="AY13" i="55" s="1"/>
  <c r="AW13" i="55"/>
  <c r="AT13" i="55"/>
  <c r="AQ13" i="55"/>
  <c r="AN13" i="55"/>
  <c r="AK13" i="55"/>
  <c r="AH13" i="55"/>
  <c r="AD13" i="55"/>
  <c r="AE13" i="55" s="1"/>
  <c r="AC13" i="55"/>
  <c r="Z13" i="55"/>
  <c r="W13" i="55"/>
  <c r="T13" i="55"/>
  <c r="Q13" i="55"/>
  <c r="N13" i="55"/>
  <c r="AX12" i="55"/>
  <c r="AY12" i="55" s="1"/>
  <c r="AW12" i="55"/>
  <c r="AT12" i="55"/>
  <c r="AQ12" i="55"/>
  <c r="AN12" i="55"/>
  <c r="AK12" i="55"/>
  <c r="AH12" i="55"/>
  <c r="AD12" i="55"/>
  <c r="AE12" i="55" s="1"/>
  <c r="AC12" i="55"/>
  <c r="Z12" i="55"/>
  <c r="W12" i="55"/>
  <c r="T12" i="55"/>
  <c r="Q12" i="55"/>
  <c r="N12" i="55"/>
  <c r="AX11" i="55"/>
  <c r="AY11" i="55" s="1"/>
  <c r="AW11" i="55"/>
  <c r="AT11" i="55"/>
  <c r="AQ11" i="55"/>
  <c r="AN11" i="55"/>
  <c r="AK11" i="55"/>
  <c r="AH11" i="55"/>
  <c r="AD11" i="55"/>
  <c r="AE11" i="55" s="1"/>
  <c r="AC11" i="55"/>
  <c r="Z11" i="55"/>
  <c r="W11" i="55"/>
  <c r="T11" i="55"/>
  <c r="Q11" i="55"/>
  <c r="N11" i="55"/>
  <c r="AX10" i="55"/>
  <c r="AY10" i="55" s="1"/>
  <c r="AZ6" i="55" s="1"/>
  <c r="C7" i="10" s="1"/>
  <c r="AW10" i="55"/>
  <c r="AT10" i="55"/>
  <c r="AQ10" i="55"/>
  <c r="AN10" i="55"/>
  <c r="AK10" i="55"/>
  <c r="AH10" i="55"/>
  <c r="AD10" i="55"/>
  <c r="AE10" i="55" s="1"/>
  <c r="AC10" i="55"/>
  <c r="Z10" i="55"/>
  <c r="W10" i="55"/>
  <c r="T10" i="55"/>
  <c r="Q10" i="55"/>
  <c r="N10" i="55"/>
  <c r="AW9" i="55"/>
  <c r="AT9" i="55"/>
  <c r="AQ9" i="55"/>
  <c r="AN9" i="55"/>
  <c r="AK9" i="55"/>
  <c r="AH9" i="55"/>
  <c r="AE9" i="55"/>
  <c r="AD9" i="55"/>
  <c r="AC9" i="55"/>
  <c r="Z9" i="55"/>
  <c r="W9" i="55"/>
  <c r="T9" i="55"/>
  <c r="Q9" i="55"/>
  <c r="N9" i="55"/>
  <c r="AK26" i="55" l="1"/>
  <c r="AX33" i="53" l="1"/>
  <c r="AY33" i="53" s="1"/>
  <c r="AW33" i="53"/>
  <c r="AT33" i="53"/>
  <c r="AQ33" i="53"/>
  <c r="AN33" i="53"/>
  <c r="AK33" i="53"/>
  <c r="AH33" i="53"/>
  <c r="AD33" i="53"/>
  <c r="AE33" i="53" s="1"/>
  <c r="AC33" i="53"/>
  <c r="Z33" i="53"/>
  <c r="W33" i="53"/>
  <c r="T33" i="53"/>
  <c r="Q33" i="53"/>
  <c r="N33" i="53"/>
  <c r="AX31" i="53"/>
  <c r="AY31" i="53" s="1"/>
  <c r="AW31" i="53"/>
  <c r="AT31" i="53"/>
  <c r="AQ31" i="53"/>
  <c r="AN31" i="53"/>
  <c r="AK31" i="53"/>
  <c r="AH31" i="53"/>
  <c r="AD31" i="53"/>
  <c r="AE31" i="53" s="1"/>
  <c r="AC31" i="53"/>
  <c r="Z31" i="53"/>
  <c r="W31" i="53"/>
  <c r="T31" i="53"/>
  <c r="Q31" i="53"/>
  <c r="N31" i="53"/>
  <c r="AX30" i="53"/>
  <c r="AY30" i="53" s="1"/>
  <c r="AW30" i="53"/>
  <c r="AT30" i="53"/>
  <c r="AQ30" i="53"/>
  <c r="AN30" i="53"/>
  <c r="AK30" i="53"/>
  <c r="AH30" i="53"/>
  <c r="AD30" i="53"/>
  <c r="AE30" i="53" s="1"/>
  <c r="AC30" i="53"/>
  <c r="Z30" i="53"/>
  <c r="W30" i="53"/>
  <c r="T30" i="53"/>
  <c r="Q30" i="53"/>
  <c r="N30" i="53"/>
  <c r="AX29" i="53"/>
  <c r="AY29" i="53" s="1"/>
  <c r="AW29" i="53"/>
  <c r="AT29" i="53"/>
  <c r="AQ29" i="53"/>
  <c r="AN29" i="53"/>
  <c r="AK29" i="53"/>
  <c r="AH29" i="53"/>
  <c r="AD29" i="53"/>
  <c r="AE29" i="53" s="1"/>
  <c r="AC29" i="53"/>
  <c r="Z29" i="53"/>
  <c r="W29" i="53"/>
  <c r="T29" i="53"/>
  <c r="Q29" i="53"/>
  <c r="N29" i="53"/>
  <c r="AX27" i="53"/>
  <c r="AY27" i="53" s="1"/>
  <c r="AW27" i="53"/>
  <c r="AT27" i="53"/>
  <c r="AQ27" i="53"/>
  <c r="AN27" i="53"/>
  <c r="AK27" i="53"/>
  <c r="AH27" i="53"/>
  <c r="AD27" i="53"/>
  <c r="AE27" i="53" s="1"/>
  <c r="AC27" i="53"/>
  <c r="Z27" i="53"/>
  <c r="W27" i="53"/>
  <c r="T27" i="53"/>
  <c r="Q27" i="53"/>
  <c r="N27" i="53"/>
  <c r="AY26" i="53"/>
  <c r="AW26" i="53"/>
  <c r="AT26" i="53"/>
  <c r="AQ26" i="53"/>
  <c r="AN26" i="53"/>
  <c r="AK26" i="53"/>
  <c r="AH26" i="53"/>
  <c r="AD26" i="53"/>
  <c r="AE26" i="53" s="1"/>
  <c r="AC26" i="53"/>
  <c r="Y26" i="53"/>
  <c r="Z26" i="53" s="1"/>
  <c r="W26" i="53"/>
  <c r="T26" i="53"/>
  <c r="Q26" i="53"/>
  <c r="N26" i="53"/>
  <c r="AX25" i="53"/>
  <c r="AY25" i="53" s="1"/>
  <c r="AW25" i="53"/>
  <c r="AT25" i="53"/>
  <c r="AQ25" i="53"/>
  <c r="AN25" i="53"/>
  <c r="AK25" i="53"/>
  <c r="AH25" i="53"/>
  <c r="AD25" i="53"/>
  <c r="AE25" i="53" s="1"/>
  <c r="AC25" i="53"/>
  <c r="Z25" i="53"/>
  <c r="W25" i="53"/>
  <c r="T25" i="53"/>
  <c r="Q25" i="53"/>
  <c r="N25" i="53"/>
  <c r="AX24" i="53"/>
  <c r="AY24" i="53" s="1"/>
  <c r="AW24" i="53"/>
  <c r="AT24" i="53"/>
  <c r="AQ24" i="53"/>
  <c r="AN24" i="53"/>
  <c r="AK24" i="53"/>
  <c r="AH24" i="53"/>
  <c r="AD24" i="53"/>
  <c r="AE24" i="53" s="1"/>
  <c r="AC24" i="53"/>
  <c r="Z24" i="53"/>
  <c r="W24" i="53"/>
  <c r="T24" i="53"/>
  <c r="Q24" i="53"/>
  <c r="N24" i="53"/>
  <c r="AX23" i="53"/>
  <c r="AY23" i="53" s="1"/>
  <c r="AW23" i="53"/>
  <c r="AT23" i="53"/>
  <c r="AQ23" i="53"/>
  <c r="AN23" i="53"/>
  <c r="AK23" i="53"/>
  <c r="AH23" i="53"/>
  <c r="AD23" i="53"/>
  <c r="AE23" i="53" s="1"/>
  <c r="AC23" i="53"/>
  <c r="Z23" i="53"/>
  <c r="W23" i="53"/>
  <c r="T23" i="53"/>
  <c r="Q23" i="53"/>
  <c r="N23" i="53"/>
  <c r="AX22" i="53"/>
  <c r="AY22" i="53" s="1"/>
  <c r="AW22" i="53"/>
  <c r="AT22" i="53"/>
  <c r="AQ22" i="53"/>
  <c r="AN22" i="53"/>
  <c r="AK22" i="53"/>
  <c r="AH22" i="53"/>
  <c r="AD22" i="53"/>
  <c r="AE22" i="53" s="1"/>
  <c r="AC22" i="53"/>
  <c r="Z22" i="53"/>
  <c r="W22" i="53"/>
  <c r="T22" i="53"/>
  <c r="Q22" i="53"/>
  <c r="N22" i="53"/>
  <c r="AX21" i="53"/>
  <c r="AY21" i="53" s="1"/>
  <c r="AW21" i="53"/>
  <c r="AT21" i="53"/>
  <c r="AQ21" i="53"/>
  <c r="AN21" i="53"/>
  <c r="AK21" i="53"/>
  <c r="AH21" i="53"/>
  <c r="AD21" i="53"/>
  <c r="AE21" i="53" s="1"/>
  <c r="AC21" i="53"/>
  <c r="Z21" i="53"/>
  <c r="W21" i="53"/>
  <c r="T21" i="53"/>
  <c r="Q21" i="53"/>
  <c r="N21" i="53"/>
  <c r="AX20" i="53"/>
  <c r="AY20" i="53" s="1"/>
  <c r="AW20" i="53"/>
  <c r="AT20" i="53"/>
  <c r="AQ20" i="53"/>
  <c r="AN20" i="53"/>
  <c r="AK20" i="53"/>
  <c r="AH20" i="53"/>
  <c r="AD20" i="53"/>
  <c r="AE20" i="53" s="1"/>
  <c r="AC20" i="53"/>
  <c r="Z20" i="53"/>
  <c r="W20" i="53"/>
  <c r="T20" i="53"/>
  <c r="Q20" i="53"/>
  <c r="N20" i="53"/>
  <c r="AX19" i="53"/>
  <c r="AY19" i="53" s="1"/>
  <c r="AW19" i="53"/>
  <c r="AT19" i="53"/>
  <c r="AQ19" i="53"/>
  <c r="AN19" i="53"/>
  <c r="AK19" i="53"/>
  <c r="AH19" i="53"/>
  <c r="AD19" i="53"/>
  <c r="AE19" i="53" s="1"/>
  <c r="AC19" i="53"/>
  <c r="Z19" i="53"/>
  <c r="W19" i="53"/>
  <c r="T19" i="53"/>
  <c r="Q19" i="53"/>
  <c r="N19" i="53"/>
  <c r="AX18" i="53"/>
  <c r="AY18" i="53" s="1"/>
  <c r="AW18" i="53"/>
  <c r="AT18" i="53"/>
  <c r="AQ18" i="53"/>
  <c r="AN18" i="53"/>
  <c r="AK18" i="53"/>
  <c r="AH18" i="53"/>
  <c r="AD18" i="53"/>
  <c r="AE18" i="53" s="1"/>
  <c r="AC18" i="53"/>
  <c r="Z18" i="53"/>
  <c r="W18" i="53"/>
  <c r="T18" i="53"/>
  <c r="Q18" i="53"/>
  <c r="N18" i="53"/>
  <c r="AX17" i="53"/>
  <c r="AY17" i="53" s="1"/>
  <c r="AW17" i="53"/>
  <c r="AT17" i="53"/>
  <c r="AQ17" i="53"/>
  <c r="AN17" i="53"/>
  <c r="AK17" i="53"/>
  <c r="AH17" i="53"/>
  <c r="AD17" i="53"/>
  <c r="AE17" i="53" s="1"/>
  <c r="AC17" i="53"/>
  <c r="Z17" i="53"/>
  <c r="W17" i="53"/>
  <c r="T17" i="53"/>
  <c r="Q17" i="53"/>
  <c r="N17" i="53"/>
  <c r="AX16" i="53"/>
  <c r="AY16" i="53" s="1"/>
  <c r="AW16" i="53"/>
  <c r="AT16" i="53"/>
  <c r="AQ16" i="53"/>
  <c r="AN16" i="53"/>
  <c r="AK16" i="53"/>
  <c r="AH16" i="53"/>
  <c r="AE16" i="53"/>
  <c r="AC16" i="53"/>
  <c r="Z16" i="53"/>
  <c r="W16" i="53"/>
  <c r="T16" i="53"/>
  <c r="Q16" i="53"/>
  <c r="N16" i="53"/>
  <c r="AX15" i="53"/>
  <c r="AY15" i="53" s="1"/>
  <c r="AW15" i="53"/>
  <c r="AT15" i="53"/>
  <c r="AQ15" i="53"/>
  <c r="AN15" i="53"/>
  <c r="AK15" i="53"/>
  <c r="AH15" i="53"/>
  <c r="AD15" i="53"/>
  <c r="AE15" i="53" s="1"/>
  <c r="AC15" i="53"/>
  <c r="Z15" i="53"/>
  <c r="W15" i="53"/>
  <c r="T15" i="53"/>
  <c r="Q15" i="53"/>
  <c r="N15" i="53"/>
  <c r="AX14" i="53"/>
  <c r="AY14" i="53" s="1"/>
  <c r="AW14" i="53"/>
  <c r="AT14" i="53"/>
  <c r="AQ14" i="53"/>
  <c r="AN14" i="53"/>
  <c r="AK14" i="53"/>
  <c r="AH14" i="53"/>
  <c r="AD14" i="53"/>
  <c r="AE14" i="53" s="1"/>
  <c r="AC14" i="53"/>
  <c r="Z14" i="53"/>
  <c r="W14" i="53"/>
  <c r="T14" i="53"/>
  <c r="Q14" i="53"/>
  <c r="N14" i="53"/>
  <c r="AX13" i="53"/>
  <c r="AY13" i="53" s="1"/>
  <c r="AW13" i="53"/>
  <c r="AT13" i="53"/>
  <c r="AQ13" i="53"/>
  <c r="AN13" i="53"/>
  <c r="AK13" i="53"/>
  <c r="AH13" i="53"/>
  <c r="AD13" i="53"/>
  <c r="AE13" i="53" s="1"/>
  <c r="AC13" i="53"/>
  <c r="Z13" i="53"/>
  <c r="W13" i="53"/>
  <c r="T13" i="53"/>
  <c r="Q13" i="53"/>
  <c r="N13" i="53"/>
  <c r="AX12" i="53"/>
  <c r="AY12" i="53" s="1"/>
  <c r="AW12" i="53"/>
  <c r="AT12" i="53"/>
  <c r="AQ12" i="53"/>
  <c r="AN12" i="53"/>
  <c r="AK12" i="53"/>
  <c r="AH12" i="53"/>
  <c r="AD12" i="53"/>
  <c r="AE12" i="53" s="1"/>
  <c r="AC12" i="53"/>
  <c r="Z12" i="53"/>
  <c r="W12" i="53"/>
  <c r="T12" i="53"/>
  <c r="Q12" i="53"/>
  <c r="N12" i="53"/>
  <c r="AX11" i="53"/>
  <c r="AY11" i="53" s="1"/>
  <c r="AW11" i="53"/>
  <c r="AT11" i="53"/>
  <c r="AQ11" i="53"/>
  <c r="AN11" i="53"/>
  <c r="AK11" i="53"/>
  <c r="AH11" i="53"/>
  <c r="AD11" i="53"/>
  <c r="AE11" i="53" s="1"/>
  <c r="AC11" i="53"/>
  <c r="Z11" i="53"/>
  <c r="W11" i="53"/>
  <c r="T11" i="53"/>
  <c r="Q11" i="53"/>
  <c r="N11" i="53"/>
  <c r="AX10" i="53"/>
  <c r="AY10" i="53" s="1"/>
  <c r="AW10" i="53"/>
  <c r="AT10" i="53"/>
  <c r="AQ10" i="53"/>
  <c r="AN10" i="53"/>
  <c r="AK10" i="53"/>
  <c r="AH10" i="53"/>
  <c r="AD10" i="53"/>
  <c r="AE10" i="53" s="1"/>
  <c r="AC10" i="53"/>
  <c r="Z10" i="53"/>
  <c r="W10" i="53"/>
  <c r="T10" i="53"/>
  <c r="Q10" i="53"/>
  <c r="N10" i="53"/>
  <c r="AX9" i="53"/>
  <c r="AY9" i="53" s="1"/>
  <c r="AW9" i="53"/>
  <c r="AT9" i="53"/>
  <c r="AQ9" i="53"/>
  <c r="AN9" i="53"/>
  <c r="AK9" i="53"/>
  <c r="AH9" i="53"/>
  <c r="AD9" i="53"/>
  <c r="AE9" i="53" s="1"/>
  <c r="AC9" i="53"/>
  <c r="Z9" i="53"/>
  <c r="W9" i="53"/>
  <c r="T9" i="53"/>
  <c r="Q9" i="53"/>
  <c r="N9" i="53"/>
  <c r="AY3" i="53" l="1"/>
  <c r="C5" i="10" s="1"/>
  <c r="AZ8" i="52"/>
  <c r="C4" i="10" s="1"/>
  <c r="AE9" i="10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Sebastian Garcia Cortes</author>
  </authors>
  <commentList>
    <comment ref="G1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Meta ajustada en correo der la Coord de Planeación del 03/12/2020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47" authorId="0" shapeId="0" xr:uid="{00000000-0006-0000-1200-000001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33" authorId="0" shapeId="0" xr:uid="{00000000-0006-0000-1600-000001000000}">
      <text>
        <r>
          <rPr>
            <sz val="9"/>
            <color indexed="81"/>
            <rFont val="Tahoma"/>
            <family val="2"/>
          </rPr>
          <t>acciones de control POLFA</t>
        </r>
      </text>
    </comment>
    <comment ref="G35" authorId="0" shapeId="0" xr:uid="{00000000-0006-0000-1600-000002000000}">
      <text>
        <r>
          <rPr>
            <sz val="9"/>
            <color indexed="81"/>
            <rFont val="Tahoma"/>
            <family val="2"/>
          </rPr>
          <t>del total de comerciantes inscritos en las zonas de comercio legal</t>
        </r>
      </text>
    </comment>
    <comment ref="G36" authorId="0" shapeId="0" xr:uid="{00000000-0006-0000-1600-000003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G4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(06 actividades de prevención por División o grupo operativo POLFA)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G40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3% del total de comerciantes inscritos en las zonas de comercio legal</t>
        </r>
      </text>
    </comment>
    <comment ref="G41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100% (6 actividades de prevención por división o grupo operativo POLFA)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G43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100% (06 actividades de prevención por División o grupo operativo POLFA)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G52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Usuario 3% del total de comerciantes inscritos en las zonas de comercio legal</t>
        </r>
      </text>
    </comment>
    <comment ref="G53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100% (06 actividades de prevención por División o grupo operativo POLFA)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25" authorId="0" shapeId="0" xr:uid="{00000000-0006-0000-2800-000001000000}">
      <text>
        <r>
          <rPr>
            <sz val="9"/>
            <color indexed="81"/>
            <rFont val="Tahoma"/>
            <family val="2"/>
          </rPr>
          <t xml:space="preserve"> (06 actividades de prevención por División o grupo operativo POLFA)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G4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 3% del total de comerciantes inscritos en las zonas de comercio legal</t>
        </r>
      </text>
    </comment>
    <comment ref="G41" authorId="0" shapeId="0" xr:uid="{00000000-0006-0000-2900-000002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100% (06 actividades de prevención por División o grupo operativo POLFA)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45" authorId="0" shapeId="0" xr:uid="{00000000-0006-0000-0800-000001000000}">
      <text>
        <r>
          <rPr>
            <sz val="9"/>
            <color indexed="81"/>
            <rFont val="Tahoma"/>
            <family val="2"/>
          </rPr>
          <t>del total de comerciantes inscritos en las zonas de comercio legal</t>
        </r>
      </text>
    </comment>
    <comment ref="G46" authorId="0" shapeId="0" xr:uid="{00000000-0006-0000-0800-000002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43" authorId="0" shapeId="0" xr:uid="{00000000-0006-0000-0900-000001000000}">
      <text>
        <r>
          <rPr>
            <sz val="9"/>
            <color indexed="81"/>
            <rFont val="Tahoma"/>
            <family val="2"/>
          </rPr>
          <t>del total de comerciantes inscritos en las zonas de comercio legal</t>
        </r>
      </text>
    </comment>
    <comment ref="G44" authorId="0" shapeId="0" xr:uid="{00000000-0006-0000-0900-000002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42" authorId="0" shapeId="0" xr:uid="{00000000-0006-0000-0A00-000001000000}">
      <text>
        <r>
          <rPr>
            <sz val="9"/>
            <color indexed="81"/>
            <rFont val="Tahoma"/>
            <family val="2"/>
          </rPr>
          <t>del total de comerciantes inscritos en las zonas de comercio legal</t>
        </r>
      </text>
    </comment>
    <comment ref="G43" authorId="0" shapeId="0" xr:uid="{00000000-0006-0000-0A00-000002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44" authorId="0" shapeId="0" xr:uid="{00000000-0006-0000-0B00-000001000000}">
      <text>
        <r>
          <rPr>
            <sz val="9"/>
            <color indexed="81"/>
            <rFont val="Tahoma"/>
            <family val="2"/>
          </rPr>
          <t>del total de comerciantes inscritos en las zonas de comercio legal</t>
        </r>
      </text>
    </comment>
    <comment ref="G45" authorId="0" shapeId="0" xr:uid="{00000000-0006-0000-0B00-000002000000}">
      <text>
        <r>
          <rPr>
            <sz val="9"/>
            <color indexed="81"/>
            <rFont val="Tahoma"/>
            <family val="2"/>
          </rPr>
          <t xml:space="preserve"> (06 actividades de prevención por División o grupo operativo POLFA)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38" authorId="0" shapeId="0" xr:uid="{00000000-0006-0000-0C00-000001000000}">
      <text>
        <r>
          <rPr>
            <sz val="9"/>
            <color indexed="81"/>
            <rFont val="Tahoma"/>
            <family val="2"/>
          </rPr>
          <t>del total de comerciantes inscritos en las zonas de comercio legal</t>
        </r>
      </text>
    </comment>
    <comment ref="G39" authorId="0" shapeId="0" xr:uid="{00000000-0006-0000-0C00-000002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44" authorId="0" shapeId="0" xr:uid="{00000000-0006-0000-0D00-000001000000}">
      <text>
        <r>
          <rPr>
            <sz val="9"/>
            <color indexed="81"/>
            <rFont val="Tahoma"/>
            <family val="2"/>
          </rPr>
          <t>del total de comerciantes inscritos en las zonas de comercio legal</t>
        </r>
      </text>
    </comment>
    <comment ref="G45" authorId="0" shapeId="0" xr:uid="{00000000-0006-0000-0D00-000002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Carolina Gutierrez Castañeda</author>
  </authors>
  <commentList>
    <comment ref="G39" authorId="0" shapeId="0" xr:uid="{00000000-0006-0000-0E00-000001000000}">
      <text>
        <r>
          <rPr>
            <sz val="9"/>
            <color indexed="81"/>
            <rFont val="Tahoma"/>
            <family val="2"/>
          </rPr>
          <t>(06 actividades de prevención por División o grupo operativo POLFA)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G49" authorId="0" shapeId="0" xr:uid="{00000000-0006-0000-1100-000001000000}">
      <text>
        <r>
          <rPr>
            <b/>
            <sz val="9"/>
            <color rgb="FF000000"/>
            <rFont val="Tahoma"/>
            <family val="2"/>
          </rPr>
          <t>Usuario de Windows:</t>
        </r>
        <r>
          <rPr>
            <sz val="9"/>
            <color rgb="FF000000"/>
            <rFont val="Tahoma"/>
            <family val="2"/>
          </rPr>
          <t xml:space="preserve">
del total de comerciantes inscritos en las zonas de comercio legal</t>
        </r>
      </text>
    </comment>
    <comment ref="G50" authorId="0" shapeId="0" xr:uid="{00000000-0006-0000-1100-000002000000}">
      <text>
        <r>
          <rPr>
            <b/>
            <sz val="9"/>
            <color rgb="FF000000"/>
            <rFont val="Tahoma"/>
            <family val="2"/>
          </rPr>
          <t>Usuario de Windows:</t>
        </r>
        <r>
          <rPr>
            <sz val="9"/>
            <color rgb="FF000000"/>
            <rFont val="Tahoma"/>
            <family val="2"/>
          </rPr>
          <t xml:space="preserve">
(6 actividades de prevención por división o grupo operativo POLFA)</t>
        </r>
      </text>
    </comment>
  </commentList>
</comments>
</file>

<file path=xl/sharedStrings.xml><?xml version="1.0" encoding="utf-8"?>
<sst xmlns="http://schemas.openxmlformats.org/spreadsheetml/2006/main" count="10612" uniqueCount="1117">
  <si>
    <t>PERSPECTIVA</t>
  </si>
  <si>
    <t>OBJETIVO DE CONTRIBUCIÓN</t>
  </si>
  <si>
    <t>NOMBRE DEL INDICADOR</t>
  </si>
  <si>
    <t>UNIDAD DE MEDIDA</t>
  </si>
  <si>
    <t>META</t>
  </si>
  <si>
    <t>RESPONSABLE</t>
  </si>
  <si>
    <t>%</t>
  </si>
  <si>
    <t>Subdirección de Gestión de Representación Externa</t>
  </si>
  <si>
    <t>Meses</t>
  </si>
  <si>
    <t>Subdirección de Gestión de Recursos Jurídicos</t>
  </si>
  <si>
    <t>Porcentaje</t>
  </si>
  <si>
    <t>DEPENDENCIA</t>
  </si>
  <si>
    <t>PORCENTAJE DE CUMPLIMIENTO</t>
  </si>
  <si>
    <t>PLANEACION ESTRATEGICA 2020
TABLERO BALANCEADO DE GESTION 
CUMPLIMIENTO CONSOLIDADO ANUAL DE METAS</t>
  </si>
  <si>
    <t>No.</t>
  </si>
  <si>
    <t>OBJETIVO ESTRATÉGICO DIAN</t>
  </si>
  <si>
    <t>Billones de pesos</t>
  </si>
  <si>
    <t>Número</t>
  </si>
  <si>
    <t>Millones de pesos</t>
  </si>
  <si>
    <t>FÓRMULA</t>
  </si>
  <si>
    <t>Dirección de Gestión de Ingresos</t>
  </si>
  <si>
    <t xml:space="preserve">Subdirección de Gestión de Recaudo y Cobranzas </t>
  </si>
  <si>
    <t>Monto total recaudado vegetativo + provocado + IVA Zonas Francas</t>
  </si>
  <si>
    <t>Subdirección de Gestión de Comercio Exterior</t>
  </si>
  <si>
    <t>Cantidad</t>
  </si>
  <si>
    <t>Subdirección de Gestión de Recursos Financieros</t>
  </si>
  <si>
    <t>Subdirección de Gestión de Recursos Físicos</t>
  </si>
  <si>
    <t>Subdirección de Gestión de Personal</t>
  </si>
  <si>
    <t>DIRECCIONES SECCIONALES DE IMPUESTOS</t>
  </si>
  <si>
    <t xml:space="preserve">Dirección Seccional de Impuestos de Barranquilla. </t>
  </si>
  <si>
    <t>Dirección Seccional de Impuestos de Bogotá.</t>
  </si>
  <si>
    <t>Dirección Seccional de Impuestos de Cali.</t>
  </si>
  <si>
    <t>Dirección Seccional de Impuestos de Cúcuta.</t>
  </si>
  <si>
    <t>Dirección Seccional de lmpuestos de Medellín.</t>
  </si>
  <si>
    <t>DIRECCIONES SECCIONALES DE ADUANAS</t>
  </si>
  <si>
    <t>Dirección Seccional de Aduanas de Bogotá.</t>
  </si>
  <si>
    <t>Dirección Seccional de Aduanas de Cali.</t>
  </si>
  <si>
    <t>Dirección Seccional de Aduanas de Cartagena.</t>
  </si>
  <si>
    <t>Dirección Seccional de Aduanas de Cúcuta.</t>
  </si>
  <si>
    <t>Dirección Seccional de Aduanas de Medellín.</t>
  </si>
  <si>
    <t>DIRECCIONES SECCIONALES DE IMPUESTOS Y ADUANAS</t>
  </si>
  <si>
    <t>Dirección Seccional de Impuestos y Aduanas de Arauca.</t>
  </si>
  <si>
    <t>Dirección Seccional de Impuestos y Aduanas de Armenia.</t>
  </si>
  <si>
    <t>Dirección Seccional de Impuestos y Aduanas de Barrancabermeja.</t>
  </si>
  <si>
    <t>Dirección Seccional de Impuestos y Aduanas de Bucaramanga.</t>
  </si>
  <si>
    <t>Dirección Seccional de Impuestos y Aduanas de Florencia.</t>
  </si>
  <si>
    <t xml:space="preserve">Dirección Seccional de Impuestos y Aduanas de Girardot. </t>
  </si>
  <si>
    <t>Dirección Seccional de Impuestos y Aduanas de Ibagué.</t>
  </si>
  <si>
    <t>Dirección Seccional de Impuestos y Aduanas de Ipiales.</t>
  </si>
  <si>
    <t>Dirección Seccional de Impuestos y Aduanas de Manizales.</t>
  </si>
  <si>
    <t>Dirección Seccional de Impuestos y Aduanas de Montería</t>
  </si>
  <si>
    <t>Dirección Seccional de Impuestos y Aduanas de Neiva.</t>
  </si>
  <si>
    <t>Dirección Seccional de Impuestos y Aduanas de Palmira.</t>
  </si>
  <si>
    <t>Dirección Seccional de Impuestos y Aduanas de Pasto.</t>
  </si>
  <si>
    <t>Dirección Seccional deJmpuestos y Aduanas de Pereira.</t>
  </si>
  <si>
    <t>Dirección Seccional de Impuestos y Aduanas de Popayán.</t>
  </si>
  <si>
    <t>Dirección Seccional de Impuestos y Aduanas de Quibdó.</t>
  </si>
  <si>
    <t>Dirección Seccional de Impuestos y Aduanas de Riohacha.</t>
  </si>
  <si>
    <t>Dirección Seccional de Impuestos y Aduanas de Santa Marta.</t>
  </si>
  <si>
    <t>Dirección Seccional de Impuestos y Aduanas de Sincelejo.</t>
  </si>
  <si>
    <t>Dirección Seccional de Impuestos y Aduanas de Sogamoso.</t>
  </si>
  <si>
    <t>Dirección Seccional de Impuestos y Aduanas de Tuluá.</t>
  </si>
  <si>
    <t xml:space="preserve"> Dirección Seccional de Impuestos y Aduanas de Tunja.</t>
  </si>
  <si>
    <t xml:space="preserve">Dirección Seccional de Impuestos y Aduanas de Urabá. </t>
  </si>
  <si>
    <t>Dirección Seccional de Impuestos y Aduanas de Valledupar</t>
  </si>
  <si>
    <t>Dirección Seccional de Impuestos y Aduanas de Yopal.</t>
  </si>
  <si>
    <t>Dirección Seccional de Impuestos y Aduanas de Villavicencio.</t>
  </si>
  <si>
    <t>Dirección Seccional de Impuestos de Cartagena.</t>
  </si>
  <si>
    <t>DIRECCIONES SECCIONALES DELEGADAS DE IMPUESTOS Y ADUANAS</t>
  </si>
  <si>
    <t>Versión 2.0  20 de agosto de 2020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</si>
  <si>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</si>
  <si>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</si>
  <si>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</si>
  <si>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</si>
  <si>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</si>
  <si>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</si>
  <si>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</si>
  <si>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</si>
  <si>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</si>
  <si>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</si>
  <si>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</si>
  <si>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</si>
  <si>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ACUMULADO ANUAL</t>
  </si>
  <si>
    <t>PIL1. LEGITIMIDAD Y SOSTENIBILIDAD FISCAL</t>
  </si>
  <si>
    <t>META EST</t>
  </si>
  <si>
    <t>META LOG</t>
  </si>
  <si>
    <t>% CUMP MES</t>
  </si>
  <si>
    <t>VALOR</t>
  </si>
  <si>
    <t>PER1. Financiera</t>
  </si>
  <si>
    <t>OE1. Ejecutar de manera eficiente el presupuesto de la Entidad</t>
  </si>
  <si>
    <t xml:space="preserve">DGRAE-1 Nivel de Ejecución del presupuesto </t>
  </si>
  <si>
    <t>Total presupuesto</t>
  </si>
  <si>
    <t>DGRAE-2 Nivel de ejecución del PAA de la Dirección</t>
  </si>
  <si>
    <t>Líneas del PAA a ejecutar</t>
  </si>
  <si>
    <t>OE3. Cumplir las metas anuales de recaudo tributario y aduanero</t>
  </si>
  <si>
    <r>
      <rPr>
        <b/>
        <sz val="11"/>
        <color rgb="FF404040"/>
        <rFont val="Calibri"/>
        <family val="2"/>
        <scheme val="minor"/>
      </rPr>
      <t>IN2.</t>
    </r>
    <r>
      <rPr>
        <sz val="11"/>
        <color rgb="FF404040"/>
        <rFont val="Calibri"/>
        <family val="2"/>
        <scheme val="minor"/>
      </rPr>
      <t xml:space="preserve"> Cumplir las metas anuales dentro del marco fiscal de mediano plazo</t>
    </r>
  </si>
  <si>
    <t>IN1-3 Recaudo Bruto</t>
  </si>
  <si>
    <t>Valor del Recaudo Bruto mensual</t>
  </si>
  <si>
    <t>PENDIENTE</t>
  </si>
  <si>
    <t>FIS-4 Gestión efectiva en fiscalización tributaria</t>
  </si>
  <si>
    <t>Valor recaudo gestión efectiva tributaria</t>
  </si>
  <si>
    <t>Pesos</t>
  </si>
  <si>
    <t>FIS-10 Gestión aceptada en fiscalización tributaria</t>
  </si>
  <si>
    <t>Valor recaudo gestión aceptada tributaria</t>
  </si>
  <si>
    <t>FIS-27 Reclasificación de no responsables a responsables</t>
  </si>
  <si>
    <t>Número de contribuyentes reclasificados</t>
  </si>
  <si>
    <t>FIS-17 Evacuación de expedientes en fiscalización tributaria</t>
  </si>
  <si>
    <t>Número  de expedientes evacuados</t>
  </si>
  <si>
    <r>
      <rPr>
        <b/>
        <sz val="11"/>
        <color rgb="FF404040"/>
        <rFont val="Calibri"/>
        <family val="2"/>
        <scheme val="minor"/>
      </rPr>
      <t>IN3.</t>
    </r>
    <r>
      <rPr>
        <sz val="11"/>
        <color rgb="FF404040"/>
        <rFont val="Calibri"/>
        <family val="2"/>
        <scheme val="minor"/>
      </rPr>
      <t xml:space="preserve"> Cumplir con el recaudo tributario por gestión de cartera</t>
    </r>
  </si>
  <si>
    <t>IN1-4 Recaudo por gestión de cartera</t>
  </si>
  <si>
    <t>Valor cartera recuperada del mes + Valores cartera recuperada meses anteriores cuya información no se encontraba disponible al momento del reporte</t>
  </si>
  <si>
    <t>IN1-5 Inscritos en el Régimen Simple de Tributación - RST</t>
  </si>
  <si>
    <t>Número de inscritos en el Régimen Simple de Tributación</t>
  </si>
  <si>
    <r>
      <rPr>
        <b/>
        <sz val="11"/>
        <color rgb="FF404040"/>
        <rFont val="Calibri"/>
        <family val="2"/>
        <scheme val="minor"/>
      </rPr>
      <t>IN5.</t>
    </r>
    <r>
      <rPr>
        <sz val="11"/>
        <color rgb="FF404040"/>
        <rFont val="Calibri"/>
        <family val="2"/>
        <scheme val="minor"/>
      </rPr>
      <t xml:space="preserve"> Adelantar estrategias de gestión con los contribuyentes inscritos en el Régimen Simple de Tributación - RST, para que presente oportunamente los anticipos</t>
    </r>
  </si>
  <si>
    <t>IN1-6.1 Grado de cumplimiento del cronograma de campañas del RST</t>
  </si>
  <si>
    <t>(Número de campañas realizadas en el año / Número de campañas planeadas en el año)*100</t>
  </si>
  <si>
    <t>IN1-8 Contribuyentes habilitados como facturadores electrónicos</t>
  </si>
  <si>
    <t>Número de contribuyentes habilitados en la Dirección Seccional</t>
  </si>
  <si>
    <t>Dirección de Gestión de Ingresos - Proyecto Factura Electrónica</t>
  </si>
  <si>
    <r>
      <rPr>
        <b/>
        <sz val="11"/>
        <color rgb="FF404040"/>
        <rFont val="Calibri"/>
        <family val="2"/>
        <scheme val="minor"/>
      </rPr>
      <t>JUR2.</t>
    </r>
    <r>
      <rPr>
        <sz val="11"/>
        <color rgb="FF404040"/>
        <rFont val="Calibri"/>
        <family val="2"/>
        <scheme val="minor"/>
      </rPr>
      <t xml:space="preserve"> Mejorar el porcentaje de éxito de litigiosidad</t>
    </r>
  </si>
  <si>
    <t>JUR-3.1 Porcentaje de éxito de litigiosidad</t>
  </si>
  <si>
    <t>(Número de procesos judiciales terminados de manera normal con fallo ejecutoriado a favor de la DIAN en el año / Número total de procesos judiciales terminados de manera normal (a favor, en contra o parcial) con fallo ejecutoriado, durante el año)*100</t>
  </si>
  <si>
    <t>JUR-3.2 Porcentaje procesos judiciales revisados con mayor riesgo en Ekogui</t>
  </si>
  <si>
    <t>(Procesos revisados en el periodo con riesgo alto y medio alto en Ekogui / Total número de procesos con riesgo alto y medio alto en Ekogui que deben ser revisados en el periodo)*100</t>
  </si>
  <si>
    <t xml:space="preserve">JUR-3.3 Porcentaje de análisis de jurisprudencia remitidos junto con la copia de la sentencia </t>
  </si>
  <si>
    <t>(Número de análisis jurisprudenciales elaborados y remitidos junto con la copia digital de la sentencia en el periodo / Número de fallos ejecutoriados en el periodo de competencia del área)*100</t>
  </si>
  <si>
    <t xml:space="preserve">JUR-3.4 Porcentaje de procesos revisados con VoBo del Jefe </t>
  </si>
  <si>
    <t>(Número de actuaciones revisadas con VoBo en el periodo / Número de actuaciones que debían ser revisadas)*100</t>
  </si>
  <si>
    <t>JUR-3.5 Porcentaje de requerimientos atendidos en oportunidad</t>
  </si>
  <si>
    <t>(Número requerimientos contestados en oportunidad relacionados con Memorando 69 de 2019, trámites ante el Comité de Conciliaciones, Política de Prevención de Daño Antijurídico / Número requerimientos realizados por la Subdirección y sus coordinaciones)*100</t>
  </si>
  <si>
    <t>JUR-3.6 Porcentaje de funcionarios capacitaciones en cursos virtuales de la ANDJE</t>
  </si>
  <si>
    <t>(Número de funcionarios que realizaron el curso mensual virtual de la ANDJE  con evidencia de participación / Número de funcionarios que debían tomar la capacitación)*100</t>
  </si>
  <si>
    <t>JUR-4 Porcentaje funcionarios que participaron en el concurso de escritura jurídica</t>
  </si>
  <si>
    <t>(Número de funcionarios que participaron en el concurso de escritura jurídica / Número de apoderados judiciales que debían participar)*100</t>
  </si>
  <si>
    <r>
      <rPr>
        <b/>
        <sz val="11"/>
        <color rgb="FF404040"/>
        <rFont val="Calibri"/>
        <family val="2"/>
        <scheme val="minor"/>
      </rPr>
      <t>ADU2.</t>
    </r>
    <r>
      <rPr>
        <sz val="11"/>
        <color rgb="FF404040"/>
        <rFont val="Calibri"/>
        <family val="2"/>
        <scheme val="minor"/>
      </rPr>
      <t xml:space="preserve"> Aduana con una recaudación eficiente</t>
    </r>
  </si>
  <si>
    <t>ADU-3 Monto de recaudación total de aduanas</t>
  </si>
  <si>
    <t>N/D</t>
  </si>
  <si>
    <t>OE4. Controlar el ingreso ilegal de mercancías  y el fraude aduanero con el fin de contribuir con la competitividad del sector empresarial</t>
  </si>
  <si>
    <t>FIS-24  Valor Decomisos de mercancías en firme</t>
  </si>
  <si>
    <t>Valor Decomisos en Firme: por concepto de decomisos directos y ordinarios en firme, y los que en sede administrativa hayan sido confirmados, los cuales están relacionados con las aprehensiones efectuadas por las Divisiones de Gestión de Fiscalización, Operación Aduanera y Control Operativo</t>
  </si>
  <si>
    <t>Subdirección de Gestión de Fiscalización Aduanera</t>
  </si>
  <si>
    <t>PIL2. CERCANÍA AL CIUDADANO</t>
  </si>
  <si>
    <t>PER2. Grupos de interés</t>
  </si>
  <si>
    <t>OE6. Lograr mayor cercanía al ciudadano a través de acciones generadoras de valor que impacten positivamente en nuestros contribuyentes</t>
  </si>
  <si>
    <t>IN1-11  Nivel de cobertura de personas sensibilizadas por el plan de cultura. ACTUALMENTE. Cumplimiento al Plan de Acción de Cultura de la Contribución</t>
  </si>
  <si>
    <t xml:space="preserve">Número de personas impactadas </t>
  </si>
  <si>
    <t>Subdirección de Gestión de Asistencia al Cliente</t>
  </si>
  <si>
    <r>
      <rPr>
        <b/>
        <sz val="11"/>
        <color rgb="FF404040"/>
        <rFont val="Calibri"/>
        <family val="2"/>
        <scheme val="minor"/>
      </rPr>
      <t>JUR5.</t>
    </r>
    <r>
      <rPr>
        <sz val="11"/>
        <color rgb="FF404040"/>
        <rFont val="Calibri"/>
        <family val="2"/>
        <scheme val="minor"/>
      </rPr>
      <t xml:space="preserve"> Mejorar el tiempo de respuesta de las decisiones de los recursos tributarios hasta su remisión a notificaciones</t>
    </r>
  </si>
  <si>
    <t>JUR-7 Oportunidad en las decisiones de los recursos tributarios hasta su remisión a notificaciones</t>
  </si>
  <si>
    <t>Promedio de meses de las decisiones de los recursos tributarios hasta su remisión a notificaciones</t>
  </si>
  <si>
    <t>OE7. Facilitar los trámites y servicios al ciudadano través de su digitalización</t>
  </si>
  <si>
    <r>
      <rPr>
        <b/>
        <sz val="11"/>
        <color rgb="FF404040"/>
        <rFont val="Calibri"/>
        <family val="2"/>
        <scheme val="minor"/>
      </rPr>
      <t xml:space="preserve">IN11. </t>
    </r>
    <r>
      <rPr>
        <sz val="11"/>
        <color rgb="FF404040"/>
        <rFont val="Calibri"/>
        <family val="2"/>
        <scheme val="minor"/>
      </rPr>
      <t>Facilitar las Devoluciones Tributarias, con el fin de generar una relación más cercana con nuestros grupos de interés</t>
    </r>
  </si>
  <si>
    <t xml:space="preserve">IN1-15 Días en devoluciones ordinarias
</t>
  </si>
  <si>
    <t xml:space="preserve">Número de días hábiles en devoluciones ordinarias
</t>
  </si>
  <si>
    <t>PIL4. TRANSFORMACIÓN DEL TALENTO HUMANO</t>
  </si>
  <si>
    <t>PER4. Aprendizaje y crecimiento</t>
  </si>
  <si>
    <t>OE13. Atraer y retener el mejor talento humano</t>
  </si>
  <si>
    <r>
      <rPr>
        <b/>
        <sz val="11"/>
        <color rgb="FF404040"/>
        <rFont val="Calibri"/>
        <family val="2"/>
        <scheme val="minor"/>
      </rPr>
      <t>DGRAE22.</t>
    </r>
    <r>
      <rPr>
        <sz val="11"/>
        <color rgb="FF404040"/>
        <rFont val="Calibri"/>
        <family val="2"/>
        <scheme val="minor"/>
      </rPr>
      <t xml:space="preserve"> Diseñar y ejecutar el plan de capacitación institucional 2020-2022</t>
    </r>
  </si>
  <si>
    <t>DGRAE-25 Actividades que componen el  PIC para la Dirección de Gestión</t>
  </si>
  <si>
    <t>Número actividades PIC Dirección de Gestión de Ingresos</t>
  </si>
  <si>
    <t>META SECCIONAL</t>
  </si>
  <si>
    <t>RANGOS DE MOVILIDAD</t>
  </si>
  <si>
    <t>Inferior</t>
  </si>
  <si>
    <t>Meta</t>
  </si>
  <si>
    <t>Superior</t>
  </si>
  <si>
    <t>PIL1.  LEGITIMIDAD Y SOSTENIBILIDAD FISCAL</t>
  </si>
  <si>
    <t>OE1. Ejecutar de manera eficiente el presupuesto de la entidad</t>
  </si>
  <si>
    <r>
      <rPr>
        <b/>
        <sz val="11"/>
        <color rgb="FF404040"/>
        <rFont val="Calibri"/>
        <family val="2"/>
        <scheme val="minor"/>
      </rPr>
      <t>DGRAE1.</t>
    </r>
    <r>
      <rPr>
        <sz val="11"/>
        <color rgb="FF404040"/>
        <rFont val="Calibri"/>
        <family val="2"/>
        <scheme val="minor"/>
      </rPr>
      <t xml:space="preserve">  Liderar y hacer seguimiento a la ejecución presupuestal de las distintas áreas</t>
    </r>
  </si>
  <si>
    <t>Millones de Pesos</t>
  </si>
  <si>
    <r>
      <rPr>
        <b/>
        <sz val="11"/>
        <color rgb="FF404040"/>
        <rFont val="Calibri"/>
        <family val="2"/>
        <scheme val="minor"/>
      </rPr>
      <t xml:space="preserve">DGRAE2. </t>
    </r>
    <r>
      <rPr>
        <sz val="11"/>
        <color rgb="FF404040"/>
        <rFont val="Calibri"/>
        <family val="2"/>
        <scheme val="minor"/>
      </rPr>
      <t xml:space="preserve"> Liderar y hacer el seguimiento a la ejecución de contratación del PAA en las distintas áreas</t>
    </r>
  </si>
  <si>
    <t xml:space="preserve">Lineas del PAA a ejecutar </t>
  </si>
  <si>
    <t>OE3.  Cumplir las metas anuales de recaudo tributario y aduanero</t>
  </si>
  <si>
    <t>Subdirección de Gestión de Fiscalización Tributaria - Coordinación de Gestión Operativa de Fiscalización Tributaria</t>
  </si>
  <si>
    <t>Número de expedientes evacuados</t>
  </si>
  <si>
    <r>
      <rPr>
        <b/>
        <sz val="11"/>
        <color rgb="FF404040"/>
        <rFont val="Calibri"/>
        <family val="2"/>
        <scheme val="minor"/>
      </rPr>
      <t>IN7.</t>
    </r>
    <r>
      <rPr>
        <sz val="11"/>
        <color rgb="FF404040"/>
        <rFont val="Calibri"/>
        <family val="2"/>
        <scheme val="minor"/>
      </rPr>
      <t xml:space="preserve"> Habilitar facturadores electrónicos con el fin de apalancar los resultados estratégicos </t>
    </r>
  </si>
  <si>
    <t>JUR-3.2 Porcentaje  procesos judiciales revisados con mayor riesgo en Ekogui</t>
  </si>
  <si>
    <t>(Número de análisis jurisprudenciales elaborados y remitidos junto con la copia digital de la sentencia en el periodo. / Número de fallos ejecutoriados en el periodo de competencia del área)*100</t>
  </si>
  <si>
    <t xml:space="preserve">JUR-3.4 Porcentaje  de procesos revisados con VoBo del Jefe </t>
  </si>
  <si>
    <t>(Número Requerimientos contestados en oportunidad relacionados con Memorando 69 de 2019, trámites ante el Comité de Conciliaciones, Política de Prevención de Daño Antijurídico / Número Requerimientos realizados por la Subdirección y sus coordinaciones)*100</t>
  </si>
  <si>
    <t>JUR-3.6 Porcentaje funcionarios capacitaciones en cursos virtuales de la ANDJE</t>
  </si>
  <si>
    <r>
      <rPr>
        <b/>
        <sz val="11"/>
        <color theme="1" tint="0.249977111117893"/>
        <rFont val="Calibri"/>
        <family val="2"/>
        <scheme val="minor"/>
      </rPr>
      <t>FIS6.</t>
    </r>
    <r>
      <rPr>
        <sz val="11"/>
        <color theme="1" tint="0.249977111117893"/>
        <rFont val="Calibri"/>
        <family val="2"/>
        <scheme val="minor"/>
      </rPr>
      <t xml:space="preserve"> Controlar el ingreso y permanencia  ilegal de mercancías  con el fin de contribuir con la competitividad del sector empresarial</t>
    </r>
  </si>
  <si>
    <t>PER2. Grupos de Interés</t>
  </si>
  <si>
    <t>JUR-7  Oportunidad en las decisiones de los recursos Tributarios hasta su remisión a notificaciones</t>
  </si>
  <si>
    <t xml:space="preserve">
Número de días hábiles en devoluciones ordinarias
</t>
  </si>
  <si>
    <r>
      <rPr>
        <b/>
        <sz val="11"/>
        <color rgb="FF404040"/>
        <rFont val="Calibri"/>
        <family val="2"/>
        <scheme val="minor"/>
      </rPr>
      <t xml:space="preserve">DGRAE22. </t>
    </r>
    <r>
      <rPr>
        <sz val="11"/>
        <color rgb="FF404040"/>
        <rFont val="Calibri"/>
        <family val="2"/>
        <scheme val="minor"/>
      </rPr>
      <t>Diseñar y ejecutar el plan de capacitación institucional 2020-2022</t>
    </r>
  </si>
  <si>
    <t>VOLVER</t>
  </si>
  <si>
    <t>TABLERO BALANCEADO DE GESTIÓN -DIRECCIÓN SECCIONAL DE ADUANAS DE BARRANQUILLA - CON METAS 2020</t>
  </si>
  <si>
    <t>COD-ÁREA 87</t>
  </si>
  <si>
    <t>ACUMULADO PRIMER SEMESTRE</t>
  </si>
  <si>
    <t xml:space="preserve">Total Presupuesto </t>
  </si>
  <si>
    <r>
      <t xml:space="preserve">FIS2. </t>
    </r>
    <r>
      <rPr>
        <sz val="11"/>
        <color rgb="FF404040"/>
        <rFont val="Calibri"/>
        <family val="2"/>
        <scheme val="minor"/>
      </rPr>
      <t xml:space="preserve">Cumplir las metas anuales dentro del marco fiscal de mediano plazo, AHORA Cumplir las metas anuales de gestión efectiva en materia tributaria, aduanera, cambiaria e internacional </t>
    </r>
  </si>
  <si>
    <t>FIS-5 Gestión Efectiva de Fiscalización Aduanera</t>
  </si>
  <si>
    <t>Valor Resoluciones Proferidas:  por concepto de Sanciones, Liquidaciones Oficiales Aduaneras (Corrección y Revisión), declaratoria de Incumplimiento y Efectividad de Garantías</t>
  </si>
  <si>
    <t>Dirección de Gestión de Fiscalización Aduanera</t>
  </si>
  <si>
    <t>FIS-7 Gestión efectiva de control Cambiario</t>
  </si>
  <si>
    <t xml:space="preserve">Valor recaudo gestión efectiva </t>
  </si>
  <si>
    <t>Subdirección de Gestión de Control Cambiario</t>
  </si>
  <si>
    <t>FIS-8 Gestión aceptada de fiscalización aduanera (recaudo)</t>
  </si>
  <si>
    <t>Valor Recaudo: por concepto de allanamientos relacionados con los procedimientos sancionatorios, liquidaciones oficiales aduaneras (corrección y revisión); autos con ocasión a la declaratoria de incumplimiento de efectividad de garantías; autos de legalizaciones-rescate con ocasión a las acciones de control y los de la aprehensión, y todos los demás actos administrativos que generen recaudo directo dentro de los diferentes procedimientos del Subproceso de Control Aduanero</t>
  </si>
  <si>
    <t>FIS-9 Gestión aceptada de fiscalización aduanera (Resoluciones en firme)</t>
  </si>
  <si>
    <t>Valor Resoluciones en Firme: por concepto de Sanciones, Liquidaciones Oficiales Aduaneras (Corrección y Revisión), declaratoria de Incumplimiento y Efectividad de Garantías</t>
  </si>
  <si>
    <t>FIS-11 Gestión aceptada cambiaria (recaudo)</t>
  </si>
  <si>
    <t>Valor Recaudo gestión aceptada</t>
  </si>
  <si>
    <t>FIS-12 Gestión aceptada cambiaria (Resoluciones en firme)</t>
  </si>
  <si>
    <r>
      <rPr>
        <b/>
        <sz val="11"/>
        <color theme="1" tint="0.249977111117893"/>
        <rFont val="Calibri"/>
        <family val="2"/>
        <scheme val="minor"/>
      </rPr>
      <t>FIS4.</t>
    </r>
    <r>
      <rPr>
        <sz val="11"/>
        <color theme="1" tint="0.249977111117893"/>
        <rFont val="Calibri"/>
        <family val="2"/>
        <scheme val="minor"/>
      </rPr>
      <t xml:space="preserve"> Gestionar los  programas de fiscalización tributario, aduanero, cambiario e internacional</t>
    </r>
  </si>
  <si>
    <t>FIS-16 Visitas de control a personas que hacen la venta y compra de divisas sin estar autorizados</t>
  </si>
  <si>
    <t>Número de visitas de control</t>
  </si>
  <si>
    <t>FIS-15 Visitas de control a profesionales de cambio</t>
  </si>
  <si>
    <t>FIS-18  Evacuación de expedientes en fiscalización cambiaria</t>
  </si>
  <si>
    <t>Porcentaje de evacuación de expedientes</t>
  </si>
  <si>
    <r>
      <rPr>
        <b/>
        <sz val="11"/>
        <color theme="1" tint="0.249977111117893"/>
        <rFont val="Calibri"/>
        <family val="2"/>
        <scheme val="minor"/>
      </rPr>
      <t>FIS15</t>
    </r>
    <r>
      <rPr>
        <sz val="11"/>
        <color theme="1" tint="0.249977111117893"/>
        <rFont val="Calibri"/>
        <family val="2"/>
        <scheme val="minor"/>
      </rPr>
      <t xml:space="preserve">. Propuestas de Programas de control posterior de fiscalización  aduanera (Sanciones, LOC, LOR, Origen)                                     </t>
    </r>
  </si>
  <si>
    <t>FIS-21 Propuestas de Programas de control posterior de fiscalización  aduanera (Sanciones, LOC, LOR, Origen)</t>
  </si>
  <si>
    <t>Número Propuestas de Programas de Control Posterior: Proponer programas de control posterior orientados a generar actos de decomiso de mercancías, imposición de sanciones por la comisión de infracciones aduaneras, liquidaciones oficiales aduaneras de corrección o revisión, origen, así como a generar alertas tempranas para controlar el incumplimiento de las obligaciones aduaneras</t>
  </si>
  <si>
    <r>
      <rPr>
        <b/>
        <sz val="11"/>
        <color theme="1" tint="0.249977111117893"/>
        <rFont val="Calibri"/>
        <family val="2"/>
        <scheme val="minor"/>
      </rPr>
      <t>FIS13.</t>
    </r>
    <r>
      <rPr>
        <sz val="11"/>
        <color theme="1" tint="0.249977111117893"/>
        <rFont val="Calibri"/>
        <family val="2"/>
        <scheme val="minor"/>
      </rPr>
      <t xml:space="preserve"> Propuestas acciones aduaneras de control posterior (Sanciones, LOC, LOR, Origen)                                                         </t>
    </r>
  </si>
  <si>
    <t>FIS-14 Propuestas acciones aduaneras de control posterior contra el contrabando técnico(Sanciones, LOC, LOR, Origen)</t>
  </si>
  <si>
    <t>Número Propuestas Acciones Aduaneras de Control Posterior: proponer acciones aduaneras de control posterior, orientados a generar actos de decomiso de mercancías, imposición de sanciones por la comisión de infracciones aduaneras, liquidaciones oficiales aduaneras de corrección o revisión, origen, así como a generar alertas tempranas para controlar el incumplimiento de las obligaciones aduaneras, de conformidad con el conocimiento de las operaciones que se desarrollan en la jurisdicción de cada Dirección Seccional</t>
  </si>
  <si>
    <r>
      <rPr>
        <b/>
        <sz val="11"/>
        <color theme="1" tint="0.249977111117893"/>
        <rFont val="Calibri"/>
        <family val="2"/>
        <scheme val="minor"/>
      </rPr>
      <t xml:space="preserve">JUR2. </t>
    </r>
    <r>
      <rPr>
        <sz val="11"/>
        <color theme="1" tint="0.249977111117893"/>
        <rFont val="Calibri"/>
        <family val="2"/>
        <scheme val="minor"/>
      </rPr>
      <t>Mejorar el porcentaje de éxito de litigiosidad</t>
    </r>
  </si>
  <si>
    <t xml:space="preserve"> JUR-3.1 Porcentaje de éxito de litigiosidad </t>
  </si>
  <si>
    <t>(Número de procesos judiciales terminados de manera normal con fallo ejecutoriado a favor de la DIAN en el año/Número total de procesos judiciales terminados de manera normal (a favor, en contra o parcial) con fallo ejecutoriado, durante el año)*100</t>
  </si>
  <si>
    <t>(Número de actuaciones revisadas con Vo.Bo. en el periodo / Número de actuaciones que debían ser revisadas)*100</t>
  </si>
  <si>
    <t>(Número  Requerimientos contestados en oportunidad relacionados con Memorando 69 de 2019, trámites ante el Comité de Conciliaciones, Política de Prevención de Daño Antijurídico / Número Requerimientos realizados por la Subdirección y sus coordinaciones)*100</t>
  </si>
  <si>
    <r>
      <rPr>
        <b/>
        <sz val="11"/>
        <color theme="1" tint="0.249977111117893"/>
        <rFont val="Calibri"/>
        <family val="2"/>
        <scheme val="minor"/>
      </rPr>
      <t xml:space="preserve">ADU2. </t>
    </r>
    <r>
      <rPr>
        <sz val="11"/>
        <color theme="1" tint="0.249977111117893"/>
        <rFont val="Calibri"/>
        <family val="2"/>
        <scheme val="minor"/>
      </rPr>
      <t>Aduana con una recaudación eficiente</t>
    </r>
  </si>
  <si>
    <t>OE4 Controlar el ingreso ilegal de mercancías  y el fraude aduanero con el fin de contribuir con la competitividad del sector empresarial</t>
  </si>
  <si>
    <r>
      <rPr>
        <b/>
        <sz val="11"/>
        <color theme="1" tint="0.249977111117893"/>
        <rFont val="Calibri"/>
        <family val="2"/>
        <scheme val="minor"/>
      </rPr>
      <t>POLFA3.</t>
    </r>
    <r>
      <rPr>
        <sz val="11"/>
        <color theme="1" tint="0.249977111117893"/>
        <rFont val="Calibri"/>
        <family val="2"/>
        <scheme val="minor"/>
      </rPr>
      <t xml:space="preserve"> Incremento de acciones de control de fiscalización contra el contrabando</t>
    </r>
  </si>
  <si>
    <t>POLFA-3 Acciones de control de fiscalización contra el contrabando</t>
  </si>
  <si>
    <t xml:space="preserve">Número de acciones de control contra el contrabando ejecutadas </t>
  </si>
  <si>
    <t>Subdirección de Gestión Operativa Policial</t>
  </si>
  <si>
    <t>FIS-24 Valor Decomisos de mercancías en firme</t>
  </si>
  <si>
    <t>Valor decomisos en Firme: por concepto de decomisos directos y ordinarios en firme, y los que en sede administrativa hayan sido confirmados, los cuales están relacionados con las aprehensiones efectuadas por las Divisiones de Gestión de Fiscalización, Operación Aduanera y Control Operativo</t>
  </si>
  <si>
    <r>
      <rPr>
        <b/>
        <sz val="11"/>
        <color theme="1" tint="0.249977111117893"/>
        <rFont val="Calibri"/>
        <family val="2"/>
        <scheme val="minor"/>
      </rPr>
      <t>FIS14.</t>
    </r>
    <r>
      <rPr>
        <sz val="11"/>
        <color theme="1" tint="0.249977111117893"/>
        <rFont val="Calibri"/>
        <family val="2"/>
        <scheme val="minor"/>
      </rPr>
      <t xml:space="preserve"> Incrementar acciones de control de fiscalización contra el contrabando abierto</t>
    </r>
  </si>
  <si>
    <t>FIS-32 Valor Aprehensiones sectores de Licores, Cigarrillos, Calzado y Confecciones</t>
  </si>
  <si>
    <t>Valor Aprehensiones: corresponderá al resultado de la sumatoria del valor de las aprehensiones de Licores (capítulo 22 del arancel de aduanas), Tabaco y sucedáneos del tabaco (capítulo 24 del arancel de aduanas), Confecciones (capítulos 61, 62 y 63 del arancel de aduanas) y Calzado (capítulo 64 del arancel de aduanas) generadas en control posterior por Fiscalización</t>
  </si>
  <si>
    <r>
      <rPr>
        <b/>
        <sz val="11"/>
        <color theme="1" tint="0.249977111117893"/>
        <rFont val="Calibri"/>
        <family val="2"/>
        <scheme val="minor"/>
      </rPr>
      <t>ADU4.</t>
    </r>
    <r>
      <rPr>
        <sz val="11"/>
        <color theme="1" tint="0.249977111117893"/>
        <rFont val="Calibri"/>
        <family val="2"/>
        <scheme val="minor"/>
      </rPr>
      <t xml:space="preserve"> Aduana con controles  previos y simultáneos optimizados en la lucha contra el contrabando en las zonas primarias y en los usuarios de comercio exterior</t>
    </r>
  </si>
  <si>
    <t>ADU-8 Efectividad en los controles previos  - Lucha contra el Contrabando</t>
  </si>
  <si>
    <t>(Número de reconocimientos con incidencia o hallazgos / Número total de Reconocimientos de Carga)*100</t>
  </si>
  <si>
    <t xml:space="preserve">Subdirección de Gestión de Comercio Exterior </t>
  </si>
  <si>
    <t>ADU-9 Efectividad en el control simultaneo - Lucha contra el Contrabando - Físicas</t>
  </si>
  <si>
    <t>(Número de inspecciones fisicas con incidencia o hallazgos / Número total de Inspecciones fisicas)*100</t>
  </si>
  <si>
    <t>ADU-9.1 Efectividad en el control simultaneo - Lucha contra el Contrabando - Documental</t>
  </si>
  <si>
    <t>(Número de inspecciones documentales con incidencia o hallazgos / Número total de Inspecciones documentales)*100</t>
  </si>
  <si>
    <t>ADU-10.1 Efectividad en el control de pasajeros</t>
  </si>
  <si>
    <t>(Número total de inspecciones con incidencia o hallazgo/ Número total de Inspecciones y/o con perfilamiento tanto ingreso como salida)*100</t>
  </si>
  <si>
    <t xml:space="preserve">ADU-12  Efectividad en los Controles a los  usuarios de comercio- Verificaciones documentales con hallazgos en usuarios visitados </t>
  </si>
  <si>
    <t>(Número de usuarios aduaneros verificados con hallazgos encontrados, ya visitados entre 2017 y 2018  / Número total de usuarios aduaneros verificados que fueron visitados entre 2017 y 2018)*100</t>
  </si>
  <si>
    <t>Subdirección de Gestión de Comercio Exterior - Subdirección de Gestión de Registro Aduanero</t>
  </si>
  <si>
    <t>ADU-13 Efectividad en los Controles a los  usuarios de comercio - Hallazgos en verificaciones documentales de usuarios no visitados anteriormente</t>
  </si>
  <si>
    <t>(Número de usuarios aduaneros verificados con hallazgos  / Número total de usuarios aduaneros verificados)*100</t>
  </si>
  <si>
    <t>ADU-29 Eficacia en la toma de muestras de las mercancías presentadas e identificadas por posibles desviaciones de la clasificación arancelaria u otro tipo de incumplimiento de restricciones legales y administrativas, entre otras.</t>
  </si>
  <si>
    <t>Numero de muestras tomadas e identificadas susceptibles de análisis fisicoquimico por posible desviacion de la clasificación arancelaria u otro tipo de incumplimiento de restricciones legales y administrativas, entre otras.</t>
  </si>
  <si>
    <t>Subdirección de Gestión Técnica Aduanera</t>
  </si>
  <si>
    <t>ADU-30 Eficacia visitas de verificación y control a los productores  y/o exportadores colombianos.</t>
  </si>
  <si>
    <t>Número de visitas de origen efectuadas.</t>
  </si>
  <si>
    <t>ADU-31 Eficacia en la revisión de criterios de origen de los productos colombianos</t>
  </si>
  <si>
    <t xml:space="preserve">Número de Declaraciones Juradas revisadas. </t>
  </si>
  <si>
    <t>ADU -32 Eficacia en la atención de solicitudes de análisis merceológicos de mercancía global.</t>
  </si>
  <si>
    <t>Número de muestras analizadas con calidad y oportunidad durante el período</t>
  </si>
  <si>
    <r>
      <rPr>
        <b/>
        <sz val="11"/>
        <color rgb="FF404040"/>
        <rFont val="Calibri"/>
        <family val="2"/>
        <scheme val="minor"/>
      </rPr>
      <t>ADU5</t>
    </r>
    <r>
      <rPr>
        <sz val="11"/>
        <color rgb="FF404040"/>
        <rFont val="Calibri"/>
        <family val="2"/>
        <scheme val="minor"/>
      </rPr>
      <t>. Generar acciones  que  contribuyan al fortalecimiento de la cercanía con  la comunidad de Comercio Exterior</t>
    </r>
  </si>
  <si>
    <t>ADU-17 Encuentros Aduana - Empresa</t>
  </si>
  <si>
    <t>(Número de Encuentros Aduana  Empresa realizadas / Número de Encuentros Aduana  Empresa programados)*100</t>
  </si>
  <si>
    <t>Subdirección de Gestión de Técnica Aduanera, Comercio Exterior y Registro Aduanero - Coordinación del Operador Económico Autorizado</t>
  </si>
  <si>
    <r>
      <rPr>
        <b/>
        <sz val="11"/>
        <color theme="1" tint="0.249977111117893"/>
        <rFont val="Calibri"/>
        <family val="2"/>
        <scheme val="minor"/>
      </rPr>
      <t xml:space="preserve">POLFA6. </t>
    </r>
    <r>
      <rPr>
        <sz val="11"/>
        <color theme="1" tint="0.249977111117893"/>
        <rFont val="Calibri"/>
        <family val="2"/>
        <scheme val="minor"/>
      </rPr>
      <t>Consolidar la oferta de prevención de la Policía Fiscal Aduanera con el fin de mitigar delitos y comportamientos contrarios a la convivencia que afecten el patrimonio y orden económico del país</t>
    </r>
  </si>
  <si>
    <t>POLFA-7 Implementación programa zonas de comercio legal (Formalización)</t>
  </si>
  <si>
    <t>(Número de comerciantes certificados como promotores de la legalidad/ Número de comerciantes inscritos en el programa)*100</t>
  </si>
  <si>
    <t>POLFA-8 Porcentaje de cumplimiento programa semilleros de la legalidad</t>
  </si>
  <si>
    <t>(Actividades ejecutadas / Actividades planeadas)*100</t>
  </si>
  <si>
    <t xml:space="preserve">Número </t>
  </si>
  <si>
    <t xml:space="preserve">Dirección Seccional de Aduanas de Barranquilla. </t>
  </si>
  <si>
    <t>TABLERO BALANCEADO DE GESTIÓN - DIRECCIÓN SECCIONAL DE ADUANAS DE BOGOTÁ - CON METAS 2020</t>
  </si>
  <si>
    <t>COD-ÁREA 3</t>
  </si>
  <si>
    <r>
      <rPr>
        <b/>
        <sz val="11"/>
        <color rgb="FF404040"/>
        <rFont val="Calibri"/>
        <family val="2"/>
        <scheme val="minor"/>
      </rPr>
      <t xml:space="preserve">DGRAE1. </t>
    </r>
    <r>
      <rPr>
        <sz val="11"/>
        <color rgb="FF404040"/>
        <rFont val="Calibri"/>
        <family val="2"/>
        <scheme val="minor"/>
      </rPr>
      <t xml:space="preserve"> Liderar y hacer seguimiento a la ejecución presupuestal de las distintas áreas</t>
    </r>
  </si>
  <si>
    <r>
      <rPr>
        <b/>
        <sz val="11"/>
        <color rgb="FF404040"/>
        <rFont val="Calibri"/>
        <family val="2"/>
        <scheme val="minor"/>
      </rPr>
      <t>DGRAE2.</t>
    </r>
    <r>
      <rPr>
        <sz val="11"/>
        <color rgb="FF404040"/>
        <rFont val="Calibri"/>
        <family val="2"/>
        <scheme val="minor"/>
      </rPr>
      <t xml:space="preserve">  Liderar y hacer el seguimiento a la ejecución de contratación del PAA en las distintas áreas</t>
    </r>
  </si>
  <si>
    <r>
      <rPr>
        <b/>
        <sz val="11"/>
        <color rgb="FF404040"/>
        <rFont val="Calibri"/>
        <family val="2"/>
        <scheme val="minor"/>
      </rPr>
      <t xml:space="preserve">FIS2. </t>
    </r>
    <r>
      <rPr>
        <sz val="11"/>
        <color rgb="FF404040"/>
        <rFont val="Calibri"/>
        <family val="2"/>
        <scheme val="minor"/>
      </rPr>
      <t>Cumplir las metas anuales dentro del marco fiscal de mediano plazo, AHORA Cumplir las metas anuales de gestión efectiva en materia tributaria, aduanera, cambiaria e internacional</t>
    </r>
  </si>
  <si>
    <t>Valor Resoluciones Proferidas:  por concepto de Sanciones, Liquidaciones Oficiales Aduaneras (Corrección y Revisión), Declaratoria de Incumplimiento y Efectividad de Garantías</t>
  </si>
  <si>
    <t>Valor Resoluciones en Firme: por concepto de Sanciones, Liquidaciones Oficiales Aduaneras (Corrección y Revisión), Declaratoria de Incumplimiento y Efectividad de Garantías</t>
  </si>
  <si>
    <t>Valor recaudo gestión aceptada</t>
  </si>
  <si>
    <r>
      <rPr>
        <b/>
        <sz val="11"/>
        <color rgb="FF404040"/>
        <rFont val="Calibri"/>
        <family val="2"/>
        <scheme val="minor"/>
      </rPr>
      <t>FIS4.</t>
    </r>
    <r>
      <rPr>
        <sz val="11"/>
        <color rgb="FF404040"/>
        <rFont val="Calibri"/>
        <family val="2"/>
        <scheme val="minor"/>
      </rPr>
      <t xml:space="preserve"> Gestionar los  programas de fiscalización tributario, aduanero, cambiario e internacional</t>
    </r>
  </si>
  <si>
    <t>FIS -18 Evacuación de expedientes en fiscalización cambiaria</t>
  </si>
  <si>
    <r>
      <rPr>
        <b/>
        <sz val="11"/>
        <color rgb="FF404040"/>
        <rFont val="Calibri"/>
        <family val="2"/>
        <scheme val="minor"/>
      </rPr>
      <t>FIS15.</t>
    </r>
    <r>
      <rPr>
        <sz val="11"/>
        <color rgb="FF404040"/>
        <rFont val="Calibri"/>
        <family val="2"/>
        <scheme val="minor"/>
      </rPr>
      <t xml:space="preserve"> Propuestas de Programas de control posterior de fiscalización  aduanera (Sanciones, LOC, LOR, Origen)                                     </t>
    </r>
  </si>
  <si>
    <r>
      <rPr>
        <b/>
        <sz val="11"/>
        <color rgb="FF404040"/>
        <rFont val="Calibri"/>
        <family val="2"/>
        <scheme val="minor"/>
      </rPr>
      <t>FIS13.</t>
    </r>
    <r>
      <rPr>
        <sz val="11"/>
        <color rgb="FF404040"/>
        <rFont val="Calibri"/>
        <family val="2"/>
        <scheme val="minor"/>
      </rPr>
      <t xml:space="preserve"> Propuestas acciones aduaneras de control posterior (Sanciones, LOC, LOR, Origen)                                                         </t>
    </r>
  </si>
  <si>
    <t xml:space="preserve">JUR-3.1 Porcentaje de éxito de litigiosidad </t>
  </si>
  <si>
    <t>64,1%                             (acumulado anual)</t>
  </si>
  <si>
    <t>(Número requerimientos contestados en oportunidad relacionados con Memorando 69 de 2019, trámites ante el Comité de Conciliaciones, Política de Prevención de Daño Antijurídico / Número Requerimientos realizados por la Subdirección y sus coordinaciones)*100</t>
  </si>
  <si>
    <t>(Número de funcionarios que realizaron el curso mensual virtual de la ANDJE con evidencia de participación / Número de funcionarios que debían tomar la capacitación)*100</t>
  </si>
  <si>
    <r>
      <rPr>
        <b/>
        <sz val="11"/>
        <color rgb="FF404040"/>
        <rFont val="Calibri"/>
        <family val="2"/>
        <scheme val="minor"/>
      </rPr>
      <t xml:space="preserve">ADU2. </t>
    </r>
    <r>
      <rPr>
        <sz val="11"/>
        <color rgb="FF404040"/>
        <rFont val="Calibri"/>
        <family val="2"/>
        <scheme val="minor"/>
      </rPr>
      <t>Aduana con una recaudación eficiente</t>
    </r>
  </si>
  <si>
    <r>
      <rPr>
        <b/>
        <sz val="11"/>
        <color rgb="FF404040"/>
        <rFont val="Calibri"/>
        <family val="2"/>
        <scheme val="minor"/>
      </rPr>
      <t xml:space="preserve">FIS6. </t>
    </r>
    <r>
      <rPr>
        <sz val="11"/>
        <color rgb="FF404040"/>
        <rFont val="Calibri"/>
        <family val="2"/>
        <scheme val="minor"/>
      </rPr>
      <t>Controlar el ingreso y permanencia  ilegal de mercancías  con el fin de contribuir con la competitividad del sector empresarial</t>
    </r>
  </si>
  <si>
    <r>
      <rPr>
        <b/>
        <sz val="11"/>
        <color rgb="FF404040"/>
        <rFont val="Calibri"/>
        <family val="2"/>
        <scheme val="minor"/>
      </rPr>
      <t>FIS14.</t>
    </r>
    <r>
      <rPr>
        <sz val="11"/>
        <color rgb="FF404040"/>
        <rFont val="Calibri"/>
        <family val="2"/>
        <scheme val="minor"/>
      </rPr>
      <t xml:space="preserve"> Incrementar acciones de control de fiscalización contra el contrabando abierto</t>
    </r>
  </si>
  <si>
    <r>
      <rPr>
        <b/>
        <sz val="11"/>
        <color rgb="FF404040"/>
        <rFont val="Calibri"/>
        <family val="2"/>
        <scheme val="minor"/>
      </rPr>
      <t>POLFA3.</t>
    </r>
    <r>
      <rPr>
        <sz val="11"/>
        <color rgb="FF404040"/>
        <rFont val="Calibri"/>
        <family val="2"/>
        <scheme val="minor"/>
      </rPr>
      <t xml:space="preserve"> Incrementar acciones de control de fiscalización contra el contrabando</t>
    </r>
  </si>
  <si>
    <r>
      <rPr>
        <b/>
        <sz val="11"/>
        <color rgb="FF404040"/>
        <rFont val="Calibri"/>
        <family val="2"/>
        <scheme val="minor"/>
      </rPr>
      <t xml:space="preserve">ADU4. </t>
    </r>
    <r>
      <rPr>
        <sz val="11"/>
        <color rgb="FF404040"/>
        <rFont val="Calibri"/>
        <family val="2"/>
        <scheme val="minor"/>
      </rPr>
      <t>Aduana con controles  previos y simultáneos optimizados en la lucha contra el contrabando en las zonas primarias y en los usuarios de comercio exterior</t>
    </r>
  </si>
  <si>
    <t>ADU-8 Efectividad en los controles previos - Lucha contra el Contrabando</t>
  </si>
  <si>
    <t xml:space="preserve"> Numero de muestras tomadas e identificadas susceptibles de análisis fisicoquímico por posible desviación de la clasificación arancelaria u otro tipo de incumplimiento de restricciones legales y administrativas, entre otras.</t>
  </si>
  <si>
    <t>ADU-30 Eficacia Visitas de verificación y control a los productores  y/o exportadores colombianos.</t>
  </si>
  <si>
    <r>
      <rPr>
        <b/>
        <sz val="11"/>
        <color rgb="FF404040"/>
        <rFont val="Calibri"/>
        <family val="2"/>
        <scheme val="minor"/>
      </rPr>
      <t xml:space="preserve">ADU5. </t>
    </r>
    <r>
      <rPr>
        <sz val="11"/>
        <color rgb="FF404040"/>
        <rFont val="Calibri"/>
        <family val="2"/>
        <scheme val="minor"/>
      </rPr>
      <t>Generar acciones  que  contribuyan al fortalecimiento de la cercanía con la comunidad de Comercio Exterior</t>
    </r>
  </si>
  <si>
    <t>Subdirección de Gestión de la Técnica Aduanera, Comercio Exterior y Registro Aduanero - Coordinación del Operador Económico Autorizado</t>
  </si>
  <si>
    <r>
      <rPr>
        <b/>
        <sz val="11"/>
        <color rgb="FF404040"/>
        <rFont val="Calibri"/>
        <family val="2"/>
        <scheme val="minor"/>
      </rPr>
      <t xml:space="preserve">POLFA6. </t>
    </r>
    <r>
      <rPr>
        <sz val="11"/>
        <color rgb="FF404040"/>
        <rFont val="Calibri"/>
        <family val="2"/>
        <scheme val="minor"/>
      </rPr>
      <t>Consolidar la oferta de prevención de la Policía Fiscal Aduanera con el fin de mitigar delitos y comportamientos contrarios a la convivencia que afecten el patrimonio y orden económico del país</t>
    </r>
  </si>
  <si>
    <t xml:space="preserve">Número de comerciantes certificados como promotores de la legalidad/ Número de comerciantes inscritos en el programa </t>
  </si>
  <si>
    <t>POLFA-8 Porcentaje de cumplimiento programa Semilleros de la legalidad</t>
  </si>
  <si>
    <t>Actividades ejecutadas / Actividades planeadas</t>
  </si>
  <si>
    <t>Número de actividades PIC Dirección de Gestón de Ingresos</t>
  </si>
  <si>
    <t>TABLERO BALANCEADO DE GESTIÓN - DIRECCIÓN SECCIONAL DE IMPUESTOS BARRANQUILLA - CON METAS 2020</t>
  </si>
  <si>
    <t>COD-ÁREA 2</t>
  </si>
  <si>
    <t>Billones de Pesos</t>
  </si>
  <si>
    <r>
      <rPr>
        <b/>
        <sz val="11"/>
        <color rgb="FF404040"/>
        <rFont val="Calibri"/>
        <family val="2"/>
        <scheme val="minor"/>
      </rPr>
      <t>FIS2.</t>
    </r>
    <r>
      <rPr>
        <sz val="11"/>
        <color rgb="FF404040"/>
        <rFont val="Calibri"/>
        <family val="2"/>
        <scheme val="minor"/>
      </rPr>
      <t xml:space="preserve">  Cumplir las metas anuales dentro del marco fiscal de mediano plazo, AHORA Cumplir las metas anuales de gestión efectiva en materia tributaria, aduanera, cambiaria e internacional</t>
    </r>
  </si>
  <si>
    <t>Valor recaudo gestión efectiva</t>
  </si>
  <si>
    <t>FIS-6 Gestión efectiva de Fiscalización Internacional</t>
  </si>
  <si>
    <t>Subdirección de Gestión de Fiscalización Internacional</t>
  </si>
  <si>
    <r>
      <rPr>
        <b/>
        <sz val="11"/>
        <color rgb="FF404040"/>
        <rFont val="Calibri"/>
        <family val="2"/>
        <scheme val="minor"/>
      </rPr>
      <t xml:space="preserve">IN3. </t>
    </r>
    <r>
      <rPr>
        <sz val="11"/>
        <color rgb="FF404040"/>
        <rFont val="Calibri"/>
        <family val="2"/>
        <scheme val="minor"/>
      </rPr>
      <t xml:space="preserve"> Cumplir con el recaudo tributario por gestión de cartera</t>
    </r>
  </si>
  <si>
    <t>Valor cartera recuperada del mes+ V alores cartera recuperada meses anteriores cuya información no se encontraba disponible al momento del reporte</t>
  </si>
  <si>
    <r>
      <rPr>
        <b/>
        <sz val="11"/>
        <color rgb="FF404040"/>
        <rFont val="Calibri"/>
        <family val="2"/>
        <scheme val="minor"/>
      </rPr>
      <t>IN4.</t>
    </r>
    <r>
      <rPr>
        <sz val="11"/>
        <color rgb="FF404040"/>
        <rFont val="Calibri"/>
        <family val="2"/>
        <scheme val="minor"/>
      </rPr>
      <t xml:space="preserve">  Contar con los inscritos requeridos  en el Régimen Simple de Tributación - RST, con el fin de contribuir con la estrategia de la Entidad</t>
    </r>
  </si>
  <si>
    <r>
      <rPr>
        <b/>
        <sz val="11"/>
        <color rgb="FF404040"/>
        <rFont val="Calibri"/>
        <family val="2"/>
        <scheme val="minor"/>
      </rPr>
      <t xml:space="preserve">IN5. </t>
    </r>
    <r>
      <rPr>
        <sz val="11"/>
        <color rgb="FF404040"/>
        <rFont val="Calibri"/>
        <family val="2"/>
        <scheme val="minor"/>
      </rPr>
      <t xml:space="preserve"> Adelantar estrategias de gestión con los contribuyentes inscritos en el Régimen Simple de Tributación - RST, para que presente oportunamente los anticipos</t>
    </r>
  </si>
  <si>
    <r>
      <rPr>
        <b/>
        <sz val="11"/>
        <color rgb="FF404040"/>
        <rFont val="Calibri"/>
        <family val="2"/>
        <scheme val="minor"/>
      </rPr>
      <t xml:space="preserve">IN7. </t>
    </r>
    <r>
      <rPr>
        <sz val="11"/>
        <color rgb="FF404040"/>
        <rFont val="Calibri"/>
        <family val="2"/>
        <scheme val="minor"/>
      </rPr>
      <t xml:space="preserve"> Habilitar facturadores electrónicos con el fin de apalancar los resultados estratégicos  </t>
    </r>
  </si>
  <si>
    <r>
      <rPr>
        <b/>
        <sz val="11"/>
        <color rgb="FF404040"/>
        <rFont val="Calibri"/>
        <family val="2"/>
        <scheme val="minor"/>
      </rPr>
      <t xml:space="preserve">JUR2. </t>
    </r>
    <r>
      <rPr>
        <sz val="11"/>
        <color rgb="FF404040"/>
        <rFont val="Calibri"/>
        <family val="2"/>
        <scheme val="minor"/>
      </rPr>
      <t xml:space="preserve"> Mejorar el porcentaje de éxito de litigiosidad</t>
    </r>
  </si>
  <si>
    <t>(Número de procesos judiciales terminados de manera normal con fallo ejecutoriado a favor de la DIAN en el año /Número total de procesos judiciales terminados de manera normal (a favor, en contra o parcial) con fallo ejecutoriado, durante el año)*100</t>
  </si>
  <si>
    <t>64,1 % (anual)</t>
  </si>
  <si>
    <t>|</t>
  </si>
  <si>
    <t>OE6. Lograr mayor cercanía al ciudadano a través de acciones generadoras de valor que impacten positivamente en los contribuyentes</t>
  </si>
  <si>
    <r>
      <rPr>
        <b/>
        <sz val="11"/>
        <color rgb="FF404040"/>
        <rFont val="Calibri"/>
        <family val="2"/>
        <scheme val="minor"/>
      </rPr>
      <t xml:space="preserve">IN9.  </t>
    </r>
    <r>
      <rPr>
        <sz val="11"/>
        <color rgb="FF404040"/>
        <rFont val="Calibri"/>
        <family val="2"/>
        <scheme val="minor"/>
      </rPr>
      <t>Desarrollar las Acciones que promuevan la cultura de la contribución</t>
    </r>
  </si>
  <si>
    <t>Por Definir en marzo</t>
  </si>
  <si>
    <r>
      <rPr>
        <b/>
        <sz val="11"/>
        <color rgb="FF404040"/>
        <rFont val="Calibri"/>
        <family val="2"/>
        <scheme val="minor"/>
      </rPr>
      <t>JUR5.</t>
    </r>
    <r>
      <rPr>
        <sz val="11"/>
        <color rgb="FF404040"/>
        <rFont val="Calibri"/>
        <family val="2"/>
        <scheme val="minor"/>
      </rPr>
      <t xml:space="preserve">  Mejorar el tiempo de respuesta de las  decisiones de los recursos Tributarios hasta su remisión a notificaciones</t>
    </r>
  </si>
  <si>
    <r>
      <rPr>
        <b/>
        <sz val="11"/>
        <color rgb="FF404040"/>
        <rFont val="Calibri"/>
        <family val="2"/>
        <scheme val="minor"/>
      </rPr>
      <t xml:space="preserve">IN11. </t>
    </r>
    <r>
      <rPr>
        <sz val="11"/>
        <color rgb="FF404040"/>
        <rFont val="Calibri"/>
        <family val="2"/>
        <scheme val="minor"/>
      </rPr>
      <t xml:space="preserve"> Facilitar las Devoluciones Tributarias, con el fin de generar una relación más cercana con nuestros grupos de interés</t>
    </r>
  </si>
  <si>
    <t>IN1-15 Días en devoluciones ordinarias</t>
  </si>
  <si>
    <r>
      <rPr>
        <b/>
        <sz val="11"/>
        <color rgb="FF404040"/>
        <rFont val="Calibri"/>
        <family val="2"/>
        <scheme val="minor"/>
      </rPr>
      <t>DGRAE22</t>
    </r>
    <r>
      <rPr>
        <sz val="11"/>
        <color rgb="FF404040"/>
        <rFont val="Calibri"/>
        <family val="2"/>
        <scheme val="minor"/>
      </rPr>
      <t>. Diseñar y ejecutar el plan de capacitación institucional 2020-2022</t>
    </r>
  </si>
  <si>
    <t>Número actividades PIC Dirección de Gestióin de Ingresos</t>
  </si>
  <si>
    <t>Subdireccióin de Gestión de Personal</t>
  </si>
  <si>
    <t>-</t>
  </si>
  <si>
    <t>TABLERO BALANCEADO DE GESTIÓN - DIRECCIÓN SECCIONAL DE IMPUESTOS BOGOTÁ -  CON METAS 2020</t>
  </si>
  <si>
    <t>COD-ÁREA 32</t>
  </si>
  <si>
    <t>Dirección de Gestión de Recursos y Administración Económica - Subdirección de Gestión de Recursos Físicos</t>
  </si>
  <si>
    <r>
      <rPr>
        <b/>
        <sz val="11"/>
        <color theme="1" tint="0.249977111117893"/>
        <rFont val="Calibri"/>
        <family val="2"/>
        <scheme val="minor"/>
      </rPr>
      <t>IN2.</t>
    </r>
    <r>
      <rPr>
        <sz val="11"/>
        <color theme="1" tint="0.249977111117893"/>
        <rFont val="Calibri"/>
        <family val="2"/>
        <scheme val="minor"/>
      </rPr>
      <t xml:space="preserve">  Cumplir las metas anuales dentro del marco fiscal de mediano plazo</t>
    </r>
  </si>
  <si>
    <r>
      <rPr>
        <b/>
        <sz val="11"/>
        <color theme="1" tint="0.249977111117893"/>
        <rFont val="Calibri"/>
        <family val="2"/>
        <scheme val="minor"/>
      </rPr>
      <t>FIS2.</t>
    </r>
    <r>
      <rPr>
        <sz val="11"/>
        <color theme="1" tint="0.249977111117893"/>
        <rFont val="Calibri"/>
        <family val="2"/>
        <scheme val="minor"/>
      </rPr>
      <t xml:space="preserve">  Cumplir las metas anuales dentro del marco fiscal de mediano plazo, AHORA Cumplir las metas anuales de gestión efectiva en materia tributaria, aduanera, cambiaria e internacional</t>
    </r>
  </si>
  <si>
    <t xml:space="preserve">Número de expedientes evacuados </t>
  </si>
  <si>
    <r>
      <rPr>
        <b/>
        <sz val="11"/>
        <color theme="1" tint="0.249977111117893"/>
        <rFont val="Calibri"/>
        <family val="2"/>
        <scheme val="minor"/>
      </rPr>
      <t xml:space="preserve">IN3. </t>
    </r>
    <r>
      <rPr>
        <sz val="11"/>
        <color theme="1" tint="0.249977111117893"/>
        <rFont val="Calibri"/>
        <family val="2"/>
        <scheme val="minor"/>
      </rPr>
      <t xml:space="preserve"> Cumplir con el recaudo tributario por gestión de cartera</t>
    </r>
  </si>
  <si>
    <r>
      <rPr>
        <b/>
        <sz val="11"/>
        <color theme="1" tint="0.249977111117893"/>
        <rFont val="Calibri"/>
        <family val="2"/>
        <scheme val="minor"/>
      </rPr>
      <t>IN4.</t>
    </r>
    <r>
      <rPr>
        <sz val="11"/>
        <color theme="1" tint="0.249977111117893"/>
        <rFont val="Calibri"/>
        <family val="2"/>
        <scheme val="minor"/>
      </rPr>
      <t xml:space="preserve">  Contar con los inscritos requeridos  en el Régimen Simple de Tributación - RST, con el fin de contribuir con la estrategia de la Entidad</t>
    </r>
  </si>
  <si>
    <r>
      <rPr>
        <b/>
        <sz val="11"/>
        <color theme="1" tint="0.249977111117893"/>
        <rFont val="Calibri"/>
        <family val="2"/>
        <scheme val="minor"/>
      </rPr>
      <t xml:space="preserve">IN5. </t>
    </r>
    <r>
      <rPr>
        <sz val="11"/>
        <color theme="1" tint="0.249977111117893"/>
        <rFont val="Calibri"/>
        <family val="2"/>
        <scheme val="minor"/>
      </rPr>
      <t xml:space="preserve"> Adelantar estrategias de gestión con los contribuyentes inscritos en el Régimen Simple de Tributación - RST, para que presente oportunamente los anticipos</t>
    </r>
  </si>
  <si>
    <r>
      <rPr>
        <b/>
        <sz val="11"/>
        <color theme="1" tint="0.249977111117893"/>
        <rFont val="Calibri"/>
        <family val="2"/>
        <scheme val="minor"/>
      </rPr>
      <t>IN7.</t>
    </r>
    <r>
      <rPr>
        <sz val="11"/>
        <color theme="1" tint="0.249977111117893"/>
        <rFont val="Calibri"/>
        <family val="2"/>
        <scheme val="minor"/>
      </rPr>
      <t xml:space="preserve">  Habilitar facturadores electrónicos con el fin de apalancar los resultados estratégicos  </t>
    </r>
  </si>
  <si>
    <t>(Número de contribuyentes habilitados en la Dirección Seccional)</t>
  </si>
  <si>
    <r>
      <rPr>
        <b/>
        <sz val="11"/>
        <color theme="1" tint="0.249977111117893"/>
        <rFont val="Calibri"/>
        <family val="2"/>
        <scheme val="minor"/>
      </rPr>
      <t xml:space="preserve"> JUR2. </t>
    </r>
    <r>
      <rPr>
        <sz val="11"/>
        <color theme="1" tint="0.249977111117893"/>
        <rFont val="Calibri"/>
        <family val="2"/>
        <scheme val="minor"/>
      </rPr>
      <t xml:space="preserve"> Mejorar el porcentaje de éxito de litigiosidad</t>
    </r>
  </si>
  <si>
    <r>
      <rPr>
        <b/>
        <sz val="11"/>
        <color theme="1" tint="0.249977111117893"/>
        <rFont val="Calibri"/>
        <family val="2"/>
        <scheme val="minor"/>
      </rPr>
      <t>IN9.</t>
    </r>
    <r>
      <rPr>
        <sz val="11"/>
        <color theme="1" tint="0.249977111117893"/>
        <rFont val="Calibri"/>
        <family val="2"/>
        <scheme val="minor"/>
      </rPr>
      <t xml:space="preserve">  Desarrollar las Acciones que promuevan la cultura de la contribución</t>
    </r>
  </si>
  <si>
    <r>
      <rPr>
        <b/>
        <sz val="11"/>
        <color theme="1" tint="0.249977111117893"/>
        <rFont val="Calibri"/>
        <family val="2"/>
        <scheme val="minor"/>
      </rPr>
      <t>JUR5.</t>
    </r>
    <r>
      <rPr>
        <sz val="11"/>
        <color theme="1" tint="0.249977111117893"/>
        <rFont val="Calibri"/>
        <family val="2"/>
        <scheme val="minor"/>
      </rPr>
      <t xml:space="preserve">  Mejorar el tiempo de respuesta de las  decisiones de los recursos Tributarios hasta su remisión a notificaciones</t>
    </r>
  </si>
  <si>
    <r>
      <rPr>
        <b/>
        <sz val="11"/>
        <color theme="1" tint="0.249977111117893"/>
        <rFont val="Calibri"/>
        <family val="2"/>
        <scheme val="minor"/>
      </rPr>
      <t>IN11.</t>
    </r>
    <r>
      <rPr>
        <sz val="11"/>
        <color theme="1" tint="0.249977111117893"/>
        <rFont val="Calibri"/>
        <family val="2"/>
        <scheme val="minor"/>
      </rPr>
      <t xml:space="preserve">  Facilitar las Devoluciones Tributarias, con el fin de generar una relación más cercana con nuestros grupos de interés</t>
    </r>
  </si>
  <si>
    <t>Número de días hábiles en devoluciones ordinarias</t>
  </si>
  <si>
    <t>TABLERO BALANCEADO DE GESTIÓN - DIRECCION SECCIONAL DE IMPUESTOS CALI - CON METAS 2020</t>
  </si>
  <si>
    <t>Versión 2.0  28 de agosto de 2020</t>
  </si>
  <si>
    <t>COD-ÁREA 5</t>
  </si>
  <si>
    <t>ACUMULADO AÑO CORRIDO</t>
  </si>
  <si>
    <t>cumplimiento frente al total del año</t>
  </si>
  <si>
    <t>% CUMP Acumulado Semestre</t>
  </si>
  <si>
    <t>Cump. Año corrido</t>
  </si>
  <si>
    <t xml:space="preserve">% CUMP.  A la fecha sobre la meta año </t>
  </si>
  <si>
    <t>Valor recaudo gestión efectiva Internacional</t>
  </si>
  <si>
    <t>Valor cartera recuperada del mes
+ Valores cartera recuperada meses anteriores cuya información no se encontraba disponible al momento del reporte</t>
  </si>
  <si>
    <r>
      <rPr>
        <b/>
        <sz val="11"/>
        <color rgb="FF404040"/>
        <rFont val="Calibri"/>
        <family val="2"/>
        <scheme val="minor"/>
      </rPr>
      <t>IN4.</t>
    </r>
    <r>
      <rPr>
        <sz val="11"/>
        <color rgb="FF404040"/>
        <rFont val="Calibri"/>
        <family val="2"/>
        <scheme val="minor"/>
      </rPr>
      <t xml:space="preserve"> Contar con los inscritos requeridos  en el Régimen Simple de Tributación - RST, con el fin de contribuir con la estrategia de la Entidad</t>
    </r>
  </si>
  <si>
    <r>
      <rPr>
        <b/>
        <sz val="11"/>
        <color rgb="FF404040"/>
        <rFont val="Calibri"/>
        <family val="2"/>
        <scheme val="minor"/>
      </rPr>
      <t xml:space="preserve">IN5. </t>
    </r>
    <r>
      <rPr>
        <sz val="11"/>
        <color rgb="FF404040"/>
        <rFont val="Calibri"/>
        <family val="2"/>
        <scheme val="minor"/>
      </rPr>
      <t>Adelantar estrategias de gestión con los contribuyentes inscritos en el Régimen Simple de Tributación - RST, para que presente oportunamente los anticipos</t>
    </r>
  </si>
  <si>
    <t>Número De contribuyentes habilitados en la Dirección Seccional</t>
  </si>
  <si>
    <r>
      <rPr>
        <b/>
        <sz val="11"/>
        <color rgb="FF404040"/>
        <rFont val="Calibri"/>
        <family val="2"/>
        <scheme val="minor"/>
      </rPr>
      <t>IN9.</t>
    </r>
    <r>
      <rPr>
        <sz val="11"/>
        <color rgb="FF404040"/>
        <rFont val="Calibri"/>
        <family val="2"/>
        <scheme val="minor"/>
      </rPr>
      <t xml:space="preserve"> Desarrollar las Acciones que promuevan la cultura de la contribución </t>
    </r>
  </si>
  <si>
    <t>TABLERO BALANCEADO DE GESTIÓN - DIRECCIÓN SECCIONAL DE IMPUESTOS CARTAGENA - CON METAS 2020</t>
  </si>
  <si>
    <t>COD-ÁREA 6</t>
  </si>
  <si>
    <r>
      <rPr>
        <b/>
        <sz val="11"/>
        <color theme="1" tint="0.249977111117893"/>
        <rFont val="Calibri"/>
        <family val="2"/>
        <scheme val="minor"/>
      </rPr>
      <t xml:space="preserve">IN2. </t>
    </r>
    <r>
      <rPr>
        <sz val="11"/>
        <color theme="1" tint="0.249977111117893"/>
        <rFont val="Calibri"/>
        <family val="2"/>
        <scheme val="minor"/>
      </rPr>
      <t>Cumplir las metas anuales dentro del marco fiscal de mediano plazo</t>
    </r>
  </si>
  <si>
    <r>
      <rPr>
        <b/>
        <sz val="11"/>
        <color theme="1" tint="0.249977111117893"/>
        <rFont val="Calibri"/>
        <family val="2"/>
        <scheme val="minor"/>
      </rPr>
      <t>FIS2</t>
    </r>
    <r>
      <rPr>
        <sz val="11"/>
        <color theme="1" tint="0.249977111117893"/>
        <rFont val="Calibri"/>
        <family val="2"/>
        <scheme val="minor"/>
      </rPr>
      <t>.  Cumplir las metas anuales dentro del marco fiscal de mediano plazo, AHORA Cumplir las metas anuales de gestión efectiva en materia tributaria, aduanera, cambiaria e internacional</t>
    </r>
  </si>
  <si>
    <t>Subdirección de Gestión Fiscalización Tributaria-Coordinación de Gestión Operativa de Fiscalización Tributaria</t>
  </si>
  <si>
    <t xml:space="preserve">Valor recaudo gestión aceptada tributaria </t>
  </si>
  <si>
    <r>
      <rPr>
        <b/>
        <sz val="11"/>
        <color theme="1" tint="0.249977111117893"/>
        <rFont val="Calibri"/>
        <family val="2"/>
        <scheme val="minor"/>
      </rPr>
      <t>IN3.</t>
    </r>
    <r>
      <rPr>
        <sz val="11"/>
        <color theme="1" tint="0.249977111117893"/>
        <rFont val="Calibri"/>
        <family val="2"/>
        <scheme val="minor"/>
      </rPr>
      <t xml:space="preserve"> Cumplir con el recaudo tributario por gestión de cartera</t>
    </r>
  </si>
  <si>
    <t>Subdirección de Gestión de Recaudo y Cobranzas</t>
  </si>
  <si>
    <r>
      <rPr>
        <b/>
        <sz val="11"/>
        <color theme="1" tint="0.249977111117893"/>
        <rFont val="Calibri"/>
        <family val="2"/>
        <scheme val="minor"/>
      </rPr>
      <t xml:space="preserve">IN4. </t>
    </r>
    <r>
      <rPr>
        <sz val="11"/>
        <color theme="1" tint="0.249977111117893"/>
        <rFont val="Calibri"/>
        <family val="2"/>
        <scheme val="minor"/>
      </rPr>
      <t>Contar con los inscritos requeridos  en el Régimen Simple de Tributación - RST, con el fin de contribuir con la estrategia de la Entidad</t>
    </r>
  </si>
  <si>
    <r>
      <rPr>
        <b/>
        <sz val="11"/>
        <color theme="1" tint="0.249977111117893"/>
        <rFont val="Calibri"/>
        <family val="2"/>
        <scheme val="minor"/>
      </rPr>
      <t>IN5.</t>
    </r>
    <r>
      <rPr>
        <sz val="11"/>
        <color theme="1" tint="0.249977111117893"/>
        <rFont val="Calibri"/>
        <family val="2"/>
        <scheme val="minor"/>
      </rPr>
      <t xml:space="preserve">  Adelantar estrategias de gestión con los contribuyentes inscritos en el Régimen Simple de Tributación - RST, para que presente oportunamente los anticipos</t>
    </r>
  </si>
  <si>
    <r>
      <rPr>
        <b/>
        <sz val="11"/>
        <color theme="1" tint="0.249977111117893"/>
        <rFont val="Calibri"/>
        <family val="2"/>
        <scheme val="minor"/>
      </rPr>
      <t xml:space="preserve">IN7. </t>
    </r>
    <r>
      <rPr>
        <sz val="11"/>
        <color theme="1" tint="0.249977111117893"/>
        <rFont val="Calibri"/>
        <family val="2"/>
        <scheme val="minor"/>
      </rPr>
      <t xml:space="preserve">Habilitar facturadores electrónicos con el fin de apalancar los resultados estratégicos </t>
    </r>
  </si>
  <si>
    <t>JUR-3.4 Porcentaje de procesos revisados con VoBo del Jefe</t>
  </si>
  <si>
    <r>
      <rPr>
        <b/>
        <sz val="11"/>
        <color theme="1" tint="0.249977111117893"/>
        <rFont val="Calibri"/>
        <family val="2"/>
        <scheme val="minor"/>
      </rPr>
      <t>IN9.</t>
    </r>
    <r>
      <rPr>
        <sz val="11"/>
        <color theme="1" tint="0.249977111117893"/>
        <rFont val="Calibri"/>
        <family val="2"/>
        <scheme val="minor"/>
      </rPr>
      <t xml:space="preserve"> Desarrollar las Acciones que promuevan la cultura de la contribución </t>
    </r>
  </si>
  <si>
    <r>
      <rPr>
        <b/>
        <sz val="11"/>
        <color theme="1" tint="0.249977111117893"/>
        <rFont val="Calibri"/>
        <family val="2"/>
        <scheme val="minor"/>
      </rPr>
      <t xml:space="preserve">IN11. </t>
    </r>
    <r>
      <rPr>
        <sz val="11"/>
        <color theme="1" tint="0.249977111117893"/>
        <rFont val="Calibri"/>
        <family val="2"/>
        <scheme val="minor"/>
      </rPr>
      <t>Facilitar las Devoluciones Tributarias, con el fin de generar una relación más cercana con nuestros grupos de interés</t>
    </r>
  </si>
  <si>
    <r>
      <rPr>
        <b/>
        <sz val="11"/>
        <color theme="1" tint="0.249977111117893"/>
        <rFont val="Calibri"/>
        <family val="2"/>
        <scheme val="minor"/>
      </rPr>
      <t xml:space="preserve">JUR5. </t>
    </r>
    <r>
      <rPr>
        <sz val="11"/>
        <color theme="1" tint="0.249977111117893"/>
        <rFont val="Calibri"/>
        <family val="2"/>
        <scheme val="minor"/>
      </rPr>
      <t xml:space="preserve"> Mejorar el tiempo de respuesta de las  decisiones de los recursos Tributarios hasta su remisión a notificaciones</t>
    </r>
  </si>
  <si>
    <r>
      <rPr>
        <b/>
        <sz val="11"/>
        <color theme="1" tint="0.249977111117893"/>
        <rFont val="Calibri"/>
        <family val="2"/>
        <scheme val="minor"/>
      </rPr>
      <t>DGRAE22.</t>
    </r>
    <r>
      <rPr>
        <sz val="11"/>
        <color theme="1" tint="0.249977111117893"/>
        <rFont val="Calibri"/>
        <family val="2"/>
        <scheme val="minor"/>
      </rPr>
      <t xml:space="preserve"> Diseñar y ejecutar el plan de capacitación institucional 2020-2022</t>
    </r>
  </si>
  <si>
    <t xml:space="preserve"> </t>
  </si>
  <si>
    <t>TABLERO BALANCEADO DE GESTIÓN - DIRECCIÓN SECCIONAL DE IMPUESTOS DE CUCUTA  -  CON METAS 2020</t>
  </si>
  <si>
    <t>COD-ÁREA 7</t>
  </si>
  <si>
    <t xml:space="preserve"> Valor cartera recuperada del mes + Valores cartera recuperada meses anteriores cuya información no se encontraba disponible al momento del reporte</t>
  </si>
  <si>
    <t>(Número de campañas realizadas en el año / Número  de campañas planeadas en el año)*100</t>
  </si>
  <si>
    <r>
      <rPr>
        <b/>
        <sz val="11"/>
        <color rgb="FF404040"/>
        <rFont val="Calibri"/>
        <family val="2"/>
        <scheme val="minor"/>
      </rPr>
      <t xml:space="preserve">IN7. </t>
    </r>
    <r>
      <rPr>
        <sz val="11"/>
        <color rgb="FF404040"/>
        <rFont val="Calibri"/>
        <family val="2"/>
        <scheme val="minor"/>
      </rPr>
      <t xml:space="preserve"> Habilitar facturadores electrónicos con el fin de apalancar los resultados estratégicos </t>
    </r>
  </si>
  <si>
    <t xml:space="preserve">PER2. Grupos de Interés </t>
  </si>
  <si>
    <r>
      <rPr>
        <b/>
        <sz val="11"/>
        <color rgb="FF404040"/>
        <rFont val="Calibri"/>
        <family val="2"/>
        <scheme val="minor"/>
      </rPr>
      <t>IN9.</t>
    </r>
    <r>
      <rPr>
        <sz val="11"/>
        <color rgb="FF404040"/>
        <rFont val="Calibri"/>
        <family val="2"/>
        <scheme val="minor"/>
      </rPr>
      <t xml:space="preserve">  Desarrollar las Acciones que promuevan la cultura de la contribución  </t>
    </r>
  </si>
  <si>
    <r>
      <rPr>
        <b/>
        <sz val="11"/>
        <color rgb="FF404040"/>
        <rFont val="Calibri"/>
        <family val="2"/>
        <scheme val="minor"/>
      </rPr>
      <t>JUR5</t>
    </r>
    <r>
      <rPr>
        <sz val="11"/>
        <color rgb="FF404040"/>
        <rFont val="Calibri"/>
        <family val="2"/>
        <scheme val="minor"/>
      </rPr>
      <t>. Mejorar el tiempo de respuesta de las decisiones de los recursos tributarios hasta su remisión a notificaciones</t>
    </r>
  </si>
  <si>
    <r>
      <rPr>
        <b/>
        <sz val="11"/>
        <color rgb="FF404040"/>
        <rFont val="Calibri"/>
        <family val="2"/>
        <scheme val="minor"/>
      </rPr>
      <t>IN11.</t>
    </r>
    <r>
      <rPr>
        <sz val="11"/>
        <color rgb="FF404040"/>
        <rFont val="Calibri"/>
        <family val="2"/>
        <scheme val="minor"/>
      </rPr>
      <t xml:space="preserve"> Facilitar las Devoluciones Tributarias, con el fin de generar una relación más cercana con nuestros grupos de interés</t>
    </r>
  </si>
  <si>
    <t>TABLERO BALANCEADO DE GESTIÓN - DIRECCIÓN SECCIONAL DE IMPUESTOS MEDELLÍN - CON METAS 2020</t>
  </si>
  <si>
    <t>COD-ÁREA 11</t>
  </si>
  <si>
    <r>
      <rPr>
        <b/>
        <sz val="11"/>
        <color theme="1" tint="0.249977111117893"/>
        <rFont val="Calibri"/>
        <family val="2"/>
        <scheme val="minor"/>
      </rPr>
      <t xml:space="preserve">IN2.  </t>
    </r>
    <r>
      <rPr>
        <sz val="11"/>
        <color theme="1" tint="0.249977111117893"/>
        <rFont val="Calibri"/>
        <family val="2"/>
        <scheme val="minor"/>
      </rPr>
      <t xml:space="preserve"> Cumplir las metas anuales dentro del marco fiscal de mediano plazo</t>
    </r>
  </si>
  <si>
    <r>
      <rPr>
        <b/>
        <sz val="11"/>
        <color theme="1" tint="0.249977111117893"/>
        <rFont val="Calibri"/>
        <family val="2"/>
        <scheme val="minor"/>
      </rPr>
      <t xml:space="preserve">FIS2. </t>
    </r>
    <r>
      <rPr>
        <sz val="11"/>
        <color theme="1" tint="0.249977111117893"/>
        <rFont val="Calibri"/>
        <family val="2"/>
        <scheme val="minor"/>
      </rPr>
      <t xml:space="preserve"> Cumplir las metas anuales dentro del marco fiscal de mediano plazo, AHORA Cumplir las metas anuales de gestión efectiva en materia tributaria, aduanera, cambiaria e internacional</t>
    </r>
  </si>
  <si>
    <r>
      <rPr>
        <b/>
        <sz val="11"/>
        <color theme="1" tint="0.249977111117893"/>
        <rFont val="Calibri"/>
        <family val="2"/>
        <scheme val="minor"/>
      </rPr>
      <t xml:space="preserve">IN3.  </t>
    </r>
    <r>
      <rPr>
        <sz val="11"/>
        <color theme="1" tint="0.249977111117893"/>
        <rFont val="Calibri"/>
        <family val="2"/>
        <scheme val="minor"/>
      </rPr>
      <t>Cumplir con el recaudo tributario por gestión de cartera</t>
    </r>
  </si>
  <si>
    <t xml:space="preserve">
Valor cartera recuperada del mes + Valores cartera recuperada meses anteriores cuya información no se encontraba disponible al momento del reporte</t>
  </si>
  <si>
    <r>
      <rPr>
        <b/>
        <sz val="11"/>
        <color theme="1" tint="0.249977111117893"/>
        <rFont val="Calibri"/>
        <family val="2"/>
        <scheme val="minor"/>
      </rPr>
      <t xml:space="preserve">IN4. </t>
    </r>
    <r>
      <rPr>
        <sz val="11"/>
        <color theme="1" tint="0.249977111117893"/>
        <rFont val="Calibri"/>
        <family val="2"/>
        <scheme val="minor"/>
      </rPr>
      <t xml:space="preserve"> Contar con los inscritos requeridos  en el Régimen Simple de Tributación - RST, con el fin de contribuir con la estrategia de la Entidad</t>
    </r>
  </si>
  <si>
    <r>
      <rPr>
        <b/>
        <sz val="11"/>
        <color theme="1" tint="0.249977111117893"/>
        <rFont val="Calibri"/>
        <family val="2"/>
        <scheme val="minor"/>
      </rPr>
      <t xml:space="preserve">IN7.  </t>
    </r>
    <r>
      <rPr>
        <sz val="11"/>
        <color theme="1" tint="0.249977111117893"/>
        <rFont val="Calibri"/>
        <family val="2"/>
        <scheme val="minor"/>
      </rPr>
      <t xml:space="preserve">Habilitar facturadores electrónicos con el fin de apalancar los resultados estratégicos  </t>
    </r>
  </si>
  <si>
    <r>
      <rPr>
        <b/>
        <sz val="11"/>
        <color theme="1" tint="0.249977111117893"/>
        <rFont val="Calibri"/>
        <family val="2"/>
        <scheme val="minor"/>
      </rPr>
      <t>JUR2.</t>
    </r>
    <r>
      <rPr>
        <sz val="11"/>
        <color theme="1" tint="0.249977111117893"/>
        <rFont val="Calibri"/>
        <family val="2"/>
        <scheme val="minor"/>
      </rPr>
      <t xml:space="preserve">  Mejorar el porcentaje de éxito de litigiosidad</t>
    </r>
  </si>
  <si>
    <t>(Número requerimientos contestados en oportunidad relacionados con Memorando 69 de 2019, trámites ante el Comité de Conciliaciones, Política de Prevención de Daño Antijurídico / Números requerimientos realizados por la Subdirección y sus coordinaciones)*100</t>
  </si>
  <si>
    <r>
      <rPr>
        <b/>
        <sz val="11"/>
        <color rgb="FF404040"/>
        <rFont val="Calibri"/>
        <family val="2"/>
        <scheme val="minor"/>
      </rPr>
      <t>IN9.</t>
    </r>
    <r>
      <rPr>
        <sz val="11"/>
        <color rgb="FF404040"/>
        <rFont val="Calibri"/>
        <family val="2"/>
        <scheme val="minor"/>
      </rPr>
      <t xml:space="preserve">  Desarrollar las Acciones que promuevan la cultura de la contribución</t>
    </r>
  </si>
  <si>
    <r>
      <rPr>
        <b/>
        <sz val="11"/>
        <color rgb="FF404040"/>
        <rFont val="Calibri"/>
        <family val="2"/>
        <scheme val="minor"/>
      </rPr>
      <t xml:space="preserve">JUR5.  </t>
    </r>
    <r>
      <rPr>
        <sz val="11"/>
        <color rgb="FF404040"/>
        <rFont val="Calibri"/>
        <family val="2"/>
        <scheme val="minor"/>
      </rPr>
      <t>Mejorar el tiempo de respuesta de las  decisiones de los recursos Tributarios hasta su remisión a notificaciones</t>
    </r>
  </si>
  <si>
    <r>
      <t xml:space="preserve">DGRAE22. </t>
    </r>
    <r>
      <rPr>
        <sz val="11"/>
        <color rgb="FF404040"/>
        <rFont val="Calibri"/>
        <family val="2"/>
        <scheme val="minor"/>
      </rPr>
      <t>Diseñar y ejecutar el plan de capacitación institucional 2020-2022</t>
    </r>
  </si>
  <si>
    <t>Número de actividades PIC Dirección de Gestión de Ingresos</t>
  </si>
  <si>
    <t xml:space="preserve">VOLVER </t>
  </si>
  <si>
    <t>TABLERO BALANCEADO DE GESTIÓN - DIRECCIÓN SECCIONAL DE ADUANAS DE CALI - CON METAS 2020</t>
  </si>
  <si>
    <t>COD-ÁREA 88</t>
  </si>
  <si>
    <t>ACUMULADO</t>
  </si>
  <si>
    <r>
      <rPr>
        <b/>
        <sz val="11"/>
        <color rgb="FF404040"/>
        <rFont val="Calibri"/>
        <family val="2"/>
        <scheme val="minor"/>
      </rPr>
      <t xml:space="preserve">FIS2. </t>
    </r>
    <r>
      <rPr>
        <sz val="11"/>
        <color rgb="FF404040"/>
        <rFont val="Calibri"/>
        <family val="2"/>
        <scheme val="minor"/>
      </rPr>
      <t xml:space="preserve"> Cumplir las metas anuales dentro del marco fiscal de mediano plazo, ahora: Cumplir las metas anuales de gestión efectiva en materia tributaria, aduanera, cambiaria e internacional</t>
    </r>
  </si>
  <si>
    <t>FIS-5  Gestión efectiva de Fiscalización Aduanera</t>
  </si>
  <si>
    <t>FIS-7  Gestión efectiva de Control Cambiario</t>
  </si>
  <si>
    <t xml:space="preserve">FIS-8  Gestión aceptada de Fiscalización aduanera (Recaudo) </t>
  </si>
  <si>
    <t>FIS-9  Gestión aceptada de Fiscalización Aduanera (Resoluciones en firme)</t>
  </si>
  <si>
    <t>FIS-11  Gestión aceptada cambiaria (Recaudo)</t>
  </si>
  <si>
    <t>Valor Recaudo gestión efectiva</t>
  </si>
  <si>
    <t>FIS-12  Gestión aceptada cambiaria (Resoluciones en firme)</t>
  </si>
  <si>
    <t>FIS-15  Visitas de control a profesionales de cambio</t>
  </si>
  <si>
    <t>Porcentaje evacuación de expedientes</t>
  </si>
  <si>
    <r>
      <rPr>
        <b/>
        <sz val="11"/>
        <color rgb="FF404040"/>
        <rFont val="Calibri"/>
        <family val="2"/>
        <scheme val="minor"/>
      </rPr>
      <t>FIS15.</t>
    </r>
    <r>
      <rPr>
        <sz val="11"/>
        <color rgb="FF404040"/>
        <rFont val="Calibri"/>
        <family val="2"/>
        <scheme val="minor"/>
      </rPr>
      <t xml:space="preserve"> Propuestas de programas de control posterior de fiscalización aduanera (Sanciones, LOC, LOR, origen)</t>
    </r>
  </si>
  <si>
    <r>
      <rPr>
        <b/>
        <sz val="11"/>
        <color rgb="FF404040"/>
        <rFont val="Calibri"/>
        <family val="2"/>
        <scheme val="minor"/>
      </rPr>
      <t>FIS13</t>
    </r>
    <r>
      <rPr>
        <sz val="11"/>
        <color rgb="FF404040"/>
        <rFont val="Calibri"/>
        <family val="2"/>
        <scheme val="minor"/>
      </rPr>
      <t>. Propuestas acciones aduaneras  control posterior  (Sanciones, LOC, LOR, origen)</t>
    </r>
  </si>
  <si>
    <t>FIS-14 Propuestas acciones aduaneras de control posterior contra el contrabando técnico (Sanciones, LOC, LOR, origen)</t>
  </si>
  <si>
    <t>JUR-3.1  Porcentaje de éxito de litigiosidad</t>
  </si>
  <si>
    <t>JUR-3.2  Porcentaje procesos judiciales revisados con mayor riesgo en Ekogui</t>
  </si>
  <si>
    <t xml:space="preserve">JUR-3.3  Porcentaje de análisis de jurisprudencia remitidos junto con la copia de la sentencia </t>
  </si>
  <si>
    <t xml:space="preserve">JUR-3.4  Porcentaje de procesos revisados con VoBo del Jefe </t>
  </si>
  <si>
    <t>JUR-3.5  Porcentaje de requerimientos atendidos en oportunidad</t>
  </si>
  <si>
    <t>JUR-3.6  Porcentaje de funcionarios capacitaciones en cursos virtuales de la ANDJE</t>
  </si>
  <si>
    <t>ADU-3  Monto de la recaudación total de Aduanas</t>
  </si>
  <si>
    <t>0E4. Controlar el ingreso ilegal de mercancías  y el fraude aduanero con el fin de contribuir con la competitividad del sector empresarial</t>
  </si>
  <si>
    <t>FIS-32  Valor Aprehensiones sectores de Licores, Cigarrillos, Calzado y Confecciones</t>
  </si>
  <si>
    <r>
      <rPr>
        <b/>
        <sz val="11"/>
        <color rgb="FF404040"/>
        <rFont val="Calibri"/>
        <family val="2"/>
        <scheme val="minor"/>
      </rPr>
      <t>POLFA3</t>
    </r>
    <r>
      <rPr>
        <sz val="11"/>
        <color rgb="FF404040"/>
        <rFont val="Calibri"/>
        <family val="2"/>
        <scheme val="minor"/>
      </rPr>
      <t>. Incrementar acciones de control de fiscalización contra el contrabando</t>
    </r>
  </si>
  <si>
    <t xml:space="preserve">Número de acciones de control contra el contrabando  ejecutadas </t>
  </si>
  <si>
    <r>
      <rPr>
        <b/>
        <sz val="11"/>
        <color rgb="FF404040"/>
        <rFont val="Calibri"/>
        <family val="2"/>
        <scheme val="minor"/>
      </rPr>
      <t>ADU4.</t>
    </r>
    <r>
      <rPr>
        <sz val="11"/>
        <color rgb="FF404040"/>
        <rFont val="Calibri"/>
        <family val="2"/>
        <scheme val="minor"/>
      </rPr>
      <t xml:space="preserve"> Aduana con controles  previos y simultáneos optimizados en las zonas primarias y en los usuarios de comercio exterior</t>
    </r>
  </si>
  <si>
    <t>(Número total de inspecciones con incidencia o hallazgo / Número total de inspecciones y/o con perfilamiento tanto ingreso como salida) * 100</t>
  </si>
  <si>
    <t>ADU-30 Eficacia visitas de verificación y control a los productores  y/o exportadores colombianos</t>
  </si>
  <si>
    <t>PIL2.  CERCANÍA AL CIUDADANO</t>
  </si>
  <si>
    <t>(Número de comerciantes certificados como promotores de la legalidad / Número de comerciantes inscritos en el programa)*100</t>
  </si>
  <si>
    <t>TABLERO BALANCEADO DE GESTIÓN -DIRECCIÓN SECCIONAL DE ADUANAS DE CARTAGENA -  CON METAS 2020</t>
  </si>
  <si>
    <t>COD-ÁREA 48</t>
  </si>
  <si>
    <r>
      <rPr>
        <b/>
        <sz val="11"/>
        <color rgb="FF404040"/>
        <rFont val="Calibri"/>
        <family val="2"/>
        <scheme val="minor"/>
      </rPr>
      <t xml:space="preserve">FIS2. </t>
    </r>
    <r>
      <rPr>
        <sz val="11"/>
        <color rgb="FF404040"/>
        <rFont val="Calibri"/>
        <family val="2"/>
        <scheme val="minor"/>
      </rPr>
      <t xml:space="preserve">Cumplir las metas anuales dentro del marco fiscal de mediano plazo, ahora: Cumplir las metas anuales de gestión efectiva en materia tributaria, aduanera, cambiaria e internacional </t>
    </r>
  </si>
  <si>
    <t>FIS-5 Gestión efectiva de Fiscalización Aduanera</t>
  </si>
  <si>
    <t>FIS-8  Gestión aceptada de Fiscalización Aduanera (Recaudo)</t>
  </si>
  <si>
    <r>
      <rPr>
        <b/>
        <sz val="11"/>
        <color rgb="FF404040"/>
        <rFont val="Calibri"/>
        <family val="2"/>
        <scheme val="minor"/>
      </rPr>
      <t xml:space="preserve">FIS4. </t>
    </r>
    <r>
      <rPr>
        <sz val="11"/>
        <color rgb="FF404040"/>
        <rFont val="Calibri"/>
        <family val="2"/>
        <scheme val="minor"/>
      </rPr>
      <t>Gestionar los  programas de fiscalización tributario, aduanero, cambiario e internacional</t>
    </r>
  </si>
  <si>
    <t>FIS-18 Evacuación de expedientes en fiscalización cambiaria</t>
  </si>
  <si>
    <r>
      <rPr>
        <b/>
        <sz val="11"/>
        <color rgb="FF404040"/>
        <rFont val="Calibri"/>
        <family val="2"/>
        <scheme val="minor"/>
      </rPr>
      <t>FIS15</t>
    </r>
    <r>
      <rPr>
        <sz val="11"/>
        <color rgb="FF404040"/>
        <rFont val="Calibri"/>
        <family val="2"/>
        <scheme val="minor"/>
      </rPr>
      <t>. Propuestas de Programas de control posterior de fiscalización  aduanera (Sanciones, LOC, LOR, Origen)</t>
    </r>
  </si>
  <si>
    <t>FIS-21  Propuestas de Programas de control posterior de fiscalización  aduanera (Sanciones, LOC, LOR, Origen)</t>
  </si>
  <si>
    <r>
      <rPr>
        <b/>
        <sz val="11"/>
        <color rgb="FF404040"/>
        <rFont val="Calibri"/>
        <family val="2"/>
        <scheme val="minor"/>
      </rPr>
      <t>FIS13.</t>
    </r>
    <r>
      <rPr>
        <sz val="11"/>
        <color rgb="FF404040"/>
        <rFont val="Calibri"/>
        <family val="2"/>
        <scheme val="minor"/>
      </rPr>
      <t xml:space="preserve"> Propuestas acciones aduaneras de control posterior (Sanciones, LOC, LOR, Origen)</t>
    </r>
  </si>
  <si>
    <r>
      <rPr>
        <b/>
        <sz val="11"/>
        <color rgb="FF404040"/>
        <rFont val="Calibri"/>
        <family val="2"/>
        <scheme val="minor"/>
      </rPr>
      <t>JUR2.</t>
    </r>
    <r>
      <rPr>
        <sz val="11"/>
        <color rgb="FF404040"/>
        <rFont val="Calibri"/>
        <family val="2"/>
        <scheme val="minor"/>
      </rPr>
      <t xml:space="preserve">  Mejorar el porcentaje de éxito de litigiosidad</t>
    </r>
  </si>
  <si>
    <t xml:space="preserve">JUR-3.4 Porcentaje de procesos revisados con Bobo del Jefe </t>
  </si>
  <si>
    <t>(Número de actuaciones revisadas con Vo.bo. en el periodo / Número de actuaciones que debían ser revisadas)*100</t>
  </si>
  <si>
    <t>JUR-4 Porcentaje de funcionarios que participaron en el concurso de escritura jurídica</t>
  </si>
  <si>
    <r>
      <rPr>
        <b/>
        <sz val="11"/>
        <color rgb="FF404040"/>
        <rFont val="Calibri"/>
        <family val="2"/>
        <scheme val="minor"/>
      </rPr>
      <t>FIS6.</t>
    </r>
    <r>
      <rPr>
        <sz val="11"/>
        <color rgb="FF404040"/>
        <rFont val="Calibri"/>
        <family val="2"/>
        <scheme val="minor"/>
      </rPr>
      <t xml:space="preserve"> Controlar el ingreso y permanencia  ilegal de mercancías  con el fin de contribuir con la competitividad del sector empresarial</t>
    </r>
  </si>
  <si>
    <r>
      <rPr>
        <b/>
        <sz val="11"/>
        <color rgb="FF404040"/>
        <rFont val="Calibri"/>
        <family val="2"/>
        <scheme val="minor"/>
      </rPr>
      <t xml:space="preserve">FIS14. </t>
    </r>
    <r>
      <rPr>
        <sz val="11"/>
        <color rgb="FF404040"/>
        <rFont val="Calibri"/>
        <family val="2"/>
        <scheme val="minor"/>
      </rPr>
      <t>Incrementar acciones de control de fiscalización contra el contrabando abierto</t>
    </r>
  </si>
  <si>
    <t>FIS-32 Valor aprehensiones sectores de licores, cigarrillos, calzado y confecciones</t>
  </si>
  <si>
    <r>
      <rPr>
        <b/>
        <sz val="11"/>
        <color rgb="FF404040"/>
        <rFont val="Calibri"/>
        <family val="2"/>
        <scheme val="minor"/>
      </rPr>
      <t>ADU4</t>
    </r>
    <r>
      <rPr>
        <sz val="11"/>
        <color rgb="FF404040"/>
        <rFont val="Calibri"/>
        <family val="2"/>
        <scheme val="minor"/>
      </rPr>
      <t>. Aduana con controles  previos y simultáneos optimizados en las zonas primarias y en los usuarios de comercio exterior</t>
    </r>
  </si>
  <si>
    <t>ADU-8  Efectividad en los controles previos - Lucha contra el Contrabando</t>
  </si>
  <si>
    <t>ADU-29 Eficacia en la toma de muestras de las mercancías presentadas e identificadas por posibles desviaciones de la clasificación arancelaria u otro tipo de incumplimiento de restricciones legales y administrativas, entre otras</t>
  </si>
  <si>
    <t>Variables 1. Numero de muestras tomadas e identificadas susceptibles de análisis fisicoquímico por posible desviación de la clasificación arancelaria u otro tipo de incumplimiento de restricciones legales y administrativas, entre otras.</t>
  </si>
  <si>
    <t>ADU-30 Eficacia Visitas de verificación y control a los productores  y/o exportadores colombianos</t>
  </si>
  <si>
    <t>Variable 1. Número de visitas de origen efectuadas.</t>
  </si>
  <si>
    <t xml:space="preserve">Variables 1. Número de Declaraciones Juradas revisadas. </t>
  </si>
  <si>
    <t>ADU-32 Eficacia en la atención de solicitudes de análisis merceológicos de mercancía global</t>
  </si>
  <si>
    <r>
      <rPr>
        <b/>
        <sz val="11"/>
        <color rgb="FF404040"/>
        <rFont val="Calibri"/>
        <family val="2"/>
        <scheme val="minor"/>
      </rPr>
      <t>POLFA6.</t>
    </r>
    <r>
      <rPr>
        <sz val="11"/>
        <color rgb="FF404040"/>
        <rFont val="Calibri"/>
        <family val="2"/>
        <scheme val="minor"/>
      </rPr>
      <t xml:space="preserve"> Consolidar la oferta de prevención de la Policía Fiscal Aduanera con el fin de mitigar delitos y comportamientos contrarios a la convivencia que afecten el patrimonio y orden económico del país</t>
    </r>
  </si>
  <si>
    <t>TABLERO BALANCEADO DE GESTIÓN - DIRECCIÓN SECCIONAL DE ADUANAS DE CÚCUTA - CON METAS 2020</t>
  </si>
  <si>
    <t>COD-ÁREA 89</t>
  </si>
  <si>
    <r>
      <rPr>
        <b/>
        <sz val="11"/>
        <color rgb="FF404040"/>
        <rFont val="Calibri"/>
        <family val="2"/>
        <scheme val="minor"/>
      </rPr>
      <t xml:space="preserve">FIS2. </t>
    </r>
    <r>
      <rPr>
        <sz val="11"/>
        <color rgb="FF404040"/>
        <rFont val="Calibri"/>
        <family val="2"/>
        <scheme val="minor"/>
      </rPr>
      <t>Cumplir las metas anuales de gestión efectiva en materia tributaria, aduanera, cambiaria e internacional.  AHORA Cumplir las metas anuales dentro del marco fiscal de mediano plazo</t>
    </r>
  </si>
  <si>
    <t>FIS-7 Gestión efectiva de Control Cambiario</t>
  </si>
  <si>
    <t>FIS-8 Gestión aceptada de Fiscalización Aduanera (Recaudo)</t>
  </si>
  <si>
    <t>FIS-9 Gestión aceptada de Fiscalización Aduanera (Resoluciones en firme)</t>
  </si>
  <si>
    <t>FIS-11 Gestión aceptada cambiaria (Recaudo)</t>
  </si>
  <si>
    <t>Valor recado gestión efectiva</t>
  </si>
  <si>
    <r>
      <rPr>
        <b/>
        <sz val="11"/>
        <color rgb="FF404040"/>
        <rFont val="Calibri"/>
        <family val="2"/>
        <scheme val="minor"/>
      </rPr>
      <t xml:space="preserve">FIS4. </t>
    </r>
    <r>
      <rPr>
        <sz val="11"/>
        <color rgb="FF404040"/>
        <rFont val="Calibri"/>
        <family val="2"/>
        <scheme val="minor"/>
      </rPr>
      <t>Gestionar los programas de fiscalización tributario, aduanero, cambiario e internacional</t>
    </r>
  </si>
  <si>
    <r>
      <rPr>
        <b/>
        <sz val="11"/>
        <color rgb="FF404040"/>
        <rFont val="Calibri"/>
        <family val="2"/>
        <scheme val="minor"/>
      </rPr>
      <t>FIS15.</t>
    </r>
    <r>
      <rPr>
        <sz val="11"/>
        <color rgb="FF404040"/>
        <rFont val="Calibri"/>
        <family val="2"/>
        <scheme val="minor"/>
      </rPr>
      <t xml:space="preserve"> Propuestas de Programas de control posterior de fiscalización  aduanera (Sanciones, LOC, LOR, Origen)</t>
    </r>
  </si>
  <si>
    <r>
      <rPr>
        <b/>
        <sz val="11"/>
        <color rgb="FF404040"/>
        <rFont val="Calibri"/>
        <family val="2"/>
        <scheme val="minor"/>
      </rPr>
      <t xml:space="preserve">FIS13. </t>
    </r>
    <r>
      <rPr>
        <sz val="11"/>
        <color rgb="FF404040"/>
        <rFont val="Calibri"/>
        <family val="2"/>
        <scheme val="minor"/>
      </rPr>
      <t>Propuestas acciones aduaneras de control posterior (Sanciones, LOC, LOR, Origen)</t>
    </r>
  </si>
  <si>
    <t>0E4. Controlar el ingreso ilegal de mercancías  y el fraude aduanero para contribuir con la competitividad del sector empresarial</t>
  </si>
  <si>
    <r>
      <rPr>
        <b/>
        <sz val="11"/>
        <color rgb="FF404040"/>
        <rFont val="Calibri"/>
        <family val="2"/>
        <scheme val="minor"/>
      </rPr>
      <t>POLFA3.</t>
    </r>
    <r>
      <rPr>
        <sz val="11"/>
        <color rgb="FF404040"/>
        <rFont val="Calibri"/>
        <family val="2"/>
        <scheme val="minor"/>
      </rPr>
      <t xml:space="preserve"> Incrementar acciones de control de fiscalización contra el contrabando abierto</t>
    </r>
  </si>
  <si>
    <r>
      <rPr>
        <b/>
        <sz val="11"/>
        <color rgb="FF404040"/>
        <rFont val="Calibri"/>
        <family val="2"/>
        <scheme val="minor"/>
      </rPr>
      <t xml:space="preserve">FIS6. </t>
    </r>
    <r>
      <rPr>
        <sz val="11"/>
        <color rgb="FF404040"/>
        <rFont val="Calibri"/>
        <family val="2"/>
        <scheme val="minor"/>
      </rPr>
      <t xml:space="preserve"> Controlar el ingreso y permanencia  ilegal de mercancías  con el fin de contribuir con la competitividad del sector empresarial </t>
    </r>
  </si>
  <si>
    <t>FIS-24 Valor decomisos de mercancías en firme</t>
  </si>
  <si>
    <t>FIS-33 Cantidad aprehensiones sectores de licores, cigarrillos, hidrocarburos y agropecuario</t>
  </si>
  <si>
    <t>Número Aprehensiones: corresponderá al resultado de la sumatoria del valor de las aprehensiones de Agropecuarios (capítulos 1 al 21 del arancel de aduanas), Hidrocarburos (capítulo 27 del arancel de aduanas), Licores (capítulo 22 del arancel de aduanas) y Tabaco y sucedáneos del tabaco (capítulo 24 del arancel de aduanas), generadas en control posterior por  Fiscalización</t>
  </si>
  <si>
    <r>
      <t xml:space="preserve">ADU4. </t>
    </r>
    <r>
      <rPr>
        <sz val="11"/>
        <color rgb="FF404040"/>
        <rFont val="Calibri"/>
        <family val="2"/>
        <scheme val="minor"/>
      </rPr>
      <t>Aduana con controles  previos y simultáneos optimizados en las zonas primarias y en los usuarios de comercio exterior</t>
    </r>
  </si>
  <si>
    <t>Numero de muestras tomadas e identificadas susceptibles de análisis fisicoquimico por posible desviacion de la clasificación arancelaria u otro tipo de incumplimiento de restricciones legales y administrativas, entre otras</t>
  </si>
  <si>
    <t xml:space="preserve">Subdirección de Gestión Técnica Aduanera  </t>
  </si>
  <si>
    <t>Número de visitas de origen efectuadas</t>
  </si>
  <si>
    <t>Subdirección de Gestión de Técnica Aduanera</t>
  </si>
  <si>
    <t>Número de Declaraciones Juradas revisadas</t>
  </si>
  <si>
    <t>TABLERO BALANCEADO DE GESTIÓN -DIRECCIÓN SECCIONAL DE ADUANAS DE MEDELLIN - CON METAS 2020</t>
  </si>
  <si>
    <t>COD-ÁREA 90</t>
  </si>
  <si>
    <r>
      <t xml:space="preserve">FIS2. </t>
    </r>
    <r>
      <rPr>
        <sz val="11"/>
        <color rgb="FF404040"/>
        <rFont val="Calibri"/>
        <family val="2"/>
        <scheme val="minor"/>
      </rPr>
      <t xml:space="preserve">Cumplir las metas anuales dentro del marco fiscal de mediano plazo, ahora: Cumplir las metas anuales de gestión efectiva en materia tributaria, aduanera, cambiaria e internacional </t>
    </r>
  </si>
  <si>
    <r>
      <rPr>
        <b/>
        <sz val="11"/>
        <color rgb="FF404040"/>
        <rFont val="Calibri"/>
        <family val="2"/>
        <scheme val="minor"/>
      </rPr>
      <t>FIS4</t>
    </r>
    <r>
      <rPr>
        <sz val="11"/>
        <color rgb="FF404040"/>
        <rFont val="Calibri"/>
        <family val="2"/>
        <scheme val="minor"/>
      </rPr>
      <t>. Gestionar los  programas de fiscalización tributario, aduanero, cambiario e internacional</t>
    </r>
  </si>
  <si>
    <t>Porcentaje de expedientes evacuados</t>
  </si>
  <si>
    <r>
      <rPr>
        <b/>
        <sz val="11"/>
        <color rgb="FF404040"/>
        <rFont val="Calibri"/>
        <family val="2"/>
        <scheme val="minor"/>
      </rPr>
      <t xml:space="preserve">FIS15. </t>
    </r>
    <r>
      <rPr>
        <sz val="11"/>
        <color rgb="FF404040"/>
        <rFont val="Calibri"/>
        <family val="2"/>
        <scheme val="minor"/>
      </rPr>
      <t xml:space="preserve">Propuestas de Programas de control posterior de fiscalización  aduanera (Sanciones, LOC, LOR, Origen)                                     </t>
    </r>
  </si>
  <si>
    <r>
      <rPr>
        <b/>
        <sz val="11"/>
        <color rgb="FF404040"/>
        <rFont val="Calibri"/>
        <family val="2"/>
        <scheme val="minor"/>
      </rPr>
      <t>FIS13</t>
    </r>
    <r>
      <rPr>
        <sz val="11"/>
        <color rgb="FF404040"/>
        <rFont val="Calibri"/>
        <family val="2"/>
        <scheme val="minor"/>
      </rPr>
      <t xml:space="preserve">. Propuestas acciones aduaneras de control posterior (Sanciones, LOC, LOR, Origen)                                                         </t>
    </r>
  </si>
  <si>
    <r>
      <rPr>
        <b/>
        <sz val="11"/>
        <color rgb="FF404040"/>
        <rFont val="Calibri"/>
        <family val="2"/>
        <scheme val="minor"/>
      </rPr>
      <t>POLFA 3.</t>
    </r>
    <r>
      <rPr>
        <sz val="11"/>
        <color rgb="FF404040"/>
        <rFont val="Calibri"/>
        <family val="2"/>
        <scheme val="minor"/>
      </rPr>
      <t xml:space="preserve"> Incremento de acciones de control de fiscalización contra el contrabando</t>
    </r>
  </si>
  <si>
    <r>
      <rPr>
        <b/>
        <sz val="11"/>
        <color rgb="FF404040"/>
        <rFont val="Calibri"/>
        <family val="2"/>
        <scheme val="minor"/>
      </rPr>
      <t>FIS14</t>
    </r>
    <r>
      <rPr>
        <sz val="11"/>
        <color rgb="FF404040"/>
        <rFont val="Calibri"/>
        <family val="2"/>
        <scheme val="minor"/>
      </rPr>
      <t>. Incrementar acciones de control de fiscalización contra el contrabando abierto</t>
    </r>
  </si>
  <si>
    <r>
      <rPr>
        <b/>
        <sz val="11"/>
        <color rgb="FF404040"/>
        <rFont val="Calibri"/>
        <family val="2"/>
        <scheme val="minor"/>
      </rPr>
      <t>ADU4.</t>
    </r>
    <r>
      <rPr>
        <sz val="11"/>
        <color rgb="FF404040"/>
        <rFont val="Calibri"/>
        <family val="2"/>
        <scheme val="minor"/>
      </rPr>
      <t xml:space="preserve"> Aduana con controles  previos y simultáneos optimizados en la lucha contra el contrabando en las zonas primarias y en los usuarios de comercio exterior</t>
    </r>
  </si>
  <si>
    <t>Subdirección Operativa Policial</t>
  </si>
  <si>
    <t>Dirección Seccional de Impuestos de Grandes Contribuyentes</t>
  </si>
  <si>
    <t>TABLERO BALANCEADO DE GESTIÓN - DIRECCIÓN SECCIONAL DE IMPUESTOS DE GRANDES CONTRIBUYENTES -  CON METAS 2020</t>
  </si>
  <si>
    <t>Versión  1.  15 de mayo de 2020</t>
  </si>
  <si>
    <t>COD-ÁREA 31</t>
  </si>
  <si>
    <r>
      <rPr>
        <b/>
        <sz val="11"/>
        <color theme="1" tint="0.249977111117893"/>
        <rFont val="Calibri"/>
        <family val="2"/>
        <scheme val="minor"/>
      </rPr>
      <t>IN2.</t>
    </r>
    <r>
      <rPr>
        <sz val="11"/>
        <color theme="1" tint="0.249977111117893"/>
        <rFont val="Calibri"/>
        <family val="2"/>
        <scheme val="minor"/>
      </rPr>
      <t xml:space="preserve"> Cumplir las metas anuales dentro del marco fiscal de mediano plazo</t>
    </r>
  </si>
  <si>
    <t>Pendiente</t>
  </si>
  <si>
    <t>Subdirección de Gestión de Fiscalización Tributaria - Coordinación Operativa de Fiscalización Tributaria</t>
  </si>
  <si>
    <r>
      <rPr>
        <b/>
        <sz val="11"/>
        <color theme="1" tint="0.249977111117893"/>
        <rFont val="Calibri"/>
        <family val="2"/>
        <scheme val="minor"/>
      </rPr>
      <t xml:space="preserve">IN9. </t>
    </r>
    <r>
      <rPr>
        <sz val="11"/>
        <color theme="1" tint="0.249977111117893"/>
        <rFont val="Calibri"/>
        <family val="2"/>
        <scheme val="minor"/>
      </rPr>
      <t xml:space="preserve"> Desarrollar las Acciones que promuevan la cultura de la contribución</t>
    </r>
  </si>
  <si>
    <t xml:space="preserve">
Número de días hábiles en devoluciones ordinarias</t>
  </si>
  <si>
    <t>TABLERO BALANCEADO DE GESTIÓN -DIRECCION SECCIONAL DE IMPUESTOS Y ADUANAS DE ARAUCA -  CON METAS 2020</t>
  </si>
  <si>
    <t>COD-ÁREA 34</t>
  </si>
  <si>
    <t>Valor del recaudo Bruto mensual</t>
  </si>
  <si>
    <t xml:space="preserve">Valor recaudo gestión efectiva tributaria </t>
  </si>
  <si>
    <t xml:space="preserve">Subdirección de Gestión de Fiscalización Tributaria - Coordinación de Gestión Operativa de Fiscalización Tributaria </t>
  </si>
  <si>
    <r>
      <rPr>
        <b/>
        <sz val="11"/>
        <color theme="1" tint="0.249977111117893"/>
        <rFont val="Calibri"/>
        <family val="2"/>
        <scheme val="minor"/>
      </rPr>
      <t>IN5.</t>
    </r>
    <r>
      <rPr>
        <sz val="11"/>
        <color theme="1" tint="0.249977111117893"/>
        <rFont val="Calibri"/>
        <family val="2"/>
        <scheme val="minor"/>
      </rPr>
      <t xml:space="preserve"> Adelantar estrategias de gestión con los contribuyentes inscritos en el Régimen Simple de Tributación - RST, para que presente oportunamente los anticipos</t>
    </r>
  </si>
  <si>
    <t>(Número de campañas realizadas en el año /  Número de campañas planeadas en el año)*100</t>
  </si>
  <si>
    <r>
      <rPr>
        <b/>
        <sz val="11"/>
        <color theme="1" tint="0.249977111117893"/>
        <rFont val="Calibri"/>
        <family val="2"/>
        <scheme val="minor"/>
      </rPr>
      <t xml:space="preserve">FIS4. </t>
    </r>
    <r>
      <rPr>
        <sz val="11"/>
        <color theme="1" tint="0.249977111117893"/>
        <rFont val="Calibri"/>
        <family val="2"/>
        <scheme val="minor"/>
      </rPr>
      <t>Gestionar los  programas de fiscalización tributario, aduanero, cambiario e internacional</t>
    </r>
  </si>
  <si>
    <t>Numero de visitas de control</t>
  </si>
  <si>
    <t>FIS-18 Evacuación de expedientes en fiscalización Cambiaria</t>
  </si>
  <si>
    <r>
      <rPr>
        <b/>
        <sz val="11"/>
        <color theme="1" tint="0.249977111117893"/>
        <rFont val="Calibri"/>
        <family val="2"/>
        <scheme val="minor"/>
      </rPr>
      <t>IN</t>
    </r>
    <r>
      <rPr>
        <sz val="11"/>
        <color theme="1" tint="0.249977111117893"/>
        <rFont val="Calibri"/>
        <family val="2"/>
        <scheme val="minor"/>
      </rPr>
      <t xml:space="preserve">7. Habilitar facturadores electrónicos con el fin de apalancar los resultados estratégicos </t>
    </r>
  </si>
  <si>
    <r>
      <rPr>
        <b/>
        <sz val="11"/>
        <color theme="1" tint="0.249977111117893"/>
        <rFont val="Calibri"/>
        <family val="2"/>
        <scheme val="minor"/>
      </rPr>
      <t>JUR2.</t>
    </r>
    <r>
      <rPr>
        <sz val="11"/>
        <color theme="1" tint="0.249977111117893"/>
        <rFont val="Calibri"/>
        <family val="2"/>
        <scheme val="minor"/>
      </rPr>
      <t xml:space="preserve"> Mejorar el porcentaje de éxito de litigiosidad</t>
    </r>
  </si>
  <si>
    <t>OE4. Controlar el ingreso ilegal de mercancías y el fraude aduanero con el fin de contribuir con la competitividad del sector empresarial</t>
  </si>
  <si>
    <r>
      <rPr>
        <b/>
        <sz val="11"/>
        <color theme="1" tint="0.249977111117893"/>
        <rFont val="Calibri"/>
        <family val="2"/>
        <scheme val="minor"/>
      </rPr>
      <t xml:space="preserve">FIS6. </t>
    </r>
    <r>
      <rPr>
        <sz val="11"/>
        <color theme="1" tint="0.249977111117893"/>
        <rFont val="Calibri"/>
        <family val="2"/>
        <scheme val="minor"/>
      </rPr>
      <t>Controlar el ingreso y permanencia  ilegal de mercancías  con el fin de contribuir con la competitividad del sector empresarial</t>
    </r>
  </si>
  <si>
    <r>
      <rPr>
        <b/>
        <sz val="11"/>
        <color theme="1" tint="0.249977111117893"/>
        <rFont val="Calibri"/>
        <family val="2"/>
        <scheme val="minor"/>
      </rPr>
      <t xml:space="preserve">FIS14. </t>
    </r>
    <r>
      <rPr>
        <sz val="11"/>
        <color theme="1" tint="0.249977111117893"/>
        <rFont val="Calibri"/>
        <family val="2"/>
        <scheme val="minor"/>
      </rPr>
      <t>Incrementar acciones de control de fiscalización contra el contrabando abierto</t>
    </r>
  </si>
  <si>
    <t>FIS-33 Cantidad aprehensiones sectores de Licores, Cigarrillos, hidrocarburos y agropecuario</t>
  </si>
  <si>
    <r>
      <rPr>
        <b/>
        <sz val="11"/>
        <color theme="1" tint="0.249977111117893"/>
        <rFont val="Calibri"/>
        <family val="2"/>
        <scheme val="minor"/>
      </rPr>
      <t>POLFA-3.</t>
    </r>
    <r>
      <rPr>
        <sz val="11"/>
        <color theme="1" tint="0.249977111117893"/>
        <rFont val="Calibri"/>
        <family val="2"/>
        <scheme val="minor"/>
      </rPr>
      <t xml:space="preserve"> Acciones de control de fiscalización contra el contrabando</t>
    </r>
  </si>
  <si>
    <t xml:space="preserve">POLFA-3 Acciones de control de fiscalización contra el contrabando  </t>
  </si>
  <si>
    <t>Numero de acciones de control contra el contrabando ejecutadas</t>
  </si>
  <si>
    <t>Numero</t>
  </si>
  <si>
    <t xml:space="preserve">Subdirección de Gestión Operativa Policial  </t>
  </si>
  <si>
    <t>TABLERO BALANCEADO DE GESTIÓN - DIRECCION SECCIONAL DE IMPUESTOS Y ADUANAS ARMENIA - CON METAS 2020</t>
  </si>
  <si>
    <t>COD - ÁREA 1</t>
  </si>
  <si>
    <r>
      <rPr>
        <b/>
        <sz val="11"/>
        <color rgb="FF404040"/>
        <rFont val="Calibri"/>
        <family val="2"/>
        <scheme val="minor"/>
      </rPr>
      <t>OE1.</t>
    </r>
    <r>
      <rPr>
        <sz val="11"/>
        <color rgb="FF404040"/>
        <rFont val="Calibri"/>
        <family val="2"/>
        <scheme val="minor"/>
      </rPr>
      <t xml:space="preserve"> Ejecutar de manera eficiente el presupuesto de la Entidad</t>
    </r>
  </si>
  <si>
    <r>
      <rPr>
        <b/>
        <sz val="11"/>
        <color rgb="FF404040"/>
        <rFont val="Calibri"/>
        <family val="2"/>
        <scheme val="minor"/>
      </rPr>
      <t>DGRAE2</t>
    </r>
    <r>
      <rPr>
        <sz val="11"/>
        <color rgb="FF404040"/>
        <rFont val="Calibri"/>
        <family val="2"/>
        <scheme val="minor"/>
      </rPr>
      <t>.  Liderar y hacer el seguimiento a la ejecución de contratación del PAA en las distintas áreas</t>
    </r>
  </si>
  <si>
    <r>
      <rPr>
        <b/>
        <sz val="11"/>
        <color theme="1" tint="0.249977111117893"/>
        <rFont val="Calibri"/>
        <family val="2"/>
        <scheme val="minor"/>
      </rPr>
      <t xml:space="preserve">IN2. </t>
    </r>
    <r>
      <rPr>
        <sz val="11"/>
        <color theme="1" tint="0.249977111117893"/>
        <rFont val="Calibri"/>
        <family val="2"/>
        <scheme val="minor"/>
      </rPr>
      <t xml:space="preserve"> Cumplir las metas anuales dentro del marco fiscal de mediano plazo</t>
    </r>
  </si>
  <si>
    <r>
      <rPr>
        <b/>
        <sz val="11"/>
        <color theme="1" tint="0.249977111117893"/>
        <rFont val="Calibri"/>
        <family val="2"/>
        <scheme val="minor"/>
      </rPr>
      <t>FIS2.</t>
    </r>
    <r>
      <rPr>
        <sz val="11"/>
        <color theme="1" tint="0.249977111117893"/>
        <rFont val="Calibri"/>
        <family val="2"/>
        <scheme val="minor"/>
      </rPr>
      <t xml:space="preserve"> Cumplir las metas anuales dentro del marco fiscal de mediano plazo, AHORA Cumplir las metas anuales de gestión efectiva en materia tributaria, aduanera, cambiaria e internacional. </t>
    </r>
  </si>
  <si>
    <t>Subdirección de Gestión de Fiscalización Tributaria -Coordinación de Gestión Operativa de Fiscalización Tributaria</t>
  </si>
  <si>
    <t xml:space="preserve">Valor recaudo gestion efectiva </t>
  </si>
  <si>
    <t>FIS-8 Gestión aceptada de Fiscalización aduanera (Recaudo)</t>
  </si>
  <si>
    <t>Valor Recaudo: por concepto de allanamientos relacionados con los procedimientos sancionatorios, liquidaciones oficiales aduaneras (corrección y revisión); autos con ocasión a la declaratoria de incumplimiento de efectividad de garantías; autos de legalizaciones-rescate con ocasión a las acciones de control y los de la aprehensión, y todos los demás actos administrativos que generen recaudo directo dentro de los diferentes procedimientos del Subproceso de Control Aduanero)</t>
  </si>
  <si>
    <t>Valor recaudo gestión aceptada  tributaria</t>
  </si>
  <si>
    <r>
      <rPr>
        <b/>
        <sz val="11"/>
        <color theme="1" tint="0.249977111117893"/>
        <rFont val="Calibri"/>
        <family val="2"/>
        <scheme val="minor"/>
      </rPr>
      <t>IN3.</t>
    </r>
    <r>
      <rPr>
        <sz val="11"/>
        <color theme="1" tint="0.249977111117893"/>
        <rFont val="Calibri"/>
        <family val="2"/>
        <scheme val="minor"/>
      </rPr>
      <t xml:space="preserve">  Cumplir con el recaudo tributario por gestión de cartera</t>
    </r>
  </si>
  <si>
    <t>Valor cartera recuperada del mes  + Valores cartera recuperada meses anteriores cuya información no se encontraba disponible al momento del reporte</t>
  </si>
  <si>
    <r>
      <rPr>
        <b/>
        <sz val="11"/>
        <color theme="1" tint="0.249977111117893"/>
        <rFont val="Calibri"/>
        <family val="2"/>
        <scheme val="minor"/>
      </rPr>
      <t xml:space="preserve">FIS4.  </t>
    </r>
    <r>
      <rPr>
        <sz val="11"/>
        <color theme="1" tint="0.249977111117893"/>
        <rFont val="Calibri"/>
        <family val="2"/>
        <scheme val="minor"/>
      </rPr>
      <t>Gestionar los  programas de fiscalización tributario, aduanero, cambiario e internacional.</t>
    </r>
  </si>
  <si>
    <t xml:space="preserve">Número de visitas de control </t>
  </si>
  <si>
    <t>Subdirección de Gestión de  Control Cambiario</t>
  </si>
  <si>
    <t>Número de visitas de control cambiario</t>
  </si>
  <si>
    <r>
      <rPr>
        <b/>
        <sz val="11"/>
        <color theme="1" tint="0.249977111117893"/>
        <rFont val="Calibri"/>
        <family val="2"/>
        <scheme val="minor"/>
      </rPr>
      <t xml:space="preserve">IN7. </t>
    </r>
    <r>
      <rPr>
        <sz val="11"/>
        <color theme="1" tint="0.249977111117893"/>
        <rFont val="Calibri"/>
        <family val="2"/>
        <scheme val="minor"/>
      </rPr>
      <t xml:space="preserve"> Habilitar facturadores electrónicos con el fin de apalancar los resultados estratégicos  </t>
    </r>
  </si>
  <si>
    <t>Número de  contribuyentes habilitados en la Dirección Seccional</t>
  </si>
  <si>
    <t>Dirección de Gestión de Ingresos- Proyecto Factura Electrónica</t>
  </si>
  <si>
    <r>
      <rPr>
        <b/>
        <sz val="11"/>
        <color theme="1" tint="0.249977111117893"/>
        <rFont val="Calibri"/>
        <family val="2"/>
        <scheme val="minor"/>
      </rPr>
      <t xml:space="preserve"> JUR2.</t>
    </r>
    <r>
      <rPr>
        <sz val="11"/>
        <color theme="1" tint="0.249977111117893"/>
        <rFont val="Calibri"/>
        <family val="2"/>
        <scheme val="minor"/>
      </rPr>
      <t xml:space="preserve">  Mejorar el porcentaje de éxito de litigiosidad</t>
    </r>
  </si>
  <si>
    <r>
      <rPr>
        <b/>
        <sz val="11"/>
        <color theme="1" tint="0.249977111117893"/>
        <rFont val="Calibri"/>
        <family val="2"/>
        <scheme val="minor"/>
      </rPr>
      <t>ADU2.</t>
    </r>
    <r>
      <rPr>
        <sz val="11"/>
        <color theme="1" tint="0.249977111117893"/>
        <rFont val="Calibri"/>
        <family val="2"/>
        <scheme val="minor"/>
      </rPr>
      <t xml:space="preserve"> Aduana con una recaudación eficiente</t>
    </r>
  </si>
  <si>
    <t>ADU-3 Monto de la recaudación total de Aduanas</t>
  </si>
  <si>
    <t>No disponible</t>
  </si>
  <si>
    <t>OE4. Controlar el ingreso ilegal de mercancías  y el fraude aduanero con el fin de contribuir con la competitivad del sector empresarial</t>
  </si>
  <si>
    <r>
      <rPr>
        <b/>
        <sz val="11"/>
        <color theme="1" tint="0.249977111117893"/>
        <rFont val="Calibri"/>
        <family val="2"/>
        <scheme val="minor"/>
      </rPr>
      <t>FIS6.</t>
    </r>
    <r>
      <rPr>
        <sz val="11"/>
        <color theme="1" tint="0.249977111117893"/>
        <rFont val="Calibri"/>
        <family val="2"/>
        <scheme val="minor"/>
      </rPr>
      <t xml:space="preserve">  Controlar el ingreso y permanencia  ilegal de mercancías  con el fin de contribuir con la competitividad del sector empresarial. </t>
    </r>
  </si>
  <si>
    <t>FIS-24 Valor decomisos de mercancias en firme</t>
  </si>
  <si>
    <t>Valor Decomisos en Firme: por concepto de decomisos directos y ordinarios en firme, y los que en sede administrativa hayan sido confirmados, los cuales están relacionados con las aprehensiones efectuadas por las Divisiones de Gestión de Fiscalización, Operación Aduanera y Control Operativo.</t>
  </si>
  <si>
    <r>
      <rPr>
        <b/>
        <sz val="11"/>
        <color theme="1" tint="0.249977111117893"/>
        <rFont val="Calibri"/>
        <family val="2"/>
        <scheme val="minor"/>
      </rPr>
      <t xml:space="preserve">ADU4. </t>
    </r>
    <r>
      <rPr>
        <sz val="11"/>
        <color theme="1" tint="0.249977111117893"/>
        <rFont val="Calibri"/>
        <family val="2"/>
        <scheme val="minor"/>
      </rPr>
      <t>Aduana con controles  previos y simultáneos optimizados en la lucha contra el contrabando en las zonas primarias y en los usuarios de comercio exterior.</t>
    </r>
  </si>
  <si>
    <t>Numero de muestras tomadas e identificadas susceptibles de análisis fisicoquímico por posible desviación de la clasificación arancelaria u otro tipo de incumplimiento de restricciones legales y administrativas, entre otras</t>
  </si>
  <si>
    <t xml:space="preserve"> Cantidad</t>
  </si>
  <si>
    <t xml:space="preserve">IN1-11  Nivel de cobertura de personas sensibilizadas por el plan de cultura. ACTUALMENTE. Cumplimiento al Plan de Acción de Cultura de la Contribución. </t>
  </si>
  <si>
    <r>
      <rPr>
        <b/>
        <sz val="11"/>
        <color theme="1" tint="0.249977111117893"/>
        <rFont val="Calibri"/>
        <family val="2"/>
        <scheme val="minor"/>
      </rPr>
      <t xml:space="preserve">JUR5.  </t>
    </r>
    <r>
      <rPr>
        <sz val="11"/>
        <color theme="1" tint="0.249977111117893"/>
        <rFont val="Calibri"/>
        <family val="2"/>
        <scheme val="minor"/>
      </rPr>
      <t>Mejorar el tiempo de respuesta de las  decisiones de los recursos Tributarios.</t>
    </r>
  </si>
  <si>
    <t xml:space="preserve">JUR-7  Oportunidad en las decisiones de los recursos Tributarios. </t>
  </si>
  <si>
    <t xml:space="preserve">Promedio de meses de las decisiones de los recursos Tributarios. </t>
  </si>
  <si>
    <t>OE7. Facilitar los trámites y servicios al ciudadano través su digitalización.</t>
  </si>
  <si>
    <r>
      <rPr>
        <b/>
        <sz val="11"/>
        <color theme="1" tint="0.249977111117893"/>
        <rFont val="Calibri"/>
        <family val="2"/>
        <scheme val="minor"/>
      </rPr>
      <t xml:space="preserve">IN11.  </t>
    </r>
    <r>
      <rPr>
        <sz val="11"/>
        <color theme="1" tint="0.249977111117893"/>
        <rFont val="Calibri"/>
        <family val="2"/>
        <scheme val="minor"/>
      </rPr>
      <t>Facilitar las Devoluciones Tributarias, con el fin de generar una relación más cercana con nuestros grupos de interés</t>
    </r>
  </si>
  <si>
    <t xml:space="preserve">
Número de días en devoluciones ordinarias
</t>
  </si>
  <si>
    <t xml:space="preserve">Subdirección de Gestión de Personal </t>
  </si>
  <si>
    <t>TABLERO BALANCEADO DE GESTIÓN - DIRECCIÓN SECCIONAL DE IMPUESTOS Y ADUANAS BARRANCABERMEJA - CON METAS 2020</t>
  </si>
  <si>
    <t>COD-ÁREA 29</t>
  </si>
  <si>
    <r>
      <t>FIS2.  C</t>
    </r>
    <r>
      <rPr>
        <sz val="11"/>
        <color theme="1" tint="0.249977111117893"/>
        <rFont val="Calibri"/>
        <family val="2"/>
        <scheme val="minor"/>
      </rPr>
      <t>umplir las metas anuales dentro del marco fiscal de mediano plazo, AHORA Cumplir las metas anuales de gestión efectiva en materia tributaria, aduanera, cambiaria e internacional</t>
    </r>
  </si>
  <si>
    <t>Subdirección de Gestión Fiscalización Tributaria - Coordinación de Gestión Operativa de Fiscalización Tributaria</t>
  </si>
  <si>
    <r>
      <rPr>
        <b/>
        <sz val="11"/>
        <color theme="1" tint="0.249977111117893"/>
        <rFont val="Calibri"/>
        <family val="2"/>
        <scheme val="minor"/>
      </rPr>
      <t>IN7.</t>
    </r>
    <r>
      <rPr>
        <sz val="11"/>
        <color theme="1" tint="0.249977111117893"/>
        <rFont val="Calibri"/>
        <family val="2"/>
        <scheme val="minor"/>
      </rPr>
      <t xml:space="preserve">  Habilitar facturadores electrónicos con el fin de apalancar los resultados estratégicos </t>
    </r>
  </si>
  <si>
    <t>JUR-3.4  Porcentaje de procesos revisados con VoBo del Jefe</t>
  </si>
  <si>
    <t>JUR-4  Porcentaje funcionarios que participaron en el concurso de escritura jurídica</t>
  </si>
  <si>
    <r>
      <rPr>
        <b/>
        <sz val="11"/>
        <color theme="1" tint="0.249977111117893"/>
        <rFont val="Calibri"/>
        <family val="2"/>
        <scheme val="minor"/>
      </rPr>
      <t>FIS6.</t>
    </r>
    <r>
      <rPr>
        <sz val="11"/>
        <color theme="1" tint="0.249977111117893"/>
        <rFont val="Calibri"/>
        <family val="2"/>
        <scheme val="minor"/>
      </rPr>
      <t xml:space="preserve">  Controlar el ingreso y permanencia  ilegal de mercancías  con el fin de contribuir con la competitividad del sector empresarial</t>
    </r>
  </si>
  <si>
    <r>
      <rPr>
        <b/>
        <sz val="11"/>
        <color rgb="FF404040"/>
        <rFont val="Calibri"/>
        <family val="2"/>
        <scheme val="minor"/>
      </rPr>
      <t xml:space="preserve">IN9. </t>
    </r>
    <r>
      <rPr>
        <sz val="11"/>
        <color rgb="FF404040"/>
        <rFont val="Calibri"/>
        <family val="2"/>
        <scheme val="minor"/>
      </rPr>
      <t xml:space="preserve"> Desarrollar las Acciones que promuevan la cultura de la contribución</t>
    </r>
  </si>
  <si>
    <t>TABLERO BALANCEADO DE GESTIÓN - DIRECCION SECCIONAL DE IMPUESTOS Y ADUANAS DE BUCARAMANGA - CON METAS 2020</t>
  </si>
  <si>
    <t>COD-ÁREA 4</t>
  </si>
  <si>
    <t>Subdirección de Gestión de Recursos físicos</t>
  </si>
  <si>
    <t>IN1-4  Recaudo por gestión de cartera</t>
  </si>
  <si>
    <t xml:space="preserve">
Valor cartera recuperada del mes
+ Valores cartera recuperada meses anteriores cuya información no se encontraba disponible al momento del reporte</t>
  </si>
  <si>
    <t>Número de campañas realizadas en el año / Número de campañas planeadas en el año</t>
  </si>
  <si>
    <t>FIS-21 Propuestas de Programas de control posterior de fiscalización  aduanera  (Sanciones, LOC, LOR, origen)</t>
  </si>
  <si>
    <r>
      <rPr>
        <b/>
        <sz val="11"/>
        <color theme="1" tint="0.249977111117893"/>
        <rFont val="Calibri"/>
        <family val="2"/>
        <scheme val="minor"/>
      </rPr>
      <t xml:space="preserve">IN7. </t>
    </r>
    <r>
      <rPr>
        <sz val="11"/>
        <color theme="1" tint="0.249977111117893"/>
        <rFont val="Calibri"/>
        <family val="2"/>
        <scheme val="minor"/>
      </rPr>
      <t xml:space="preserve"> Habilitar facturadores electrónicos con el fin de apalancar los resultados estratégicos </t>
    </r>
  </si>
  <si>
    <t>IN1-8  Contribuyentes habilitados como facturadores electrónicos</t>
  </si>
  <si>
    <t xml:space="preserve"> JUR-3.1 Porcentaje de éxito de litigiosidad</t>
  </si>
  <si>
    <t>Número de procesos judiciales terminados de manera normal con fallo ejecutoriado a favor de la DIAN en el año/Número total de procesos judiciales terminados de manera normal (a favor, en contra o parcial) con fallo ejecutoriado, durante el año</t>
  </si>
  <si>
    <t xml:space="preserve">Porcentaje </t>
  </si>
  <si>
    <t xml:space="preserve"> JUR-3.2 Porcentaje procesos judiciales revisados con mayor riesgo en Ekogui</t>
  </si>
  <si>
    <t>Procesos revisados en el periodo con riesgo alto y medio alto en Ekogui / Total número de procesos con riesgo alto y medio alto en Ekogui que deben ser revisados en el periodo</t>
  </si>
  <si>
    <t>Número de análisis jurisprudenciales elaborados y remitidos junto con la copia digital de la sentencia en el periodo. / Número de fallos ejecutoriados en el periodo de competencia del área</t>
  </si>
  <si>
    <t>Número de actuaciones revisadas con VoBo en el periodo / Número de actuaciones que debían ser revisadas</t>
  </si>
  <si>
    <t>Número requerimientos contestados en oportunidad relacionados con Memorando 69 de 2019, trámites ante el Comité de Conciliaciones, Política de Prevención de Daño Antijurídico / Número requerimientos realizados por la Subdirección y sus coordinaciones</t>
  </si>
  <si>
    <t xml:space="preserve"> JUR-3.6 Porcentaje funcionarios capacitaciones en cursos virtuales de la ANDJE</t>
  </si>
  <si>
    <t>Número de funcionarios que realizaron el curso mensual virtual de la ANDJE  con evidencia de participación / Número de funcionarios que debían tomar la capacitación</t>
  </si>
  <si>
    <t>Número de funcionarios que participaron en el concurso de escritura jurídica / Número de apoderados judiciales que debían participar</t>
  </si>
  <si>
    <t>ADU2. Recaudo Provocado</t>
  </si>
  <si>
    <t xml:space="preserve">Recaudo provocado </t>
  </si>
  <si>
    <t>ADU-9  Efectividad en el control simultaneo</t>
  </si>
  <si>
    <t>Número de inspecciones con incidencia o hallazgos / Número total de Inspecciones</t>
  </si>
  <si>
    <t>6,9%</t>
  </si>
  <si>
    <t>7,4%</t>
  </si>
  <si>
    <t>6,4%</t>
  </si>
  <si>
    <t>213%%</t>
  </si>
  <si>
    <t>20,7%</t>
  </si>
  <si>
    <t>42,7</t>
  </si>
  <si>
    <r>
      <rPr>
        <b/>
        <sz val="11"/>
        <color theme="1" tint="0.249977111117893"/>
        <rFont val="Calibri"/>
        <family val="2"/>
        <scheme val="minor"/>
      </rPr>
      <t xml:space="preserve">POLFA3. </t>
    </r>
    <r>
      <rPr>
        <sz val="11"/>
        <color theme="1" tint="0.249977111117893"/>
        <rFont val="Calibri"/>
        <family val="2"/>
        <scheme val="minor"/>
      </rPr>
      <t>Incrementar acciones de control de fiscalización contra el contrabando</t>
    </r>
  </si>
  <si>
    <t>IN1-11 Nivel de cobertura de personas sensibilizadas por el plan de cultura. ACTUALMENTE. Cumplimiento al Plan de Acción de Cultura de la Contribución</t>
  </si>
  <si>
    <t>JUR5.  Mejorar el tiempo de respuesta de las  decisiones de los recursos Tributarios hasta su remisión a notificaciones</t>
  </si>
  <si>
    <t>(Número de comerciantes certificados como promotores de la legalidad / Número de comerciantes inscritos en el programa )*100</t>
  </si>
  <si>
    <t xml:space="preserve">IN1-15  Días en devoluciones ordinarias
</t>
  </si>
  <si>
    <r>
      <rPr>
        <b/>
        <sz val="11"/>
        <color theme="1" tint="0.249977111117893"/>
        <rFont val="Calibri"/>
        <family val="2"/>
        <scheme val="minor"/>
      </rPr>
      <t xml:space="preserve">DGRAE22. </t>
    </r>
    <r>
      <rPr>
        <sz val="11"/>
        <color theme="1" tint="0.249977111117893"/>
        <rFont val="Calibri"/>
        <family val="2"/>
        <scheme val="minor"/>
      </rPr>
      <t>Diseñar y ejecutar el plan de capacitación institucional 2020-2022</t>
    </r>
  </si>
  <si>
    <r>
      <rPr>
        <b/>
        <sz val="11"/>
        <color rgb="FF404040"/>
        <rFont val="Calibri"/>
        <family val="2"/>
      </rPr>
      <t xml:space="preserve"> DGRAE1</t>
    </r>
    <r>
      <rPr>
        <sz val="11"/>
        <color rgb="FF404040"/>
        <rFont val="Calibri"/>
        <family val="2"/>
      </rPr>
      <t>.  Liderar y hacer seguimiento a la ejecución presupuestal de las distintas áreas</t>
    </r>
  </si>
  <si>
    <r>
      <rPr>
        <b/>
        <sz val="11"/>
        <color rgb="FF404040"/>
        <rFont val="Calibri"/>
        <family val="2"/>
      </rPr>
      <t xml:space="preserve">DGRAE2. </t>
    </r>
    <r>
      <rPr>
        <sz val="11"/>
        <color rgb="FF404040"/>
        <rFont val="Calibri"/>
        <family val="2"/>
      </rPr>
      <t xml:space="preserve"> Liderar y hacer el seguimiento a la ejecución de contratación del PAA en las distintas áreas</t>
    </r>
  </si>
  <si>
    <r>
      <rPr>
        <b/>
        <sz val="11"/>
        <color rgb="FF404040"/>
        <rFont val="Calibri"/>
        <family val="2"/>
      </rPr>
      <t xml:space="preserve">IN2. </t>
    </r>
    <r>
      <rPr>
        <sz val="11"/>
        <color rgb="FF404040"/>
        <rFont val="Calibri"/>
        <family val="2"/>
      </rPr>
      <t xml:space="preserve"> Cumplir las metas anuales dentro del marco fiscal de mediano plazo</t>
    </r>
  </si>
  <si>
    <r>
      <rPr>
        <b/>
        <sz val="11"/>
        <color rgb="FF404040"/>
        <rFont val="Calibri"/>
        <family val="2"/>
      </rPr>
      <t>FIS2.</t>
    </r>
    <r>
      <rPr>
        <sz val="11"/>
        <color rgb="FF404040"/>
        <rFont val="Calibri"/>
        <family val="2"/>
      </rPr>
      <t xml:space="preserve"> Cumplir las metas anuales dentro del marco fiscal de mediano plazo, AHORA: Cumplir las metas anuales de gestión efectiva en materia tributaria, aduanera, cambiaria e internacional</t>
    </r>
  </si>
  <si>
    <r>
      <rPr>
        <b/>
        <sz val="11"/>
        <color rgb="FF404040"/>
        <rFont val="Calibri"/>
        <family val="2"/>
      </rPr>
      <t>IN3.</t>
    </r>
    <r>
      <rPr>
        <sz val="11"/>
        <color rgb="FF404040"/>
        <rFont val="Calibri"/>
        <family val="2"/>
      </rPr>
      <t xml:space="preserve"> Cumplir con el recaudo tributario por gestión de cartera</t>
    </r>
  </si>
  <si>
    <r>
      <rPr>
        <b/>
        <sz val="11"/>
        <color rgb="FF404040"/>
        <rFont val="Calibri"/>
        <family val="2"/>
      </rPr>
      <t xml:space="preserve">IN4. </t>
    </r>
    <r>
      <rPr>
        <sz val="11"/>
        <color rgb="FF404040"/>
        <rFont val="Calibri"/>
        <family val="2"/>
      </rPr>
      <t>Contar con los inscritos requeridos  en el Régimen Simple de Tributación - RST, con el fin de contribuir con la estrategia de la Entidad</t>
    </r>
  </si>
  <si>
    <r>
      <rPr>
        <b/>
        <sz val="11"/>
        <color rgb="FF404040"/>
        <rFont val="Calibri"/>
        <family val="2"/>
      </rPr>
      <t>IN5.</t>
    </r>
    <r>
      <rPr>
        <sz val="11"/>
        <color rgb="FF404040"/>
        <rFont val="Calibri"/>
        <family val="2"/>
      </rPr>
      <t xml:space="preserve">  Adelantar estrategias de gestión con los contribuyentes inscritos en el Régimen Simple de Tributación - RST, para que presente oportunamente los anticipos</t>
    </r>
  </si>
  <si>
    <r>
      <rPr>
        <b/>
        <sz val="11"/>
        <color rgb="FF404040"/>
        <rFont val="Calibri"/>
        <family val="2"/>
      </rPr>
      <t xml:space="preserve">FIS4. </t>
    </r>
    <r>
      <rPr>
        <sz val="11"/>
        <color rgb="FF404040"/>
        <rFont val="Calibri"/>
        <family val="2"/>
      </rPr>
      <t>Gestionar los  programas de fiscalización tributario, aduanero, cambiario e internacional</t>
    </r>
  </si>
  <si>
    <r>
      <rPr>
        <b/>
        <sz val="11"/>
        <color rgb="FF404040"/>
        <rFont val="Calibri"/>
        <family val="2"/>
      </rPr>
      <t xml:space="preserve">FIS15. </t>
    </r>
    <r>
      <rPr>
        <sz val="11"/>
        <color rgb="FF404040"/>
        <rFont val="Calibri"/>
        <family val="2"/>
      </rPr>
      <t>Propuestas de programas de control posterior de fiscalización aduanera (Sanciones, LOC, LOR, origen)</t>
    </r>
  </si>
  <si>
    <r>
      <rPr>
        <b/>
        <sz val="11"/>
        <color rgb="FF404040"/>
        <rFont val="Calibri"/>
        <family val="2"/>
      </rPr>
      <t>FIS13.</t>
    </r>
    <r>
      <rPr>
        <sz val="11"/>
        <color rgb="FF404040"/>
        <rFont val="Calibri"/>
        <family val="2"/>
      </rPr>
      <t xml:space="preserve"> Propuestas acciones aduaneras de control posterior (Sanciones, LOC, LOR, Origen)</t>
    </r>
  </si>
  <si>
    <r>
      <rPr>
        <b/>
        <sz val="11"/>
        <color rgb="FF404040"/>
        <rFont val="Calibri"/>
        <family val="2"/>
      </rPr>
      <t xml:space="preserve">IN7. </t>
    </r>
    <r>
      <rPr>
        <sz val="11"/>
        <color rgb="FF404040"/>
        <rFont val="Calibri"/>
        <family val="2"/>
      </rPr>
      <t xml:space="preserve"> Habilitar facturadores electrónicos con el fin de apalancar los resultados estratégicos </t>
    </r>
  </si>
  <si>
    <r>
      <rPr>
        <b/>
        <sz val="11"/>
        <color rgb="FF404040"/>
        <rFont val="Calibri"/>
        <family val="2"/>
      </rPr>
      <t xml:space="preserve">JUR2. </t>
    </r>
    <r>
      <rPr>
        <sz val="11"/>
        <color rgb="FF404040"/>
        <rFont val="Calibri"/>
        <family val="2"/>
      </rPr>
      <t xml:space="preserve"> Mejorar el porcentaje de éxito de litigiosidad</t>
    </r>
  </si>
  <si>
    <r>
      <rPr>
        <b/>
        <sz val="11"/>
        <color rgb="FF404040"/>
        <rFont val="Calibri"/>
        <family val="2"/>
      </rPr>
      <t>FIS6.</t>
    </r>
    <r>
      <rPr>
        <sz val="11"/>
        <color rgb="FF404040"/>
        <rFont val="Calibri"/>
        <family val="2"/>
      </rPr>
      <t xml:space="preserve">  Controlar el ingreso y permanencia  ilegal de mercancías  con el fin de contribuir con la competitividad del sector empresarial</t>
    </r>
  </si>
  <si>
    <r>
      <rPr>
        <b/>
        <sz val="11"/>
        <color rgb="FF404040"/>
        <rFont val="Calibri"/>
        <family val="2"/>
      </rPr>
      <t>FIS14.</t>
    </r>
    <r>
      <rPr>
        <sz val="11"/>
        <color rgb="FF404040"/>
        <rFont val="Calibri"/>
        <family val="2"/>
      </rPr>
      <t xml:space="preserve"> Incrementar acciones de control de fiscalización contra el contrabando abierto</t>
    </r>
  </si>
  <si>
    <r>
      <rPr>
        <b/>
        <sz val="11"/>
        <color rgb="FF404040"/>
        <rFont val="Calibri"/>
        <family val="2"/>
      </rPr>
      <t>ADU4.</t>
    </r>
    <r>
      <rPr>
        <sz val="11"/>
        <color rgb="FF404040"/>
        <rFont val="Calibri"/>
        <family val="2"/>
      </rPr>
      <t xml:space="preserve"> Aduana con controles  previos y simultáneos optimizados en las zonas primarias y en los usuarios de comercio exterior</t>
    </r>
  </si>
  <si>
    <r>
      <rPr>
        <b/>
        <sz val="11"/>
        <color rgb="FF404040"/>
        <rFont val="Calibri"/>
        <family val="2"/>
      </rPr>
      <t xml:space="preserve">POLFA3. </t>
    </r>
    <r>
      <rPr>
        <sz val="11"/>
        <color rgb="FF404040"/>
        <rFont val="Calibri"/>
        <family val="2"/>
      </rPr>
      <t>Incrementar acciones de control de fiscalización contra el contrabando</t>
    </r>
  </si>
  <si>
    <r>
      <rPr>
        <b/>
        <sz val="11"/>
        <color rgb="FF404040"/>
        <rFont val="Calibri"/>
        <family val="2"/>
      </rPr>
      <t xml:space="preserve">IN9. </t>
    </r>
    <r>
      <rPr>
        <sz val="11"/>
        <color rgb="FF404040"/>
        <rFont val="Calibri"/>
        <family val="2"/>
      </rPr>
      <t xml:space="preserve">Desarrollar las Acciones que promuevan la cultura de la contribución </t>
    </r>
  </si>
  <si>
    <r>
      <rPr>
        <b/>
        <sz val="11"/>
        <color rgb="FF404040"/>
        <rFont val="Calibri"/>
        <family val="2"/>
      </rPr>
      <t xml:space="preserve">POLFA6. </t>
    </r>
    <r>
      <rPr>
        <sz val="11"/>
        <color rgb="FF404040"/>
        <rFont val="Calibri"/>
        <family val="2"/>
      </rPr>
      <t>Consolidar la oferta de prevención de la Policía Fiscal Aduanera con el fin de mitigar delitos y comportamientos contrarios a la convivencia que afecten el patrimonio y orden económico del país</t>
    </r>
  </si>
  <si>
    <r>
      <rPr>
        <b/>
        <sz val="11"/>
        <color rgb="FF404040"/>
        <rFont val="Calibri"/>
        <family val="2"/>
      </rPr>
      <t>IN11.</t>
    </r>
    <r>
      <rPr>
        <sz val="11"/>
        <color rgb="FF404040"/>
        <rFont val="Calibri"/>
        <family val="2"/>
      </rPr>
      <t xml:space="preserve">  Facilitar las Devoluciones Tributarias, con el fin de generar una relación más cercana con nuestros grupos de interés</t>
    </r>
  </si>
  <si>
    <r>
      <rPr>
        <b/>
        <sz val="11"/>
        <color rgb="FF404040"/>
        <rFont val="Calibri"/>
        <family val="2"/>
      </rPr>
      <t xml:space="preserve">DGRAE22. </t>
    </r>
    <r>
      <rPr>
        <sz val="11"/>
        <color rgb="FF404040"/>
        <rFont val="Calibri"/>
        <family val="2"/>
      </rPr>
      <t>Diseñar y ejecutar el plan de capacitación institucional 2020-2022</t>
    </r>
  </si>
  <si>
    <t>TABLERO BALANCEADO DE GESTIÓN - DIRECCIÓN SECCIONAL DE IMPUESTOS Y ADUANAS DE BUENAVENTURA - CON METAS 2020</t>
  </si>
  <si>
    <t xml:space="preserve">    COD-ÁREA 35</t>
  </si>
  <si>
    <r>
      <rPr>
        <b/>
        <sz val="11"/>
        <color theme="1" tint="0.249977111117893"/>
        <rFont val="Calibri"/>
        <family val="2"/>
        <scheme val="minor"/>
      </rPr>
      <t xml:space="preserve">FIS2.  </t>
    </r>
    <r>
      <rPr>
        <sz val="11"/>
        <color theme="1" tint="0.249977111117893"/>
        <rFont val="Calibri"/>
        <family val="2"/>
        <scheme val="minor"/>
      </rPr>
      <t>Cumplir las metas anuales dentro del marco fiscal de mediano plazo, AHORA Cumplir las metas anuales de gestión efectiva en materia tributaria, aduanera, cambiaria e internacional</t>
    </r>
  </si>
  <si>
    <t>Número de procesos judiciales terminados de manera normal con fallo ejecutoriado a favor de la DIAN en el año/ Número total de procesos judiciales terminados de manera normal (a favor, en contra o parcial) con fallo ejecutoriado, durante el año)*100</t>
  </si>
  <si>
    <t>(Número  requerimientos contestados en oportunidad relacionados con Memorando 69 de 2019, trámites ante el Comité de Conciliaciones, Política de Prevención de Daño Antijurídico / Número Requerimientos realizados por la Subdirección y sus coordinaciones)*100</t>
  </si>
  <si>
    <r>
      <rPr>
        <b/>
        <sz val="11"/>
        <color rgb="FF404040"/>
        <rFont val="Calibri"/>
        <family val="2"/>
        <scheme val="minor"/>
      </rPr>
      <t xml:space="preserve">IN3. </t>
    </r>
    <r>
      <rPr>
        <sz val="11"/>
        <color rgb="FF404040"/>
        <rFont val="Calibri"/>
        <family val="2"/>
        <scheme val="minor"/>
      </rPr>
      <t>Cumplir con el recaudo tributario por gestión de cartera</t>
    </r>
  </si>
  <si>
    <r>
      <rPr>
        <b/>
        <sz val="11"/>
        <color rgb="FF404040"/>
        <rFont val="Calibri"/>
        <family val="2"/>
        <scheme val="minor"/>
      </rPr>
      <t>IN5.</t>
    </r>
    <r>
      <rPr>
        <sz val="11"/>
        <color rgb="FF404040"/>
        <rFont val="Calibri"/>
        <family val="2"/>
        <scheme val="minor"/>
      </rPr>
      <t xml:space="preserve"> Adelantar estrategias de gestión con los contribuyentes inscritos en el Régimen Simple de Tributación - RST, para que presente oportunamente los anticipos </t>
    </r>
  </si>
  <si>
    <t>FIS-21 Propuestas de Programas de Control Posterior de Fiscalización  Aduanera (Sanciones, LOC, LOR, Origen)</t>
  </si>
  <si>
    <r>
      <rPr>
        <b/>
        <sz val="11"/>
        <color rgb="FF404040"/>
        <rFont val="Calibri"/>
        <family val="2"/>
        <scheme val="minor"/>
      </rPr>
      <t>IN7.</t>
    </r>
    <r>
      <rPr>
        <sz val="11"/>
        <color rgb="FF404040"/>
        <rFont val="Calibri"/>
        <family val="2"/>
        <scheme val="minor"/>
      </rPr>
      <t xml:space="preserve"> Habilitar facturadores electrónicos con el fin de apalancar los resultados estratégicos</t>
    </r>
  </si>
  <si>
    <t>ADU-32 Eficacia en la atención de solicitudes de análisis merceológicos de mercancía global.</t>
  </si>
  <si>
    <t>OE6. Lograr mayor
cercanía al ciudadano
a través de acciones
generadoras de valor
que impacten
positivamente en los
contribuyentes</t>
  </si>
  <si>
    <r>
      <rPr>
        <b/>
        <sz val="11"/>
        <color rgb="FF404040"/>
        <rFont val="Calibri"/>
        <family val="2"/>
        <scheme val="minor"/>
      </rPr>
      <t xml:space="preserve">IN9. </t>
    </r>
    <r>
      <rPr>
        <sz val="11"/>
        <color rgb="FF404040"/>
        <rFont val="Calibri"/>
        <family val="2"/>
        <scheme val="minor"/>
      </rPr>
      <t>Desarrollar las Acciones que promuevan la cultura de la contribución</t>
    </r>
  </si>
  <si>
    <t>Número de personas impactadas</t>
  </si>
  <si>
    <r>
      <rPr>
        <b/>
        <sz val="11"/>
        <color rgb="FF404040"/>
        <rFont val="Calibri"/>
        <family val="2"/>
        <scheme val="minor"/>
      </rPr>
      <t>POLFA6</t>
    </r>
    <r>
      <rPr>
        <sz val="11"/>
        <color rgb="FF404040"/>
        <rFont val="Calibri"/>
        <family val="2"/>
        <scheme val="minor"/>
      </rPr>
      <t>. Consolidar la oferta de prevención de la Policía Fiscal Aduanera con el fin de mitigar delitos y comportamientos contrarios a la convivencia que afecten el patrimonio y orden económico del país</t>
    </r>
  </si>
  <si>
    <t xml:space="preserve">PIL4. TRANSFORMACIÓN DEL TALENTO HUMANO </t>
  </si>
  <si>
    <t>Dirección Seccional de Impuestos y Aduanas de Buenaventura.</t>
  </si>
  <si>
    <t>TABLERO BALANCEADO DE GESTIÓN - DIRECCIÓN SECCIONAL DE IMPUESTOS Y ADUANAS FLORENCIA -  CON METAS 2020</t>
  </si>
  <si>
    <t>COD-ÁREA 28</t>
  </si>
  <si>
    <r>
      <rPr>
        <b/>
        <sz val="11"/>
        <color rgb="FF404040"/>
        <rFont val="Calibri"/>
        <family val="2"/>
        <scheme val="minor"/>
      </rPr>
      <t xml:space="preserve">FIS2.  </t>
    </r>
    <r>
      <rPr>
        <sz val="11"/>
        <color rgb="FF404040"/>
        <rFont val="Calibri"/>
        <family val="2"/>
        <scheme val="minor"/>
      </rPr>
      <t>Cumplir las metas anuales dentro del marco fiscal de mediano plazo, ACTUALMENTE Cumplir las metas anuales de gestión efectiva en materia tributaria, aduanera, cambiaria e internacional</t>
    </r>
  </si>
  <si>
    <r>
      <rPr>
        <b/>
        <sz val="11"/>
        <color rgb="FF404040"/>
        <rFont val="Calibri"/>
        <family val="2"/>
        <scheme val="minor"/>
      </rPr>
      <t>IN3.</t>
    </r>
    <r>
      <rPr>
        <sz val="11"/>
        <color rgb="FF404040"/>
        <rFont val="Calibri"/>
        <family val="2"/>
        <scheme val="minor"/>
      </rPr>
      <t xml:space="preserve">  Cumplir con el recaudo tributario por gestión de cartera</t>
    </r>
  </si>
  <si>
    <r>
      <rPr>
        <b/>
        <sz val="11"/>
        <color rgb="FF404040"/>
        <rFont val="Calibri"/>
        <family val="2"/>
        <scheme val="minor"/>
      </rPr>
      <t>IN7.</t>
    </r>
    <r>
      <rPr>
        <sz val="11"/>
        <color rgb="FF404040"/>
        <rFont val="Calibri"/>
        <family val="2"/>
        <scheme val="minor"/>
      </rPr>
      <t xml:space="preserve">  Habilitar facturadores electrónicos con el fin de apalancar los resultados estratégicos  </t>
    </r>
  </si>
  <si>
    <r>
      <rPr>
        <b/>
        <sz val="11"/>
        <color rgb="FF404040"/>
        <rFont val="Calibri"/>
        <family val="2"/>
        <scheme val="minor"/>
      </rPr>
      <t xml:space="preserve"> JUR2.</t>
    </r>
    <r>
      <rPr>
        <sz val="11"/>
        <color rgb="FF404040"/>
        <rFont val="Calibri"/>
        <family val="2"/>
        <scheme val="minor"/>
      </rPr>
      <t xml:space="preserve">  Mejorar el porcentaje de éxito de litigiosidad</t>
    </r>
  </si>
  <si>
    <r>
      <rPr>
        <b/>
        <sz val="11"/>
        <color rgb="FF404040"/>
        <rFont val="Calibri"/>
        <family val="2"/>
        <scheme val="minor"/>
      </rPr>
      <t>FIS6</t>
    </r>
    <r>
      <rPr>
        <sz val="11"/>
        <color rgb="FF404040"/>
        <rFont val="Calibri"/>
        <family val="2"/>
        <scheme val="minor"/>
      </rPr>
      <t>.  Controlar el ingreso y permanencia  ilegal de mercancías  con el fin de contribuir con la competitividad del sector empresarial</t>
    </r>
  </si>
  <si>
    <t>TABLERO BALANCEADO DE GESTIÓN - DIRECCIÓN SECCIONAL DE IMPUESTOS Y ADUANAS DE GIRARDOT - CON METAS 2020</t>
  </si>
  <si>
    <t>COD-ÁREA 8</t>
  </si>
  <si>
    <r>
      <rPr>
        <b/>
        <sz val="11"/>
        <color rgb="FF404040"/>
        <rFont val="Calibri"/>
        <family val="2"/>
        <scheme val="minor"/>
      </rPr>
      <t xml:space="preserve">DGRAE1.  </t>
    </r>
    <r>
      <rPr>
        <sz val="11"/>
        <color rgb="FF404040"/>
        <rFont val="Calibri"/>
        <family val="2"/>
        <scheme val="minor"/>
      </rPr>
      <t>Liderar y hacer seguimiento a la ejecución presupuestal de las distintas áreas</t>
    </r>
  </si>
  <si>
    <r>
      <rPr>
        <b/>
        <sz val="11"/>
        <color rgb="FF404040"/>
        <rFont val="Calibri"/>
        <family val="2"/>
        <scheme val="minor"/>
      </rPr>
      <t xml:space="preserve">IN2. </t>
    </r>
    <r>
      <rPr>
        <sz val="11"/>
        <color rgb="FF404040"/>
        <rFont val="Calibri"/>
        <family val="2"/>
        <scheme val="minor"/>
      </rPr>
      <t>Cumplir las metas anuales dentro del marco fiscal de mediano plazo</t>
    </r>
  </si>
  <si>
    <r>
      <rPr>
        <b/>
        <sz val="11"/>
        <color rgb="FF404040"/>
        <rFont val="Calibri"/>
        <family val="2"/>
        <scheme val="minor"/>
      </rPr>
      <t>IN3</t>
    </r>
    <r>
      <rPr>
        <sz val="11"/>
        <color rgb="FF404040"/>
        <rFont val="Calibri"/>
        <family val="2"/>
        <scheme val="minor"/>
      </rPr>
      <t>. Cumplir con el recaudo tributario por gestión de cartera</t>
    </r>
  </si>
  <si>
    <r>
      <rPr>
        <b/>
        <sz val="11"/>
        <color rgb="FF404040"/>
        <rFont val="Calibri"/>
        <family val="2"/>
        <scheme val="minor"/>
      </rPr>
      <t>IN4.</t>
    </r>
    <r>
      <rPr>
        <sz val="11"/>
        <color rgb="FF404040"/>
        <rFont val="Calibri"/>
        <family val="2"/>
        <scheme val="minor"/>
      </rPr>
      <t xml:space="preserve"> Contar con los inscritos requeridos en el Régimen Simple de Tributación - RST, con el fin de contribuir con la estrategia de la Entidad</t>
    </r>
  </si>
  <si>
    <r>
      <rPr>
        <b/>
        <sz val="11"/>
        <color rgb="FF404040"/>
        <rFont val="Calibri"/>
        <family val="2"/>
        <scheme val="minor"/>
      </rPr>
      <t>FIS6</t>
    </r>
    <r>
      <rPr>
        <sz val="11"/>
        <color rgb="FF404040"/>
        <rFont val="Calibri"/>
        <family val="2"/>
        <scheme val="minor"/>
      </rPr>
      <t>. Controlar el ingreso y permanencia ilegal de mercancías  con el fin de contribuir con la competitividad del sector empresarial</t>
    </r>
  </si>
  <si>
    <t>OE7. Facilitar los trámites y servicios al ciudadano través de  su digitalización</t>
  </si>
  <si>
    <t>TABLERO BALANCEADO DE GESTIÓN - DIRECCIÓN SECCIONAL DE IMPUESTOS Y ADUANAS DE IBAGUÉ -  CON METAS 2020</t>
  </si>
  <si>
    <t>COD-ÁREA 9</t>
  </si>
  <si>
    <t xml:space="preserve"> OE1. Ejecutar de manera eficiente el presupuesto de la Entidad</t>
  </si>
  <si>
    <t>Subdireccón de Gestión de Recursos Financieros</t>
  </si>
  <si>
    <r>
      <rPr>
        <b/>
        <sz val="11"/>
        <color theme="1" tint="0.249977111117893"/>
        <rFont val="Calibri"/>
        <family val="2"/>
        <scheme val="minor"/>
      </rPr>
      <t>DGRAE2.</t>
    </r>
    <r>
      <rPr>
        <sz val="11"/>
        <color theme="1" tint="0.249977111117893"/>
        <rFont val="Calibri"/>
        <family val="2"/>
        <scheme val="minor"/>
      </rPr>
      <t xml:space="preserve">  Liderar y hacer el seguimiento a la ejecución de contratación del PAA en las distintas áreas</t>
    </r>
  </si>
  <si>
    <t>Subdireccón de Gestión de Recursos Fisicos</t>
  </si>
  <si>
    <r>
      <rPr>
        <b/>
        <sz val="11"/>
        <color theme="1" tint="0.249977111117893"/>
        <rFont val="Calibri"/>
        <family val="2"/>
        <scheme val="minor"/>
      </rPr>
      <t>IN3.</t>
    </r>
    <r>
      <rPr>
        <sz val="11"/>
        <color theme="1" tint="0.249977111117893"/>
        <rFont val="Calibri"/>
        <family val="2"/>
        <scheme val="minor"/>
      </rPr>
      <t xml:space="preserve">   Cumplir con el recaudo tributario por gestión de cartera</t>
    </r>
  </si>
  <si>
    <r>
      <rPr>
        <b/>
        <sz val="11"/>
        <color theme="1" tint="0.249977111117893"/>
        <rFont val="Calibri"/>
        <family val="2"/>
        <scheme val="minor"/>
      </rPr>
      <t>IN4</t>
    </r>
    <r>
      <rPr>
        <sz val="11"/>
        <color theme="1" tint="0.249977111117893"/>
        <rFont val="Calibri"/>
        <family val="2"/>
        <scheme val="minor"/>
      </rPr>
      <t>. Contar con los inscritos requeridos  en el Régimen Simple de Tributación - RST, con el fin de contribuir con la estrategia de la Entidad</t>
    </r>
  </si>
  <si>
    <t>IN1-5  Inscritos en el Régimen Simple de Tributación - RST</t>
  </si>
  <si>
    <r>
      <rPr>
        <b/>
        <sz val="11"/>
        <color theme="1" tint="0.249977111117893"/>
        <rFont val="Calibri"/>
        <family val="2"/>
        <scheme val="minor"/>
      </rPr>
      <t>IN7.</t>
    </r>
    <r>
      <rPr>
        <sz val="11"/>
        <color theme="1" tint="0.249977111117893"/>
        <rFont val="Calibri"/>
        <family val="2"/>
        <scheme val="minor"/>
      </rPr>
      <t xml:space="preserve"> Habilitar facturadores electrónicos con el fin de apalancar los resultados estratégicos </t>
    </r>
  </si>
  <si>
    <r>
      <rPr>
        <b/>
        <sz val="11"/>
        <color theme="1" tint="0.249977111117893"/>
        <rFont val="Calibri"/>
        <family val="2"/>
        <scheme val="minor"/>
      </rPr>
      <t>JUR2</t>
    </r>
    <r>
      <rPr>
        <sz val="11"/>
        <color theme="1" tint="0.249977111117893"/>
        <rFont val="Calibri"/>
        <family val="2"/>
        <scheme val="minor"/>
      </rPr>
      <t>.  Mejorar el porcentaje de éxito de litigiosidad</t>
    </r>
  </si>
  <si>
    <t xml:space="preserve">JUR-3.4  Porcentaje  de procesos revisados con VoBo del Jefe </t>
  </si>
  <si>
    <r>
      <rPr>
        <b/>
        <sz val="11"/>
        <color theme="1" tint="0.249977111117893"/>
        <rFont val="Calibri"/>
        <family val="2"/>
        <scheme val="minor"/>
      </rPr>
      <t xml:space="preserve"> FIS6. </t>
    </r>
    <r>
      <rPr>
        <sz val="11"/>
        <color theme="1" tint="0.249977111117893"/>
        <rFont val="Calibri"/>
        <family val="2"/>
        <scheme val="minor"/>
      </rPr>
      <t xml:space="preserve"> Controlar el ingreso y permanencia  ilegal de mercancías  con el fin de contribuir con la competitividad del sector empresarial</t>
    </r>
  </si>
  <si>
    <r>
      <rPr>
        <b/>
        <sz val="11"/>
        <color theme="1" tint="0.249977111117893"/>
        <rFont val="Calibri"/>
        <family val="2"/>
        <scheme val="minor"/>
      </rPr>
      <t>JUR5.</t>
    </r>
    <r>
      <rPr>
        <sz val="11"/>
        <color theme="1" tint="0.249977111117893"/>
        <rFont val="Calibri"/>
        <family val="2"/>
        <scheme val="minor"/>
      </rPr>
      <t xml:space="preserve"> Mejorar el tiempo de respuesta de las decisiones de los recursos tributarios hasta su remisión a notificaciones</t>
    </r>
  </si>
  <si>
    <t>JUR-7  Oportunidad en las decisiones de los recursos tributarios hasta su remisión a notificaciones</t>
  </si>
  <si>
    <r>
      <rPr>
        <b/>
        <sz val="11"/>
        <color rgb="FF404040"/>
        <rFont val="Calibri"/>
        <family val="2"/>
        <scheme val="minor"/>
      </rPr>
      <t xml:space="preserve">IN9. </t>
    </r>
    <r>
      <rPr>
        <sz val="11"/>
        <color rgb="FF404040"/>
        <rFont val="Calibri"/>
        <family val="2"/>
        <scheme val="minor"/>
      </rPr>
      <t xml:space="preserve"> Desarrollar las Acciones que promuevan la cultura de la contribución </t>
    </r>
  </si>
  <si>
    <t>PIL4. TRANASFORMACIÓN DEL TALENTO HUMANO</t>
  </si>
  <si>
    <t>PER4. Aprendizaje y Crecimiento</t>
  </si>
  <si>
    <t xml:space="preserve">
Número actividades PIC Dirección de Gestión de Ingresos
</t>
  </si>
  <si>
    <t>TABLERO BALANCEADO DE GESTIÓN -DIRECCIÓN SECCIONAL DE IMPUESTOS Y ADUANAS DE IPIALES - CON METAS 2020</t>
  </si>
  <si>
    <t>COD-ÁREA 37</t>
  </si>
  <si>
    <t>IN1-3  Recaudo Bruto</t>
  </si>
  <si>
    <r>
      <rPr>
        <b/>
        <sz val="11"/>
        <color rgb="FF404040"/>
        <rFont val="Calibri"/>
        <family val="2"/>
        <scheme val="minor"/>
      </rPr>
      <t>FIS2.</t>
    </r>
    <r>
      <rPr>
        <sz val="11"/>
        <color rgb="FF404040"/>
        <rFont val="Calibri"/>
        <family val="2"/>
        <scheme val="minor"/>
      </rPr>
      <t xml:space="preserve"> Cumplir las metas anuales dentro del marco fiscal de mediano plazo, AHORA Cumplir las metas anuales de gestión efectiva en materia tributaria, aduanera, cambiaria e internacional </t>
    </r>
  </si>
  <si>
    <r>
      <rPr>
        <b/>
        <sz val="11"/>
        <color rgb="FF404040"/>
        <rFont val="Calibri"/>
        <family val="2"/>
        <scheme val="minor"/>
      </rPr>
      <t>IN5</t>
    </r>
    <r>
      <rPr>
        <sz val="11"/>
        <color rgb="FF404040"/>
        <rFont val="Calibri"/>
        <family val="2"/>
        <scheme val="minor"/>
      </rPr>
      <t>. Adelantar estrategias de gestión con los contribuyentes inscritos en el Régimen Simple de Tributación - RST, para que presente oportunamente los anticipos</t>
    </r>
  </si>
  <si>
    <t>Numero de visitas  de control</t>
  </si>
  <si>
    <r>
      <rPr>
        <b/>
        <sz val="11"/>
        <color rgb="FF404040"/>
        <rFont val="Calibri"/>
        <family val="2"/>
        <scheme val="minor"/>
      </rPr>
      <t xml:space="preserve">JUR2. </t>
    </r>
    <r>
      <rPr>
        <sz val="11"/>
        <color rgb="FF404040"/>
        <rFont val="Calibri"/>
        <family val="2"/>
        <scheme val="minor"/>
      </rPr>
      <t>Mejorar el porcentaje de éxito de litigiosidad</t>
    </r>
  </si>
  <si>
    <t xml:space="preserve">JUR-3.5  Porcentaje de requerimientos atendidos en oportunidad </t>
  </si>
  <si>
    <t>0E4. Controlar el ingreso ilegal de mercancías y el fraude aduanero con el fin de contribuir con la competitividad del sector empresarial</t>
  </si>
  <si>
    <r>
      <rPr>
        <b/>
        <sz val="11"/>
        <color rgb="FF404040"/>
        <rFont val="Calibri"/>
        <family val="2"/>
        <scheme val="minor"/>
      </rPr>
      <t>FIS6</t>
    </r>
    <r>
      <rPr>
        <sz val="11"/>
        <color rgb="FF404040"/>
        <rFont val="Calibri"/>
        <family val="2"/>
        <scheme val="minor"/>
      </rPr>
      <t>. Controlar el ingreso y permanencia  ilegal de mercancías  con el fin de contribuir con la competitividad del sector empresarial</t>
    </r>
  </si>
  <si>
    <t>FIS-33  Cantidad Aprehensiones sectores de Licores, Cigarrillos, Hidrocarburos y Agropecuario</t>
  </si>
  <si>
    <t>PIL2.   CERCANÍA AL CIUDADANO</t>
  </si>
  <si>
    <t>TABLERO BALANCEADO DE GESTIÓN - DIRECCION SECCIONAL DE IMPUESTOS Y ADUANAS DE LETICIA - CON METAS 2020</t>
  </si>
  <si>
    <t xml:space="preserve"> COD-ÁREA 38</t>
  </si>
  <si>
    <r>
      <t xml:space="preserve">IN2. </t>
    </r>
    <r>
      <rPr>
        <sz val="11"/>
        <color theme="1" tint="0.249977111117893"/>
        <rFont val="Calibri"/>
        <family val="2"/>
      </rPr>
      <t>Cumplir las metas anuales dentro del marco fiscal de mediano plazo</t>
    </r>
  </si>
  <si>
    <r>
      <rPr>
        <b/>
        <sz val="11"/>
        <color theme="1" tint="0.249977111117893"/>
        <rFont val="Calibri"/>
        <family val="2"/>
      </rPr>
      <t xml:space="preserve">FIS2.  </t>
    </r>
    <r>
      <rPr>
        <sz val="11"/>
        <color theme="1" tint="0.249977111117893"/>
        <rFont val="Calibri"/>
        <family val="2"/>
      </rPr>
      <t>Cumplir las metas anuales dentro del marco fiscal de mediano plazo, AHORA Cumplir las metas anuales de gestión efectiva en materia tributaria, aduanera, cambiaria e internacional</t>
    </r>
  </si>
  <si>
    <t>Valor recaudo gestión efectiva cambiaria</t>
  </si>
  <si>
    <t>Recaudo  gestión aceptada tributaria</t>
  </si>
  <si>
    <t>Recaudo  gestión aceptada cambiaria</t>
  </si>
  <si>
    <t>Recaudo gestión aceptada cambiaria</t>
  </si>
  <si>
    <t>FIS-17 Evacuación de expedientes en Fiscalización tributaria</t>
  </si>
  <si>
    <r>
      <rPr>
        <b/>
        <sz val="11"/>
        <color theme="1" tint="0.249977111117893"/>
        <rFont val="Calibri"/>
        <family val="2"/>
      </rPr>
      <t>IN3.</t>
    </r>
    <r>
      <rPr>
        <sz val="11"/>
        <color theme="1" tint="0.249977111117893"/>
        <rFont val="Calibri"/>
        <family val="2"/>
      </rPr>
      <t xml:space="preserve"> Cumplir con el recaudo tributario por gestión de cartera</t>
    </r>
  </si>
  <si>
    <r>
      <rPr>
        <b/>
        <sz val="11"/>
        <color theme="1" tint="0.249977111117893"/>
        <rFont val="Calibri"/>
        <family val="2"/>
      </rPr>
      <t xml:space="preserve">IN4. </t>
    </r>
    <r>
      <rPr>
        <sz val="11"/>
        <color theme="1" tint="0.249977111117893"/>
        <rFont val="Calibri"/>
        <family val="2"/>
      </rPr>
      <t>Contar con los inscritos requeridos  en el Régimen Simple de Tributación - RST, con el fin de contribuir con la estrategia de la Entidad</t>
    </r>
  </si>
  <si>
    <r>
      <rPr>
        <b/>
        <sz val="11"/>
        <color theme="1" tint="0.249977111117893"/>
        <rFont val="Calibri"/>
        <family val="2"/>
      </rPr>
      <t>FIS4.</t>
    </r>
    <r>
      <rPr>
        <sz val="11"/>
        <color theme="1" tint="0.249977111117893"/>
        <rFont val="Calibri"/>
        <family val="2"/>
      </rPr>
      <t xml:space="preserve"> Gestionar los  programas de fiscalización tributario, aduanero, cambiario e internacional</t>
    </r>
  </si>
  <si>
    <t xml:space="preserve"> Subdirección de Gestión de Control Cambiario</t>
  </si>
  <si>
    <t>FIS-18 Evacuación de expedientes en fiscalización Cambiara</t>
  </si>
  <si>
    <r>
      <rPr>
        <b/>
        <sz val="11"/>
        <color theme="1" tint="0.249977111117893"/>
        <rFont val="Calibri"/>
        <family val="2"/>
      </rPr>
      <t xml:space="preserve">IN7. </t>
    </r>
    <r>
      <rPr>
        <sz val="11"/>
        <color theme="1" tint="0.249977111117893"/>
        <rFont val="Calibri"/>
        <family val="2"/>
      </rPr>
      <t xml:space="preserve">Habilitar facturadores electrónicos con el fin de apalancar los resultados estratégicos </t>
    </r>
  </si>
  <si>
    <r>
      <rPr>
        <b/>
        <sz val="11"/>
        <color theme="1" tint="0.249977111117893"/>
        <rFont val="Calibri"/>
        <family val="2"/>
      </rPr>
      <t xml:space="preserve">JUR2. </t>
    </r>
    <r>
      <rPr>
        <sz val="11"/>
        <color theme="1" tint="0.249977111117893"/>
        <rFont val="Calibri"/>
        <family val="2"/>
      </rPr>
      <t>Mejorar el porcentaje de éxito de litigiosidad</t>
    </r>
  </si>
  <si>
    <r>
      <rPr>
        <b/>
        <sz val="11"/>
        <color theme="1" tint="0.249977111117893"/>
        <rFont val="Calibri"/>
        <family val="2"/>
      </rPr>
      <t xml:space="preserve">ADU2. </t>
    </r>
    <r>
      <rPr>
        <sz val="11"/>
        <color theme="1" tint="0.249977111117893"/>
        <rFont val="Calibri"/>
        <family val="2"/>
      </rPr>
      <t>Aduana con una recaudación eficiente</t>
    </r>
  </si>
  <si>
    <r>
      <rPr>
        <b/>
        <sz val="11"/>
        <color theme="1" tint="0.249977111117893"/>
        <rFont val="Calibri"/>
        <family val="2"/>
      </rPr>
      <t xml:space="preserve">FIS6. </t>
    </r>
    <r>
      <rPr>
        <sz val="11"/>
        <color theme="1" tint="0.249977111117893"/>
        <rFont val="Calibri"/>
        <family val="2"/>
      </rPr>
      <t>Controlar el ingreso y permanencia  ilegal de mercancías  con el fin de contribuir con la competitividad del sector empresarial</t>
    </r>
  </si>
  <si>
    <r>
      <rPr>
        <b/>
        <sz val="11"/>
        <rFont val="Calibri"/>
        <family val="2"/>
        <scheme val="minor"/>
      </rPr>
      <t>IN9.</t>
    </r>
    <r>
      <rPr>
        <sz val="11"/>
        <rFont val="Calibri"/>
        <family val="2"/>
        <scheme val="minor"/>
      </rPr>
      <t xml:space="preserve"> Desarrollar las Acciones que promuevan la cultura de la contribución </t>
    </r>
  </si>
  <si>
    <t>Dirección Seccional de Impuestos y Aduanas de Leticia.</t>
  </si>
  <si>
    <t>Dirección Seccional de Impuestos y Aduanas de Maicao.</t>
  </si>
  <si>
    <t>TABLERO BALANCEADO DE GESTIÓN - DIRECCION SECCIONAL DE IMPUESTOS Y ADUANAS MAICAO - CON METAS 2020</t>
  </si>
  <si>
    <t>COD-ÁREA 39</t>
  </si>
  <si>
    <r>
      <t xml:space="preserve">IN2. </t>
    </r>
    <r>
      <rPr>
        <sz val="11"/>
        <color theme="1" tint="0.249977111117893"/>
        <rFont val="Calibri"/>
        <family val="2"/>
        <scheme val="minor"/>
      </rPr>
      <t>Cumplir las metas anuales dentro del marco fiscal de mediano plazo</t>
    </r>
  </si>
  <si>
    <t xml:space="preserve">PENDIENTE </t>
  </si>
  <si>
    <t>Valor recaudo gestión efectiva - Liquidación</t>
  </si>
  <si>
    <t>FIS-9 Gestión aceptada de Fiscalización aduanera (Resoluciones en firme)</t>
  </si>
  <si>
    <r>
      <rPr>
        <b/>
        <sz val="11"/>
        <color theme="1" tint="0.249977111117893"/>
        <rFont val="Calibri"/>
        <family val="2"/>
        <scheme val="minor"/>
      </rPr>
      <t xml:space="preserve">FIS4. </t>
    </r>
    <r>
      <rPr>
        <sz val="11"/>
        <color theme="1" tint="0.249977111117893"/>
        <rFont val="Calibri"/>
        <family val="2"/>
        <scheme val="minor"/>
      </rPr>
      <t xml:space="preserve"> Gestionar los  programas de fiscalización tributario, aduanero, cambiario e internacional</t>
    </r>
  </si>
  <si>
    <r>
      <rPr>
        <b/>
        <sz val="11"/>
        <color theme="1" tint="0.249977111117893"/>
        <rFont val="Calibri"/>
        <family val="2"/>
        <scheme val="minor"/>
      </rPr>
      <t>ADU2.</t>
    </r>
    <r>
      <rPr>
        <sz val="11"/>
        <color theme="1" tint="0.249977111117893"/>
        <rFont val="Calibri"/>
        <family val="2"/>
        <scheme val="minor"/>
      </rPr>
      <t xml:space="preserve">  Aduana con una recaudación eficiente</t>
    </r>
  </si>
  <si>
    <r>
      <rPr>
        <b/>
        <sz val="11"/>
        <color theme="1" tint="0.249977111117893"/>
        <rFont val="Calibri"/>
        <family val="2"/>
        <scheme val="minor"/>
      </rPr>
      <t>FIS6.</t>
    </r>
    <r>
      <rPr>
        <sz val="11"/>
        <color theme="1" tint="0.249977111117893"/>
        <rFont val="Calibri"/>
        <family val="2"/>
        <scheme val="minor"/>
      </rPr>
      <t xml:space="preserve">  Controlar el ingreso y permanencia  ilegal de mercancías con el fin de contribuir con la competitividad del sector empresarial</t>
    </r>
  </si>
  <si>
    <t>ADU4. Aduana con controles previos y simultáneos optimizados en las zonas primarias y en los usuarios de comercio exterior</t>
  </si>
  <si>
    <r>
      <rPr>
        <b/>
        <sz val="11"/>
        <color rgb="FF404040"/>
        <rFont val="Calibri"/>
        <family val="2"/>
        <scheme val="minor"/>
      </rPr>
      <t xml:space="preserve">ADU5. </t>
    </r>
    <r>
      <rPr>
        <sz val="11"/>
        <color rgb="FF404040"/>
        <rFont val="Calibri"/>
        <family val="2"/>
        <scheme val="minor"/>
      </rPr>
      <t xml:space="preserve"> Generar acciones  que  contribuyan al fortalecimiento de la cercanía con  la comunidad de Comercio Exterior</t>
    </r>
  </si>
  <si>
    <t>TABLERO BALANCEADO DE GESTIÓN - DIRECCIÓN SECCIONAL DE IMPUESTOS Y ADUANAS MANIZALES - CON METAS 2020</t>
  </si>
  <si>
    <t>COD-ÁREA 10</t>
  </si>
  <si>
    <r>
      <rPr>
        <b/>
        <sz val="11"/>
        <color theme="1" tint="0.249977111117893"/>
        <rFont val="Calibri"/>
        <family val="2"/>
        <scheme val="minor"/>
      </rPr>
      <t>DGRAE1.</t>
    </r>
    <r>
      <rPr>
        <sz val="11"/>
        <color theme="1" tint="0.249977111117893"/>
        <rFont val="Calibri"/>
        <family val="2"/>
        <scheme val="minor"/>
      </rPr>
      <t xml:space="preserve">  Liderar y hacer seguimiento a la ejecución presupuestal de las distintas áreas</t>
    </r>
  </si>
  <si>
    <t>DGRAE-1 Nivel de Ejecución del presupuesto</t>
  </si>
  <si>
    <t>Subdireccón de Gestión de Recursos Físicos</t>
  </si>
  <si>
    <t>FIS-4 Gestión efectiva en Fiscalización Tributaria</t>
  </si>
  <si>
    <r>
      <rPr>
        <b/>
        <sz val="11"/>
        <color theme="1" tint="0.249977111117893"/>
        <rFont val="Calibri"/>
        <family val="2"/>
        <scheme val="minor"/>
      </rPr>
      <t xml:space="preserve">IN5.  </t>
    </r>
    <r>
      <rPr>
        <sz val="11"/>
        <color theme="1" tint="0.249977111117893"/>
        <rFont val="Calibri"/>
        <family val="2"/>
        <scheme val="minor"/>
      </rPr>
      <t>Adelantar estrategias de gestión con los contribuyentes inscritos en el Régimen Simple de Tributación - RST, para que presente oportunamente los anticipos</t>
    </r>
  </si>
  <si>
    <t>Sin meta para la seccional</t>
  </si>
  <si>
    <r>
      <t xml:space="preserve">ADU4. </t>
    </r>
    <r>
      <rPr>
        <sz val="11"/>
        <color theme="1" tint="0.249977111117893"/>
        <rFont val="Calibri"/>
        <family val="2"/>
        <scheme val="minor"/>
      </rPr>
      <t>Aduana con controles  previos y simultáneos optimizados en las zonas primarias y en los usuarios de comercio exterior</t>
    </r>
  </si>
  <si>
    <t>ADU-31  Eficacia en la revisión de criterios de origen de los productos colombianos</t>
  </si>
  <si>
    <r>
      <rPr>
        <b/>
        <sz val="11"/>
        <color theme="1" tint="0.249977111117893"/>
        <rFont val="Calibri"/>
        <family val="2"/>
        <scheme val="minor"/>
      </rPr>
      <t xml:space="preserve">FIS6. </t>
    </r>
    <r>
      <rPr>
        <sz val="11"/>
        <color theme="1" tint="0.249977111117893"/>
        <rFont val="Calibri"/>
        <family val="2"/>
        <scheme val="minor"/>
      </rPr>
      <t xml:space="preserve">Controlar el ingreso y permanencia  ilegal de mercancías  con el fin de contribuir con la competitividad del sector empresarial </t>
    </r>
  </si>
  <si>
    <t>PIL2. TRANSFORMACIÓN DEL TALENTO HUMANO</t>
  </si>
  <si>
    <t>TABLERO BALANCEADO DE GESTIÓN - DIRECCIÓN SECCIONAL DE IMPUESTOS Y ADUANAS DE MONTERÍA - CON METAS 2020</t>
  </si>
  <si>
    <t>COD-ÁREA 12</t>
  </si>
  <si>
    <t>ACUMULADOR PRIMER SEMESTRE</t>
  </si>
  <si>
    <r>
      <rPr>
        <b/>
        <sz val="11"/>
        <color rgb="FF404040"/>
        <rFont val="Calibri"/>
        <family val="2"/>
        <scheme val="minor"/>
      </rPr>
      <t>DGRAE1</t>
    </r>
    <r>
      <rPr>
        <sz val="11"/>
        <color rgb="FF404040"/>
        <rFont val="Calibri"/>
        <family val="2"/>
        <scheme val="minor"/>
      </rPr>
      <t>.  Liderar y hacer seguimiento a la ejecución presupuestal de las distintas áreas</t>
    </r>
  </si>
  <si>
    <r>
      <rPr>
        <b/>
        <sz val="11"/>
        <color rgb="FF404040"/>
        <rFont val="Calibri"/>
        <family val="2"/>
        <scheme val="minor"/>
      </rPr>
      <t xml:space="preserve">FIS2.  </t>
    </r>
    <r>
      <rPr>
        <sz val="11"/>
        <color rgb="FF404040"/>
        <rFont val="Calibri"/>
        <family val="2"/>
        <scheme val="minor"/>
      </rPr>
      <t>Cumplir las metas anuales dentro del marco fiscal de mediano plazo, AHORA Cumplir las metas anuales de gestión efectiva en materia tributaria, aduanera, cambiaria e internacional</t>
    </r>
  </si>
  <si>
    <t>Subdirección de Gestión de Fiscalización Tributaria - Coordinación de Gestión Operativa de Fiscalización tributaria</t>
  </si>
  <si>
    <r>
      <rPr>
        <b/>
        <sz val="11"/>
        <color rgb="FF404040"/>
        <rFont val="Calibri"/>
        <family val="2"/>
        <scheme val="minor"/>
      </rPr>
      <t xml:space="preserve">IN4. </t>
    </r>
    <r>
      <rPr>
        <sz val="11"/>
        <color rgb="FF404040"/>
        <rFont val="Calibri"/>
        <family val="2"/>
        <scheme val="minor"/>
      </rPr>
      <t>Contar con los inscritos requeridos  en el Régimen Simple de Tributación - RST, con el fin de contribuir con la estrategia de la Entidad</t>
    </r>
  </si>
  <si>
    <r>
      <rPr>
        <b/>
        <sz val="11"/>
        <color rgb="FF404040"/>
        <rFont val="Calibri"/>
        <family val="2"/>
        <scheme val="minor"/>
      </rPr>
      <t xml:space="preserve">IN7. </t>
    </r>
    <r>
      <rPr>
        <sz val="11"/>
        <color rgb="FF404040"/>
        <rFont val="Calibri"/>
        <family val="2"/>
        <scheme val="minor"/>
      </rPr>
      <t xml:space="preserve">Habilitar facturadores electrónicos con el fin de apalancar los resultados estratégicos </t>
    </r>
  </si>
  <si>
    <r>
      <rPr>
        <b/>
        <sz val="11"/>
        <color rgb="FF404040"/>
        <rFont val="Calibri"/>
        <family val="2"/>
        <scheme val="minor"/>
      </rPr>
      <t xml:space="preserve">IN9. </t>
    </r>
    <r>
      <rPr>
        <sz val="11"/>
        <color rgb="FF404040"/>
        <rFont val="Calibri"/>
        <family val="2"/>
        <scheme val="minor"/>
      </rPr>
      <t xml:space="preserve">Desarrollar las Acciones que promuevan la cultura de la contribución  </t>
    </r>
  </si>
  <si>
    <t>TABLERO BALANCEADO DE GESTIÓN - DIRECCION SECCIONAL DE IMPUESTOS Y ADUANAS NEIVA - CON METAS 2020</t>
  </si>
  <si>
    <t>COD-ÁREA 13</t>
  </si>
  <si>
    <r>
      <rPr>
        <b/>
        <sz val="11"/>
        <rFont val="Calibri"/>
        <family val="2"/>
        <scheme val="minor"/>
      </rPr>
      <t>FIS2.</t>
    </r>
    <r>
      <rPr>
        <sz val="11"/>
        <rFont val="Calibri"/>
        <family val="2"/>
        <scheme val="minor"/>
      </rPr>
      <t xml:space="preserve">  Cumplir las metas anuales dentro del marco fiscal de mediano plazo, AHORA Cumplir las metas anuales de gestión efectiva en materia tributaria, aduanera, cambiaria e internacional</t>
    </r>
  </si>
  <si>
    <r>
      <rPr>
        <b/>
        <sz val="11"/>
        <rFont val="Calibri"/>
        <family val="2"/>
        <scheme val="minor"/>
      </rPr>
      <t xml:space="preserve">IN3. </t>
    </r>
    <r>
      <rPr>
        <sz val="11"/>
        <rFont val="Calibri"/>
        <family val="2"/>
        <scheme val="minor"/>
      </rPr>
      <t xml:space="preserve"> Cumplir con el recaudo tributario por gestión de cartera</t>
    </r>
  </si>
  <si>
    <r>
      <rPr>
        <b/>
        <sz val="11"/>
        <rFont val="Calibri"/>
        <family val="2"/>
        <scheme val="minor"/>
      </rPr>
      <t xml:space="preserve">IN4. </t>
    </r>
    <r>
      <rPr>
        <sz val="11"/>
        <rFont val="Calibri"/>
        <family val="2"/>
        <scheme val="minor"/>
      </rPr>
      <t xml:space="preserve"> Contar con los inscritos requeridos  en el Régimen Simple de Tributación - RST, con el fin de contribuir con la estrategia de la Entidad</t>
    </r>
  </si>
  <si>
    <r>
      <rPr>
        <b/>
        <sz val="11"/>
        <rFont val="Calibri"/>
        <family val="2"/>
        <scheme val="minor"/>
      </rPr>
      <t xml:space="preserve">IN5.  </t>
    </r>
    <r>
      <rPr>
        <sz val="11"/>
        <rFont val="Calibri"/>
        <family val="2"/>
        <scheme val="minor"/>
      </rPr>
      <t>Adelantar estrategias de gestión con los contribuyentes inscritos en el Régimen Simple de Tributación - RST, para que presente oportunamente los anticipos</t>
    </r>
  </si>
  <si>
    <r>
      <rPr>
        <b/>
        <sz val="11"/>
        <rFont val="Calibri"/>
        <family val="2"/>
        <scheme val="minor"/>
      </rPr>
      <t xml:space="preserve">IN7. </t>
    </r>
    <r>
      <rPr>
        <sz val="11"/>
        <rFont val="Calibri"/>
        <family val="2"/>
        <scheme val="minor"/>
      </rPr>
      <t xml:space="preserve"> Habilitar facturadores electrónicos con el fin de apalancar los resultados estratégicos  </t>
    </r>
  </si>
  <si>
    <r>
      <rPr>
        <b/>
        <sz val="11"/>
        <color rgb="FF404040"/>
        <rFont val="Calibri"/>
        <family val="2"/>
        <scheme val="minor"/>
      </rPr>
      <t xml:space="preserve"> JUR2. </t>
    </r>
    <r>
      <rPr>
        <sz val="11"/>
        <color rgb="FF404040"/>
        <rFont val="Calibri"/>
        <family val="2"/>
        <scheme val="minor"/>
      </rPr>
      <t xml:space="preserve"> Mejorar el porcentaje de éxito de litigiosidad</t>
    </r>
  </si>
  <si>
    <r>
      <rPr>
        <b/>
        <sz val="11"/>
        <rFont val="Calibri"/>
        <family val="2"/>
        <scheme val="minor"/>
      </rPr>
      <t xml:space="preserve">FIS6. </t>
    </r>
    <r>
      <rPr>
        <sz val="11"/>
        <rFont val="Calibri"/>
        <family val="2"/>
        <scheme val="minor"/>
      </rPr>
      <t xml:space="preserve"> Controlar el ingreso y permanencia ilegal de mercancías  con el fin de contribuir con la competitividad del sector empresarial</t>
    </r>
  </si>
  <si>
    <r>
      <rPr>
        <b/>
        <sz val="11"/>
        <rFont val="Calibri"/>
        <family val="2"/>
        <scheme val="minor"/>
      </rPr>
      <t xml:space="preserve">IN9. </t>
    </r>
    <r>
      <rPr>
        <sz val="11"/>
        <rFont val="Calibri"/>
        <family val="2"/>
        <scheme val="minor"/>
      </rPr>
      <t xml:space="preserve"> Desarrollar las Acciones que promuevan la cultura de la contribución</t>
    </r>
  </si>
  <si>
    <r>
      <rPr>
        <b/>
        <sz val="11"/>
        <rFont val="Calibri"/>
        <family val="2"/>
        <scheme val="minor"/>
      </rPr>
      <t xml:space="preserve">JUR5. </t>
    </r>
    <r>
      <rPr>
        <sz val="11"/>
        <rFont val="Calibri"/>
        <family val="2"/>
        <scheme val="minor"/>
      </rPr>
      <t xml:space="preserve"> Mejorar el tiempo de respuesta de las  decisiones de los recursos Tributarios hasta su remisión a notificaciones</t>
    </r>
  </si>
  <si>
    <r>
      <rPr>
        <b/>
        <sz val="11"/>
        <rFont val="Calibri"/>
        <family val="2"/>
        <scheme val="minor"/>
      </rPr>
      <t xml:space="preserve">IN11.  </t>
    </r>
    <r>
      <rPr>
        <sz val="11"/>
        <rFont val="Calibri"/>
        <family val="2"/>
        <scheme val="minor"/>
      </rPr>
      <t>Facilitar las Devoluciones Tributarias, con el fin de generar una relación más cercana con nuestros grupos de interés</t>
    </r>
  </si>
  <si>
    <t>Dias</t>
  </si>
  <si>
    <t>TABLERO BALANCEADO DE GESTIÓN - DIRECCIÓN SECCIONAL DE IMPUESTOS Y ADUANAS DE PALMIRA - CON METAS 2020</t>
  </si>
  <si>
    <t>COD-ÁREA 15</t>
  </si>
  <si>
    <t>259.75</t>
  </si>
  <si>
    <t xml:space="preserve"> $                                  18.95</t>
  </si>
  <si>
    <t xml:space="preserve"> $                                  26.18</t>
  </si>
  <si>
    <t xml:space="preserve"> $                               200.08</t>
  </si>
  <si>
    <t xml:space="preserve"> $                                  12.58</t>
  </si>
  <si>
    <t xml:space="preserve"> $                                  18.32</t>
  </si>
  <si>
    <t xml:space="preserve"> $                                    9.88</t>
  </si>
  <si>
    <t xml:space="preserve"> $                                  16.85</t>
  </si>
  <si>
    <t xml:space="preserve"> $                                  28.82</t>
  </si>
  <si>
    <t xml:space="preserve"> $                               358.55</t>
  </si>
  <si>
    <t xml:space="preserve"> $                                  18.22</t>
  </si>
  <si>
    <t xml:space="preserve">     18.32</t>
  </si>
  <si>
    <t>17.55</t>
  </si>
  <si>
    <t>18.51</t>
  </si>
  <si>
    <t>18.95</t>
  </si>
  <si>
    <t xml:space="preserve">                                  17.83</t>
  </si>
  <si>
    <t xml:space="preserve">                    16.26</t>
  </si>
  <si>
    <t xml:space="preserve">                      18.72</t>
  </si>
  <si>
    <t xml:space="preserve">                 16.05</t>
  </si>
  <si>
    <t xml:space="preserve">                20.85</t>
  </si>
  <si>
    <t>15.01</t>
  </si>
  <si>
    <t>50.10</t>
  </si>
  <si>
    <r>
      <rPr>
        <b/>
        <sz val="11"/>
        <color rgb="FF404040"/>
        <rFont val="Calibri"/>
        <family val="2"/>
        <scheme val="minor"/>
      </rPr>
      <t xml:space="preserve">DGRAE2.  </t>
    </r>
    <r>
      <rPr>
        <sz val="11"/>
        <color rgb="FF404040"/>
        <rFont val="Calibri"/>
        <family val="2"/>
        <scheme val="minor"/>
      </rPr>
      <t>Liderar y hacer el seguimiento a la ejecución de contratación del PAA en las distintas áreas</t>
    </r>
  </si>
  <si>
    <t xml:space="preserve">                                                  3.00</t>
  </si>
  <si>
    <t xml:space="preserve">                                                    3.00</t>
  </si>
  <si>
    <t xml:space="preserve">                                                         -</t>
  </si>
  <si>
    <t> </t>
  </si>
  <si>
    <t xml:space="preserve">                                              -</t>
  </si>
  <si>
    <t xml:space="preserve">                                       2.00</t>
  </si>
  <si>
    <r>
      <rPr>
        <b/>
        <sz val="11"/>
        <color rgb="FF404040"/>
        <rFont val="Calibri"/>
        <family val="2"/>
        <scheme val="minor"/>
      </rPr>
      <t xml:space="preserve">IN2. </t>
    </r>
    <r>
      <rPr>
        <sz val="11"/>
        <color rgb="FF404040"/>
        <rFont val="Calibri"/>
        <family val="2"/>
        <scheme val="minor"/>
      </rPr>
      <t xml:space="preserve"> Cumplir las metas anuales dentro del marco fiscal de mediano plazo</t>
    </r>
  </si>
  <si>
    <t xml:space="preserve"> PENDIENTE </t>
  </si>
  <si>
    <t xml:space="preserve"> $                                           -</t>
  </si>
  <si>
    <t xml:space="preserve">          3,057,600,000.00</t>
  </si>
  <si>
    <t xml:space="preserve"> 3,073,226,411.00</t>
  </si>
  <si>
    <t>3,057,600,000.00</t>
  </si>
  <si>
    <t>2,511,186,999.00</t>
  </si>
  <si>
    <t xml:space="preserve"> 3,057,600,000.00</t>
  </si>
  <si>
    <t>1,043,464,250.00</t>
  </si>
  <si>
    <t>3,439,800,000.00</t>
  </si>
  <si>
    <t>609,437,000.00</t>
  </si>
  <si>
    <t>3,822,000,000.00</t>
  </si>
  <si>
    <t xml:space="preserve"> 124,786,000.00</t>
  </si>
  <si>
    <t xml:space="preserve"> 3,822,000,000.00</t>
  </si>
  <si>
    <t xml:space="preserve"> 4,324,784,000.00</t>
  </si>
  <si>
    <t xml:space="preserve"> 11,686,884,660</t>
  </si>
  <si>
    <t xml:space="preserve"> 1,548,121,125.00</t>
  </si>
  <si>
    <t xml:space="preserve"> 1,760,167,075.00</t>
  </si>
  <si>
    <t xml:space="preserve"> 1,268,511,860.00</t>
  </si>
  <si>
    <t xml:space="preserve">  9,064,492,340.00</t>
  </si>
  <si>
    <t xml:space="preserve">      1,528,800,000.00</t>
  </si>
  <si>
    <t>8,604,386,228.00</t>
  </si>
  <si>
    <t>1,146,600,000.00</t>
  </si>
  <si>
    <t>1,488,952,500.00</t>
  </si>
  <si>
    <t xml:space="preserve">                 2,296,000,000.00</t>
  </si>
  <si>
    <t>8,680,050,400.00</t>
  </si>
  <si>
    <t>2,296,000,000.00</t>
  </si>
  <si>
    <t>521,753,000.00</t>
  </si>
  <si>
    <t xml:space="preserve"> 2,296,000,000.00</t>
  </si>
  <si>
    <t>1,213,804,000.00</t>
  </si>
  <si>
    <t>2,583,000,000.00</t>
  </si>
  <si>
    <t>2,870,000,000.00</t>
  </si>
  <si>
    <t xml:space="preserve"> 124,860,000.00</t>
  </si>
  <si>
    <t xml:space="preserve"> 2,870,000,000.00</t>
  </si>
  <si>
    <t>1,664,640,000.00</t>
  </si>
  <si>
    <t>12,814,544,400</t>
  </si>
  <si>
    <t xml:space="preserve"> 2,885,442,096.00</t>
  </si>
  <si>
    <t xml:space="preserve"> 988,142,075.00</t>
  </si>
  <si>
    <t xml:space="preserve"> 997,267,860.00</t>
  </si>
  <si>
    <t xml:space="preserve"> 3,742,270,000.00</t>
  </si>
  <si>
    <t xml:space="preserve"> 1,148,000,000.00</t>
  </si>
  <si>
    <t>587,500,000.00</t>
  </si>
  <si>
    <t xml:space="preserve"> 861,000,000.00</t>
  </si>
  <si>
    <t>1,062,858,500.00</t>
  </si>
  <si>
    <t xml:space="preserve">                                                  10.00</t>
  </si>
  <si>
    <t xml:space="preserve">                                       9.00</t>
  </si>
  <si>
    <t xml:space="preserve">                                     10.00</t>
  </si>
  <si>
    <t xml:space="preserve">                                       4.00</t>
  </si>
  <si>
    <t xml:space="preserve">                                     56.00</t>
  </si>
  <si>
    <t xml:space="preserve">                                       3.00</t>
  </si>
  <si>
    <t xml:space="preserve">                                       5.00</t>
  </si>
  <si>
    <t xml:space="preserve">                                       8.00</t>
  </si>
  <si>
    <t xml:space="preserve">                                     19.00</t>
  </si>
  <si>
    <t xml:space="preserve">                                     15.00</t>
  </si>
  <si>
    <t xml:space="preserve">                                     41.00</t>
  </si>
  <si>
    <t>$7,037</t>
  </si>
  <si>
    <t>$10,729</t>
  </si>
  <si>
    <t>$7,660</t>
  </si>
  <si>
    <t>$4,688</t>
  </si>
  <si>
    <t>$8,224</t>
  </si>
  <si>
    <t>$4,902</t>
  </si>
  <si>
    <t>$5,347</t>
  </si>
  <si>
    <t>$2,239</t>
  </si>
  <si>
    <t>$8,738</t>
  </si>
  <si>
    <t>$5,485</t>
  </si>
  <si>
    <t>$7,929</t>
  </si>
  <si>
    <t>$7,890</t>
  </si>
  <si>
    <t>$35,934</t>
  </si>
  <si>
    <t>$6,530</t>
  </si>
  <si>
    <t>$7,046</t>
  </si>
  <si>
    <t xml:space="preserve">                                     22.00</t>
  </si>
  <si>
    <t xml:space="preserve">                                     23.00</t>
  </si>
  <si>
    <t xml:space="preserve">                                     29.00</t>
  </si>
  <si>
    <t xml:space="preserve">                                       7.00</t>
  </si>
  <si>
    <t xml:space="preserve">                                     32.00</t>
  </si>
  <si>
    <t xml:space="preserve">                                       6.00</t>
  </si>
  <si>
    <t xml:space="preserve">                                     34.00</t>
  </si>
  <si>
    <t xml:space="preserve">                                     90.00</t>
  </si>
  <si>
    <t xml:space="preserve">                                     40.00</t>
  </si>
  <si>
    <t xml:space="preserve">                                     12.00</t>
  </si>
  <si>
    <t xml:space="preserve">                                     16.00</t>
  </si>
  <si>
    <t xml:space="preserve">                                     24.00</t>
  </si>
  <si>
    <t xml:space="preserve">                                     11.00</t>
  </si>
  <si>
    <t>0.00%</t>
  </si>
  <si>
    <t>25.00%</t>
  </si>
  <si>
    <r>
      <rPr>
        <b/>
        <sz val="11"/>
        <color rgb="FF404040"/>
        <rFont val="Calibri"/>
        <family val="2"/>
        <scheme val="minor"/>
      </rPr>
      <t>IN7</t>
    </r>
    <r>
      <rPr>
        <sz val="11"/>
        <color rgb="FF404040"/>
        <rFont val="Calibri"/>
        <family val="2"/>
        <scheme val="minor"/>
      </rPr>
      <t xml:space="preserve">.Habilitar facturadores electrónicos con el fin de apalancar los resultados estratégicos </t>
    </r>
  </si>
  <si>
    <t xml:space="preserve">                                                207.00</t>
  </si>
  <si>
    <t xml:space="preserve">                                   168.00</t>
  </si>
  <si>
    <t xml:space="preserve">                                   618.00</t>
  </si>
  <si>
    <t xml:space="preserve">                                   477.00</t>
  </si>
  <si>
    <t xml:space="preserve">                                   502.00</t>
  </si>
  <si>
    <t xml:space="preserve">                                     63.00</t>
  </si>
  <si>
    <t xml:space="preserve">                                   146.00</t>
  </si>
  <si>
    <t xml:space="preserve">                                     68.00</t>
  </si>
  <si>
    <t xml:space="preserve">                                   164.00</t>
  </si>
  <si>
    <t xml:space="preserve">                                   122.00</t>
  </si>
  <si>
    <t xml:space="preserve">                                   303.00</t>
  </si>
  <si>
    <t xml:space="preserve">                                   277.00</t>
  </si>
  <si>
    <t xml:space="preserve">                                   462.00</t>
  </si>
  <si>
    <t xml:space="preserve">                                   393.00</t>
  </si>
  <si>
    <t xml:space="preserve">                                   627.00</t>
  </si>
  <si>
    <t xml:space="preserve">                                   536.00</t>
  </si>
  <si>
    <t xml:space="preserve">                                   245.00</t>
  </si>
  <si>
    <t xml:space="preserve">                                   695.00</t>
  </si>
  <si>
    <t xml:space="preserve">                               1,469.00</t>
  </si>
  <si>
    <t xml:space="preserve">                                     18.00</t>
  </si>
  <si>
    <t xml:space="preserve">                                   384.00</t>
  </si>
  <si>
    <t>64,1 (anual)</t>
  </si>
  <si>
    <t>0.0%</t>
  </si>
  <si>
    <t>100.00%</t>
  </si>
  <si>
    <t>_</t>
  </si>
  <si>
    <t>64.10%</t>
  </si>
  <si>
    <t>90.00%</t>
  </si>
  <si>
    <t>150.00%</t>
  </si>
  <si>
    <r>
      <rPr>
        <b/>
        <sz val="11"/>
        <color rgb="FF404040"/>
        <rFont val="Calibri"/>
        <family val="2"/>
        <scheme val="minor"/>
      </rPr>
      <t>FIS6.</t>
    </r>
    <r>
      <rPr>
        <sz val="11"/>
        <color rgb="FF404040"/>
        <rFont val="Calibri"/>
        <family val="2"/>
        <scheme val="minor"/>
      </rPr>
      <t xml:space="preserve">  Controlar el ingreso y permanencia  ilegal de mercancías  con el fin de contribuir con la competitividad del sector empresarial</t>
    </r>
  </si>
  <si>
    <t xml:space="preserve"> $                              3,333,333.33</t>
  </si>
  <si>
    <t xml:space="preserve"> $                                3,082,423.00</t>
  </si>
  <si>
    <t xml:space="preserve"> $                   3,642,000.00</t>
  </si>
  <si>
    <t xml:space="preserve"> $                   3,333,333.33</t>
  </si>
  <si>
    <t xml:space="preserve"> $                   6,611,111.00</t>
  </si>
  <si>
    <t xml:space="preserve"> $                         6,724,423</t>
  </si>
  <si>
    <t xml:space="preserve"> $                   1,967,777.88</t>
  </si>
  <si>
    <t>1,967,777.88</t>
  </si>
  <si>
    <t>10,346,121.00</t>
  </si>
  <si>
    <t>1,326,111.18</t>
  </si>
  <si>
    <t xml:space="preserve">  1,326,111.18</t>
  </si>
  <si>
    <t xml:space="preserve"> 28,666,974.00</t>
  </si>
  <si>
    <r>
      <rPr>
        <b/>
        <sz val="11"/>
        <color rgb="FF404040"/>
        <rFont val="Calibri"/>
        <family val="2"/>
        <scheme val="minor"/>
      </rPr>
      <t>IN9.</t>
    </r>
    <r>
      <rPr>
        <sz val="11"/>
        <color rgb="FF404040"/>
        <rFont val="Calibri"/>
        <family val="2"/>
        <scheme val="minor"/>
      </rPr>
      <t xml:space="preserve"> Desarrollar las Acciones que promuevan la cultura de la contribución  </t>
    </r>
  </si>
  <si>
    <t xml:space="preserve">                                     10.20</t>
  </si>
  <si>
    <t xml:space="preserve">                                       9.47</t>
  </si>
  <si>
    <t xml:space="preserve">                                     10.28</t>
  </si>
  <si>
    <t xml:space="preserve">                                       19.8</t>
  </si>
  <si>
    <t xml:space="preserve">                                       10.2</t>
  </si>
  <si>
    <t xml:space="preserve">                                       10.4</t>
  </si>
  <si>
    <t xml:space="preserve"> _ </t>
  </si>
  <si>
    <t xml:space="preserve">                                                37.00</t>
  </si>
  <si>
    <t xml:space="preserve">                                                  44.00</t>
  </si>
  <si>
    <t xml:space="preserve">                                     45.00</t>
  </si>
  <si>
    <t xml:space="preserve">                                     37.00</t>
  </si>
  <si>
    <t xml:space="preserve">                                     43.00</t>
  </si>
  <si>
    <t xml:space="preserve">                                     20.00</t>
  </si>
  <si>
    <t>TABLERO BALANCEADO DE GESTIÓN - DIRECCIÓN SECCIONAL DE IMPUESTOS Y ADUANAS DE PASTO - CON METAS 2020</t>
  </si>
  <si>
    <t xml:space="preserve">                                                                 </t>
  </si>
  <si>
    <t>COD-ÁREA 14</t>
  </si>
  <si>
    <t>PER1.  Financiera</t>
  </si>
  <si>
    <r>
      <rPr>
        <b/>
        <sz val="11"/>
        <color rgb="FF404040"/>
        <rFont val="Calibri"/>
        <family val="2"/>
        <scheme val="minor"/>
      </rPr>
      <t>FIS2.</t>
    </r>
    <r>
      <rPr>
        <sz val="11"/>
        <color rgb="FF404040"/>
        <rFont val="Calibri"/>
        <family val="2"/>
        <scheme val="minor"/>
      </rPr>
      <t xml:space="preserve">  Cumplir las metas anuales dentro del marco fiscal de mediano plazo, AHORA Cumplir las metas anuales de gestión efectiva en materia tributaria, aduanera, cambiaria e internacional </t>
    </r>
  </si>
  <si>
    <t>FIS-4  Gestión efectiva en fiscalización tributaria</t>
  </si>
  <si>
    <t>FIS-10  Gestión aceptada en fiscalización tributaria</t>
  </si>
  <si>
    <t>FIS-27  Reclasificación de no responsables a responsables</t>
  </si>
  <si>
    <t>Total  presupuesto</t>
  </si>
  <si>
    <r>
      <rPr>
        <b/>
        <sz val="11"/>
        <color rgb="FF404040"/>
        <rFont val="Calibri"/>
        <family val="2"/>
        <scheme val="minor"/>
      </rPr>
      <t>FIS2</t>
    </r>
    <r>
      <rPr>
        <sz val="11"/>
        <color rgb="FF404040"/>
        <rFont val="Calibri"/>
        <family val="2"/>
        <scheme val="minor"/>
      </rPr>
      <t>.  Cumplir las metas anuales dentro del marco fiscal de mediano plazo, AHORA Cumplir las metas anuales de gestión efectiva en materia tributaria, aduanera, cambiaria e internacional</t>
    </r>
  </si>
  <si>
    <t>Subdirección de Gestión de Fiscalización Tributaria - Coordinación  de Gestión Operativa de Fiscalización tributaria</t>
  </si>
  <si>
    <t xml:space="preserve">Subdirección de Gestión de Control Cambiario </t>
  </si>
  <si>
    <t>N/A</t>
  </si>
  <si>
    <r>
      <rPr>
        <b/>
        <sz val="11"/>
        <color rgb="FF404040"/>
        <rFont val="Calibri"/>
        <family val="2"/>
      </rPr>
      <t>ADU2.</t>
    </r>
    <r>
      <rPr>
        <sz val="11"/>
        <color rgb="FF404040"/>
        <rFont val="Calibri"/>
        <family val="2"/>
      </rPr>
      <t xml:space="preserve"> Aduana con una recaudación eficiente</t>
    </r>
  </si>
  <si>
    <r>
      <rPr>
        <b/>
        <sz val="11"/>
        <color rgb="FF404040"/>
        <rFont val="Calibri"/>
        <family val="2"/>
      </rPr>
      <t xml:space="preserve">ADU4. </t>
    </r>
    <r>
      <rPr>
        <sz val="11"/>
        <color rgb="FF404040"/>
        <rFont val="Calibri"/>
        <family val="2"/>
      </rPr>
      <t>Aduana con controles previos y simultáneos optimizados en las zonas primarias y en los usuarios de comercio exterior</t>
    </r>
  </si>
  <si>
    <t xml:space="preserve">POLFA-3 Acciones de control contra el contrabando </t>
  </si>
  <si>
    <t>Número de acciones de control contra el contrabando ejecutadas</t>
  </si>
  <si>
    <r>
      <rPr>
        <b/>
        <sz val="11"/>
        <color rgb="FF404040"/>
        <rFont val="Calibri"/>
        <family val="2"/>
        <scheme val="minor"/>
      </rPr>
      <t>JUR 5.</t>
    </r>
    <r>
      <rPr>
        <sz val="11"/>
        <color rgb="FF404040"/>
        <rFont val="Calibri"/>
        <family val="2"/>
        <scheme val="minor"/>
      </rPr>
      <t xml:space="preserve"> Mejorar el tiempo de respuesta de las decisiones de los recursos tributarios hasta su remisión a notificaciones</t>
    </r>
  </si>
  <si>
    <t>Número actvidades PIC Dirección de Gestión de Ingresos</t>
  </si>
  <si>
    <t>TABLERO BALANCEADO DE GESTIÓN - DIRECCION SECCIONAL DE IMPUESTOS Y ADUANAS DE PEREIRA - CON METAS 2020</t>
  </si>
  <si>
    <t>COD - ÁREA 16</t>
  </si>
  <si>
    <t>TABLERO BALANCEADO DE GESTIÓN - DIRECCION SECCIONAL DE IMPUESTOS Y ADUANAS POPAYAN - CON METAS 2020</t>
  </si>
  <si>
    <t>COD-ÁREA 17</t>
  </si>
  <si>
    <r>
      <rPr>
        <b/>
        <sz val="11"/>
        <color rgb="FF404040"/>
        <rFont val="Calibri"/>
        <family val="2"/>
        <scheme val="minor"/>
      </rPr>
      <t xml:space="preserve">FIS2. </t>
    </r>
    <r>
      <rPr>
        <sz val="11"/>
        <color rgb="FF404040"/>
        <rFont val="Calibri"/>
        <family val="2"/>
        <scheme val="minor"/>
      </rPr>
      <t xml:space="preserve"> Cumplir las metas anuales dentro del marco fiscal de mediano plazo, AHORA Cumplir las metas anuales de gestión efectiva en materia tributaria, aduanera, cambiaria e internacional</t>
    </r>
  </si>
  <si>
    <r>
      <rPr>
        <b/>
        <sz val="11"/>
        <color rgb="FF404040"/>
        <rFont val="Calibri"/>
        <family val="2"/>
        <scheme val="minor"/>
      </rPr>
      <t xml:space="preserve">IN4.  </t>
    </r>
    <r>
      <rPr>
        <sz val="11"/>
        <color rgb="FF404040"/>
        <rFont val="Calibri"/>
        <family val="2"/>
        <scheme val="minor"/>
      </rPr>
      <t>Contar con los inscritos requeridos  en el Régimen Simple de Tributación - RST, con el fin de contribuir con la estrategia de la Entidad</t>
    </r>
  </si>
  <si>
    <r>
      <rPr>
        <b/>
        <sz val="11"/>
        <color rgb="FF404040"/>
        <rFont val="Calibri"/>
        <family val="2"/>
        <scheme val="minor"/>
      </rPr>
      <t>IN5.</t>
    </r>
    <r>
      <rPr>
        <sz val="11"/>
        <color rgb="FF404040"/>
        <rFont val="Calibri"/>
        <family val="2"/>
        <scheme val="minor"/>
      </rPr>
      <t xml:space="preserve">  Adelantar estrategias de gestión con los contribuyentes inscritos en el Régimen Simple de Tributación - RST, para que presente oportunamente los anticipos</t>
    </r>
  </si>
  <si>
    <t>66.67%</t>
  </si>
  <si>
    <r>
      <rPr>
        <b/>
        <sz val="11"/>
        <color rgb="FF404040"/>
        <rFont val="Calibri"/>
        <family val="2"/>
        <scheme val="minor"/>
      </rPr>
      <t xml:space="preserve">FIS6. </t>
    </r>
    <r>
      <rPr>
        <sz val="11"/>
        <color rgb="FF404040"/>
        <rFont val="Calibri"/>
        <family val="2"/>
        <scheme val="minor"/>
      </rPr>
      <t xml:space="preserve"> Controlar el ingreso y permanencia  ilegal de mercancías  con el fin de contribuir con la competitividad del sector empresarial</t>
    </r>
  </si>
  <si>
    <r>
      <rPr>
        <b/>
        <sz val="11"/>
        <color rgb="FF404040"/>
        <rFont val="Calibri"/>
        <family val="2"/>
        <scheme val="minor"/>
      </rPr>
      <t>JUR5.</t>
    </r>
    <r>
      <rPr>
        <sz val="11"/>
        <color rgb="FF404040"/>
        <rFont val="Calibri"/>
        <family val="2"/>
        <scheme val="minor"/>
      </rPr>
      <t xml:space="preserve">  Mejorar el tiempo de respuesta de las decisiones de los recursos Tributarios</t>
    </r>
  </si>
  <si>
    <t>JUR-7  Oportunidad en las decisiones de los recursos Tributarios</t>
  </si>
  <si>
    <r>
      <rPr>
        <b/>
        <sz val="11"/>
        <color rgb="FF404040"/>
        <rFont val="Calibri"/>
        <family val="2"/>
        <scheme val="minor"/>
      </rPr>
      <t>IN11.</t>
    </r>
    <r>
      <rPr>
        <sz val="11"/>
        <color rgb="FF404040"/>
        <rFont val="Calibri"/>
        <family val="2"/>
        <scheme val="minor"/>
      </rPr>
      <t xml:space="preserve">  Facilitar las Devoluciones Tributarias, con el fin de generar una relación más cercana con nuestros grupos de interés</t>
    </r>
  </si>
  <si>
    <t>TABLERO BALANCEADO DE GESTIÓN - DIRECCIÓN SECCIONAL DE IMPUESTOS Y ADUANAS DE QUIBDÓ - CON METAS 2020</t>
  </si>
  <si>
    <t>COD-ÁREA 18</t>
  </si>
  <si>
    <r>
      <rPr>
        <b/>
        <sz val="11"/>
        <color rgb="FF404040"/>
        <rFont val="Calibri"/>
        <family val="2"/>
      </rPr>
      <t xml:space="preserve">IN2. </t>
    </r>
    <r>
      <rPr>
        <sz val="11"/>
        <color rgb="FF404040"/>
        <rFont val="Calibri"/>
        <family val="2"/>
      </rPr>
      <t>Cumplir las metas anuales dentro del marco fiscal de mediano plazo</t>
    </r>
  </si>
  <si>
    <r>
      <rPr>
        <b/>
        <sz val="11"/>
        <color rgb="FF404040"/>
        <rFont val="Calibri"/>
        <family val="2"/>
      </rPr>
      <t xml:space="preserve">FIS2. </t>
    </r>
    <r>
      <rPr>
        <sz val="11"/>
        <color rgb="FF404040"/>
        <rFont val="Calibri"/>
        <family val="2"/>
      </rPr>
      <t xml:space="preserve"> Cumplir las metas anuales dentro del marco fiscal de mediano plazo, AHORA Cumplir las metas anuales de gestión efectiva en materia tributaria, aduanera, cambiaria e internacional</t>
    </r>
  </si>
  <si>
    <r>
      <rPr>
        <b/>
        <sz val="11"/>
        <color rgb="FF404040"/>
        <rFont val="Calibri"/>
        <family val="2"/>
      </rPr>
      <t xml:space="preserve">IN3. </t>
    </r>
    <r>
      <rPr>
        <sz val="11"/>
        <color rgb="FF404040"/>
        <rFont val="Calibri"/>
        <family val="2"/>
      </rPr>
      <t>Cumplir con el recaudo tributario por gestión de cartera</t>
    </r>
  </si>
  <si>
    <r>
      <rPr>
        <b/>
        <sz val="11"/>
        <color rgb="FF404040"/>
        <rFont val="Calibri"/>
        <family val="2"/>
      </rPr>
      <t>IN5.</t>
    </r>
    <r>
      <rPr>
        <sz val="11"/>
        <color rgb="FF404040"/>
        <rFont val="Calibri"/>
        <family val="2"/>
      </rPr>
      <t xml:space="preserve"> Adelantar estrategias de gestión con los contribuyentes inscritos en el Régimen Simple de Tributación - RST, para que presente oportunamente los anticipos</t>
    </r>
  </si>
  <si>
    <r>
      <rPr>
        <b/>
        <sz val="11"/>
        <color theme="1" tint="0.249977111117893"/>
        <rFont val="Calibri"/>
        <family val="2"/>
      </rPr>
      <t>IN7.</t>
    </r>
    <r>
      <rPr>
        <sz val="11"/>
        <color theme="1" tint="0.249977111117893"/>
        <rFont val="Calibri"/>
        <family val="2"/>
      </rPr>
      <t xml:space="preserve"> Habilitar facturadores electrónicos con el fin de apalancar los resultados estratégicos </t>
    </r>
  </si>
  <si>
    <r>
      <rPr>
        <b/>
        <sz val="11"/>
        <color rgb="FF404040"/>
        <rFont val="Calibri"/>
        <family val="2"/>
      </rPr>
      <t xml:space="preserve">JUR2. </t>
    </r>
    <r>
      <rPr>
        <sz val="11"/>
        <color rgb="FF404040"/>
        <rFont val="Calibri"/>
        <family val="2"/>
      </rPr>
      <t>Mejorar el porcentaje de éxito de litigiosidad</t>
    </r>
  </si>
  <si>
    <t>(Procesos revisados en el periodo con riesgo alto y medio alto en Ekogui /  Total número de procesos con riesgo alto y medio alto en Ekogui que deben ser revisados en el periodo)*100</t>
  </si>
  <si>
    <t>(Número de Requerimientos contestados en oportunidad relacionados con Memorando 69 de 2019, trámites ante el Comité de Conciliaciones, Política de Prevención de Daño Antijurídico / Número Requerimientos realizados por la Subdirección y sus coordinaciones)*100</t>
  </si>
  <si>
    <t>JUR-3.6 Porcentaje  funcionarios capacitaciones en cursos virtuales de la ANDJE</t>
  </si>
  <si>
    <t>JUR-4 Porcentaje  funcionarios que participaron en el concurso de escritura jurídica</t>
  </si>
  <si>
    <t>(Número de funcionarios que participaron en el concurso de escritura jurídica / Número de apoderados judiciales que debían participar)</t>
  </si>
  <si>
    <r>
      <rPr>
        <b/>
        <sz val="11"/>
        <color rgb="FF404040"/>
        <rFont val="Calibri"/>
        <family val="2"/>
      </rPr>
      <t>FIS6.</t>
    </r>
    <r>
      <rPr>
        <sz val="11"/>
        <color rgb="FF404040"/>
        <rFont val="Calibri"/>
        <family val="2"/>
      </rPr>
      <t xml:space="preserve"> Controlar el ingreso y permanencia  ilegal de mercancías  con el fin de contribuir con la competitividad del sector empresarial</t>
    </r>
  </si>
  <si>
    <t>OE7. Facilitar los trámites y servicios al ciudadano través su digitalización</t>
  </si>
  <si>
    <t>TABLERO BALANCEADO DE GESTIÓN - DIRECCIÓN SECCIONAL DE IMPUESTOS Y ADUANAS DE RIOHACHA -  CON METAS 2020</t>
  </si>
  <si>
    <t>COD-ÁREA 25</t>
  </si>
  <si>
    <t>OBJETIVO ESTRATÉGICO - DIAN</t>
  </si>
  <si>
    <t>Dirección de Gestión de Recursos y Administración Económica - Subdirección de Gestión de Recursos Financieros</t>
  </si>
  <si>
    <t xml:space="preserve">OE3. Cumplir las metas anuales de recaudo tributario y aduanero
</t>
  </si>
  <si>
    <r>
      <t xml:space="preserve">FIS2.  </t>
    </r>
    <r>
      <rPr>
        <sz val="11"/>
        <color theme="1" tint="0.249977111117893"/>
        <rFont val="Calibri"/>
        <family val="2"/>
        <scheme val="minor"/>
      </rPr>
      <t>Cumplir las metas anuales dentro del marco fiscal de mediano plazo, ahora: Cumplir las metas anuales de gestión efectiva en materia tributaria, aduanera, cambiaria e internacional</t>
    </r>
  </si>
  <si>
    <t>FIS-7 Gestión efectiva de Control cambiario</t>
  </si>
  <si>
    <t>Valor gestión  aceptada tributaria</t>
  </si>
  <si>
    <t>Valor gestión aceptada cambiaria</t>
  </si>
  <si>
    <t>Número de expedientes evaluados</t>
  </si>
  <si>
    <t>DATOS INCLUIDOS POR LA SUBDIRECCION</t>
  </si>
  <si>
    <t xml:space="preserve">JUR-3.4 porcentaje de procesos revisados con VoBo del Jefe </t>
  </si>
  <si>
    <t>FIS-33 Cantidad Aprehensiones sectores de Licores, Cigarrillos, Hidrocarburos y Agropecuario</t>
  </si>
  <si>
    <r>
      <rPr>
        <b/>
        <sz val="11"/>
        <color rgb="FF404040"/>
        <rFont val="Calibri"/>
        <family val="2"/>
        <scheme val="minor"/>
      </rPr>
      <t>POLFA3</t>
    </r>
    <r>
      <rPr>
        <sz val="11"/>
        <color rgb="FF404040"/>
        <rFont val="Calibri"/>
        <family val="2"/>
        <scheme val="minor"/>
      </rPr>
      <t xml:space="preserve"> Incrementar acciones de control de fiscalización contra el contrabando</t>
    </r>
  </si>
  <si>
    <r>
      <rPr>
        <b/>
        <sz val="11"/>
        <color rgb="FF404040"/>
        <rFont val="Calibri"/>
        <family val="2"/>
        <scheme val="minor"/>
      </rPr>
      <t>FIS4.</t>
    </r>
    <r>
      <rPr>
        <sz val="11"/>
        <color rgb="FF404040"/>
        <rFont val="Calibri"/>
        <family val="2"/>
        <scheme val="minor"/>
      </rPr>
      <t xml:space="preserve"> Gestionar los programas de fiscalización tributario, aduanero, cambiario e internacional</t>
    </r>
  </si>
  <si>
    <t>FIS-16  Visitas de control a personas que hacen la venta y compra de divisas sin estar autorizados</t>
  </si>
  <si>
    <r>
      <t xml:space="preserve">POLFA6. </t>
    </r>
    <r>
      <rPr>
        <sz val="11"/>
        <color rgb="FF404040"/>
        <rFont val="Calibri"/>
        <family val="2"/>
        <scheme val="minor"/>
      </rPr>
      <t xml:space="preserve"> Consolidar la oferta de prevención de la Policía Fiscal Aduanera con el fin de mitigar delitos y comportamientos contrarios a la convivencia que afecten el patrimonio y orden económico del país</t>
    </r>
  </si>
  <si>
    <t>POLFA-7 Implementación del programa zonas de comercio Legal (Formalización)</t>
  </si>
  <si>
    <t>(Número de comerciantes certificados como promotores de la legalidad/Número de comerciantes inscritos en el programa)*100</t>
  </si>
  <si>
    <t>(Actividades ejecutadas/Actividades planeadas)*100</t>
  </si>
  <si>
    <t>Días</t>
  </si>
  <si>
    <t>Dirección de Gestión de Recursos y Administración Económica - Subdirección de Gestión de Personal</t>
  </si>
  <si>
    <t>TABLERO BALANCEADO DE GESTIÓN - DIRECCIÓN SECCIONAL DE IMPUESTOS Y ADUANAS SAN ANDRÉS -  CON METAS 2020</t>
  </si>
  <si>
    <t>COD-ÁREA 27</t>
  </si>
  <si>
    <r>
      <rPr>
        <b/>
        <sz val="11"/>
        <color rgb="FF404040"/>
        <rFont val="Calibri"/>
        <family val="2"/>
        <scheme val="minor"/>
      </rPr>
      <t>IN2.</t>
    </r>
    <r>
      <rPr>
        <sz val="11"/>
        <color rgb="FF404040"/>
        <rFont val="Calibri"/>
        <family val="2"/>
        <scheme val="minor"/>
      </rPr>
      <t xml:space="preserve">  Cumplir las metas anuales dentro del marco fiscal de mediano plazo</t>
    </r>
  </si>
  <si>
    <r>
      <rPr>
        <b/>
        <sz val="11"/>
        <color rgb="FF404040"/>
        <rFont val="Calibri"/>
        <family val="2"/>
        <scheme val="minor"/>
      </rPr>
      <t>FIS4.</t>
    </r>
    <r>
      <rPr>
        <sz val="11"/>
        <color rgb="FF404040"/>
        <rFont val="Calibri"/>
        <family val="2"/>
        <scheme val="minor"/>
      </rPr>
      <t xml:space="preserve">  Gestionar los  programas de fiscalización tributario, aduanero, cambiario e internacional</t>
    </r>
  </si>
  <si>
    <r>
      <rPr>
        <b/>
        <sz val="11"/>
        <color rgb="FF404040"/>
        <rFont val="Calibri"/>
        <family val="2"/>
        <scheme val="minor"/>
      </rPr>
      <t>IN7.</t>
    </r>
    <r>
      <rPr>
        <sz val="11"/>
        <color rgb="FF404040"/>
        <rFont val="Calibri"/>
        <family val="2"/>
        <scheme val="minor"/>
      </rPr>
      <t xml:space="preserve">  Habilitar facturadores electrónicos con el fin de apalancar los resultados estratégicos </t>
    </r>
  </si>
  <si>
    <r>
      <rPr>
        <b/>
        <sz val="11"/>
        <color rgb="FF404040"/>
        <rFont val="Calibri"/>
        <family val="2"/>
        <scheme val="minor"/>
      </rPr>
      <t xml:space="preserve">ADU2. </t>
    </r>
    <r>
      <rPr>
        <sz val="11"/>
        <color rgb="FF404040"/>
        <rFont val="Calibri"/>
        <family val="2"/>
        <scheme val="minor"/>
      </rPr>
      <t xml:space="preserve"> Aduana con una recaudación eficiente</t>
    </r>
  </si>
  <si>
    <r>
      <rPr>
        <b/>
        <sz val="11"/>
        <color rgb="FF404040"/>
        <rFont val="Calibri"/>
        <family val="2"/>
        <scheme val="minor"/>
      </rPr>
      <t xml:space="preserve">ADU4. </t>
    </r>
    <r>
      <rPr>
        <sz val="11"/>
        <color rgb="FF404040"/>
        <rFont val="Calibri"/>
        <family val="2"/>
        <scheme val="minor"/>
      </rPr>
      <t xml:space="preserve"> Aduana con controles  previos y simultáneos optimizados en la lucha contra el contrabando en las zonas primarias y en los usuarios de comercio exterior</t>
    </r>
  </si>
  <si>
    <t>ADU-8 Efectividad en los controles previos - Lucha contra el contrabando</t>
  </si>
  <si>
    <r>
      <rPr>
        <b/>
        <sz val="11"/>
        <color rgb="FF404040"/>
        <rFont val="Calibri"/>
        <family val="2"/>
        <scheme val="minor"/>
      </rPr>
      <t>ADU5.</t>
    </r>
    <r>
      <rPr>
        <sz val="11"/>
        <color rgb="FF404040"/>
        <rFont val="Calibri"/>
        <family val="2"/>
        <scheme val="minor"/>
      </rPr>
      <t xml:space="preserve">  Generar acciones  que  contribuyan al fortalecimiento de la cercanía con  la comunidad de Comercio Exterior</t>
    </r>
  </si>
  <si>
    <t>Dirección Seccional de Impuestos y Aduanas de San Andrés.</t>
  </si>
  <si>
    <t>TABLERO BALANCEADO DE GESTIÓN - DIRECCIÓN SECCIONAL DE IMPUESTOS Y ADUANAS DE SANTA MARTA - CON METAS 2020</t>
  </si>
  <si>
    <t>COD-ÁREA 19</t>
  </si>
  <si>
    <r>
      <rPr>
        <b/>
        <sz val="11"/>
        <color theme="1" tint="0.249977111117893"/>
        <rFont val="Calibri"/>
        <family val="2"/>
        <scheme val="minor"/>
      </rPr>
      <t>FIS2.</t>
    </r>
    <r>
      <rPr>
        <sz val="11"/>
        <color theme="1" tint="0.249977111117893"/>
        <rFont val="Calibri"/>
        <family val="2"/>
        <scheme val="minor"/>
      </rPr>
      <t xml:space="preserve"> Cumplir las metas anuales dentro del marco fiscal de mediano plazo, AHORA Cumplir las metas anuales de gestión efectiva en materia tributaria, aduanera, cambiaria e internacional </t>
    </r>
  </si>
  <si>
    <r>
      <rPr>
        <b/>
        <sz val="11"/>
        <color theme="1" tint="0.249977111117893"/>
        <rFont val="Calibri"/>
        <family val="2"/>
        <scheme val="minor"/>
      </rPr>
      <t xml:space="preserve">IN3. </t>
    </r>
    <r>
      <rPr>
        <sz val="11"/>
        <color theme="1" tint="0.249977111117893"/>
        <rFont val="Calibri"/>
        <family val="2"/>
        <scheme val="minor"/>
      </rPr>
      <t>Cumplir con el recaudo tributario por gestión de cartera</t>
    </r>
  </si>
  <si>
    <t>INI-6.1 Grado de cumplimiento del cronograma de campañas del RST</t>
  </si>
  <si>
    <t xml:space="preserve">Numero de visitas de control  </t>
  </si>
  <si>
    <r>
      <rPr>
        <b/>
        <sz val="11"/>
        <color theme="1" tint="0.249977111117893"/>
        <rFont val="Calibri"/>
        <family val="2"/>
        <scheme val="minor"/>
      </rPr>
      <t xml:space="preserve">FIS15. </t>
    </r>
    <r>
      <rPr>
        <sz val="11"/>
        <color theme="1" tint="0.249977111117893"/>
        <rFont val="Calibri"/>
        <family val="2"/>
        <scheme val="minor"/>
      </rPr>
      <t>Propuestas de Programas de control posterior de fiscalización  aduanera (Sanciones, LOC, LOR, Origen)</t>
    </r>
  </si>
  <si>
    <r>
      <rPr>
        <b/>
        <sz val="11"/>
        <color theme="1" tint="0.249977111117893"/>
        <rFont val="Calibri"/>
        <family val="2"/>
        <scheme val="minor"/>
      </rPr>
      <t>FIS13.</t>
    </r>
    <r>
      <rPr>
        <sz val="11"/>
        <color theme="1" tint="0.249977111117893"/>
        <rFont val="Calibri"/>
        <family val="2"/>
        <scheme val="minor"/>
      </rPr>
      <t xml:space="preserve"> Propuestas acciones aduaneras de control posterior (Sanciones, LOC, LOR, Origen)</t>
    </r>
  </si>
  <si>
    <t>Número de procesos judiciales terminados de manera normal con fallo ejecutoriado a favor de la DIAN en el año / Número total de procesos judiciales terminados de manera normal (a favor, en contra o parcial) con fallo ejecutoriado, durante el año</t>
  </si>
  <si>
    <r>
      <rPr>
        <b/>
        <sz val="11"/>
        <color theme="1" tint="0.249977111117893"/>
        <rFont val="Calibri"/>
        <family val="2"/>
        <scheme val="minor"/>
      </rPr>
      <t>ADU2</t>
    </r>
    <r>
      <rPr>
        <sz val="11"/>
        <color theme="1" tint="0.249977111117893"/>
        <rFont val="Calibri"/>
        <family val="2"/>
        <scheme val="minor"/>
      </rPr>
      <t>. Aduana con una recaudación eficiente</t>
    </r>
  </si>
  <si>
    <r>
      <rPr>
        <b/>
        <sz val="11"/>
        <color theme="1" tint="0.249977111117893"/>
        <rFont val="Calibri"/>
        <family val="2"/>
        <scheme val="minor"/>
      </rPr>
      <t>FIS14</t>
    </r>
    <r>
      <rPr>
        <sz val="11"/>
        <color theme="1" tint="0.249977111117893"/>
        <rFont val="Calibri"/>
        <family val="2"/>
        <scheme val="minor"/>
      </rPr>
      <t>. Incrementar acciones de control de fiscalización contra el contrabando abierto</t>
    </r>
  </si>
  <si>
    <r>
      <rPr>
        <b/>
        <sz val="11"/>
        <color theme="1" tint="0.249977111117893"/>
        <rFont val="Calibri"/>
        <family val="2"/>
        <scheme val="minor"/>
      </rPr>
      <t>ADU4.</t>
    </r>
    <r>
      <rPr>
        <sz val="11"/>
        <color theme="1" tint="0.249977111117893"/>
        <rFont val="Calibri"/>
        <family val="2"/>
        <scheme val="minor"/>
      </rPr>
      <t xml:space="preserve"> Aduana con controles  previos y simultáneos optimizados en las zonas primarias y en los usuarios de comercio exterior</t>
    </r>
  </si>
  <si>
    <r>
      <rPr>
        <b/>
        <sz val="11"/>
        <color theme="1" tint="0.249977111117893"/>
        <rFont val="Calibri"/>
        <family val="2"/>
        <scheme val="minor"/>
      </rPr>
      <t>JUR5</t>
    </r>
    <r>
      <rPr>
        <sz val="11"/>
        <color theme="1" tint="0.249977111117893"/>
        <rFont val="Calibri"/>
        <family val="2"/>
        <scheme val="minor"/>
      </rPr>
      <t>. Mejorar el tiempo de respuesta de las decisiones de los recursos tributarios hasta su remisión a notificaciones</t>
    </r>
  </si>
  <si>
    <r>
      <rPr>
        <b/>
        <sz val="11"/>
        <color theme="1" tint="0.249977111117893"/>
        <rFont val="Calibri"/>
        <family val="2"/>
        <scheme val="minor"/>
      </rPr>
      <t>IN11.</t>
    </r>
    <r>
      <rPr>
        <sz val="11"/>
        <color theme="1" tint="0.249977111117893"/>
        <rFont val="Calibri"/>
        <family val="2"/>
        <scheme val="minor"/>
      </rPr>
      <t xml:space="preserve"> Facilitar las Devoluciones Tributarias, con el fin de generar una relación más cercana con nuestros grupos de interés</t>
    </r>
  </si>
  <si>
    <t>TABLERO BALANCEADO DE GESTIÓN - DIRECCIÓN SECCIONAL DE IMPUESTOS Y ADUANAS DE SINCELEJO - CON METAS 2020</t>
  </si>
  <si>
    <t>COD-ÁREA 23</t>
  </si>
  <si>
    <r>
      <rPr>
        <b/>
        <sz val="11"/>
        <color theme="1" tint="0.249977111117893"/>
        <rFont val="Calibri"/>
        <family val="2"/>
        <scheme val="minor"/>
      </rPr>
      <t>IN2</t>
    </r>
    <r>
      <rPr>
        <sz val="11"/>
        <color theme="1" tint="0.249977111117893"/>
        <rFont val="Calibri"/>
        <family val="2"/>
        <scheme val="minor"/>
      </rPr>
      <t>. Cumplir las metas anuales dentro del marco fiscal de mediano plazo</t>
    </r>
  </si>
  <si>
    <r>
      <rPr>
        <b/>
        <sz val="11"/>
        <color theme="1" tint="0.249977111117893"/>
        <rFont val="Calibri"/>
        <family val="2"/>
        <scheme val="minor"/>
      </rPr>
      <t xml:space="preserve">IN5. </t>
    </r>
    <r>
      <rPr>
        <sz val="11"/>
        <color theme="1" tint="0.249977111117893"/>
        <rFont val="Calibri"/>
        <family val="2"/>
        <scheme val="minor"/>
      </rPr>
      <t>Adelantar estrategias de gestión con los contribuyentes inscritos en el Régimen Simple de Tributación - RST, para que presente oportunamente los anticipos</t>
    </r>
  </si>
  <si>
    <t>64,1 %</t>
  </si>
  <si>
    <t>no se evalua por suspensión de terminos judiciales</t>
  </si>
  <si>
    <r>
      <rPr>
        <b/>
        <sz val="11"/>
        <color rgb="FF404040"/>
        <rFont val="Calibri"/>
        <family val="2"/>
        <scheme val="minor"/>
      </rPr>
      <t>IN9</t>
    </r>
    <r>
      <rPr>
        <sz val="11"/>
        <color rgb="FF404040"/>
        <rFont val="Calibri"/>
        <family val="2"/>
        <scheme val="minor"/>
      </rPr>
      <t xml:space="preserve"> Desarrollar las Acciones que promuevan la cultura de la contribución </t>
    </r>
  </si>
  <si>
    <r>
      <rPr>
        <b/>
        <sz val="11"/>
        <color rgb="FF404040"/>
        <rFont val="Calibri"/>
        <family val="2"/>
        <scheme val="minor"/>
      </rPr>
      <t>JUR5</t>
    </r>
    <r>
      <rPr>
        <sz val="11"/>
        <color rgb="FF404040"/>
        <rFont val="Calibri"/>
        <family val="2"/>
        <scheme val="minor"/>
      </rPr>
      <t xml:space="preserve"> Mejorar el tiempo de respuesta de las decisiones de los recursos tributarios hasta su remisión a notificaciones</t>
    </r>
  </si>
  <si>
    <r>
      <rPr>
        <b/>
        <sz val="11"/>
        <color rgb="FF404040"/>
        <rFont val="Calibri"/>
        <family val="2"/>
        <scheme val="minor"/>
      </rPr>
      <t xml:space="preserve">IN11 </t>
    </r>
    <r>
      <rPr>
        <sz val="11"/>
        <color rgb="FF404040"/>
        <rFont val="Calibri"/>
        <family val="2"/>
        <scheme val="minor"/>
      </rPr>
      <t>Facilitar las Devoluciones Tributarias, con el fin de generar una relación más cercana con nuestros grupos de interés</t>
    </r>
  </si>
  <si>
    <t>TABLERO BALANCEADO DE GESTIÓN -DIRECCION SECCIONAL DE IMPUESTOS Y ADUANAS DE SOGAMOSO -  CON METAS 2020</t>
  </si>
  <si>
    <t>COD-ÁREA 26</t>
  </si>
  <si>
    <r>
      <t xml:space="preserve">FIS2.  </t>
    </r>
    <r>
      <rPr>
        <sz val="11"/>
        <color theme="1" tint="0.249977111117893"/>
        <rFont val="Calibri"/>
        <family val="2"/>
        <scheme val="minor"/>
      </rPr>
      <t>Cumplir las metas anuales dentro del marco fiscal de mediano plazo, AHORA Cumplir las metas anuales de gestión efectiva en materia tributaria, aduanera, cambiaria e internacional</t>
    </r>
  </si>
  <si>
    <r>
      <rPr>
        <b/>
        <sz val="11"/>
        <color rgb="FF404040"/>
        <rFont val="Calibri"/>
        <family val="2"/>
        <scheme val="minor"/>
      </rPr>
      <t>IN5</t>
    </r>
    <r>
      <rPr>
        <sz val="11"/>
        <color rgb="FF404040"/>
        <rFont val="Calibri"/>
        <family val="2"/>
        <scheme val="minor"/>
      </rPr>
      <t>.  Adelantar estrategias de gestión con los contribuyentes inscritos en el Régimen Simple de Tributación - RST, para que presente oportunamente los anticipos</t>
    </r>
  </si>
  <si>
    <t>TABLERO BALANCEADO DE GESTIÓN - DIRECCION SECCIONAL DE IMPUESTOS Y ADUANAS TULUÁ - CON METAS 2020</t>
  </si>
  <si>
    <t>COD-ÁREA 21</t>
  </si>
  <si>
    <t xml:space="preserve">Líneas del PAA a ejecutar </t>
  </si>
  <si>
    <r>
      <t xml:space="preserve">FIS2. </t>
    </r>
    <r>
      <rPr>
        <sz val="11"/>
        <color rgb="FF404040"/>
        <rFont val="Calibri"/>
        <family val="2"/>
        <scheme val="minor"/>
      </rPr>
      <t xml:space="preserve"> Cumplir las metas anuales dentro del marco fiscal de mediano plazo, AHORA Cumplir las metas anuales de gestión efectiva en materia tributaria, aduanera, cambiaria e internacional</t>
    </r>
  </si>
  <si>
    <t xml:space="preserve">
Valor cartera recuperada del mes +  Valores cartera recuperada meses anteriores cuya información no se encontraba disponible al momento del reporte</t>
  </si>
  <si>
    <r>
      <rPr>
        <b/>
        <sz val="11"/>
        <color rgb="FF404040"/>
        <rFont val="Calibri"/>
        <family val="2"/>
        <scheme val="minor"/>
      </rPr>
      <t xml:space="preserve">IN4. </t>
    </r>
    <r>
      <rPr>
        <sz val="11"/>
        <color rgb="FF404040"/>
        <rFont val="Calibri"/>
        <family val="2"/>
        <scheme val="minor"/>
      </rPr>
      <t xml:space="preserve"> Contar con los inscritos requeridos  en el Régimen Simple de Tributación - RST, con el fin de contribuir con la estrategia de la Entidad</t>
    </r>
  </si>
  <si>
    <t>(Número Requerimientos contestados en oportunidad relacionados con Memorando 69 de 2019, trámites ante el Comité de Conciliaciones, Política de Prevención de Daño Antijurídico / No. Requerimientos realizados por la Subdirección y sus coordinaciones)*100</t>
  </si>
  <si>
    <t xml:space="preserve">Promedio de meses de las decisiones de los recursos tributarios hasta su remisión a notificaciones. </t>
  </si>
  <si>
    <r>
      <rPr>
        <b/>
        <sz val="11"/>
        <color rgb="FF404040"/>
        <rFont val="Calibri"/>
        <family val="2"/>
        <scheme val="minor"/>
      </rPr>
      <t xml:space="preserve">IN11.  </t>
    </r>
    <r>
      <rPr>
        <sz val="11"/>
        <color rgb="FF404040"/>
        <rFont val="Calibri"/>
        <family val="2"/>
        <scheme val="minor"/>
      </rPr>
      <t>Facilitar las Devoluciones Tributarias, con el fin de generar una relación más cercana con nuestros grupos de interés</t>
    </r>
  </si>
  <si>
    <t>TABLERO BALANCEADO DE GESTIÓN - DIRECCIÓN SECCIONAL DE IMPUESTOS Y ADUANAS DE TUNJA - CON METAS 2020</t>
  </si>
  <si>
    <t>COD-ÁREA 20</t>
  </si>
  <si>
    <t xml:space="preserve"> Valor del Recaudo Bruto mensual</t>
  </si>
  <si>
    <r>
      <rPr>
        <b/>
        <sz val="11"/>
        <color rgb="FF404040"/>
        <rFont val="Calibri"/>
        <family val="2"/>
        <scheme val="minor"/>
      </rPr>
      <t xml:space="preserve">FIS2. </t>
    </r>
    <r>
      <rPr>
        <sz val="11"/>
        <color rgb="FF404040"/>
        <rFont val="Calibri"/>
        <family val="2"/>
        <scheme val="minor"/>
      </rPr>
      <t xml:space="preserve"> Cumplir las metas anuales dentro del marco fiscal de mediano plazo, AHORA: Cumplir las metas anuales de gestión efectiva en materia tributaria, aduanera, cambiaria e internacional</t>
    </r>
  </si>
  <si>
    <t>Número  de inscritos en el Régimen Simple de Tributación</t>
  </si>
  <si>
    <t>(Número  de campañas realizadas en el año / Número de campañas planeadas en el año)*100</t>
  </si>
  <si>
    <r>
      <rPr>
        <b/>
        <sz val="11"/>
        <color rgb="FF404040"/>
        <rFont val="Calibri"/>
        <family val="2"/>
        <scheme val="minor"/>
      </rPr>
      <t xml:space="preserve">IN7.  </t>
    </r>
    <r>
      <rPr>
        <sz val="11"/>
        <color rgb="FF404040"/>
        <rFont val="Calibri"/>
        <family val="2"/>
        <scheme val="minor"/>
      </rPr>
      <t xml:space="preserve">Habilitar facturadores electrónicos con el fin de apalancar los resultados estratégicos </t>
    </r>
  </si>
  <si>
    <t>Número  de contribuyentes habilitados en la Dirección Seccional</t>
  </si>
  <si>
    <t>(Número Requerimientos contestados en oportunidad relacionados con Memorando 69 de 2019, trámites ante el Comité de Conciliaciones, Política de Prevención de Daño Antijurídico / Número  Requerimientos realizados por la Subdirección y sus coordinaciones)*100</t>
  </si>
  <si>
    <r>
      <rPr>
        <b/>
        <sz val="11"/>
        <color rgb="FF404040"/>
        <rFont val="Calibri"/>
        <family val="2"/>
        <scheme val="minor"/>
      </rPr>
      <t>FIS6.</t>
    </r>
    <r>
      <rPr>
        <sz val="11"/>
        <color rgb="FF404040"/>
        <rFont val="Calibri"/>
        <family val="2"/>
        <scheme val="minor"/>
      </rPr>
      <t xml:space="preserve"> Controlar el ingreso y permanencia ilegal de mercancías  con el fin de contribuir con la competitividad del sector empresarial</t>
    </r>
  </si>
  <si>
    <t xml:space="preserve">PR2. Grupos de Interés </t>
  </si>
  <si>
    <r>
      <rPr>
        <b/>
        <sz val="11"/>
        <color rgb="FF404040"/>
        <rFont val="Calibri"/>
        <family val="2"/>
        <scheme val="minor"/>
      </rPr>
      <t xml:space="preserve">IN9. </t>
    </r>
    <r>
      <rPr>
        <sz val="11"/>
        <color rgb="FF404040"/>
        <rFont val="Calibri"/>
        <family val="2"/>
        <scheme val="minor"/>
      </rPr>
      <t xml:space="preserve"> Desarrollar las Acciones que promuevan la cultura de la contribución  </t>
    </r>
  </si>
  <si>
    <t xml:space="preserve">Número  de personas impactadas </t>
  </si>
  <si>
    <t>TABLERO BALANCEADO DE GESTIÓN - DIRECCIÓN SECCIONAL DE IMPUESTOS Y ADUANAS DE URABÁ -  CON METAS 2020</t>
  </si>
  <si>
    <t xml:space="preserve">    COD - ÁREA 41</t>
  </si>
  <si>
    <r>
      <rPr>
        <b/>
        <sz val="11"/>
        <color rgb="FF404040"/>
        <rFont val="Calibri"/>
        <family val="2"/>
        <scheme val="minor"/>
      </rPr>
      <t xml:space="preserve">FIS4. </t>
    </r>
    <r>
      <rPr>
        <sz val="11"/>
        <color rgb="FF404040"/>
        <rFont val="Calibri"/>
        <family val="2"/>
        <scheme val="minor"/>
      </rPr>
      <t xml:space="preserve"> Gestionar los  programas de fiscalización tributario, aduanero, cambiario e internacional</t>
    </r>
  </si>
  <si>
    <r>
      <rPr>
        <b/>
        <sz val="11"/>
        <color rgb="FF404040"/>
        <rFont val="Calibri"/>
        <family val="2"/>
        <scheme val="minor"/>
      </rPr>
      <t>ADU2.</t>
    </r>
    <r>
      <rPr>
        <sz val="11"/>
        <color rgb="FF404040"/>
        <rFont val="Calibri"/>
        <family val="2"/>
        <scheme val="minor"/>
      </rPr>
      <t xml:space="preserve">  Aduana con una recaudación eficiente</t>
    </r>
  </si>
  <si>
    <t xml:space="preserve">80%
</t>
  </si>
  <si>
    <t>PER2. GRUPOS DE INTERÉS</t>
  </si>
  <si>
    <t>PIL2. Cercanía al Ciudadano</t>
  </si>
  <si>
    <r>
      <rPr>
        <b/>
        <sz val="11"/>
        <color theme="1" tint="0.249977111117893"/>
        <rFont val="Calibri"/>
        <family val="2"/>
        <scheme val="minor"/>
      </rPr>
      <t>POLFA6.</t>
    </r>
    <r>
      <rPr>
        <sz val="11"/>
        <color theme="1" tint="0.249977111117893"/>
        <rFont val="Calibri"/>
        <family val="2"/>
        <scheme val="minor"/>
      </rPr>
      <t xml:space="preserve"> Consolidar la oferta de prevención de la Policía Fiscal Aduanera con el fin de mitigar delitos y comportamientos contrarios a la convivencia que afecten el patrimonio y orden económico del país</t>
    </r>
  </si>
  <si>
    <t>TABLERO BALANCEADO DE GESTIÓN - DIRECCIÓN SECCIONAL DE IMPUESTOS Y ADUANAS DE VALLEDUPAR - CON METAS 2020</t>
  </si>
  <si>
    <t>COD-ÁREA 24</t>
  </si>
  <si>
    <t>Subdirección de Gestión de Fiscalización Tributaria-Coordinación de Gestión Operativa de Fiscalización Tributaria</t>
  </si>
  <si>
    <t>FIS-7 Gestión Efectiva de Control Cambiario</t>
  </si>
  <si>
    <t>FIS-11 Gestión aceptada cambiaria
 (recaudo)</t>
  </si>
  <si>
    <t>Valor recaudo gestión aceptada cambiaria</t>
  </si>
  <si>
    <t>FIS-12 Gestión aceptada cambiaria
 (Resoluciones en firme)</t>
  </si>
  <si>
    <r>
      <rPr>
        <b/>
        <sz val="11"/>
        <color rgb="FF404040"/>
        <rFont val="Calibri"/>
        <family val="2"/>
        <scheme val="minor"/>
      </rPr>
      <t>FIS4.</t>
    </r>
    <r>
      <rPr>
        <sz val="11"/>
        <color rgb="FF404040"/>
        <rFont val="Calibri"/>
        <family val="2"/>
        <scheme val="minor"/>
      </rPr>
      <t xml:space="preserve"> Gestionar los programas de fiscalización tributario, aduanero, cambiario internacional</t>
    </r>
  </si>
  <si>
    <t xml:space="preserve">FIS-16 visitas de control a personas que hacen la venta y compra de divisas sin estar autorizados </t>
  </si>
  <si>
    <r>
      <rPr>
        <b/>
        <sz val="11"/>
        <color theme="1"/>
        <rFont val="Calibri"/>
        <family val="2"/>
        <scheme val="minor"/>
      </rPr>
      <t>ADU2.</t>
    </r>
    <r>
      <rPr>
        <sz val="11"/>
        <color theme="1"/>
        <rFont val="Calibri"/>
        <family val="2"/>
        <scheme val="minor"/>
      </rPr>
      <t xml:space="preserve"> Aduana con una recaudación eficiente</t>
    </r>
  </si>
  <si>
    <t>FIS-33 Cantidad de aprehensiones sectores de Licores, Cigarrillos, Hidrocarburos y Agropecuario</t>
  </si>
  <si>
    <r>
      <rPr>
        <b/>
        <sz val="11"/>
        <color rgb="FF404040"/>
        <rFont val="Calibri"/>
        <family val="2"/>
        <scheme val="minor"/>
      </rPr>
      <t xml:space="preserve">POLFA3. </t>
    </r>
    <r>
      <rPr>
        <sz val="11"/>
        <color rgb="FF404040"/>
        <rFont val="Calibri"/>
        <family val="2"/>
        <scheme val="minor"/>
      </rPr>
      <t>Incrementar acciones de control de fiscalización contra el contrabando</t>
    </r>
  </si>
  <si>
    <t>Promedio de meses de las decisiones de los recursos tributarios hasta su remisión a notificaciones.</t>
  </si>
  <si>
    <t>OE7. Facilitar los trámites y servicios al ciudadano través de su digitalización.</t>
  </si>
  <si>
    <t>TABLERO BALANCEADO DE GESTIÓN - DIRECCION SECCIONAL DE IMPUESTOS Y ADUANAS VILLAVICENCIO - CON METAS 2020</t>
  </si>
  <si>
    <t>COD-ÁREA 22</t>
  </si>
  <si>
    <t>TABLERO BALANCEADO DE GESTIÓN - DIRECCIÓN SECCIONAL DE IMPUESTOS Y ADUANAS  YOPAL - CON METAS 2020</t>
  </si>
  <si>
    <t>COD-ÁREA 44</t>
  </si>
  <si>
    <t>Número  de evacuación de expedientes</t>
  </si>
  <si>
    <r>
      <rPr>
        <b/>
        <sz val="11"/>
        <color rgb="FF404040"/>
        <rFont val="Calibri"/>
        <family val="2"/>
        <scheme val="minor"/>
      </rPr>
      <t xml:space="preserve"> FIS6.</t>
    </r>
    <r>
      <rPr>
        <sz val="11"/>
        <color rgb="FF404040"/>
        <rFont val="Calibri"/>
        <family val="2"/>
        <scheme val="minor"/>
      </rPr>
      <t xml:space="preserve">  Controlar el ingreso y permanencia  ilegal de mercancías  con el fin de contribuir con la competitividad del sector empresarial</t>
    </r>
  </si>
  <si>
    <t>IN1-15  Días en devoluciones ordinarias</t>
  </si>
  <si>
    <t>Dirección Seccional Delegada de Impuestos y Aduanas de Inírida</t>
  </si>
  <si>
    <t>Dirección Seccional Delegada de Impuestos y Aduanas de Tumaco</t>
  </si>
  <si>
    <t>Dirección Seccional Delegada de Impuestos y Aduanas de Puerto Carreño</t>
  </si>
  <si>
    <t>Dirección Seccional Delegada de Impuestos y Aduanas de San José de Guaviare</t>
  </si>
  <si>
    <t>Dirección Seccional Delegada de Impuestos y Aduanas de Puerto Asís</t>
  </si>
  <si>
    <t>Dirección Seccional Delegada de Impuestos y Aduanas de Pamplona</t>
  </si>
  <si>
    <t>TABLERO BALANCEADO DE GESTIÓN - DIRECCIÓN SECCIONAL DELEGADA DE IMPUESTOS Y ADUANAS DE PUERTO ASÍS - CON METAS 2020</t>
  </si>
  <si>
    <t>COD-ÁREA 46</t>
  </si>
  <si>
    <t>OBJETIVO ESTRATÉGICO</t>
  </si>
  <si>
    <t>OBJETIVO DE LA CONTIBUCIÓN</t>
  </si>
  <si>
    <t>OE3 Cumplir las metas anuales de recaudo tributario y aduanero</t>
  </si>
  <si>
    <r>
      <rPr>
        <b/>
        <sz val="11"/>
        <color rgb="FF404040"/>
        <rFont val="Calibri"/>
        <family val="2"/>
        <scheme val="minor"/>
      </rPr>
      <t>IN4</t>
    </r>
    <r>
      <rPr>
        <sz val="11"/>
        <color rgb="FF404040"/>
        <rFont val="Calibri"/>
        <family val="2"/>
        <scheme val="minor"/>
      </rPr>
      <t>. Contar con los inscritos requeridos  en el Régimen Simple de Tributación - RST, con el fin de contribuir con la estrategia de la Entidad</t>
    </r>
  </si>
  <si>
    <t>OE6 Lograr mayor cercanía al ciudadano a través de acciones generadoras de valor que impacten positivamente en nuestros contribuyentes</t>
  </si>
  <si>
    <t>TABLERO BALANCEADO DE GESTIÓN - DIRECCIÓN SECCIONAL DELEGADA DE IMPUESTOS Y ADUANAS DE TUMACO - CON METAS 2020</t>
  </si>
  <si>
    <t>COD - ÁREA 40</t>
  </si>
  <si>
    <t xml:space="preserve"> N/A </t>
  </si>
  <si>
    <r>
      <rPr>
        <b/>
        <sz val="11"/>
        <color theme="1" tint="0.249977111117893"/>
        <rFont val="Calibri"/>
        <family val="2"/>
        <scheme val="minor"/>
      </rPr>
      <t xml:space="preserve">FIS6.  </t>
    </r>
    <r>
      <rPr>
        <sz val="11"/>
        <color theme="1" tint="0.249977111117893"/>
        <rFont val="Calibri"/>
        <family val="2"/>
        <scheme val="minor"/>
      </rPr>
      <t>Controlar el ingreso y permanencia  ilegal de mercancías  con el fin de contribuir con la competitividad del sector empresarial</t>
    </r>
  </si>
  <si>
    <t>TABLERO BALANCEADO DE GESTIÓN - DIRECCIÓN SECCIONAL DELEGADA DE IMPUESTOS Y ADUANAS DE INÍRIDA -  CON METAS 2020</t>
  </si>
  <si>
    <t xml:space="preserve">    COD - ÁREA 43</t>
  </si>
  <si>
    <t>0OE4. Controlar el ingreso ilegal de mercancías y el fraude aduanero con el fin de contribuir con la competitividad del sector empresarial</t>
  </si>
  <si>
    <t>TABLERO BALANCEADO DE GESTIÓN - DIRECCIÓN SECCIONAL DELEGADA DE IMPUESTOS Y ADUANAS DE PUERTO CARREÑO - CON METAS 2020</t>
  </si>
  <si>
    <t>COD - ÁREA 42</t>
  </si>
  <si>
    <r>
      <rPr>
        <b/>
        <sz val="11"/>
        <color theme="1" tint="0.249977111117893"/>
        <rFont val="Calibri"/>
        <family val="2"/>
        <scheme val="minor"/>
      </rPr>
      <t>IN2</t>
    </r>
    <r>
      <rPr>
        <sz val="11"/>
        <color theme="1" tint="0.249977111117893"/>
        <rFont val="Calibri"/>
        <family val="2"/>
        <scheme val="minor"/>
      </rPr>
      <t>.  Cumplir las metas anuales dentro del marco fiscal de mediano plazo</t>
    </r>
  </si>
  <si>
    <r>
      <rPr>
        <b/>
        <sz val="11"/>
        <color theme="1" tint="0.249977111117893"/>
        <rFont val="Calibri"/>
        <family val="2"/>
        <scheme val="minor"/>
      </rPr>
      <t xml:space="preserve"> FIS6.</t>
    </r>
    <r>
      <rPr>
        <sz val="11"/>
        <color theme="1" tint="0.249977111117893"/>
        <rFont val="Calibri"/>
        <family val="2"/>
        <scheme val="minor"/>
      </rPr>
      <t xml:space="preserve">  Controlar el ingreso y permanencia  ilegal de mercancías  con el fin de contribuir con la competitividad del sector empresarial</t>
    </r>
  </si>
  <si>
    <r>
      <rPr>
        <b/>
        <sz val="11"/>
        <color theme="1" tint="0.249977111117893"/>
        <rFont val="Calibri"/>
        <family val="2"/>
        <scheme val="minor"/>
      </rPr>
      <t xml:space="preserve">IN9. </t>
    </r>
    <r>
      <rPr>
        <sz val="11"/>
        <color theme="1" tint="0.249977111117893"/>
        <rFont val="Calibri"/>
        <family val="2"/>
        <scheme val="minor"/>
      </rPr>
      <t xml:space="preserve"> Desarrollar las Acciones que promuevan la cultura de la contribución </t>
    </r>
  </si>
  <si>
    <t xml:space="preserve">OE7. Facilitar los trámites y servicios al ciudadano través de su digitalización </t>
  </si>
  <si>
    <t>TABLERO BALANCEADO DE GESTIÓN - DIRECCIÓN SECCIONAL DELEGADA DE IMPUESTOS Y ADUANAS DE SAN JOSE DEL GUAVIARE - CON METAS 2020</t>
  </si>
  <si>
    <t>COD-ÁREA 78</t>
  </si>
  <si>
    <r>
      <rPr>
        <b/>
        <sz val="11"/>
        <color theme="1" tint="0.249977111117893"/>
        <rFont val="Calibri"/>
        <family val="2"/>
        <scheme val="minor"/>
      </rPr>
      <t xml:space="preserve">IN2. </t>
    </r>
    <r>
      <rPr>
        <sz val="11"/>
        <color theme="1" tint="0.249977111117893"/>
        <rFont val="Calibri"/>
        <family val="2"/>
        <scheme val="minor"/>
      </rPr>
      <t>Cumplir las metas anuales de recaudo tributario y aduanero</t>
    </r>
  </si>
  <si>
    <r>
      <rPr>
        <b/>
        <sz val="11"/>
        <color theme="1" tint="0.249977111117893"/>
        <rFont val="Calibri"/>
        <family val="2"/>
        <scheme val="minor"/>
      </rPr>
      <t xml:space="preserve">IN5. </t>
    </r>
    <r>
      <rPr>
        <sz val="11"/>
        <color theme="1" tint="0.249977111117893"/>
        <rFont val="Calibri"/>
        <family val="2"/>
        <scheme val="minor"/>
      </rPr>
      <t xml:space="preserve">Adelantar estrategias de gestión con los contribuyentes inscritos en el Régimen Simple de Tributación - RST, para que presente oportunamente los anticipos </t>
    </r>
  </si>
  <si>
    <r>
      <rPr>
        <b/>
        <sz val="11"/>
        <color theme="1" tint="0.249977111117893"/>
        <rFont val="Calibri"/>
        <family val="2"/>
        <scheme val="minor"/>
      </rPr>
      <t xml:space="preserve">IN7. </t>
    </r>
    <r>
      <rPr>
        <sz val="11"/>
        <color theme="1" tint="0.249977111117893"/>
        <rFont val="Calibri"/>
        <family val="2"/>
        <scheme val="minor"/>
      </rPr>
      <t>Habilitar facturadores electrónicos con el fin de apalancar los resultados estratégicos</t>
    </r>
  </si>
  <si>
    <t xml:space="preserve"> Número de contribuyentes habilitados en la Dirección Seccional</t>
  </si>
  <si>
    <r>
      <rPr>
        <b/>
        <sz val="11"/>
        <color theme="1" tint="0.249977111117893"/>
        <rFont val="Calibri"/>
        <family val="2"/>
        <scheme val="minor"/>
      </rPr>
      <t>IN4.</t>
    </r>
    <r>
      <rPr>
        <sz val="11"/>
        <color theme="1" tint="0.249977111117893"/>
        <rFont val="Calibri"/>
        <family val="2"/>
        <scheme val="minor"/>
      </rPr>
      <t xml:space="preserve"> Contar con los inscritos requeridos  en el Régimen Simple de Tributación - RST, con el fin de contribuir con la estrategia de la Entidad</t>
    </r>
  </si>
  <si>
    <r>
      <rPr>
        <b/>
        <sz val="11"/>
        <color theme="1" tint="0.249977111117893"/>
        <rFont val="Calibri"/>
        <family val="2"/>
        <scheme val="minor"/>
      </rPr>
      <t xml:space="preserve">IN9. </t>
    </r>
    <r>
      <rPr>
        <sz val="11"/>
        <color theme="1" tint="0.249977111117893"/>
        <rFont val="Calibri"/>
        <family val="2"/>
        <scheme val="minor"/>
      </rPr>
      <t>Desarrollar las Acciones que promuevan la cultura de la contribución</t>
    </r>
  </si>
  <si>
    <r>
      <t>IN11. F</t>
    </r>
    <r>
      <rPr>
        <sz val="11"/>
        <color theme="1" tint="0.249977111117893"/>
        <rFont val="Calibri"/>
        <family val="2"/>
        <scheme val="minor"/>
      </rPr>
      <t>acilitar las Devoluciones Tributarias, con el fin de generar una relación más cercana con nuestros grupos de interés</t>
    </r>
  </si>
  <si>
    <t>TABLERO BALANCEADO DE GESTIÓN - DIRECCIÓN SECCIONAL DELEGADA DE IMPUESTOS Y ADUANAS DE PAMPLONA - CON METAS 2020</t>
  </si>
  <si>
    <t xml:space="preserve">    COD -ÁREA 86</t>
  </si>
  <si>
    <t>IN1-3. Recaudo Bruto</t>
  </si>
  <si>
    <t>FIS-24. Valor decomisos de mercancías en firme</t>
  </si>
  <si>
    <t>9.11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</si>
</sst>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8" formatCode="&quot;$&quot;\ #,##0.00;[Red]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#,##0;[Red]\-&quot;$&quot;#,##0"/>
    <numFmt numFmtId="165" formatCode="#,##0.0"/>
    <numFmt numFmtId="166" formatCode="#,##0_ ;[Red]\-#,##0\ "/>
    <numFmt numFmtId="167" formatCode="0.0%"/>
    <numFmt numFmtId="168" formatCode="_-&quot;$&quot;\ * #,##0.00_-;\-&quot;$&quot;\ * #,##0.00_-;_-&quot;$&quot;\ * &quot;-&quot;_-;_-@_-"/>
    <numFmt numFmtId="169" formatCode="_-[$$-240A]\ * #,##0.00_-;\-[$$-240A]\ * #,##0.00_-;_-[$$-240A]\ * &quot;-&quot;??_-;_-@_-"/>
    <numFmt numFmtId="170" formatCode="_-* #,##0.00_-;\-* #,##0.00_-;_-* &quot;-&quot;_-;_-@_-"/>
    <numFmt numFmtId="171" formatCode="_-* #,##0.000_-;\-* #,##0.000_-;_-* &quot;-&quot;_-;_-@_-"/>
    <numFmt numFmtId="172" formatCode="_-* #,##0.0_-;\-* #,##0.0_-;_-* &quot;-&quot;_-;_-@_-"/>
    <numFmt numFmtId="173" formatCode="_-&quot;$&quot;* #,##0.00_-;\-&quot;$&quot;* #,##0.00_-;_-&quot;$&quot;* &quot;-&quot;_-;_-@_-"/>
    <numFmt numFmtId="174" formatCode="#,##0_ ;\-#,##0\ "/>
    <numFmt numFmtId="175" formatCode="&quot;$&quot;#,##0"/>
    <numFmt numFmtId="176" formatCode="_-&quot;$&quot;\ * #,##0.000_-;\-&quot;$&quot;\ * #,##0.000_-;_-&quot;$&quot;\ * &quot;-&quot;_-;_-@_-"/>
    <numFmt numFmtId="177" formatCode="_-&quot;$&quot;* #,##0.000_-;\-&quot;$&quot;* #,##0.000_-;_-&quot;$&quot;* &quot;-&quot;_-;_-@_-"/>
    <numFmt numFmtId="178" formatCode="_-&quot;$&quot;* #,##0.0000_-;\-&quot;$&quot;* #,##0.0000_-;_-&quot;$&quot;* &quot;-&quot;_-;_-@_-"/>
    <numFmt numFmtId="179" formatCode="_-&quot;$&quot;\ * #,##0.0_-;\-&quot;$&quot;\ * #,##0.0_-;_-&quot;$&quot;\ * &quot;-&quot;_-;_-@_-"/>
    <numFmt numFmtId="180" formatCode="_-&quot;$&quot;\ * #,##0.0000_-;\-&quot;$&quot;\ * #,##0.0000_-;_-&quot;$&quot;\ * &quot;-&quot;_-;_-@_-"/>
    <numFmt numFmtId="181" formatCode="#,##0.00_ ;\-#,##0.00\ "/>
    <numFmt numFmtId="182" formatCode="_-* #,##0.0000_-;\-* #,##0.0000_-;_-* &quot;-&quot;_-;_-@_-"/>
    <numFmt numFmtId="183" formatCode="&quot;$&quot;#,##0;\-&quot;$&quot;#,##0"/>
    <numFmt numFmtId="184" formatCode="_-&quot;$&quot;* #,##0_-;\-&quot;$&quot;* #,##0_-;_-&quot;$&quot;* &quot;-&quot;_-;_-@_-"/>
    <numFmt numFmtId="185" formatCode="&quot;$&quot;#,##0.00;[Red]\-&quot;$&quot;#,##0.00"/>
    <numFmt numFmtId="186" formatCode="_(* #,##0_);_(* \(#,##0\);_(* &quot;-&quot;_);_(@_)"/>
    <numFmt numFmtId="187" formatCode="&quot;$&quot;\ #,##0.00"/>
    <numFmt numFmtId="188" formatCode="&quot; $ &quot;#,##0.00&quot; &quot;;&quot;-$ &quot;#,##0.00&quot; &quot;;&quot; $ - &quot;;&quot; &quot;@&quot; &quot;"/>
    <numFmt numFmtId="189" formatCode="&quot;$&quot;#,##0.00"/>
    <numFmt numFmtId="190" formatCode="_-&quot;$&quot;* #,##0.0_-;\-&quot;$&quot;* #,##0.0_-;_-&quot;$&quot;* &quot;-&quot;_-;_-@_-"/>
    <numFmt numFmtId="191" formatCode="0.000%"/>
    <numFmt numFmtId="192" formatCode="0.0000%"/>
    <numFmt numFmtId="193" formatCode="0.000000%"/>
    <numFmt numFmtId="194" formatCode="0.0000000%"/>
    <numFmt numFmtId="195" formatCode="0.00000%"/>
    <numFmt numFmtId="196" formatCode="0.0"/>
    <numFmt numFmtId="197" formatCode="_-[$$-240A]\ * #,##0_-;\-[$$-240A]\ * #,##0_-;_-[$$-240A]\ * &quot;-&quot;??_-;_-@_-"/>
    <numFmt numFmtId="198" formatCode="_-&quot;$&quot;\ * #,##0.0_-;\-&quot;$&quot;\ * #,##0.0_-;_-&quot;$&quot;\ * &quot;-&quot;?_-;_-@_-"/>
    <numFmt numFmtId="199" formatCode="_-&quot;$&quot;* #,##0.00_-;\-&quot;$&quot;* #,##0.00_-;_-&quot;$&quot;* &quot;-&quot;??_-;_-@_-"/>
    <numFmt numFmtId="200" formatCode="_-[$$-240A]\ * #,##0.0000_-;\-[$$-240A]\ * #,##0.0000_-;_-[$$-240A]\ * &quot;-&quot;??_-;_-@_-"/>
    <numFmt numFmtId="201" formatCode="0_ ;\-0\ "/>
    <numFmt numFmtId="202" formatCode="0.0_ ;\-0.0\ "/>
    <numFmt numFmtId="203" formatCode="#,##0.0_ ;\-#,##0.0\ "/>
    <numFmt numFmtId="204" formatCode="_-* #,##0.00\ _P_t_s_-;\-* #,##0.00\ _P_t_s_-;_-* &quot;-&quot;??\ _P_t_s_-;_-@_-"/>
    <numFmt numFmtId="205" formatCode="_-* #,##0\ _P_t_s_-;\-* #,##0\ _P_t_s_-;_-* &quot;-&quot;\ _P_t_s_-;_-@_-"/>
    <numFmt numFmtId="206" formatCode="_-&quot;$&quot;* #,##0.000000000_-;\-&quot;$&quot;* #,##0.000000000_-;_-&quot;$&quot;* &quot;-&quot;_-;_-@_-"/>
    <numFmt numFmtId="207" formatCode="&quot;$&quot;#,##0.00;\-&quot;$&quot;#,##0.00"/>
    <numFmt numFmtId="208" formatCode="#,##0.000000_ ;\-#,##0.000000\ "/>
    <numFmt numFmtId="209" formatCode="[$$-240A]\ #,##0"/>
    <numFmt numFmtId="210" formatCode="_-* #,##0.00\ _€_-;\-* #,##0.00\ _€_-;_-* &quot;-&quot;??\ _€_-;_-@_-"/>
    <numFmt numFmtId="211" formatCode="[$$-240A]\ #,##0;[Red]\-[$$-240A]\ #,##0"/>
    <numFmt numFmtId="212" formatCode="_-&quot;$&quot;* #,##0.0000000_-;\-&quot;$&quot;* #,##0.0000000_-;_-&quot;$&quot;* &quot;-&quot;_-;_-@_-"/>
    <numFmt numFmtId="213" formatCode="_-&quot;$&quot;* #,##0.000000_-;\-&quot;$&quot;* #,##0.000000_-;_-&quot;$&quot;* &quot;-&quot;_-;_-@_-"/>
  </numFmts>
  <fonts count="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theme="1"/>
      <name val="Century Gothic"/>
      <family val="2"/>
    </font>
    <font>
      <b/>
      <sz val="13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6"/>
      <color theme="0"/>
      <name val="Calibri"/>
      <family val="2"/>
    </font>
    <font>
      <sz val="11"/>
      <color theme="1" tint="0.249977111117893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40404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404040"/>
      <name val="Century Gothic"/>
      <family val="2"/>
    </font>
    <font>
      <sz val="11"/>
      <color theme="0"/>
      <name val="Century Gothic"/>
      <family val="2"/>
    </font>
    <font>
      <b/>
      <sz val="14"/>
      <color rgb="FF404040"/>
      <name val="Calibri"/>
      <family val="2"/>
      <scheme val="minor"/>
    </font>
    <font>
      <b/>
      <sz val="11"/>
      <color rgb="FF404040"/>
      <name val="Calibri"/>
      <family val="2"/>
      <scheme val="minor"/>
    </font>
    <font>
      <sz val="11"/>
      <color rgb="FF404040"/>
      <name val="Calibri"/>
      <family val="2"/>
    </font>
    <font>
      <b/>
      <sz val="14"/>
      <color rgb="FF404040"/>
      <name val="Calibri"/>
      <family val="2"/>
    </font>
    <font>
      <b/>
      <sz val="13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6"/>
      <color rgb="FF404040"/>
      <name val="Calibri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color theme="1" tint="0.249977111117893"/>
      <name val="Century Gothic"/>
      <family val="2"/>
    </font>
    <font>
      <b/>
      <sz val="18"/>
      <color theme="0"/>
      <name val="Calibri"/>
      <family val="2"/>
      <scheme val="minor"/>
    </font>
    <font>
      <sz val="11"/>
      <color indexed="8"/>
      <name val="Arial"/>
      <family val="2"/>
    </font>
    <font>
      <b/>
      <sz val="14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entury Gothic"/>
      <family val="2"/>
    </font>
    <font>
      <sz val="10"/>
      <color rgb="FF000000"/>
      <name val="Arial"/>
      <family val="2"/>
    </font>
    <font>
      <sz val="16"/>
      <color theme="0"/>
      <name val="Calibri"/>
      <family val="2"/>
    </font>
    <font>
      <b/>
      <sz val="9"/>
      <color indexed="81"/>
      <name val="Tahoma"/>
      <family val="2"/>
    </font>
    <font>
      <sz val="13"/>
      <color theme="1"/>
      <name val="Century Gothic"/>
      <family val="2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sz val="11"/>
      <color rgb="FFFFFFFF"/>
      <name val="Calibri"/>
      <family val="2"/>
    </font>
    <font>
      <sz val="11"/>
      <color theme="1"/>
      <name val="Arial"/>
      <family val="2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20"/>
      <color rgb="FFFFFFFF"/>
      <name val="Calibri"/>
      <family val="2"/>
    </font>
    <font>
      <sz val="11"/>
      <color rgb="FF000000"/>
      <name val="Century Gothic"/>
      <family val="2"/>
    </font>
    <font>
      <b/>
      <sz val="14"/>
      <color rgb="FFFFFFFF"/>
      <name val="Calibri"/>
      <family val="2"/>
    </font>
    <font>
      <b/>
      <sz val="11"/>
      <color rgb="FFFFFFFF"/>
      <name val="Calibri"/>
      <family val="2"/>
    </font>
    <font>
      <b/>
      <sz val="13"/>
      <color rgb="FFFFFFFF"/>
      <name val="Calibri"/>
      <family val="2"/>
    </font>
    <font>
      <b/>
      <sz val="16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404040"/>
      <name val="Calibri"/>
      <family val="2"/>
    </font>
    <font>
      <u/>
      <sz val="11"/>
      <color rgb="FF0563C1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1"/>
      <color rgb="FF000000"/>
      <name val="Calibri"/>
      <family val="2"/>
      <scheme val="minor"/>
    </font>
    <font>
      <sz val="11"/>
      <color rgb="FF00B050"/>
      <name val="Century Gothic"/>
      <family val="2"/>
    </font>
    <font>
      <sz val="11"/>
      <color theme="0" tint="-0.249977111117893"/>
      <name val="Calibri"/>
      <family val="2"/>
      <scheme val="minor"/>
    </font>
    <font>
      <b/>
      <sz val="11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6"/>
      <color theme="1"/>
      <name val="Calibri"/>
      <family val="2"/>
    </font>
    <font>
      <b/>
      <sz val="11"/>
      <color theme="4" tint="-0.249977111117893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4" tint="-0.249977111117893"/>
      <name val="Century Gothic"/>
      <family val="2"/>
    </font>
    <font>
      <sz val="11"/>
      <color rgb="FF404040"/>
      <name val="Calibri Regular"/>
      <charset val="1"/>
    </font>
    <font>
      <sz val="11"/>
      <color rgb="FFFFFFFF"/>
      <name val="Calibri"/>
      <family val="2"/>
      <charset val="1"/>
    </font>
    <font>
      <sz val="11"/>
      <color rgb="FFFFFFFF"/>
      <name val="Calibri Regular"/>
      <charset val="1"/>
    </font>
    <font>
      <b/>
      <sz val="18"/>
      <color rgb="FFFFFFFF"/>
      <name val="Calibri Regular"/>
      <charset val="1"/>
    </font>
    <font>
      <b/>
      <sz val="14"/>
      <color theme="1" tint="0.249977111117893"/>
      <name val="Calibri"/>
      <family val="2"/>
    </font>
    <font>
      <b/>
      <sz val="16"/>
      <color theme="1" tint="0.249977111117893"/>
      <name val="Calibri"/>
      <family val="2"/>
    </font>
    <font>
      <u/>
      <sz val="11"/>
      <color rgb="FF0070C0"/>
      <name val="Calibri"/>
      <family val="2"/>
      <scheme val="minor"/>
    </font>
    <font>
      <sz val="11"/>
      <color rgb="FF444444"/>
      <name val="Calibri"/>
      <family val="2"/>
      <charset val="1"/>
    </font>
    <font>
      <u/>
      <sz val="11"/>
      <color theme="1"/>
      <name val="Calibri"/>
      <family val="2"/>
      <scheme val="minor"/>
    </font>
    <font>
      <b/>
      <sz val="16"/>
      <color rgb="FF404040"/>
      <name val="Calibri"/>
      <family val="2"/>
      <scheme val="minor"/>
    </font>
    <font>
      <b/>
      <sz val="19"/>
      <color theme="0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1"/>
      <color rgb="FFFFFFFF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262944"/>
        <bgColor indexed="64"/>
      </patternFill>
    </fill>
    <fill>
      <patternFill patternType="solid">
        <fgColor rgb="FF00648E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6ACD5"/>
        <bgColor indexed="64"/>
      </patternFill>
    </fill>
    <fill>
      <patternFill patternType="solid">
        <fgColor rgb="FF26CF8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62944"/>
        <bgColor rgb="FF000000"/>
      </patternFill>
    </fill>
    <fill>
      <patternFill patternType="solid">
        <fgColor rgb="FF00648E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26ACD5"/>
        <bgColor rgb="FF000000"/>
      </patternFill>
    </fill>
    <fill>
      <patternFill patternType="solid">
        <fgColor rgb="FF26CF84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DBDBDB"/>
        <bgColor rgb="FF000000"/>
      </patternFill>
    </fill>
  </fills>
  <borders count="105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rgb="FF002060"/>
      </left>
      <right/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/>
      <bottom/>
      <diagonal/>
    </border>
    <border>
      <left style="medium">
        <color theme="0"/>
      </left>
      <right/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 style="thick">
        <color theme="0" tint="-4.9989318521683403E-2"/>
      </right>
      <top style="thick">
        <color theme="0"/>
      </top>
      <bottom/>
      <diagonal/>
    </border>
    <border>
      <left style="thick">
        <color theme="0"/>
      </left>
      <right style="thick">
        <color theme="0" tint="-4.9989318521683403E-2"/>
      </right>
      <top/>
      <bottom/>
      <diagonal/>
    </border>
    <border>
      <left style="thick">
        <color theme="0"/>
      </left>
      <right style="thick">
        <color theme="0" tint="-4.9989318521683403E-2"/>
      </right>
      <top/>
      <bottom style="thick">
        <color theme="0"/>
      </bottom>
      <diagonal/>
    </border>
    <border>
      <left style="thick">
        <color theme="0" tint="-4.9989318521683403E-2"/>
      </left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0" tint="-4.9989318521683403E-2"/>
      </left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 style="thin">
        <color rgb="FF2B2D45"/>
      </right>
      <top style="thin">
        <color rgb="FF2B2D45"/>
      </top>
      <bottom style="thin">
        <color rgb="FF2B2D45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0"/>
      </left>
      <right style="thin">
        <color indexed="64"/>
      </right>
      <top style="thick">
        <color theme="0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/>
      <right/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/>
      <bottom/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medium">
        <color rgb="FFFFFFFF"/>
      </top>
      <bottom style="thick">
        <color rgb="FFFFFFFF"/>
      </bottom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/>
      <diagonal/>
    </border>
    <border>
      <left/>
      <right style="thick">
        <color rgb="FFFFFFFF"/>
      </right>
      <top style="medium">
        <color rgb="FFFFFFFF"/>
      </top>
      <bottom/>
      <diagonal/>
    </border>
    <border>
      <left/>
      <right style="thick">
        <color rgb="FFFFFFFF"/>
      </right>
      <top style="medium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medium">
        <color rgb="FFFFFFFF"/>
      </top>
      <bottom/>
      <diagonal/>
    </border>
    <border>
      <left/>
      <right/>
      <top style="thin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 tint="-4.9989318521683403E-2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thick">
        <color theme="0"/>
      </left>
      <right/>
      <top/>
      <bottom style="thick">
        <color theme="0" tint="-4.9989318521683403E-2"/>
      </bottom>
      <diagonal/>
    </border>
    <border>
      <left/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 tint="-4.9989318521683403E-2"/>
      </right>
      <top style="thick">
        <color theme="0" tint="-4.9989318521683403E-2"/>
      </top>
      <bottom/>
      <diagonal/>
    </border>
    <border>
      <left style="thick">
        <color theme="0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/>
      <top style="thick">
        <color theme="0" tint="-4.9989318521683403E-2"/>
      </top>
      <bottom style="thick">
        <color theme="0" tint="-4.9989318521683403E-2"/>
      </bottom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 style="thick">
        <color theme="0"/>
      </right>
      <top/>
      <bottom style="thick">
        <color theme="0" tint="-4.9989318521683403E-2"/>
      </bottom>
      <diagonal/>
    </border>
    <border>
      <left/>
      <right style="thick">
        <color theme="0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/>
      </right>
      <top/>
      <bottom style="thick">
        <color theme="0" tint="-4.9989318521683403E-2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/>
      <right style="thick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thick">
        <color theme="0"/>
      </left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/>
      <bottom style="thick">
        <color theme="0"/>
      </bottom>
      <diagonal/>
    </border>
    <border>
      <left style="thick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thick">
        <color theme="0"/>
      </right>
      <top/>
      <bottom/>
      <diagonal/>
    </border>
    <border>
      <left style="medium">
        <color theme="0"/>
      </left>
      <right style="thick">
        <color theme="0"/>
      </right>
      <top/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/>
      <right style="thick">
        <color theme="0" tint="-4.9989318521683403E-2"/>
      </right>
      <top style="thick">
        <color theme="0"/>
      </top>
      <bottom style="thick">
        <color theme="0"/>
      </bottom>
      <diagonal/>
    </border>
    <border>
      <left style="thin">
        <color rgb="FF2B2D45"/>
      </left>
      <right style="thin">
        <color rgb="FF2B2D45"/>
      </right>
      <top style="thin">
        <color rgb="FF2B2D45"/>
      </top>
      <bottom style="thin">
        <color rgb="FF2B2D45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8" fillId="0" borderId="0"/>
    <xf numFmtId="42" fontId="1" fillId="0" borderId="0" applyFont="0" applyFill="0" applyBorder="0" applyAlignment="0" applyProtection="0"/>
    <xf numFmtId="0" fontId="1" fillId="0" borderId="0"/>
    <xf numFmtId="0" fontId="2" fillId="2" borderId="0" applyNumberFormat="0" applyBorder="0" applyAlignment="0" applyProtection="0"/>
    <xf numFmtId="41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6" fillId="0" borderId="0"/>
    <xf numFmtId="0" fontId="46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204" fontId="46" fillId="0" borderId="0" applyFont="0" applyFill="0" applyBorder="0" applyAlignment="0" applyProtection="0"/>
    <xf numFmtId="204" fontId="46" fillId="0" borderId="0" applyFont="0" applyFill="0" applyBorder="0" applyAlignment="0" applyProtection="0"/>
    <xf numFmtId="204" fontId="46" fillId="0" borderId="0" applyFont="0" applyFill="0" applyBorder="0" applyAlignment="0" applyProtection="0"/>
    <xf numFmtId="204" fontId="46" fillId="0" borderId="0" applyFont="0" applyFill="0" applyBorder="0" applyAlignment="0" applyProtection="0"/>
    <xf numFmtId="204" fontId="46" fillId="0" borderId="0" applyFont="0" applyFill="0" applyBorder="0" applyAlignment="0" applyProtection="0"/>
    <xf numFmtId="204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204" fontId="46" fillId="0" borderId="0" applyFont="0" applyFill="0" applyBorder="0" applyAlignment="0" applyProtection="0"/>
    <xf numFmtId="204" fontId="46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277">
    <xf numFmtId="0" fontId="0" fillId="0" borderId="0" xfId="0"/>
    <xf numFmtId="0" fontId="4" fillId="3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6" fillId="5" borderId="4" xfId="2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2" fillId="0" borderId="15" xfId="0" applyFont="1" applyBorder="1"/>
    <xf numFmtId="0" fontId="0" fillId="0" borderId="15" xfId="0" applyBorder="1"/>
    <xf numFmtId="0" fontId="5" fillId="0" borderId="0" xfId="0" applyFont="1"/>
    <xf numFmtId="9" fontId="18" fillId="0" borderId="0" xfId="1" applyFont="1" applyProtection="1"/>
    <xf numFmtId="0" fontId="11" fillId="3" borderId="12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5" fillId="0" borderId="0" xfId="0" applyFont="1" applyAlignment="1">
      <alignment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9" fontId="11" fillId="4" borderId="4" xfId="1" applyFont="1" applyFill="1" applyBorder="1" applyAlignment="1" applyProtection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4" fillId="13" borderId="4" xfId="8" applyFill="1" applyBorder="1" applyAlignment="1" applyProtection="1">
      <alignment horizontal="center" vertical="center" wrapText="1"/>
    </xf>
    <xf numFmtId="165" fontId="15" fillId="13" borderId="4" xfId="0" applyNumberFormat="1" applyFont="1" applyFill="1" applyBorder="1" applyAlignment="1">
      <alignment horizontal="center" vertical="center"/>
    </xf>
    <xf numFmtId="9" fontId="3" fillId="6" borderId="4" xfId="1" applyFont="1" applyFill="1" applyBorder="1" applyAlignment="1" applyProtection="1">
      <alignment horizontal="right" vertical="center"/>
    </xf>
    <xf numFmtId="169" fontId="15" fillId="13" borderId="4" xfId="0" applyNumberFormat="1" applyFont="1" applyFill="1" applyBorder="1" applyAlignment="1">
      <alignment horizontal="center" vertical="center" wrapText="1"/>
    </xf>
    <xf numFmtId="169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/>
    <xf numFmtId="0" fontId="15" fillId="12" borderId="11" xfId="0" applyFont="1" applyFill="1" applyBorder="1" applyAlignment="1">
      <alignment horizontal="center" vertical="center" wrapText="1"/>
    </xf>
    <xf numFmtId="0" fontId="14" fillId="12" borderId="4" xfId="8" applyFill="1" applyBorder="1" applyAlignment="1" applyProtection="1">
      <alignment horizontal="center" vertical="center" wrapText="1"/>
    </xf>
    <xf numFmtId="0" fontId="15" fillId="12" borderId="4" xfId="0" applyFont="1" applyFill="1" applyBorder="1" applyAlignment="1">
      <alignment horizontal="center" vertical="center" wrapText="1"/>
    </xf>
    <xf numFmtId="165" fontId="15" fillId="12" borderId="4" xfId="0" applyNumberFormat="1" applyFont="1" applyFill="1" applyBorder="1" applyAlignment="1">
      <alignment horizontal="center" vertical="center"/>
    </xf>
    <xf numFmtId="170" fontId="15" fillId="12" borderId="4" xfId="7" applyNumberFormat="1" applyFont="1" applyFill="1" applyBorder="1" applyAlignment="1" applyProtection="1">
      <alignment horizontal="center" vertical="center" wrapText="1"/>
    </xf>
    <xf numFmtId="170" fontId="15" fillId="12" borderId="4" xfId="7" applyNumberFormat="1" applyFont="1" applyFill="1" applyBorder="1" applyAlignment="1" applyProtection="1">
      <alignment horizontal="center" vertical="center" wrapText="1"/>
      <protection locked="0"/>
    </xf>
    <xf numFmtId="41" fontId="15" fillId="12" borderId="4" xfId="7" applyFont="1" applyFill="1" applyBorder="1" applyAlignment="1" applyProtection="1">
      <alignment horizontal="center" vertical="center" wrapText="1"/>
    </xf>
    <xf numFmtId="164" fontId="15" fillId="12" borderId="4" xfId="0" applyNumberFormat="1" applyFont="1" applyFill="1" applyBorder="1" applyAlignment="1">
      <alignment horizontal="center" vertical="center"/>
    </xf>
    <xf numFmtId="169" fontId="15" fillId="12" borderId="4" xfId="0" applyNumberFormat="1" applyFont="1" applyFill="1" applyBorder="1" applyAlignment="1">
      <alignment horizontal="center" vertical="center" wrapText="1"/>
    </xf>
    <xf numFmtId="169" fontId="1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15" fillId="13" borderId="4" xfId="0" applyNumberFormat="1" applyFont="1" applyFill="1" applyBorder="1" applyAlignment="1">
      <alignment horizontal="center" vertical="center"/>
    </xf>
    <xf numFmtId="170" fontId="15" fillId="12" borderId="5" xfId="7" applyNumberFormat="1" applyFont="1" applyFill="1" applyBorder="1" applyAlignment="1" applyProtection="1">
      <alignment horizontal="center" vertical="center" wrapText="1"/>
      <protection locked="0"/>
    </xf>
    <xf numFmtId="41" fontId="15" fillId="12" borderId="5" xfId="7" applyFont="1" applyFill="1" applyBorder="1" applyAlignment="1" applyProtection="1">
      <alignment horizontal="center" vertical="center" wrapText="1"/>
    </xf>
    <xf numFmtId="170" fontId="15" fillId="13" borderId="5" xfId="7" applyNumberFormat="1" applyFont="1" applyFill="1" applyBorder="1" applyAlignment="1" applyProtection="1">
      <alignment horizontal="center" vertical="center" wrapText="1"/>
      <protection locked="0"/>
    </xf>
    <xf numFmtId="41" fontId="15" fillId="13" borderId="5" xfId="7" applyFont="1" applyFill="1" applyBorder="1" applyAlignment="1" applyProtection="1">
      <alignment horizontal="center" vertical="center" wrapText="1"/>
    </xf>
    <xf numFmtId="169" fontId="15" fillId="12" borderId="5" xfId="2" applyNumberFormat="1" applyFont="1" applyFill="1" applyBorder="1" applyAlignment="1" applyProtection="1">
      <alignment horizontal="left" vertical="center" wrapText="1"/>
    </xf>
    <xf numFmtId="169" fontId="15" fillId="12" borderId="5" xfId="2" applyNumberFormat="1" applyFont="1" applyFill="1" applyBorder="1" applyAlignment="1" applyProtection="1">
      <alignment horizontal="left" vertical="center" wrapText="1"/>
      <protection locked="0"/>
    </xf>
    <xf numFmtId="3" fontId="15" fillId="13" borderId="4" xfId="0" applyNumberFormat="1" applyFont="1" applyFill="1" applyBorder="1" applyAlignment="1">
      <alignment horizontal="center" vertical="center"/>
    </xf>
    <xf numFmtId="170" fontId="15" fillId="13" borderId="5" xfId="7" applyNumberFormat="1" applyFont="1" applyFill="1" applyBorder="1" applyAlignment="1" applyProtection="1">
      <alignment horizontal="left" vertical="center" wrapText="1"/>
    </xf>
    <xf numFmtId="170" fontId="15" fillId="13" borderId="5" xfId="7" applyNumberFormat="1" applyFont="1" applyFill="1" applyBorder="1" applyAlignment="1" applyProtection="1">
      <alignment horizontal="left" vertical="center" wrapText="1"/>
      <protection locked="0"/>
    </xf>
    <xf numFmtId="9" fontId="15" fillId="12" borderId="4" xfId="0" applyNumberFormat="1" applyFont="1" applyFill="1" applyBorder="1" applyAlignment="1">
      <alignment horizontal="center" vertical="center" wrapText="1"/>
    </xf>
    <xf numFmtId="10" fontId="15" fillId="12" borderId="4" xfId="1" applyNumberFormat="1" applyFont="1" applyFill="1" applyBorder="1" applyAlignment="1" applyProtection="1">
      <alignment horizontal="center" vertical="center" wrapText="1"/>
    </xf>
    <xf numFmtId="10" fontId="15" fillId="12" borderId="4" xfId="1" applyNumberFormat="1" applyFont="1" applyFill="1" applyBorder="1" applyAlignment="1" applyProtection="1">
      <alignment horizontal="center" vertical="center" wrapText="1"/>
      <protection locked="0"/>
    </xf>
    <xf numFmtId="9" fontId="15" fillId="12" borderId="4" xfId="1" applyFont="1" applyFill="1" applyBorder="1" applyAlignment="1" applyProtection="1">
      <alignment horizontal="center" vertical="center" wrapText="1"/>
    </xf>
    <xf numFmtId="3" fontId="15" fillId="13" borderId="4" xfId="0" applyNumberFormat="1" applyFont="1" applyFill="1" applyBorder="1" applyAlignment="1">
      <alignment horizontal="center" vertical="center" wrapText="1"/>
    </xf>
    <xf numFmtId="9" fontId="15" fillId="13" borderId="4" xfId="0" applyNumberFormat="1" applyFont="1" applyFill="1" applyBorder="1" applyAlignment="1">
      <alignment horizontal="center" vertical="center" wrapText="1"/>
    </xf>
    <xf numFmtId="10" fontId="15" fillId="13" borderId="4" xfId="1" applyNumberFormat="1" applyFont="1" applyFill="1" applyBorder="1" applyAlignment="1" applyProtection="1">
      <alignment horizontal="center" vertical="center" wrapText="1"/>
    </xf>
    <xf numFmtId="10" fontId="15" fillId="13" borderId="4" xfId="1" applyNumberFormat="1" applyFont="1" applyFill="1" applyBorder="1" applyAlignment="1" applyProtection="1">
      <alignment horizontal="center" vertical="center" wrapText="1"/>
      <protection locked="0"/>
    </xf>
    <xf numFmtId="9" fontId="15" fillId="13" borderId="4" xfId="1" applyFont="1" applyFill="1" applyBorder="1" applyAlignment="1" applyProtection="1">
      <alignment horizontal="center" vertical="center" wrapText="1"/>
    </xf>
    <xf numFmtId="167" fontId="15" fillId="13" borderId="4" xfId="1" applyNumberFormat="1" applyFont="1" applyFill="1" applyBorder="1" applyAlignment="1" applyProtection="1">
      <alignment horizontal="center" vertical="center" wrapText="1"/>
      <protection locked="0"/>
    </xf>
    <xf numFmtId="0" fontId="14" fillId="13" borderId="17" xfId="8" applyFill="1" applyBorder="1" applyAlignment="1" applyProtection="1">
      <alignment horizontal="center" vertical="center" wrapText="1"/>
    </xf>
    <xf numFmtId="0" fontId="15" fillId="13" borderId="17" xfId="2" applyFont="1" applyFill="1" applyBorder="1" applyAlignment="1" applyProtection="1">
      <alignment horizontal="center" vertical="center" wrapText="1"/>
    </xf>
    <xf numFmtId="0" fontId="9" fillId="7" borderId="3" xfId="0" applyFont="1" applyFill="1" applyBorder="1" applyAlignment="1">
      <alignment vertical="center" wrapText="1"/>
    </xf>
    <xf numFmtId="0" fontId="9" fillId="7" borderId="3" xfId="0" applyFont="1" applyFill="1" applyBorder="1" applyAlignment="1" applyProtection="1">
      <alignment vertical="center" wrapText="1"/>
      <protection locked="0"/>
    </xf>
    <xf numFmtId="0" fontId="15" fillId="13" borderId="8" xfId="0" applyFont="1" applyFill="1" applyBorder="1" applyAlignment="1">
      <alignment horizontal="center" vertical="center"/>
    </xf>
    <xf numFmtId="170" fontId="15" fillId="13" borderId="4" xfId="7" applyNumberFormat="1" applyFont="1" applyFill="1" applyBorder="1" applyAlignment="1" applyProtection="1">
      <alignment horizontal="center" vertical="center" wrapText="1"/>
    </xf>
    <xf numFmtId="170" fontId="15" fillId="13" borderId="4" xfId="7" applyNumberFormat="1" applyFont="1" applyFill="1" applyBorder="1" applyAlignment="1" applyProtection="1">
      <alignment horizontal="center" vertical="center" wrapText="1"/>
      <protection locked="0"/>
    </xf>
    <xf numFmtId="41" fontId="15" fillId="13" borderId="4" xfId="7" applyFont="1" applyFill="1" applyBorder="1" applyAlignment="1" applyProtection="1">
      <alignment horizontal="center" vertical="center" wrapText="1"/>
    </xf>
    <xf numFmtId="0" fontId="9" fillId="8" borderId="3" xfId="0" applyFont="1" applyFill="1" applyBorder="1" applyAlignment="1">
      <alignment vertical="center" wrapText="1"/>
    </xf>
    <xf numFmtId="0" fontId="9" fillId="8" borderId="3" xfId="0" applyFont="1" applyFill="1" applyBorder="1" applyAlignment="1" applyProtection="1">
      <alignment vertical="center" wrapText="1"/>
      <protection locked="0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4" fillId="0" borderId="0" xfId="8" applyProtection="1"/>
    <xf numFmtId="9" fontId="5" fillId="0" borderId="0" xfId="0" applyNumberFormat="1" applyFont="1"/>
    <xf numFmtId="0" fontId="15" fillId="12" borderId="8" xfId="2" applyFont="1" applyFill="1" applyBorder="1" applyAlignment="1" applyProtection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9" fontId="5" fillId="0" borderId="0" xfId="1" applyFont="1" applyProtection="1"/>
    <xf numFmtId="0" fontId="11" fillId="3" borderId="12" xfId="0" applyFont="1" applyFill="1" applyBorder="1" applyAlignment="1">
      <alignment horizontal="center"/>
    </xf>
    <xf numFmtId="9" fontId="11" fillId="4" borderId="10" xfId="1" applyFont="1" applyFill="1" applyBorder="1" applyAlignment="1" applyProtection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9" fontId="3" fillId="6" borderId="4" xfId="1" applyFont="1" applyFill="1" applyBorder="1" applyAlignment="1" applyProtection="1">
      <alignment horizontal="center" vertical="center"/>
    </xf>
    <xf numFmtId="0" fontId="24" fillId="5" borderId="4" xfId="0" applyFont="1" applyFill="1" applyBorder="1" applyAlignment="1">
      <alignment horizontal="center" vertical="center" wrapText="1"/>
    </xf>
    <xf numFmtId="41" fontId="24" fillId="13" borderId="4" xfId="7" applyFont="1" applyFill="1" applyBorder="1" applyAlignment="1" applyProtection="1">
      <alignment horizontal="center" vertical="center"/>
    </xf>
    <xf numFmtId="0" fontId="24" fillId="13" borderId="4" xfId="0" applyFont="1" applyFill="1" applyBorder="1" applyAlignment="1">
      <alignment horizontal="center" vertical="center" wrapText="1"/>
    </xf>
    <xf numFmtId="42" fontId="24" fillId="13" borderId="4" xfId="4" applyFont="1" applyFill="1" applyBorder="1" applyAlignment="1" applyProtection="1">
      <alignment horizontal="center" vertical="center"/>
    </xf>
    <xf numFmtId="0" fontId="24" fillId="13" borderId="4" xfId="0" applyFont="1" applyFill="1" applyBorder="1" applyAlignment="1">
      <alignment horizontal="center" vertical="center"/>
    </xf>
    <xf numFmtId="165" fontId="24" fillId="13" borderId="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wrapText="1"/>
    </xf>
    <xf numFmtId="0" fontId="24" fillId="12" borderId="4" xfId="0" applyFont="1" applyFill="1" applyBorder="1" applyAlignment="1">
      <alignment horizontal="center" vertical="center" wrapText="1"/>
    </xf>
    <xf numFmtId="0" fontId="24" fillId="12" borderId="4" xfId="0" applyFont="1" applyFill="1" applyBorder="1" applyAlignment="1">
      <alignment horizontal="center" vertical="center"/>
    </xf>
    <xf numFmtId="10" fontId="15" fillId="12" borderId="4" xfId="1" applyNumberFormat="1" applyFont="1" applyFill="1" applyBorder="1" applyAlignment="1" applyProtection="1">
      <alignment horizontal="right" vertical="center" wrapText="1"/>
    </xf>
    <xf numFmtId="10" fontId="15" fillId="12" borderId="4" xfId="1" applyNumberFormat="1" applyFont="1" applyFill="1" applyBorder="1" applyAlignment="1" applyProtection="1">
      <alignment horizontal="right" vertical="center" wrapText="1"/>
      <protection locked="0"/>
    </xf>
    <xf numFmtId="0" fontId="15" fillId="13" borderId="4" xfId="0" applyFont="1" applyFill="1" applyBorder="1" applyAlignment="1">
      <alignment horizontal="center" vertical="center"/>
    </xf>
    <xf numFmtId="165" fontId="14" fillId="12" borderId="4" xfId="8" applyNumberFormat="1" applyFill="1" applyBorder="1" applyAlignment="1" applyProtection="1">
      <alignment horizontal="center" vertical="center" wrapText="1"/>
    </xf>
    <xf numFmtId="165" fontId="24" fillId="12" borderId="4" xfId="0" applyNumberFormat="1" applyFont="1" applyFill="1" applyBorder="1" applyAlignment="1">
      <alignment horizontal="center" vertical="center" wrapText="1"/>
    </xf>
    <xf numFmtId="9" fontId="24" fillId="12" borderId="4" xfId="1" applyFont="1" applyFill="1" applyBorder="1" applyAlignment="1" applyProtection="1">
      <alignment horizontal="center" vertical="center"/>
    </xf>
    <xf numFmtId="165" fontId="14" fillId="13" borderId="4" xfId="8" applyNumberFormat="1" applyFill="1" applyBorder="1" applyAlignment="1" applyProtection="1">
      <alignment horizontal="center" vertical="center" wrapText="1"/>
    </xf>
    <xf numFmtId="165" fontId="24" fillId="13" borderId="4" xfId="0" applyNumberFormat="1" applyFont="1" applyFill="1" applyBorder="1" applyAlignment="1">
      <alignment horizontal="center" vertical="center" wrapText="1"/>
    </xf>
    <xf numFmtId="9" fontId="24" fillId="13" borderId="4" xfId="1" applyFont="1" applyFill="1" applyBorder="1" applyAlignment="1" applyProtection="1">
      <alignment horizontal="center" vertical="center"/>
    </xf>
    <xf numFmtId="10" fontId="15" fillId="13" borderId="4" xfId="1" applyNumberFormat="1" applyFont="1" applyFill="1" applyBorder="1" applyAlignment="1" applyProtection="1">
      <alignment horizontal="right" vertical="center" wrapText="1"/>
    </xf>
    <xf numFmtId="0" fontId="9" fillId="7" borderId="10" xfId="0" applyFont="1" applyFill="1" applyBorder="1" applyAlignment="1">
      <alignment vertical="center" wrapText="1"/>
    </xf>
    <xf numFmtId="0" fontId="27" fillId="12" borderId="8" xfId="0" applyFont="1" applyFill="1" applyBorder="1" applyAlignment="1">
      <alignment horizontal="center" vertical="center" wrapText="1"/>
    </xf>
    <xf numFmtId="0" fontId="15" fillId="13" borderId="10" xfId="0" applyFont="1" applyFill="1" applyBorder="1" applyAlignment="1">
      <alignment horizontal="center" vertical="center" wrapText="1"/>
    </xf>
    <xf numFmtId="0" fontId="15" fillId="13" borderId="4" xfId="0" applyFont="1" applyFill="1" applyBorder="1" applyAlignment="1">
      <alignment horizontal="center" wrapText="1"/>
    </xf>
    <xf numFmtId="0" fontId="19" fillId="13" borderId="4" xfId="0" applyFont="1" applyFill="1" applyBorder="1" applyAlignment="1">
      <alignment horizontal="center" vertical="center" wrapText="1"/>
    </xf>
    <xf numFmtId="0" fontId="15" fillId="12" borderId="4" xfId="0" applyFont="1" applyFill="1" applyBorder="1" applyAlignment="1">
      <alignment horizontal="center" vertical="center"/>
    </xf>
    <xf numFmtId="3" fontId="15" fillId="12" borderId="4" xfId="0" applyNumberFormat="1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 wrapText="1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9" fontId="18" fillId="0" borderId="0" xfId="1" applyFont="1" applyAlignment="1">
      <alignment horizontal="center" vertical="center"/>
    </xf>
    <xf numFmtId="9" fontId="18" fillId="0" borderId="0" xfId="1" applyFont="1" applyAlignment="1">
      <alignment vertical="center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1" fillId="3" borderId="12" xfId="0" applyFont="1" applyFill="1" applyBorder="1"/>
    <xf numFmtId="0" fontId="11" fillId="3" borderId="0" xfId="0" applyFont="1" applyFill="1"/>
    <xf numFmtId="0" fontId="11" fillId="3" borderId="0" xfId="0" applyFont="1" applyFill="1" applyAlignment="1">
      <alignment horizontal="center"/>
    </xf>
    <xf numFmtId="9" fontId="11" fillId="4" borderId="2" xfId="1" applyFont="1" applyFill="1" applyBorder="1" applyAlignment="1">
      <alignment horizontal="center" vertical="center" wrapText="1"/>
    </xf>
    <xf numFmtId="0" fontId="14" fillId="5" borderId="4" xfId="8" applyFill="1" applyBorder="1" applyAlignment="1">
      <alignment horizontal="center" vertical="center" wrapText="1"/>
    </xf>
    <xf numFmtId="42" fontId="15" fillId="6" borderId="4" xfId="4" applyFont="1" applyFill="1" applyBorder="1" applyAlignment="1">
      <alignment horizontal="center" vertical="center" wrapText="1"/>
    </xf>
    <xf numFmtId="42" fontId="15" fillId="6" borderId="4" xfId="4" applyFont="1" applyFill="1" applyBorder="1" applyAlignment="1" applyProtection="1">
      <alignment horizontal="center" vertical="center" wrapText="1"/>
      <protection locked="0"/>
    </xf>
    <xf numFmtId="173" fontId="15" fillId="6" borderId="4" xfId="4" applyNumberFormat="1" applyFont="1" applyFill="1" applyBorder="1" applyAlignment="1" applyProtection="1">
      <alignment horizontal="center" vertical="center" wrapText="1"/>
    </xf>
    <xf numFmtId="167" fontId="3" fillId="6" borderId="4" xfId="1" applyNumberFormat="1" applyFont="1" applyFill="1" applyBorder="1" applyAlignment="1" applyProtection="1">
      <alignment horizontal="center" vertical="center"/>
    </xf>
    <xf numFmtId="173" fontId="15" fillId="6" borderId="4" xfId="4" applyNumberFormat="1" applyFont="1" applyFill="1" applyBorder="1" applyAlignment="1">
      <alignment horizontal="right" vertical="center" wrapText="1"/>
    </xf>
    <xf numFmtId="4" fontId="24" fillId="5" borderId="4" xfId="0" applyNumberFormat="1" applyFont="1" applyFill="1" applyBorder="1" applyAlignment="1">
      <alignment horizontal="center" vertical="center" wrapText="1"/>
    </xf>
    <xf numFmtId="9" fontId="24" fillId="5" borderId="4" xfId="0" applyNumberFormat="1" applyFont="1" applyFill="1" applyBorder="1" applyAlignment="1">
      <alignment horizontal="center" vertical="center" wrapText="1"/>
    </xf>
    <xf numFmtId="170" fontId="15" fillId="9" borderId="4" xfId="7" applyNumberFormat="1" applyFont="1" applyFill="1" applyBorder="1" applyAlignment="1">
      <alignment horizontal="center" vertical="center" wrapText="1"/>
    </xf>
    <xf numFmtId="170" fontId="15" fillId="9" borderId="4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4" xfId="1" applyNumberFormat="1" applyFont="1" applyFill="1" applyBorder="1" applyAlignment="1" applyProtection="1">
      <alignment horizontal="right" vertical="center"/>
    </xf>
    <xf numFmtId="170" fontId="15" fillId="9" borderId="4" xfId="7" applyNumberFormat="1" applyFont="1" applyFill="1" applyBorder="1" applyAlignment="1" applyProtection="1">
      <alignment horizontal="right" vertical="center" wrapText="1"/>
    </xf>
    <xf numFmtId="170" fontId="15" fillId="9" borderId="4" xfId="7" applyNumberFormat="1" applyFont="1" applyFill="1" applyBorder="1" applyAlignment="1">
      <alignment horizontal="right" vertical="center" wrapText="1"/>
    </xf>
    <xf numFmtId="0" fontId="14" fillId="16" borderId="4" xfId="8" applyFill="1" applyBorder="1" applyAlignment="1">
      <alignment horizontal="center" vertical="center" wrapText="1"/>
    </xf>
    <xf numFmtId="0" fontId="24" fillId="16" borderId="4" xfId="0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/>
    </xf>
    <xf numFmtId="42" fontId="24" fillId="6" borderId="4" xfId="9" applyFont="1" applyFill="1" applyBorder="1" applyAlignment="1" applyProtection="1">
      <alignment horizontal="center" vertical="center"/>
    </xf>
    <xf numFmtId="0" fontId="10" fillId="16" borderId="0" xfId="0" applyFont="1" applyFill="1"/>
    <xf numFmtId="0" fontId="14" fillId="9" borderId="4" xfId="8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wrapText="1"/>
    </xf>
    <xf numFmtId="42" fontId="24" fillId="5" borderId="4" xfId="9" applyFont="1" applyFill="1" applyBorder="1" applyAlignment="1" applyProtection="1">
      <alignment horizontal="center" vertical="center"/>
    </xf>
    <xf numFmtId="0" fontId="10" fillId="9" borderId="0" xfId="0" applyFont="1" applyFill="1"/>
    <xf numFmtId="0" fontId="24" fillId="6" borderId="4" xfId="0" applyFont="1" applyFill="1" applyBorder="1" applyAlignment="1">
      <alignment horizontal="center" vertical="center" wrapText="1"/>
    </xf>
    <xf numFmtId="0" fontId="24" fillId="9" borderId="4" xfId="2" applyFont="1" applyFill="1" applyBorder="1" applyAlignment="1">
      <alignment horizontal="center" vertical="center" wrapText="1"/>
    </xf>
    <xf numFmtId="1" fontId="24" fillId="5" borderId="4" xfId="9" applyNumberFormat="1" applyFont="1" applyFill="1" applyBorder="1" applyAlignment="1" applyProtection="1">
      <alignment horizontal="center" vertical="center"/>
    </xf>
    <xf numFmtId="175" fontId="24" fillId="9" borderId="4" xfId="2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170" fontId="24" fillId="9" borderId="4" xfId="0" applyNumberFormat="1" applyFont="1" applyFill="1" applyBorder="1" applyAlignment="1">
      <alignment horizontal="center" vertical="center" wrapText="1"/>
    </xf>
    <xf numFmtId="170" fontId="24" fillId="16" borderId="4" xfId="0" applyNumberFormat="1" applyFont="1" applyFill="1" applyBorder="1" applyAlignment="1">
      <alignment horizontal="center" vertical="center" wrapText="1"/>
    </xf>
    <xf numFmtId="175" fontId="24" fillId="16" borderId="4" xfId="2" applyNumberFormat="1" applyFont="1" applyFill="1" applyBorder="1" applyAlignment="1">
      <alignment horizontal="center" vertical="center" wrapText="1"/>
    </xf>
    <xf numFmtId="170" fontId="15" fillId="16" borderId="4" xfId="7" applyNumberFormat="1" applyFont="1" applyFill="1" applyBorder="1" applyAlignment="1">
      <alignment horizontal="center" vertical="center" wrapText="1"/>
    </xf>
    <xf numFmtId="170" fontId="15" fillId="16" borderId="4" xfId="7" applyNumberFormat="1" applyFont="1" applyFill="1" applyBorder="1" applyAlignment="1" applyProtection="1">
      <alignment horizontal="center" vertical="center" wrapText="1"/>
      <protection locked="0"/>
    </xf>
    <xf numFmtId="10" fontId="24" fillId="9" borderId="4" xfId="0" applyNumberFormat="1" applyFont="1" applyFill="1" applyBorder="1" applyAlignment="1">
      <alignment horizontal="center" vertical="center" wrapText="1"/>
    </xf>
    <xf numFmtId="10" fontId="15" fillId="9" borderId="4" xfId="1" applyNumberFormat="1" applyFont="1" applyFill="1" applyBorder="1" applyAlignment="1">
      <alignment horizontal="center" vertical="center" wrapText="1"/>
    </xf>
    <xf numFmtId="10" fontId="15" fillId="9" borderId="4" xfId="1" applyNumberFormat="1" applyFont="1" applyFill="1" applyBorder="1" applyAlignment="1" applyProtection="1">
      <alignment horizontal="center" vertical="center" wrapText="1"/>
      <protection locked="0"/>
    </xf>
    <xf numFmtId="10" fontId="15" fillId="16" borderId="4" xfId="1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10" fontId="24" fillId="16" borderId="4" xfId="1" applyNumberFormat="1" applyFont="1" applyFill="1" applyBorder="1" applyAlignment="1">
      <alignment horizontal="center" vertical="center" wrapText="1"/>
    </xf>
    <xf numFmtId="10" fontId="24" fillId="9" borderId="4" xfId="1" applyNumberFormat="1" applyFont="1" applyFill="1" applyBorder="1" applyAlignment="1">
      <alignment horizontal="center" vertical="center" wrapText="1"/>
    </xf>
    <xf numFmtId="10" fontId="15" fillId="16" borderId="4" xfId="1" applyNumberFormat="1" applyFont="1" applyFill="1" applyBorder="1" applyAlignment="1" applyProtection="1">
      <alignment horizontal="center" vertical="center" wrapText="1"/>
      <protection locked="0"/>
    </xf>
    <xf numFmtId="10" fontId="24" fillId="16" borderId="4" xfId="0" applyNumberFormat="1" applyFont="1" applyFill="1" applyBorder="1" applyAlignment="1">
      <alignment horizontal="center" vertical="center" wrapText="1"/>
    </xf>
    <xf numFmtId="10" fontId="15" fillId="10" borderId="4" xfId="1" applyNumberFormat="1" applyFont="1" applyFill="1" applyBorder="1" applyAlignment="1">
      <alignment horizontal="center" vertical="center" wrapText="1"/>
    </xf>
    <xf numFmtId="176" fontId="24" fillId="9" borderId="4" xfId="9" applyNumberFormat="1" applyFont="1" applyFill="1" applyBorder="1" applyAlignment="1">
      <alignment horizontal="center" vertical="center" wrapText="1"/>
    </xf>
    <xf numFmtId="170" fontId="24" fillId="9" borderId="4" xfId="7" applyNumberFormat="1" applyFont="1" applyFill="1" applyBorder="1" applyAlignment="1">
      <alignment horizontal="center" vertical="center" wrapText="1"/>
    </xf>
    <xf numFmtId="170" fontId="15" fillId="9" borderId="10" xfId="7" applyNumberFormat="1" applyFont="1" applyFill="1" applyBorder="1" applyAlignment="1">
      <alignment horizontal="center" vertical="center" wrapText="1"/>
    </xf>
    <xf numFmtId="170" fontId="15" fillId="9" borderId="10" xfId="7" applyNumberFormat="1" applyFont="1" applyFill="1" applyBorder="1" applyAlignment="1" applyProtection="1">
      <alignment horizontal="center" vertical="center" wrapText="1"/>
      <protection locked="0"/>
    </xf>
    <xf numFmtId="168" fontId="24" fillId="16" borderId="4" xfId="9" applyNumberFormat="1" applyFont="1" applyFill="1" applyBorder="1" applyAlignment="1">
      <alignment horizontal="center" vertical="center" wrapText="1"/>
    </xf>
    <xf numFmtId="168" fontId="24" fillId="9" borderId="4" xfId="9" applyNumberFormat="1" applyFont="1" applyFill="1" applyBorder="1" applyAlignment="1">
      <alignment horizontal="center" vertical="center" wrapText="1"/>
    </xf>
    <xf numFmtId="0" fontId="24" fillId="9" borderId="5" xfId="0" applyFont="1" applyFill="1" applyBorder="1" applyAlignment="1">
      <alignment horizontal="center" vertical="center" wrapText="1"/>
    </xf>
    <xf numFmtId="10" fontId="15" fillId="9" borderId="10" xfId="1" applyNumberFormat="1" applyFont="1" applyFill="1" applyBorder="1" applyAlignment="1">
      <alignment horizontal="center" vertical="center" wrapText="1"/>
    </xf>
    <xf numFmtId="10" fontId="15" fillId="9" borderId="10" xfId="1" applyNumberFormat="1" applyFont="1" applyFill="1" applyBorder="1" applyAlignment="1" applyProtection="1">
      <alignment horizontal="center" vertical="center" wrapText="1"/>
      <protection locked="0"/>
    </xf>
    <xf numFmtId="9" fontId="24" fillId="10" borderId="4" xfId="1" applyFont="1" applyFill="1" applyBorder="1" applyAlignment="1" applyProtection="1">
      <alignment horizontal="center" vertical="center" wrapText="1"/>
    </xf>
    <xf numFmtId="10" fontId="24" fillId="12" borderId="4" xfId="1" applyNumberFormat="1" applyFont="1" applyFill="1" applyBorder="1" applyAlignment="1" applyProtection="1">
      <alignment horizontal="center" vertical="center" wrapText="1"/>
    </xf>
    <xf numFmtId="10" fontId="24" fillId="12" borderId="4" xfId="1" applyNumberFormat="1" applyFont="1" applyFill="1" applyBorder="1" applyAlignment="1" applyProtection="1">
      <alignment horizontal="center" vertical="center" wrapText="1"/>
      <protection locked="0"/>
    </xf>
    <xf numFmtId="9" fontId="15" fillId="13" borderId="4" xfId="1" applyFont="1" applyFill="1" applyBorder="1" applyAlignment="1" applyProtection="1">
      <alignment horizontal="right" vertical="center" wrapText="1"/>
    </xf>
    <xf numFmtId="10" fontId="24" fillId="10" borderId="4" xfId="1" applyNumberFormat="1" applyFont="1" applyFill="1" applyBorder="1" applyAlignment="1" applyProtection="1">
      <alignment horizontal="center" vertical="center" wrapText="1"/>
    </xf>
    <xf numFmtId="9" fontId="24" fillId="12" borderId="4" xfId="1" applyFont="1" applyFill="1" applyBorder="1" applyAlignment="1" applyProtection="1">
      <alignment horizontal="center" vertical="center" wrapText="1"/>
    </xf>
    <xf numFmtId="42" fontId="24" fillId="13" borderId="4" xfId="9" applyFont="1" applyFill="1" applyBorder="1" applyAlignment="1" applyProtection="1">
      <alignment horizontal="center" vertical="center"/>
    </xf>
    <xf numFmtId="10" fontId="15" fillId="5" borderId="10" xfId="1" applyNumberFormat="1" applyFont="1" applyFill="1" applyBorder="1" applyAlignment="1">
      <alignment horizontal="center" vertical="center" wrapText="1"/>
    </xf>
    <xf numFmtId="10" fontId="15" fillId="5" borderId="10" xfId="1" applyNumberFormat="1" applyFont="1" applyFill="1" applyBorder="1" applyAlignment="1" applyProtection="1">
      <alignment horizontal="center" vertical="center" wrapText="1"/>
      <protection locked="0"/>
    </xf>
    <xf numFmtId="0" fontId="14" fillId="6" borderId="4" xfId="8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10" fontId="15" fillId="6" borderId="4" xfId="1" applyNumberFormat="1" applyFont="1" applyFill="1" applyBorder="1" applyAlignment="1">
      <alignment horizontal="center" vertical="center"/>
    </xf>
    <xf numFmtId="10" fontId="15" fillId="16" borderId="10" xfId="1" applyNumberFormat="1" applyFont="1" applyFill="1" applyBorder="1" applyAlignment="1">
      <alignment horizontal="center" vertical="center" wrapText="1"/>
    </xf>
    <xf numFmtId="10" fontId="15" fillId="16" borderId="10" xfId="1" applyNumberFormat="1" applyFont="1" applyFill="1" applyBorder="1" applyAlignment="1" applyProtection="1">
      <alignment horizontal="center" vertical="center" wrapText="1"/>
      <protection locked="0"/>
    </xf>
    <xf numFmtId="10" fontId="15" fillId="10" borderId="10" xfId="1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10" fontId="15" fillId="14" borderId="4" xfId="1" applyNumberFormat="1" applyFont="1" applyFill="1" applyBorder="1" applyAlignment="1">
      <alignment horizontal="center" vertical="center"/>
    </xf>
    <xf numFmtId="175" fontId="15" fillId="9" borderId="4" xfId="2" applyNumberFormat="1" applyFont="1" applyFill="1" applyBorder="1" applyAlignment="1">
      <alignment horizontal="center" vertical="center" wrapText="1"/>
    </xf>
    <xf numFmtId="170" fontId="15" fillId="6" borderId="4" xfId="7" applyNumberFormat="1" applyFont="1" applyFill="1" applyBorder="1" applyAlignment="1">
      <alignment horizontal="center" vertical="center"/>
    </xf>
    <xf numFmtId="170" fontId="15" fillId="16" borderId="10" xfId="7" applyNumberFormat="1" applyFont="1" applyFill="1" applyBorder="1" applyAlignment="1">
      <alignment horizontal="center" vertical="center" wrapText="1"/>
    </xf>
    <xf numFmtId="170" fontId="15" fillId="16" borderId="10" xfId="7" applyNumberFormat="1" applyFont="1" applyFill="1" applyBorder="1" applyAlignment="1" applyProtection="1">
      <alignment horizontal="center" vertical="center" wrapText="1"/>
      <protection locked="0"/>
    </xf>
    <xf numFmtId="170" fontId="15" fillId="5" borderId="4" xfId="7" applyNumberFormat="1" applyFont="1" applyFill="1" applyBorder="1" applyAlignment="1">
      <alignment horizontal="center" vertical="center" wrapText="1"/>
    </xf>
    <xf numFmtId="10" fontId="15" fillId="5" borderId="4" xfId="1" applyNumberFormat="1" applyFont="1" applyFill="1" applyBorder="1" applyAlignment="1">
      <alignment horizontal="center" vertical="center" wrapText="1"/>
    </xf>
    <xf numFmtId="3" fontId="24" fillId="13" borderId="4" xfId="0" applyNumberFormat="1" applyFont="1" applyFill="1" applyBorder="1" applyAlignment="1">
      <alignment horizontal="center" vertical="center" wrapText="1"/>
    </xf>
    <xf numFmtId="9" fontId="9" fillId="7" borderId="10" xfId="1" applyFont="1" applyFill="1" applyBorder="1" applyAlignment="1">
      <alignment vertical="center" wrapText="1"/>
    </xf>
    <xf numFmtId="9" fontId="9" fillId="7" borderId="10" xfId="1" applyFont="1" applyFill="1" applyBorder="1" applyAlignment="1" applyProtection="1">
      <alignment vertical="center" wrapText="1"/>
      <protection locked="0"/>
    </xf>
    <xf numFmtId="10" fontId="9" fillId="7" borderId="10" xfId="1" applyNumberFormat="1" applyFont="1" applyFill="1" applyBorder="1" applyAlignment="1">
      <alignment vertical="center" wrapText="1"/>
    </xf>
    <xf numFmtId="10" fontId="9" fillId="7" borderId="10" xfId="1" applyNumberFormat="1" applyFont="1" applyFill="1" applyBorder="1" applyAlignment="1" applyProtection="1">
      <alignment vertical="center" wrapText="1"/>
      <protection locked="0"/>
    </xf>
    <xf numFmtId="0" fontId="15" fillId="16" borderId="4" xfId="0" applyFont="1" applyFill="1" applyBorder="1" applyAlignment="1">
      <alignment horizontal="center" vertical="center" wrapText="1"/>
    </xf>
    <xf numFmtId="0" fontId="24" fillId="16" borderId="8" xfId="0" applyFont="1" applyFill="1" applyBorder="1" applyAlignment="1">
      <alignment horizontal="center" vertical="center" wrapText="1"/>
    </xf>
    <xf numFmtId="10" fontId="15" fillId="16" borderId="8" xfId="1" applyNumberFormat="1" applyFont="1" applyFill="1" applyBorder="1" applyAlignment="1">
      <alignment horizontal="center" vertical="center"/>
    </xf>
    <xf numFmtId="10" fontId="15" fillId="16" borderId="8" xfId="1" applyNumberFormat="1" applyFont="1" applyFill="1" applyBorder="1" applyAlignment="1" applyProtection="1">
      <alignment horizontal="center" vertical="center"/>
      <protection locked="0"/>
    </xf>
    <xf numFmtId="0" fontId="14" fillId="9" borderId="8" xfId="8" applyFill="1" applyBorder="1" applyAlignment="1">
      <alignment horizontal="center" vertical="center" wrapText="1"/>
    </xf>
    <xf numFmtId="0" fontId="15" fillId="9" borderId="8" xfId="2" applyFont="1" applyFill="1" applyBorder="1" applyAlignment="1">
      <alignment horizontal="center" vertical="center" wrapText="1"/>
    </xf>
    <xf numFmtId="10" fontId="15" fillId="9" borderId="8" xfId="2" applyNumberFormat="1" applyFont="1" applyFill="1" applyBorder="1" applyAlignment="1">
      <alignment horizontal="center" vertical="center" wrapText="1"/>
    </xf>
    <xf numFmtId="10" fontId="24" fillId="9" borderId="4" xfId="1" applyNumberFormat="1" applyFont="1" applyFill="1" applyBorder="1" applyAlignment="1" applyProtection="1">
      <alignment horizontal="center" vertical="center" wrapText="1"/>
      <protection locked="0"/>
    </xf>
    <xf numFmtId="10" fontId="15" fillId="16" borderId="4" xfId="0" applyNumberFormat="1" applyFont="1" applyFill="1" applyBorder="1" applyAlignment="1">
      <alignment horizontal="center" vertical="center" wrapText="1"/>
    </xf>
    <xf numFmtId="10" fontId="24" fillId="16" borderId="4" xfId="1" applyNumberFormat="1" applyFont="1" applyFill="1" applyBorder="1" applyAlignment="1" applyProtection="1">
      <alignment horizontal="center" vertical="center" wrapText="1"/>
      <protection locked="0"/>
    </xf>
    <xf numFmtId="0" fontId="9" fillId="8" borderId="1" xfId="0" applyFont="1" applyFill="1" applyBorder="1" applyAlignment="1">
      <alignment vertical="center" wrapText="1"/>
    </xf>
    <xf numFmtId="0" fontId="9" fillId="8" borderId="4" xfId="0" applyFont="1" applyFill="1" applyBorder="1" applyAlignment="1">
      <alignment vertical="center" wrapText="1"/>
    </xf>
    <xf numFmtId="0" fontId="9" fillId="8" borderId="4" xfId="0" applyFont="1" applyFill="1" applyBorder="1" applyAlignment="1">
      <alignment horizontal="center" vertical="center" wrapText="1"/>
    </xf>
    <xf numFmtId="170" fontId="24" fillId="5" borderId="4" xfId="7" applyNumberFormat="1" applyFont="1" applyFill="1" applyBorder="1" applyAlignment="1">
      <alignment horizontal="center" vertical="center" wrapText="1"/>
    </xf>
    <xf numFmtId="0" fontId="27" fillId="12" borderId="4" xfId="0" applyFont="1" applyFill="1" applyBorder="1" applyAlignment="1">
      <alignment horizontal="center" vertical="center" wrapText="1"/>
    </xf>
    <xf numFmtId="170" fontId="15" fillId="16" borderId="5" xfId="7" applyNumberFormat="1" applyFont="1" applyFill="1" applyBorder="1" applyAlignment="1">
      <alignment horizontal="center" vertical="center" wrapText="1"/>
    </xf>
    <xf numFmtId="170" fontId="15" fillId="16" borderId="5" xfId="7" applyNumberFormat="1" applyFont="1" applyFill="1" applyBorder="1" applyAlignment="1" applyProtection="1">
      <alignment horizontal="center" vertical="center" wrapText="1"/>
      <protection locked="0"/>
    </xf>
    <xf numFmtId="170" fontId="15" fillId="16" borderId="5" xfId="7" applyNumberFormat="1" applyFont="1" applyFill="1" applyBorder="1" applyAlignment="1" applyProtection="1">
      <alignment horizontal="right" vertical="center" wrapText="1"/>
    </xf>
    <xf numFmtId="170" fontId="3" fillId="6" borderId="4" xfId="7" applyNumberFormat="1" applyFont="1" applyFill="1" applyBorder="1" applyAlignment="1" applyProtection="1">
      <alignment horizontal="right" vertical="center"/>
    </xf>
    <xf numFmtId="170" fontId="15" fillId="16" borderId="4" xfId="7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right"/>
    </xf>
    <xf numFmtId="0" fontId="15" fillId="12" borderId="10" xfId="0" applyFont="1" applyFill="1" applyBorder="1" applyAlignment="1">
      <alignment horizontal="center" vertical="center" wrapText="1"/>
    </xf>
    <xf numFmtId="0" fontId="14" fillId="12" borderId="10" xfId="8" applyFill="1" applyBorder="1" applyAlignment="1" applyProtection="1">
      <alignment horizontal="center" vertical="center" wrapText="1"/>
    </xf>
    <xf numFmtId="179" fontId="15" fillId="12" borderId="10" xfId="4" applyNumberFormat="1" applyFont="1" applyFill="1" applyBorder="1" applyAlignment="1" applyProtection="1">
      <alignment horizontal="center" vertical="center" wrapText="1"/>
    </xf>
    <xf numFmtId="168" fontId="15" fillId="12" borderId="4" xfId="4" applyNumberFormat="1" applyFont="1" applyFill="1" applyBorder="1" applyAlignment="1" applyProtection="1">
      <alignment horizontal="center" vertical="center" wrapText="1"/>
    </xf>
    <xf numFmtId="168" fontId="15" fillId="12" borderId="10" xfId="4" applyNumberFormat="1" applyFont="1" applyFill="1" applyBorder="1" applyAlignment="1" applyProtection="1">
      <alignment horizontal="center" vertical="center" wrapText="1"/>
    </xf>
    <xf numFmtId="42" fontId="15" fillId="12" borderId="10" xfId="4" applyFont="1" applyFill="1" applyBorder="1" applyAlignment="1" applyProtection="1">
      <alignment horizontal="center" vertical="center" wrapText="1"/>
    </xf>
    <xf numFmtId="168" fontId="15" fillId="12" borderId="2" xfId="4" applyNumberFormat="1" applyFont="1" applyFill="1" applyBorder="1" applyAlignment="1" applyProtection="1">
      <alignment horizontal="center" vertical="center" wrapText="1"/>
    </xf>
    <xf numFmtId="0" fontId="14" fillId="13" borderId="10" xfId="8" applyFill="1" applyBorder="1" applyAlignment="1" applyProtection="1">
      <alignment horizontal="center" vertical="center" wrapText="1"/>
    </xf>
    <xf numFmtId="41" fontId="15" fillId="13" borderId="10" xfId="7" applyFont="1" applyFill="1" applyBorder="1" applyAlignment="1" applyProtection="1">
      <alignment horizontal="center" vertical="center" wrapText="1"/>
    </xf>
    <xf numFmtId="170" fontId="15" fillId="13" borderId="10" xfId="7" applyNumberFormat="1" applyFont="1" applyFill="1" applyBorder="1" applyAlignment="1" applyProtection="1">
      <alignment horizontal="center" vertical="center" wrapText="1"/>
    </xf>
    <xf numFmtId="180" fontId="15" fillId="13" borderId="10" xfId="4" applyNumberFormat="1" applyFont="1" applyFill="1" applyBorder="1" applyAlignment="1" applyProtection="1">
      <alignment horizontal="center" vertical="center" wrapText="1"/>
    </xf>
    <xf numFmtId="170" fontId="15" fillId="13" borderId="2" xfId="7" applyNumberFormat="1" applyFont="1" applyFill="1" applyBorder="1" applyAlignment="1" applyProtection="1">
      <alignment horizontal="center" vertical="center" wrapText="1"/>
    </xf>
    <xf numFmtId="41" fontId="15" fillId="12" borderId="10" xfId="7" applyFont="1" applyFill="1" applyBorder="1" applyAlignment="1" applyProtection="1">
      <alignment horizontal="center" vertical="center" wrapText="1"/>
    </xf>
    <xf numFmtId="0" fontId="14" fillId="6" borderId="4" xfId="8" applyFill="1" applyBorder="1" applyAlignment="1" applyProtection="1">
      <alignment horizontal="center" vertical="center" wrapText="1"/>
    </xf>
    <xf numFmtId="42" fontId="15" fillId="6" borderId="4" xfId="4" applyFont="1" applyFill="1" applyBorder="1" applyAlignment="1" applyProtection="1">
      <alignment horizontal="center" vertical="center"/>
    </xf>
    <xf numFmtId="42" fontId="15" fillId="6" borderId="4" xfId="4" applyFont="1" applyFill="1" applyBorder="1" applyAlignment="1" applyProtection="1">
      <alignment horizontal="right" vertical="center" wrapText="1"/>
    </xf>
    <xf numFmtId="42" fontId="15" fillId="6" borderId="4" xfId="4" applyFont="1" applyFill="1" applyBorder="1" applyAlignment="1" applyProtection="1">
      <alignment horizontal="right" vertical="center" wrapText="1"/>
      <protection locked="0"/>
    </xf>
    <xf numFmtId="42" fontId="15" fillId="6" borderId="4" xfId="4" applyFont="1" applyFill="1" applyBorder="1" applyAlignment="1" applyProtection="1">
      <alignment horizontal="center" vertical="center" wrapText="1"/>
    </xf>
    <xf numFmtId="42" fontId="15" fillId="13" borderId="4" xfId="4" applyFont="1" applyFill="1" applyBorder="1" applyAlignment="1" applyProtection="1">
      <alignment horizontal="center" vertical="center"/>
    </xf>
    <xf numFmtId="42" fontId="15" fillId="13" borderId="4" xfId="4" applyFont="1" applyFill="1" applyBorder="1" applyAlignment="1" applyProtection="1">
      <alignment horizontal="right" vertical="center" wrapText="1"/>
    </xf>
    <xf numFmtId="42" fontId="15" fillId="13" borderId="4" xfId="4" applyFont="1" applyFill="1" applyBorder="1" applyAlignment="1" applyProtection="1">
      <alignment horizontal="right" vertical="center" wrapText="1"/>
      <protection locked="0"/>
    </xf>
    <xf numFmtId="42" fontId="15" fillId="13" borderId="5" xfId="4" applyFont="1" applyFill="1" applyBorder="1" applyAlignment="1" applyProtection="1">
      <alignment horizontal="center" vertical="center" wrapText="1"/>
    </xf>
    <xf numFmtId="175" fontId="15" fillId="13" borderId="5" xfId="2" applyNumberFormat="1" applyFont="1" applyFill="1" applyBorder="1" applyAlignment="1" applyProtection="1">
      <alignment horizontal="center" vertical="center" wrapText="1"/>
    </xf>
    <xf numFmtId="175" fontId="15" fillId="13" borderId="5" xfId="2" applyNumberFormat="1" applyFont="1" applyFill="1" applyBorder="1" applyAlignment="1" applyProtection="1">
      <alignment horizontal="right" vertical="center" wrapText="1"/>
    </xf>
    <xf numFmtId="175" fontId="15" fillId="13" borderId="5" xfId="2" applyNumberFormat="1" applyFont="1" applyFill="1" applyBorder="1" applyAlignment="1" applyProtection="1">
      <alignment horizontal="right" vertical="center" wrapText="1"/>
      <protection locked="0"/>
    </xf>
    <xf numFmtId="0" fontId="14" fillId="9" borderId="4" xfId="8" applyFill="1" applyBorder="1" applyAlignment="1" applyProtection="1">
      <alignment horizontal="center" vertical="center" wrapText="1"/>
    </xf>
    <xf numFmtId="42" fontId="15" fillId="9" borderId="4" xfId="4" applyFont="1" applyFill="1" applyBorder="1" applyAlignment="1" applyProtection="1">
      <alignment horizontal="center" vertical="center"/>
    </xf>
    <xf numFmtId="175" fontId="15" fillId="9" borderId="5" xfId="2" applyNumberFormat="1" applyFont="1" applyFill="1" applyBorder="1" applyAlignment="1" applyProtection="1">
      <alignment horizontal="center" vertical="center" wrapText="1"/>
    </xf>
    <xf numFmtId="175" fontId="15" fillId="9" borderId="5" xfId="2" applyNumberFormat="1" applyFont="1" applyFill="1" applyBorder="1" applyAlignment="1" applyProtection="1">
      <alignment horizontal="right" vertical="center" wrapText="1"/>
    </xf>
    <xf numFmtId="175" fontId="15" fillId="9" borderId="5" xfId="2" applyNumberFormat="1" applyFont="1" applyFill="1" applyBorder="1" applyAlignment="1" applyProtection="1">
      <alignment horizontal="right" vertical="center" wrapText="1"/>
      <protection locked="0"/>
    </xf>
    <xf numFmtId="3" fontId="15" fillId="6" borderId="4" xfId="0" applyNumberFormat="1" applyFont="1" applyFill="1" applyBorder="1" applyAlignment="1">
      <alignment horizontal="right" vertical="center" wrapText="1"/>
    </xf>
    <xf numFmtId="0" fontId="15" fillId="6" borderId="4" xfId="0" applyFont="1" applyFill="1" applyBorder="1" applyAlignment="1" applyProtection="1">
      <alignment horizontal="right" vertical="center" wrapText="1"/>
      <protection locked="0"/>
    </xf>
    <xf numFmtId="0" fontId="15" fillId="6" borderId="4" xfId="0" applyFont="1" applyFill="1" applyBorder="1" applyAlignment="1" applyProtection="1">
      <alignment horizontal="center" vertical="center" wrapText="1"/>
      <protection locked="0"/>
    </xf>
    <xf numFmtId="0" fontId="15" fillId="6" borderId="4" xfId="0" applyFont="1" applyFill="1" applyBorder="1" applyAlignment="1">
      <alignment horizontal="right" vertical="center" wrapText="1"/>
    </xf>
    <xf numFmtId="41" fontId="15" fillId="6" borderId="4" xfId="7" applyFont="1" applyFill="1" applyBorder="1" applyAlignment="1" applyProtection="1">
      <alignment horizontal="center" vertical="center" wrapText="1"/>
    </xf>
    <xf numFmtId="41" fontId="15" fillId="9" borderId="5" xfId="7" applyFont="1" applyFill="1" applyBorder="1" applyAlignment="1" applyProtection="1">
      <alignment horizontal="right" vertical="center" wrapText="1"/>
    </xf>
    <xf numFmtId="41" fontId="15" fillId="9" borderId="5" xfId="7" applyFont="1" applyFill="1" applyBorder="1" applyAlignment="1" applyProtection="1">
      <alignment horizontal="right" vertical="center" wrapText="1"/>
      <protection locked="0"/>
    </xf>
    <xf numFmtId="41" fontId="15" fillId="9" borderId="5" xfId="7" applyFont="1" applyFill="1" applyBorder="1" applyAlignment="1" applyProtection="1">
      <alignment horizontal="center" vertical="center" wrapText="1"/>
      <protection locked="0"/>
    </xf>
    <xf numFmtId="9" fontId="15" fillId="6" borderId="4" xfId="1" applyFont="1" applyFill="1" applyBorder="1" applyAlignment="1" applyProtection="1">
      <alignment horizontal="center" vertical="center" wrapText="1"/>
    </xf>
    <xf numFmtId="9" fontId="15" fillId="6" borderId="4" xfId="0" applyNumberFormat="1" applyFont="1" applyFill="1" applyBorder="1" applyAlignment="1">
      <alignment horizontal="center" vertical="center" wrapText="1"/>
    </xf>
    <xf numFmtId="9" fontId="15" fillId="6" borderId="4" xfId="0" applyNumberFormat="1" applyFont="1" applyFill="1" applyBorder="1" applyAlignment="1">
      <alignment horizontal="right" vertical="center" wrapText="1"/>
    </xf>
    <xf numFmtId="9" fontId="15" fillId="6" borderId="4" xfId="0" applyNumberFormat="1" applyFont="1" applyFill="1" applyBorder="1" applyAlignment="1" applyProtection="1">
      <alignment horizontal="center" vertical="center" wrapText="1"/>
      <protection locked="0"/>
    </xf>
    <xf numFmtId="10" fontId="15" fillId="6" borderId="4" xfId="0" applyNumberFormat="1" applyFont="1" applyFill="1" applyBorder="1" applyAlignment="1" applyProtection="1">
      <alignment horizontal="center" vertical="center" wrapText="1"/>
      <protection locked="0"/>
    </xf>
    <xf numFmtId="9" fontId="15" fillId="6" borderId="4" xfId="0" applyNumberFormat="1" applyFont="1" applyFill="1" applyBorder="1" applyAlignment="1" applyProtection="1">
      <alignment horizontal="right" vertical="center" wrapText="1"/>
      <protection locked="0"/>
    </xf>
    <xf numFmtId="10" fontId="15" fillId="6" borderId="4" xfId="0" applyNumberFormat="1" applyFont="1" applyFill="1" applyBorder="1" applyAlignment="1" applyProtection="1">
      <alignment horizontal="right" vertical="center" wrapText="1"/>
      <protection locked="0"/>
    </xf>
    <xf numFmtId="9" fontId="15" fillId="6" borderId="4" xfId="1" applyFont="1" applyFill="1" applyBorder="1" applyAlignment="1" applyProtection="1">
      <alignment horizontal="right" vertical="center" wrapText="1"/>
    </xf>
    <xf numFmtId="0" fontId="15" fillId="9" borderId="11" xfId="0" applyFont="1" applyFill="1" applyBorder="1" applyAlignment="1">
      <alignment horizontal="center" vertical="center" wrapText="1"/>
    </xf>
    <xf numFmtId="1" fontId="15" fillId="9" borderId="4" xfId="0" applyNumberFormat="1" applyFont="1" applyFill="1" applyBorder="1" applyAlignment="1">
      <alignment horizontal="center" vertical="center" wrapText="1"/>
    </xf>
    <xf numFmtId="3" fontId="15" fillId="9" borderId="4" xfId="0" applyNumberFormat="1" applyFont="1" applyFill="1" applyBorder="1" applyAlignment="1">
      <alignment horizontal="right" vertical="center" wrapText="1"/>
    </xf>
    <xf numFmtId="0" fontId="15" fillId="9" borderId="4" xfId="0" applyFont="1" applyFill="1" applyBorder="1" applyAlignment="1" applyProtection="1">
      <alignment horizontal="center" vertical="center" wrapText="1"/>
      <protection locked="0"/>
    </xf>
    <xf numFmtId="0" fontId="15" fillId="9" borderId="4" xfId="0" applyFont="1" applyFill="1" applyBorder="1" applyAlignment="1" applyProtection="1">
      <alignment horizontal="right" vertical="center" wrapText="1"/>
      <protection locked="0"/>
    </xf>
    <xf numFmtId="0" fontId="15" fillId="9" borderId="4" xfId="0" applyFont="1" applyFill="1" applyBorder="1" applyAlignment="1">
      <alignment horizontal="right" vertical="center" wrapText="1"/>
    </xf>
    <xf numFmtId="1" fontId="15" fillId="6" borderId="4" xfId="1" applyNumberFormat="1" applyFont="1" applyFill="1" applyBorder="1" applyAlignment="1" applyProtection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1" fontId="15" fillId="6" borderId="4" xfId="0" applyNumberFormat="1" applyFont="1" applyFill="1" applyBorder="1" applyAlignment="1">
      <alignment horizontal="center" vertical="center" wrapText="1"/>
    </xf>
    <xf numFmtId="1" fontId="15" fillId="6" borderId="4" xfId="0" applyNumberFormat="1" applyFont="1" applyFill="1" applyBorder="1" applyAlignment="1">
      <alignment horizontal="right" vertical="center" wrapText="1"/>
    </xf>
    <xf numFmtId="1" fontId="15" fillId="6" borderId="4" xfId="0" applyNumberFormat="1" applyFont="1" applyFill="1" applyBorder="1" applyAlignment="1" applyProtection="1">
      <alignment horizontal="center" vertical="center" wrapText="1"/>
      <protection locked="0"/>
    </xf>
    <xf numFmtId="1" fontId="15" fillId="6" borderId="4" xfId="0" applyNumberFormat="1" applyFont="1" applyFill="1" applyBorder="1" applyAlignment="1" applyProtection="1">
      <alignment horizontal="right" vertical="center" wrapText="1"/>
      <protection locked="0"/>
    </xf>
    <xf numFmtId="167" fontId="15" fillId="9" borderId="4" xfId="0" applyNumberFormat="1" applyFont="1" applyFill="1" applyBorder="1" applyAlignment="1">
      <alignment horizontal="center" vertical="center" wrapText="1"/>
    </xf>
    <xf numFmtId="167" fontId="15" fillId="9" borderId="4" xfId="1" applyNumberFormat="1" applyFont="1" applyFill="1" applyBorder="1" applyAlignment="1" applyProtection="1">
      <alignment horizontal="right" vertical="center" wrapText="1"/>
    </xf>
    <xf numFmtId="167" fontId="15" fillId="9" borderId="4" xfId="1" applyNumberFormat="1" applyFont="1" applyFill="1" applyBorder="1" applyAlignment="1" applyProtection="1">
      <alignment horizontal="center" vertical="center" wrapText="1"/>
      <protection locked="0"/>
    </xf>
    <xf numFmtId="167" fontId="15" fillId="9" borderId="4" xfId="1" applyNumberFormat="1" applyFont="1" applyFill="1" applyBorder="1" applyAlignment="1" applyProtection="1">
      <alignment horizontal="right" vertical="center" wrapText="1"/>
      <protection locked="0"/>
    </xf>
    <xf numFmtId="9" fontId="15" fillId="9" borderId="4" xfId="1" applyFont="1" applyFill="1" applyBorder="1" applyAlignment="1" applyProtection="1">
      <alignment horizontal="right" vertical="center" wrapText="1"/>
      <protection locked="0"/>
    </xf>
    <xf numFmtId="167" fontId="15" fillId="9" borderId="4" xfId="1" applyNumberFormat="1" applyFont="1" applyFill="1" applyBorder="1" applyAlignment="1" applyProtection="1">
      <alignment horizontal="center" vertical="center" wrapText="1"/>
    </xf>
    <xf numFmtId="10" fontId="29" fillId="6" borderId="4" xfId="1" applyNumberFormat="1" applyFont="1" applyFill="1" applyBorder="1" applyAlignment="1" applyProtection="1">
      <alignment horizontal="center" vertical="center" wrapText="1"/>
    </xf>
    <xf numFmtId="10" fontId="29" fillId="6" borderId="4" xfId="1" applyNumberFormat="1" applyFont="1" applyFill="1" applyBorder="1" applyAlignment="1" applyProtection="1">
      <alignment horizontal="center" vertical="center"/>
    </xf>
    <xf numFmtId="9" fontId="15" fillId="9" borderId="4" xfId="0" applyNumberFormat="1" applyFont="1" applyFill="1" applyBorder="1" applyAlignment="1">
      <alignment horizontal="center" vertical="center" wrapText="1"/>
    </xf>
    <xf numFmtId="9" fontId="15" fillId="9" borderId="4" xfId="0" applyNumberFormat="1" applyFont="1" applyFill="1" applyBorder="1" applyAlignment="1">
      <alignment horizontal="right" vertical="center" wrapText="1"/>
    </xf>
    <xf numFmtId="9" fontId="15" fillId="9" borderId="4" xfId="0" applyNumberFormat="1" applyFont="1" applyFill="1" applyBorder="1" applyAlignment="1" applyProtection="1">
      <alignment horizontal="right" vertical="center" wrapText="1"/>
      <protection locked="0"/>
    </xf>
    <xf numFmtId="9" fontId="15" fillId="9" borderId="4" xfId="1" applyFont="1" applyFill="1" applyBorder="1" applyAlignment="1" applyProtection="1">
      <alignment horizontal="right" vertical="center" wrapText="1"/>
    </xf>
    <xf numFmtId="9" fontId="15" fillId="9" borderId="4" xfId="0" applyNumberFormat="1" applyFont="1" applyFill="1" applyBorder="1" applyAlignment="1" applyProtection="1">
      <alignment horizontal="center" vertical="center" wrapText="1"/>
      <protection locked="0"/>
    </xf>
    <xf numFmtId="9" fontId="15" fillId="10" borderId="4" xfId="1" applyFont="1" applyFill="1" applyBorder="1" applyAlignment="1" applyProtection="1">
      <alignment horizontal="center" vertical="center" wrapText="1"/>
    </xf>
    <xf numFmtId="0" fontId="15" fillId="6" borderId="19" xfId="0" applyFont="1" applyFill="1" applyBorder="1" applyAlignment="1">
      <alignment horizontal="center" vertical="center" wrapText="1"/>
    </xf>
    <xf numFmtId="44" fontId="15" fillId="6" borderId="4" xfId="4" applyNumberFormat="1" applyFont="1" applyFill="1" applyBorder="1" applyAlignment="1" applyProtection="1">
      <alignment horizontal="right" vertical="center" wrapText="1"/>
    </xf>
    <xf numFmtId="181" fontId="15" fillId="6" borderId="4" xfId="4" applyNumberFormat="1" applyFont="1" applyFill="1" applyBorder="1" applyAlignment="1" applyProtection="1">
      <alignment horizontal="right" vertical="center" wrapText="1"/>
      <protection locked="0"/>
    </xf>
    <xf numFmtId="44" fontId="15" fillId="6" borderId="4" xfId="4" applyNumberFormat="1" applyFont="1" applyFill="1" applyBorder="1" applyAlignment="1" applyProtection="1">
      <alignment horizontal="right" vertical="center" wrapText="1"/>
      <protection locked="0"/>
    </xf>
    <xf numFmtId="44" fontId="15" fillId="6" borderId="4" xfId="4" applyNumberFormat="1" applyFont="1" applyFill="1" applyBorder="1" applyAlignment="1" applyProtection="1">
      <alignment horizontal="center" vertical="center" wrapText="1"/>
    </xf>
    <xf numFmtId="42" fontId="15" fillId="12" borderId="4" xfId="4" applyFont="1" applyFill="1" applyBorder="1" applyAlignment="1" applyProtection="1">
      <alignment horizontal="center" vertical="center" wrapText="1"/>
    </xf>
    <xf numFmtId="42" fontId="15" fillId="12" borderId="18" xfId="4" applyFont="1" applyFill="1" applyBorder="1" applyAlignment="1" applyProtection="1">
      <alignment horizontal="right" vertical="center" wrapText="1"/>
    </xf>
    <xf numFmtId="42" fontId="15" fillId="12" borderId="18" xfId="4" applyFont="1" applyFill="1" applyBorder="1" applyAlignment="1" applyProtection="1">
      <alignment horizontal="right" vertical="center" wrapText="1"/>
      <protection locked="0"/>
    </xf>
    <xf numFmtId="42" fontId="15" fillId="9" borderId="4" xfId="4" applyFont="1" applyFill="1" applyBorder="1" applyAlignment="1" applyProtection="1">
      <alignment horizontal="center" vertical="center" wrapText="1"/>
    </xf>
    <xf numFmtId="42" fontId="15" fillId="9" borderId="18" xfId="4" applyFont="1" applyFill="1" applyBorder="1" applyAlignment="1" applyProtection="1">
      <alignment horizontal="right" vertical="center" wrapText="1"/>
    </xf>
    <xf numFmtId="42" fontId="15" fillId="9" borderId="18" xfId="4" applyFont="1" applyFill="1" applyBorder="1" applyAlignment="1" applyProtection="1">
      <alignment horizontal="right" vertical="center" wrapText="1"/>
      <protection locked="0"/>
    </xf>
    <xf numFmtId="0" fontId="15" fillId="12" borderId="18" xfId="2" applyFont="1" applyFill="1" applyBorder="1" applyAlignment="1" applyProtection="1">
      <alignment horizontal="right" vertical="center" wrapText="1"/>
    </xf>
    <xf numFmtId="0" fontId="15" fillId="12" borderId="18" xfId="2" applyFont="1" applyFill="1" applyBorder="1" applyAlignment="1" applyProtection="1">
      <alignment horizontal="right" vertical="center" wrapText="1"/>
      <protection locked="0"/>
    </xf>
    <xf numFmtId="0" fontId="15" fillId="12" borderId="18" xfId="2" applyFont="1" applyFill="1" applyBorder="1" applyAlignment="1" applyProtection="1">
      <alignment horizontal="center" vertical="center" wrapText="1"/>
      <protection locked="0"/>
    </xf>
    <xf numFmtId="0" fontId="15" fillId="13" borderId="4" xfId="0" applyFont="1" applyFill="1" applyBorder="1" applyAlignment="1">
      <alignment horizontal="right" vertical="center" wrapText="1"/>
    </xf>
    <xf numFmtId="0" fontId="15" fillId="13" borderId="4" xfId="0" applyFont="1" applyFill="1" applyBorder="1" applyAlignment="1" applyProtection="1">
      <alignment horizontal="right" vertical="center" wrapText="1"/>
      <protection locked="0"/>
    </xf>
    <xf numFmtId="9" fontId="15" fillId="13" borderId="4" xfId="0" applyNumberFormat="1" applyFont="1" applyFill="1" applyBorder="1" applyAlignment="1">
      <alignment horizontal="right" vertical="center" wrapText="1"/>
    </xf>
    <xf numFmtId="9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9" fontId="29" fillId="13" borderId="4" xfId="0" applyNumberFormat="1" applyFont="1" applyFill="1" applyBorder="1" applyAlignment="1" applyProtection="1">
      <alignment horizontal="center" vertical="center" wrapText="1"/>
      <protection locked="0"/>
    </xf>
    <xf numFmtId="9" fontId="29" fillId="13" borderId="4" xfId="1" applyFont="1" applyFill="1" applyBorder="1" applyAlignment="1" applyProtection="1">
      <alignment horizontal="right" vertical="center" wrapText="1"/>
    </xf>
    <xf numFmtId="10" fontId="11" fillId="6" borderId="4" xfId="1" applyNumberFormat="1" applyFont="1" applyFill="1" applyBorder="1" applyAlignment="1" applyProtection="1">
      <alignment horizontal="center" vertical="center"/>
    </xf>
    <xf numFmtId="10" fontId="3" fillId="6" borderId="4" xfId="1" applyNumberFormat="1" applyFont="1" applyFill="1" applyBorder="1" applyAlignment="1" applyProtection="1">
      <alignment horizontal="center" vertical="center"/>
    </xf>
    <xf numFmtId="9" fontId="15" fillId="13" borderId="4" xfId="1" applyFont="1" applyFill="1" applyBorder="1" applyAlignment="1" applyProtection="1">
      <alignment horizontal="center" vertical="center" wrapText="1"/>
      <protection locked="0"/>
    </xf>
    <xf numFmtId="0" fontId="15" fillId="12" borderId="17" xfId="2" applyFont="1" applyFill="1" applyBorder="1" applyAlignment="1" applyProtection="1">
      <alignment horizontal="center" vertical="center" wrapText="1"/>
    </xf>
    <xf numFmtId="9" fontId="15" fillId="12" borderId="17" xfId="1" applyFont="1" applyFill="1" applyBorder="1" applyAlignment="1" applyProtection="1">
      <alignment horizontal="center" vertical="center" wrapText="1"/>
    </xf>
    <xf numFmtId="0" fontId="15" fillId="12" borderId="18" xfId="2" applyFont="1" applyFill="1" applyBorder="1" applyAlignment="1" applyProtection="1">
      <alignment horizontal="center" vertical="center" wrapText="1"/>
    </xf>
    <xf numFmtId="9" fontId="15" fillId="12" borderId="18" xfId="1" applyFont="1" applyFill="1" applyBorder="1" applyAlignment="1" applyProtection="1">
      <alignment horizontal="right" vertical="center" wrapText="1"/>
    </xf>
    <xf numFmtId="9" fontId="15" fillId="12" borderId="18" xfId="1" applyFont="1" applyFill="1" applyBorder="1" applyAlignment="1" applyProtection="1">
      <alignment horizontal="right" vertical="center" wrapText="1"/>
      <protection locked="0"/>
    </xf>
    <xf numFmtId="9" fontId="15" fillId="12" borderId="18" xfId="1" applyFont="1" applyFill="1" applyBorder="1" applyAlignment="1" applyProtection="1">
      <alignment horizontal="center" vertical="center" wrapText="1"/>
      <protection locked="0"/>
    </xf>
    <xf numFmtId="9" fontId="15" fillId="13" borderId="17" xfId="2" applyNumberFormat="1" applyFont="1" applyFill="1" applyBorder="1" applyAlignment="1" applyProtection="1">
      <alignment horizontal="center" vertical="center" wrapText="1"/>
    </xf>
    <xf numFmtId="9" fontId="15" fillId="13" borderId="18" xfId="1" applyFont="1" applyFill="1" applyBorder="1" applyAlignment="1" applyProtection="1">
      <alignment horizontal="right" vertical="center" wrapText="1"/>
    </xf>
    <xf numFmtId="0" fontId="15" fillId="13" borderId="18" xfId="2" applyFont="1" applyFill="1" applyBorder="1" applyAlignment="1" applyProtection="1">
      <alignment horizontal="right" vertical="center" wrapText="1"/>
      <protection locked="0"/>
    </xf>
    <xf numFmtId="9" fontId="15" fillId="13" borderId="18" xfId="2" applyNumberFormat="1" applyFont="1" applyFill="1" applyBorder="1" applyAlignment="1" applyProtection="1">
      <alignment horizontal="right" vertical="center" wrapText="1"/>
      <protection locked="0"/>
    </xf>
    <xf numFmtId="9" fontId="15" fillId="13" borderId="18" xfId="2" applyNumberFormat="1" applyFont="1" applyFill="1" applyBorder="1" applyAlignment="1" applyProtection="1">
      <alignment horizontal="center" vertical="center" wrapText="1"/>
      <protection locked="0"/>
    </xf>
    <xf numFmtId="10" fontId="15" fillId="13" borderId="18" xfId="2" applyNumberFormat="1" applyFont="1" applyFill="1" applyBorder="1" applyAlignment="1" applyProtection="1">
      <alignment horizontal="right" vertical="center" wrapText="1"/>
      <protection locked="0"/>
    </xf>
    <xf numFmtId="0" fontId="14" fillId="12" borderId="17" xfId="8" applyFill="1" applyBorder="1" applyAlignment="1" applyProtection="1">
      <alignment horizontal="center" vertical="center" wrapText="1"/>
    </xf>
    <xf numFmtId="0" fontId="15" fillId="12" borderId="4" xfId="2" applyFont="1" applyFill="1" applyBorder="1" applyAlignment="1" applyProtection="1">
      <alignment horizontal="center" vertical="center" wrapText="1"/>
    </xf>
    <xf numFmtId="0" fontId="15" fillId="12" borderId="2" xfId="2" applyFont="1" applyFill="1" applyBorder="1" applyAlignment="1" applyProtection="1">
      <alignment horizontal="center" vertical="center" wrapText="1"/>
    </xf>
    <xf numFmtId="0" fontId="15" fillId="12" borderId="25" xfId="2" applyFont="1" applyFill="1" applyBorder="1" applyAlignment="1" applyProtection="1">
      <alignment horizontal="center" vertical="center" wrapText="1"/>
    </xf>
    <xf numFmtId="41" fontId="15" fillId="12" borderId="18" xfId="7" applyFont="1" applyFill="1" applyBorder="1" applyAlignment="1" applyProtection="1">
      <alignment horizontal="right" vertical="center" wrapText="1"/>
    </xf>
    <xf numFmtId="41" fontId="15" fillId="12" borderId="18" xfId="7" applyFont="1" applyFill="1" applyBorder="1" applyAlignment="1" applyProtection="1">
      <alignment horizontal="right" vertical="center" wrapText="1"/>
      <protection locked="0"/>
    </xf>
    <xf numFmtId="174" fontId="15" fillId="12" borderId="18" xfId="7" applyNumberFormat="1" applyFont="1" applyFill="1" applyBorder="1" applyAlignment="1" applyProtection="1">
      <alignment horizontal="center" vertical="center" wrapText="1"/>
      <protection locked="0"/>
    </xf>
    <xf numFmtId="41" fontId="15" fillId="12" borderId="18" xfId="7" applyFont="1" applyFill="1" applyBorder="1" applyAlignment="1" applyProtection="1">
      <alignment horizontal="center" vertical="center" wrapText="1"/>
      <protection locked="0"/>
    </xf>
    <xf numFmtId="174" fontId="15" fillId="12" borderId="18" xfId="7" applyNumberFormat="1" applyFont="1" applyFill="1" applyBorder="1" applyAlignment="1" applyProtection="1">
      <alignment horizontal="right" vertical="center" wrapText="1"/>
      <protection locked="0"/>
    </xf>
    <xf numFmtId="174" fontId="24" fillId="6" borderId="4" xfId="7" applyNumberFormat="1" applyFont="1" applyFill="1" applyBorder="1" applyAlignment="1" applyProtection="1">
      <alignment horizontal="center" vertical="center" wrapText="1"/>
    </xf>
    <xf numFmtId="0" fontId="15" fillId="13" borderId="25" xfId="2" applyFont="1" applyFill="1" applyBorder="1" applyAlignment="1" applyProtection="1">
      <alignment horizontal="center" vertical="center" wrapText="1"/>
    </xf>
    <xf numFmtId="41" fontId="15" fillId="13" borderId="18" xfId="7" applyFont="1" applyFill="1" applyBorder="1" applyAlignment="1" applyProtection="1">
      <alignment horizontal="right" vertical="center" wrapText="1"/>
    </xf>
    <xf numFmtId="41" fontId="15" fillId="13" borderId="18" xfId="7" applyFont="1" applyFill="1" applyBorder="1" applyAlignment="1" applyProtection="1">
      <alignment horizontal="right" vertical="center" wrapText="1"/>
      <protection locked="0"/>
    </xf>
    <xf numFmtId="41" fontId="15" fillId="13" borderId="18" xfId="7" applyFont="1" applyFill="1" applyBorder="1" applyAlignment="1" applyProtection="1">
      <alignment horizontal="center" vertical="center" wrapText="1"/>
      <protection locked="0"/>
    </xf>
    <xf numFmtId="41" fontId="15" fillId="12" borderId="2" xfId="7" applyFont="1" applyFill="1" applyBorder="1" applyAlignment="1" applyProtection="1">
      <alignment horizontal="center" vertical="center" wrapText="1"/>
    </xf>
    <xf numFmtId="0" fontId="9" fillId="7" borderId="3" xfId="0" applyFont="1" applyFill="1" applyBorder="1" applyAlignment="1">
      <alignment horizontal="right" vertical="center" wrapText="1"/>
    </xf>
    <xf numFmtId="0" fontId="9" fillId="7" borderId="3" xfId="0" applyFont="1" applyFill="1" applyBorder="1" applyAlignment="1" applyProtection="1">
      <alignment horizontal="right" vertical="center" wrapText="1"/>
      <protection locked="0"/>
    </xf>
    <xf numFmtId="0" fontId="9" fillId="7" borderId="5" xfId="0" applyFont="1" applyFill="1" applyBorder="1" applyAlignment="1">
      <alignment horizontal="right" vertical="center" wrapText="1"/>
    </xf>
    <xf numFmtId="0" fontId="9" fillId="7" borderId="4" xfId="0" applyFont="1" applyFill="1" applyBorder="1" applyAlignment="1">
      <alignment horizontal="right" vertical="center" wrapText="1"/>
    </xf>
    <xf numFmtId="0" fontId="9" fillId="7" borderId="4" xfId="0" applyFont="1" applyFill="1" applyBorder="1" applyAlignment="1" applyProtection="1">
      <alignment horizontal="right" vertical="center" wrapText="1"/>
      <protection locked="0"/>
    </xf>
    <xf numFmtId="9" fontId="15" fillId="12" borderId="4" xfId="0" applyNumberFormat="1" applyFont="1" applyFill="1" applyBorder="1" applyAlignment="1">
      <alignment horizontal="center" vertical="center"/>
    </xf>
    <xf numFmtId="9" fontId="15" fillId="12" borderId="4" xfId="0" applyNumberFormat="1" applyFont="1" applyFill="1" applyBorder="1" applyAlignment="1">
      <alignment horizontal="right" vertical="center"/>
    </xf>
    <xf numFmtId="9" fontId="15" fillId="12" borderId="4" xfId="0" applyNumberFormat="1" applyFont="1" applyFill="1" applyBorder="1" applyAlignment="1" applyProtection="1">
      <alignment horizontal="right" vertical="center"/>
      <protection locked="0"/>
    </xf>
    <xf numFmtId="9" fontId="15" fillId="12" borderId="8" xfId="0" applyNumberFormat="1" applyFont="1" applyFill="1" applyBorder="1" applyAlignment="1">
      <alignment horizontal="right" vertical="center"/>
    </xf>
    <xf numFmtId="9" fontId="15" fillId="12" borderId="8" xfId="0" applyNumberFormat="1" applyFont="1" applyFill="1" applyBorder="1" applyAlignment="1" applyProtection="1">
      <alignment horizontal="right" vertical="center"/>
      <protection locked="0"/>
    </xf>
    <xf numFmtId="1" fontId="15" fillId="12" borderId="8" xfId="0" applyNumberFormat="1" applyFont="1" applyFill="1" applyBorder="1" applyAlignment="1">
      <alignment horizontal="center" vertical="center"/>
    </xf>
    <xf numFmtId="1" fontId="15" fillId="12" borderId="8" xfId="0" applyNumberFormat="1" applyFont="1" applyFill="1" applyBorder="1" applyAlignment="1" applyProtection="1">
      <alignment horizontal="center" vertical="center"/>
      <protection locked="0"/>
    </xf>
    <xf numFmtId="1" fontId="15" fillId="12" borderId="8" xfId="0" applyNumberFormat="1" applyFont="1" applyFill="1" applyBorder="1" applyAlignment="1">
      <alignment horizontal="right" vertical="center"/>
    </xf>
    <xf numFmtId="1" fontId="15" fillId="12" borderId="8" xfId="0" applyNumberFormat="1" applyFont="1" applyFill="1" applyBorder="1" applyAlignment="1" applyProtection="1">
      <alignment horizontal="right" vertical="center"/>
      <protection locked="0"/>
    </xf>
    <xf numFmtId="1" fontId="15" fillId="12" borderId="4" xfId="0" applyNumberFormat="1" applyFont="1" applyFill="1" applyBorder="1" applyAlignment="1" applyProtection="1">
      <alignment horizontal="center" vertical="center"/>
      <protection locked="0"/>
    </xf>
    <xf numFmtId="1" fontId="15" fillId="12" borderId="4" xfId="0" applyNumberFormat="1" applyFont="1" applyFill="1" applyBorder="1" applyAlignment="1">
      <alignment horizontal="center" vertical="center"/>
    </xf>
    <xf numFmtId="1" fontId="29" fillId="6" borderId="4" xfId="1" applyNumberFormat="1" applyFont="1" applyFill="1" applyBorder="1" applyAlignment="1" applyProtection="1">
      <alignment horizontal="center" vertical="center" wrapText="1"/>
    </xf>
    <xf numFmtId="9" fontId="11" fillId="6" borderId="4" xfId="1" applyFont="1" applyFill="1" applyBorder="1" applyAlignment="1" applyProtection="1">
      <alignment horizontal="center" vertical="center"/>
    </xf>
    <xf numFmtId="9" fontId="15" fillId="13" borderId="11" xfId="1" applyFont="1" applyFill="1" applyBorder="1" applyAlignment="1" applyProtection="1">
      <alignment horizontal="right" vertical="center" wrapText="1"/>
    </xf>
    <xf numFmtId="9" fontId="15" fillId="13" borderId="4" xfId="1" applyFont="1" applyFill="1" applyBorder="1" applyAlignment="1" applyProtection="1">
      <alignment horizontal="right" vertical="center" wrapText="1"/>
      <protection locked="0"/>
    </xf>
    <xf numFmtId="9" fontId="15" fillId="6" borderId="4" xfId="1" applyFont="1" applyFill="1" applyBorder="1" applyAlignment="1" applyProtection="1">
      <alignment horizontal="right" vertical="center" wrapText="1"/>
      <protection locked="0"/>
    </xf>
    <xf numFmtId="9" fontId="15" fillId="12" borderId="11" xfId="1" applyFont="1" applyFill="1" applyBorder="1" applyAlignment="1" applyProtection="1">
      <alignment horizontal="right" vertical="center" wrapText="1"/>
    </xf>
    <xf numFmtId="9" fontId="15" fillId="12" borderId="4" xfId="1" applyFont="1" applyFill="1" applyBorder="1" applyAlignment="1" applyProtection="1">
      <alignment horizontal="right" vertical="center" wrapText="1"/>
      <protection locked="0"/>
    </xf>
    <xf numFmtId="9" fontId="15" fillId="12" borderId="4" xfId="1" applyFont="1" applyFill="1" applyBorder="1" applyAlignment="1" applyProtection="1">
      <alignment horizontal="right" vertical="center" wrapText="1"/>
    </xf>
    <xf numFmtId="9" fontId="24" fillId="6" borderId="4" xfId="1" applyFont="1" applyFill="1" applyBorder="1" applyAlignment="1" applyProtection="1">
      <alignment horizontal="center" vertical="center" wrapText="1"/>
    </xf>
    <xf numFmtId="0" fontId="9" fillId="8" borderId="3" xfId="0" applyFont="1" applyFill="1" applyBorder="1" applyAlignment="1">
      <alignment horizontal="right" vertical="center" wrapText="1"/>
    </xf>
    <xf numFmtId="0" fontId="9" fillId="8" borderId="3" xfId="0" applyFont="1" applyFill="1" applyBorder="1" applyAlignment="1" applyProtection="1">
      <alignment horizontal="right" vertical="center" wrapText="1"/>
      <protection locked="0"/>
    </xf>
    <xf numFmtId="0" fontId="9" fillId="8" borderId="5" xfId="0" applyFont="1" applyFill="1" applyBorder="1" applyAlignment="1">
      <alignment horizontal="right" vertical="center" wrapText="1"/>
    </xf>
    <xf numFmtId="0" fontId="9" fillId="8" borderId="4" xfId="0" applyFont="1" applyFill="1" applyBorder="1" applyAlignment="1">
      <alignment horizontal="right" vertical="center" wrapText="1"/>
    </xf>
    <xf numFmtId="0" fontId="9" fillId="8" borderId="4" xfId="0" applyFont="1" applyFill="1" applyBorder="1" applyAlignment="1" applyProtection="1">
      <alignment horizontal="right" vertical="center" wrapText="1"/>
      <protection locked="0"/>
    </xf>
    <xf numFmtId="0" fontId="9" fillId="8" borderId="3" xfId="0" applyFont="1" applyFill="1" applyBorder="1" applyAlignment="1" applyProtection="1">
      <alignment horizontal="center" vertical="center" wrapText="1"/>
      <protection locked="0"/>
    </xf>
    <xf numFmtId="41" fontId="15" fillId="12" borderId="4" xfId="7" applyFont="1" applyFill="1" applyBorder="1" applyAlignment="1" applyProtection="1">
      <alignment vertical="center"/>
    </xf>
    <xf numFmtId="170" fontId="15" fillId="12" borderId="4" xfId="7" applyNumberFormat="1" applyFont="1" applyFill="1" applyBorder="1" applyAlignment="1" applyProtection="1">
      <alignment horizontal="right" vertical="center"/>
    </xf>
    <xf numFmtId="170" fontId="15" fillId="12" borderId="4" xfId="7" applyNumberFormat="1" applyFont="1" applyFill="1" applyBorder="1" applyAlignment="1" applyProtection="1">
      <alignment horizontal="right" vertical="center"/>
      <protection locked="0"/>
    </xf>
    <xf numFmtId="170" fontId="15" fillId="12" borderId="8" xfId="7" applyNumberFormat="1" applyFont="1" applyFill="1" applyBorder="1" applyAlignment="1" applyProtection="1">
      <alignment horizontal="right" vertical="center"/>
    </xf>
    <xf numFmtId="170" fontId="15" fillId="12" borderId="8" xfId="7" applyNumberFormat="1" applyFont="1" applyFill="1" applyBorder="1" applyAlignment="1" applyProtection="1">
      <alignment horizontal="right" vertical="center"/>
      <protection locked="0"/>
    </xf>
    <xf numFmtId="170" fontId="15" fillId="12" borderId="8" xfId="0" applyNumberFormat="1" applyFont="1" applyFill="1" applyBorder="1" applyAlignment="1">
      <alignment horizontal="right" vertical="center"/>
    </xf>
    <xf numFmtId="9" fontId="0" fillId="0" borderId="0" xfId="1" applyFont="1"/>
    <xf numFmtId="0" fontId="15" fillId="13" borderId="8" xfId="0" applyFont="1" applyFill="1" applyBorder="1" applyAlignment="1">
      <alignment horizontal="center" vertical="center" wrapText="1"/>
    </xf>
    <xf numFmtId="0" fontId="15" fillId="13" borderId="4" xfId="2" applyFont="1" applyFill="1" applyBorder="1" applyAlignment="1" applyProtection="1">
      <alignment horizontal="center" vertical="center" wrapText="1"/>
    </xf>
    <xf numFmtId="0" fontId="4" fillId="3" borderId="0" xfId="0" applyFont="1" applyFill="1" applyAlignment="1">
      <alignment wrapText="1"/>
    </xf>
    <xf numFmtId="9" fontId="5" fillId="0" borderId="0" xfId="1" applyFont="1" applyAlignment="1" applyProtection="1">
      <alignment horizontal="center"/>
    </xf>
    <xf numFmtId="9" fontId="18" fillId="0" borderId="0" xfId="1" applyFont="1" applyAlignment="1" applyProtection="1"/>
    <xf numFmtId="9" fontId="5" fillId="0" borderId="0" xfId="1" applyFont="1" applyAlignment="1" applyProtection="1"/>
    <xf numFmtId="0" fontId="18" fillId="0" borderId="0" xfId="0" applyFont="1"/>
    <xf numFmtId="0" fontId="13" fillId="3" borderId="0" xfId="0" applyFont="1" applyFill="1" applyAlignment="1">
      <alignment wrapText="1"/>
    </xf>
    <xf numFmtId="0" fontId="11" fillId="3" borderId="12" xfId="0" applyFont="1" applyFill="1" applyBorder="1" applyAlignment="1">
      <alignment wrapText="1"/>
    </xf>
    <xf numFmtId="0" fontId="11" fillId="3" borderId="0" xfId="0" applyFont="1" applyFill="1" applyAlignment="1">
      <alignment wrapText="1"/>
    </xf>
    <xf numFmtId="0" fontId="11" fillId="4" borderId="4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9" fontId="11" fillId="4" borderId="4" xfId="1" applyFont="1" applyFill="1" applyBorder="1" applyAlignment="1" applyProtection="1">
      <alignment horizontal="center" vertical="center"/>
    </xf>
    <xf numFmtId="164" fontId="15" fillId="12" borderId="4" xfId="0" applyNumberFormat="1" applyFont="1" applyFill="1" applyBorder="1" applyAlignment="1">
      <alignment horizontal="center" vertical="center" wrapText="1"/>
    </xf>
    <xf numFmtId="0" fontId="15" fillId="12" borderId="4" xfId="0" applyFont="1" applyFill="1" applyBorder="1" applyAlignment="1">
      <alignment horizontal="center" wrapText="1"/>
    </xf>
    <xf numFmtId="168" fontId="15" fillId="6" borderId="4" xfId="4" applyNumberFormat="1" applyFont="1" applyFill="1" applyBorder="1" applyAlignment="1" applyProtection="1">
      <alignment horizontal="center" vertical="center"/>
    </xf>
    <xf numFmtId="168" fontId="15" fillId="6" borderId="4" xfId="4" applyNumberFormat="1" applyFont="1" applyFill="1" applyBorder="1" applyAlignment="1" applyProtection="1">
      <alignment horizontal="center" vertical="center"/>
      <protection locked="0"/>
    </xf>
    <xf numFmtId="0" fontId="15" fillId="13" borderId="5" xfId="2" applyFont="1" applyFill="1" applyBorder="1" applyAlignment="1" applyProtection="1">
      <alignment horizontal="center" vertical="center" wrapText="1"/>
    </xf>
    <xf numFmtId="164" fontId="15" fillId="13" borderId="4" xfId="0" applyNumberFormat="1" applyFont="1" applyFill="1" applyBorder="1" applyAlignment="1">
      <alignment horizontal="center" vertical="center" wrapText="1"/>
    </xf>
    <xf numFmtId="168" fontId="15" fillId="5" borderId="4" xfId="4" applyNumberFormat="1" applyFont="1" applyFill="1" applyBorder="1" applyAlignment="1" applyProtection="1">
      <alignment horizontal="center" vertical="center"/>
    </xf>
    <xf numFmtId="168" fontId="15" fillId="5" borderId="4" xfId="4" applyNumberFormat="1" applyFont="1" applyFill="1" applyBorder="1" applyAlignment="1" applyProtection="1">
      <alignment horizontal="center" vertical="center"/>
      <protection locked="0"/>
    </xf>
    <xf numFmtId="168" fontId="15" fillId="5" borderId="4" xfId="0" applyNumberFormat="1" applyFont="1" applyFill="1" applyBorder="1" applyAlignment="1" applyProtection="1">
      <alignment horizontal="center" vertical="center"/>
      <protection locked="0"/>
    </xf>
    <xf numFmtId="168" fontId="15" fillId="13" borderId="4" xfId="4" applyNumberFormat="1" applyFont="1" applyFill="1" applyBorder="1" applyAlignment="1" applyProtection="1">
      <alignment horizontal="center" vertical="center"/>
    </xf>
    <xf numFmtId="168" fontId="15" fillId="9" borderId="5" xfId="4" applyNumberFormat="1" applyFont="1" applyFill="1" applyBorder="1" applyAlignment="1" applyProtection="1">
      <alignment horizontal="left" vertical="center"/>
    </xf>
    <xf numFmtId="168" fontId="15" fillId="9" borderId="5" xfId="4" applyNumberFormat="1" applyFont="1" applyFill="1" applyBorder="1" applyAlignment="1" applyProtection="1">
      <alignment horizontal="left" vertical="center"/>
      <protection locked="0"/>
    </xf>
    <xf numFmtId="1" fontId="15" fillId="12" borderId="4" xfId="0" applyNumberFormat="1" applyFont="1" applyFill="1" applyBorder="1" applyAlignment="1">
      <alignment horizontal="center" vertical="center" wrapText="1"/>
    </xf>
    <xf numFmtId="170" fontId="15" fillId="6" borderId="4" xfId="7" applyNumberFormat="1" applyFont="1" applyFill="1" applyBorder="1" applyAlignment="1" applyProtection="1">
      <alignment horizontal="center" vertical="center"/>
    </xf>
    <xf numFmtId="170" fontId="15" fillId="6" borderId="4" xfId="7" applyNumberFormat="1" applyFont="1" applyFill="1" applyBorder="1" applyAlignment="1" applyProtection="1">
      <alignment horizontal="center" vertical="center"/>
      <protection locked="0"/>
    </xf>
    <xf numFmtId="0" fontId="15" fillId="13" borderId="8" xfId="2" applyFont="1" applyFill="1" applyBorder="1" applyAlignment="1" applyProtection="1">
      <alignment horizontal="center" vertical="center" wrapText="1"/>
    </xf>
    <xf numFmtId="0" fontId="15" fillId="13" borderId="19" xfId="2" applyFont="1" applyFill="1" applyBorder="1" applyAlignment="1" applyProtection="1">
      <alignment horizontal="center" vertical="center" wrapText="1"/>
    </xf>
    <xf numFmtId="1" fontId="15" fillId="13" borderId="4" xfId="0" applyNumberFormat="1" applyFont="1" applyFill="1" applyBorder="1" applyAlignment="1">
      <alignment horizontal="center" vertical="center" wrapText="1"/>
    </xf>
    <xf numFmtId="170" fontId="15" fillId="9" borderId="5" xfId="7" applyNumberFormat="1" applyFont="1" applyFill="1" applyBorder="1" applyAlignment="1" applyProtection="1">
      <alignment horizontal="left" vertical="center"/>
    </xf>
    <xf numFmtId="170" fontId="15" fillId="9" borderId="5" xfId="7" applyNumberFormat="1" applyFont="1" applyFill="1" applyBorder="1" applyAlignment="1" applyProtection="1">
      <alignment horizontal="left" vertical="center"/>
      <protection locked="0"/>
    </xf>
    <xf numFmtId="172" fontId="15" fillId="13" borderId="4" xfId="7" applyNumberFormat="1" applyFont="1" applyFill="1" applyBorder="1" applyAlignment="1" applyProtection="1">
      <alignment horizontal="center" vertical="center"/>
    </xf>
    <xf numFmtId="42" fontId="15" fillId="12" borderId="4" xfId="4" applyFont="1" applyFill="1" applyBorder="1" applyAlignment="1" applyProtection="1">
      <alignment vertical="center" wrapText="1"/>
    </xf>
    <xf numFmtId="0" fontId="15" fillId="12" borderId="4" xfId="0" applyFont="1" applyFill="1" applyBorder="1" applyAlignment="1">
      <alignment vertical="center" wrapText="1"/>
    </xf>
    <xf numFmtId="42" fontId="15" fillId="6" borderId="4" xfId="4" applyFont="1" applyFill="1" applyBorder="1" applyAlignment="1" applyProtection="1">
      <alignment horizontal="center" vertical="center"/>
      <protection locked="0"/>
    </xf>
    <xf numFmtId="182" fontId="15" fillId="9" borderId="5" xfId="7" applyNumberFormat="1" applyFont="1" applyFill="1" applyBorder="1" applyAlignment="1" applyProtection="1">
      <alignment horizontal="left" vertical="center"/>
      <protection locked="0"/>
    </xf>
    <xf numFmtId="170" fontId="15" fillId="13" borderId="4" xfId="7" applyNumberFormat="1" applyFont="1" applyFill="1" applyBorder="1" applyAlignment="1" applyProtection="1">
      <alignment horizontal="center" vertical="center"/>
    </xf>
    <xf numFmtId="10" fontId="15" fillId="6" borderId="4" xfId="1" applyNumberFormat="1" applyFont="1" applyFill="1" applyBorder="1" applyAlignment="1" applyProtection="1">
      <alignment horizontal="center" vertical="center"/>
    </xf>
    <xf numFmtId="10" fontId="15" fillId="6" borderId="4" xfId="1" applyNumberFormat="1" applyFont="1" applyFill="1" applyBorder="1" applyAlignment="1" applyProtection="1">
      <alignment horizontal="center" vertical="center"/>
      <protection locked="0"/>
    </xf>
    <xf numFmtId="10" fontId="15" fillId="13" borderId="4" xfId="1" applyNumberFormat="1" applyFont="1" applyFill="1" applyBorder="1" applyAlignment="1" applyProtection="1">
      <alignment horizontal="center" vertical="center"/>
    </xf>
    <xf numFmtId="10" fontId="15" fillId="9" borderId="4" xfId="1" applyNumberFormat="1" applyFont="1" applyFill="1" applyBorder="1" applyAlignment="1" applyProtection="1">
      <alignment horizontal="center" vertical="center"/>
    </xf>
    <xf numFmtId="10" fontId="15" fillId="9" borderId="4" xfId="1" applyNumberFormat="1" applyFont="1" applyFill="1" applyBorder="1" applyAlignment="1" applyProtection="1">
      <alignment horizontal="center" vertical="center"/>
      <protection locked="0"/>
    </xf>
    <xf numFmtId="167" fontId="15" fillId="6" borderId="4" xfId="1" applyNumberFormat="1" applyFont="1" applyFill="1" applyBorder="1" applyAlignment="1" applyProtection="1">
      <alignment horizontal="center" vertical="center"/>
    </xf>
    <xf numFmtId="167" fontId="15" fillId="6" borderId="4" xfId="1" applyNumberFormat="1" applyFont="1" applyFill="1" applyBorder="1" applyAlignment="1" applyProtection="1">
      <alignment horizontal="center" vertical="center"/>
      <protection locked="0"/>
    </xf>
    <xf numFmtId="0" fontId="15" fillId="12" borderId="8" xfId="0" applyFont="1" applyFill="1" applyBorder="1" applyAlignment="1">
      <alignment horizontal="center" vertical="center" wrapText="1"/>
    </xf>
    <xf numFmtId="10" fontId="21" fillId="17" borderId="26" xfId="0" applyNumberFormat="1" applyFont="1" applyFill="1" applyBorder="1"/>
    <xf numFmtId="0" fontId="9" fillId="7" borderId="3" xfId="0" applyFont="1" applyFill="1" applyBorder="1" applyAlignment="1">
      <alignment vertical="center"/>
    </xf>
    <xf numFmtId="0" fontId="9" fillId="7" borderId="3" xfId="0" applyFont="1" applyFill="1" applyBorder="1" applyAlignment="1" applyProtection="1">
      <alignment vertical="center"/>
      <protection locked="0"/>
    </xf>
    <xf numFmtId="9" fontId="9" fillId="7" borderId="3" xfId="1" applyFont="1" applyFill="1" applyBorder="1" applyAlignment="1" applyProtection="1">
      <alignment vertical="center"/>
    </xf>
    <xf numFmtId="0" fontId="14" fillId="13" borderId="19" xfId="8" applyFill="1" applyBorder="1" applyAlignment="1" applyProtection="1">
      <alignment horizontal="center" vertical="center" wrapText="1"/>
    </xf>
    <xf numFmtId="170" fontId="15" fillId="9" borderId="4" xfId="7" applyNumberFormat="1" applyFont="1" applyFill="1" applyBorder="1" applyAlignment="1" applyProtection="1">
      <alignment horizontal="center" vertical="center"/>
    </xf>
    <xf numFmtId="170" fontId="15" fillId="9" borderId="4" xfId="7" applyNumberFormat="1" applyFont="1" applyFill="1" applyBorder="1" applyAlignment="1" applyProtection="1">
      <alignment horizontal="center" vertical="center"/>
      <protection locked="0"/>
    </xf>
    <xf numFmtId="172" fontId="15" fillId="9" borderId="4" xfId="7" applyNumberFormat="1" applyFont="1" applyFill="1" applyBorder="1" applyAlignment="1" applyProtection="1">
      <alignment horizontal="center" vertical="center"/>
    </xf>
    <xf numFmtId="172" fontId="15" fillId="9" borderId="4" xfId="7" applyNumberFormat="1" applyFont="1" applyFill="1" applyBorder="1" applyAlignment="1" applyProtection="1">
      <alignment horizontal="center" vertical="center"/>
      <protection locked="0"/>
    </xf>
    <xf numFmtId="171" fontId="15" fillId="13" borderId="4" xfId="7" applyNumberFormat="1" applyFont="1" applyFill="1" applyBorder="1" applyAlignment="1" applyProtection="1">
      <alignment horizontal="center" vertical="center"/>
    </xf>
    <xf numFmtId="171" fontId="15" fillId="6" borderId="4" xfId="7" applyNumberFormat="1" applyFont="1" applyFill="1" applyBorder="1" applyAlignment="1" applyProtection="1">
      <alignment horizontal="center" vertical="center"/>
    </xf>
    <xf numFmtId="0" fontId="9" fillId="8" borderId="3" xfId="0" applyFont="1" applyFill="1" applyBorder="1" applyAlignment="1">
      <alignment vertical="center"/>
    </xf>
    <xf numFmtId="0" fontId="9" fillId="8" borderId="3" xfId="0" applyFont="1" applyFill="1" applyBorder="1" applyAlignment="1" applyProtection="1">
      <alignment vertical="center"/>
      <protection locked="0"/>
    </xf>
    <xf numFmtId="9" fontId="9" fillId="8" borderId="3" xfId="1" applyFont="1" applyFill="1" applyBorder="1" applyAlignment="1" applyProtection="1">
      <alignment vertical="center"/>
    </xf>
    <xf numFmtId="0" fontId="22" fillId="12" borderId="0" xfId="0" applyFont="1" applyFill="1" applyAlignment="1">
      <alignment horizontal="center" vertical="center" wrapText="1"/>
    </xf>
    <xf numFmtId="0" fontId="15" fillId="12" borderId="19" xfId="2" applyFont="1" applyFill="1" applyBorder="1" applyAlignment="1" applyProtection="1">
      <alignment horizontal="center" vertical="center" wrapText="1"/>
    </xf>
    <xf numFmtId="0" fontId="14" fillId="12" borderId="19" xfId="8" applyFill="1" applyBorder="1" applyAlignment="1" applyProtection="1">
      <alignment horizontal="center" vertical="center" wrapText="1"/>
    </xf>
    <xf numFmtId="170" fontId="15" fillId="12" borderId="4" xfId="7" applyNumberFormat="1" applyFont="1" applyFill="1" applyBorder="1" applyAlignment="1" applyProtection="1">
      <alignment horizontal="center" vertical="center"/>
    </xf>
    <xf numFmtId="170" fontId="15" fillId="12" borderId="4" xfId="7" applyNumberFormat="1" applyFont="1" applyFill="1" applyBorder="1" applyAlignment="1" applyProtection="1">
      <alignment horizontal="center" vertical="center"/>
      <protection locked="0"/>
    </xf>
    <xf numFmtId="172" fontId="15" fillId="12" borderId="4" xfId="7" applyNumberFormat="1" applyFont="1" applyFill="1" applyBorder="1" applyAlignment="1" applyProtection="1">
      <alignment horizontal="center" vertical="center"/>
    </xf>
    <xf numFmtId="172" fontId="15" fillId="12" borderId="4" xfId="7" applyNumberFormat="1" applyFont="1" applyFill="1" applyBorder="1" applyAlignment="1" applyProtection="1">
      <alignment horizontal="center" vertical="center"/>
      <protection locked="0"/>
    </xf>
    <xf numFmtId="171" fontId="15" fillId="12" borderId="4" xfId="7" applyNumberFormat="1" applyFont="1" applyFill="1" applyBorder="1" applyAlignment="1" applyProtection="1">
      <alignment horizontal="center" vertical="center"/>
    </xf>
    <xf numFmtId="9" fontId="0" fillId="0" borderId="0" xfId="1" applyFont="1" applyAlignment="1" applyProtection="1"/>
    <xf numFmtId="0" fontId="14" fillId="0" borderId="0" xfId="8" applyAlignment="1" applyProtection="1"/>
    <xf numFmtId="0" fontId="31" fillId="3" borderId="0" xfId="0" applyFont="1" applyFill="1"/>
    <xf numFmtId="9" fontId="5" fillId="0" borderId="0" xfId="1" applyFont="1"/>
    <xf numFmtId="0" fontId="3" fillId="3" borderId="0" xfId="0" applyFont="1" applyFill="1"/>
    <xf numFmtId="9" fontId="11" fillId="4" borderId="4" xfId="1" applyFont="1" applyFill="1" applyBorder="1" applyAlignment="1">
      <alignment horizontal="center" vertical="center" wrapText="1"/>
    </xf>
    <xf numFmtId="9" fontId="11" fillId="4" borderId="10" xfId="1" applyFont="1" applyFill="1" applyBorder="1" applyAlignment="1">
      <alignment horizontal="center" vertical="center" wrapText="1"/>
    </xf>
    <xf numFmtId="0" fontId="15" fillId="11" borderId="4" xfId="0" applyFont="1" applyFill="1" applyBorder="1" applyAlignment="1">
      <alignment horizontal="center" vertical="center" wrapText="1"/>
    </xf>
    <xf numFmtId="0" fontId="14" fillId="11" borderId="4" xfId="8" applyFill="1" applyBorder="1" applyAlignment="1">
      <alignment horizontal="center" vertical="center" wrapText="1"/>
    </xf>
    <xf numFmtId="183" fontId="24" fillId="11" borderId="4" xfId="9" applyNumberFormat="1" applyFont="1" applyFill="1" applyBorder="1" applyAlignment="1">
      <alignment horizontal="center" vertical="center" wrapText="1"/>
    </xf>
    <xf numFmtId="168" fontId="15" fillId="11" borderId="4" xfId="9" applyNumberFormat="1" applyFont="1" applyFill="1" applyBorder="1" applyAlignment="1">
      <alignment horizontal="center" vertical="center" wrapText="1"/>
    </xf>
    <xf numFmtId="168" fontId="15" fillId="11" borderId="4" xfId="9" applyNumberFormat="1" applyFont="1" applyFill="1" applyBorder="1" applyAlignment="1" applyProtection="1">
      <alignment horizontal="center" vertical="center" wrapText="1"/>
      <protection locked="0"/>
    </xf>
    <xf numFmtId="9" fontId="3" fillId="11" borderId="4" xfId="1" applyFont="1" applyFill="1" applyBorder="1" applyAlignment="1" applyProtection="1">
      <alignment horizontal="center" vertical="center"/>
    </xf>
    <xf numFmtId="42" fontId="15" fillId="11" borderId="4" xfId="4" applyFont="1" applyFill="1" applyBorder="1" applyAlignment="1" applyProtection="1">
      <alignment horizontal="center" vertical="center" wrapText="1"/>
      <protection locked="0"/>
    </xf>
    <xf numFmtId="168" fontId="15" fillId="11" borderId="4" xfId="9" applyNumberFormat="1" applyFont="1" applyFill="1" applyBorder="1" applyAlignment="1">
      <alignment vertical="center" wrapText="1"/>
    </xf>
    <xf numFmtId="185" fontId="15" fillId="18" borderId="4" xfId="0" applyNumberFormat="1" applyFont="1" applyFill="1" applyBorder="1" applyAlignment="1">
      <alignment horizontal="center" vertical="center" wrapText="1"/>
    </xf>
    <xf numFmtId="0" fontId="10" fillId="11" borderId="0" xfId="0" applyFont="1" applyFill="1"/>
    <xf numFmtId="41" fontId="14" fillId="6" borderId="4" xfId="7" applyFont="1" applyFill="1" applyBorder="1" applyAlignment="1" applyProtection="1">
      <alignment horizontal="center" vertical="center" wrapText="1"/>
    </xf>
    <xf numFmtId="41" fontId="24" fillId="6" borderId="4" xfId="7" applyFont="1" applyFill="1" applyBorder="1" applyAlignment="1">
      <alignment horizontal="center" vertical="center" wrapText="1"/>
    </xf>
    <xf numFmtId="1" fontId="24" fillId="6" borderId="4" xfId="2" applyNumberFormat="1" applyFont="1" applyFill="1" applyBorder="1" applyAlignment="1">
      <alignment horizontal="center" vertical="center" wrapText="1"/>
    </xf>
    <xf numFmtId="41" fontId="15" fillId="6" borderId="4" xfId="7" applyFont="1" applyFill="1" applyBorder="1" applyAlignment="1">
      <alignment horizontal="center" vertical="center" wrapText="1"/>
    </xf>
    <xf numFmtId="41" fontId="15" fillId="6" borderId="4" xfId="7" applyFont="1" applyFill="1" applyBorder="1" applyAlignment="1" applyProtection="1">
      <alignment horizontal="center" vertical="center" wrapText="1"/>
      <protection locked="0"/>
    </xf>
    <xf numFmtId="41" fontId="15" fillId="6" borderId="4" xfId="7" applyFont="1" applyFill="1" applyBorder="1" applyAlignment="1">
      <alignment vertical="center" wrapText="1"/>
    </xf>
    <xf numFmtId="41" fontId="15" fillId="6" borderId="4" xfId="7" applyFont="1" applyFill="1" applyBorder="1" applyAlignment="1" applyProtection="1">
      <alignment vertical="center" wrapText="1"/>
      <protection locked="0"/>
    </xf>
    <xf numFmtId="41" fontId="10" fillId="6" borderId="0" xfId="7" applyFont="1" applyFill="1"/>
    <xf numFmtId="0" fontId="24" fillId="11" borderId="4" xfId="2" applyFont="1" applyFill="1" applyBorder="1" applyAlignment="1">
      <alignment horizontal="center" vertical="center" wrapText="1"/>
    </xf>
    <xf numFmtId="44" fontId="24" fillId="11" borderId="4" xfId="1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wrapText="1"/>
    </xf>
    <xf numFmtId="42" fontId="15" fillId="11" borderId="4" xfId="4" applyFont="1" applyFill="1" applyBorder="1" applyAlignment="1">
      <alignment horizontal="center" vertical="center" wrapText="1"/>
    </xf>
    <xf numFmtId="42" fontId="15" fillId="11" borderId="4" xfId="4" applyFont="1" applyFill="1" applyBorder="1" applyAlignment="1">
      <alignment vertical="center" wrapText="1"/>
    </xf>
    <xf numFmtId="42" fontId="15" fillId="11" borderId="4" xfId="4" applyFont="1" applyFill="1" applyBorder="1" applyAlignment="1" applyProtection="1">
      <alignment vertical="center" wrapText="1"/>
      <protection locked="0"/>
    </xf>
    <xf numFmtId="42" fontId="15" fillId="11" borderId="4" xfId="4" applyFont="1" applyFill="1" applyBorder="1" applyAlignment="1">
      <alignment horizontal="right" vertical="center" wrapText="1"/>
    </xf>
    <xf numFmtId="0" fontId="10" fillId="11" borderId="0" xfId="0" applyFont="1" applyFill="1" applyAlignment="1">
      <alignment wrapText="1"/>
    </xf>
    <xf numFmtId="0" fontId="24" fillId="6" borderId="4" xfId="2" applyFont="1" applyFill="1" applyBorder="1" applyAlignment="1">
      <alignment horizontal="center" vertical="center" wrapText="1"/>
    </xf>
    <xf numFmtId="183" fontId="24" fillId="6" borderId="4" xfId="9" applyNumberFormat="1" applyFont="1" applyFill="1" applyBorder="1" applyAlignment="1">
      <alignment horizontal="center" vertical="center" wrapText="1"/>
    </xf>
    <xf numFmtId="42" fontId="24" fillId="6" borderId="4" xfId="9" applyFont="1" applyFill="1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wrapText="1"/>
    </xf>
    <xf numFmtId="42" fontId="15" fillId="6" borderId="4" xfId="4" applyFont="1" applyFill="1" applyBorder="1" applyAlignment="1">
      <alignment vertical="center" wrapText="1"/>
    </xf>
    <xf numFmtId="41" fontId="32" fillId="6" borderId="4" xfId="7" applyFont="1" applyFill="1" applyBorder="1" applyAlignment="1">
      <alignment horizontal="right" vertical="center" wrapText="1"/>
    </xf>
    <xf numFmtId="42" fontId="15" fillId="6" borderId="4" xfId="4" applyFont="1" applyFill="1" applyBorder="1" applyAlignment="1" applyProtection="1">
      <alignment vertical="center" wrapText="1"/>
      <protection locked="0"/>
    </xf>
    <xf numFmtId="42" fontId="15" fillId="6" borderId="4" xfId="4" applyFont="1" applyFill="1" applyBorder="1" applyAlignment="1">
      <alignment horizontal="right" vertical="center" wrapText="1"/>
    </xf>
    <xf numFmtId="0" fontId="10" fillId="6" borderId="0" xfId="0" applyFont="1" applyFill="1" applyAlignment="1">
      <alignment wrapText="1"/>
    </xf>
    <xf numFmtId="186" fontId="0" fillId="11" borderId="4" xfId="0" applyNumberFormat="1" applyFill="1" applyBorder="1" applyAlignment="1">
      <alignment vertical="center"/>
    </xf>
    <xf numFmtId="186" fontId="0" fillId="11" borderId="4" xfId="0" applyNumberFormat="1" applyFill="1" applyBorder="1" applyAlignment="1">
      <alignment horizontal="center" vertical="center"/>
    </xf>
    <xf numFmtId="42" fontId="15" fillId="6" borderId="4" xfId="4" applyFont="1" applyFill="1" applyBorder="1" applyAlignment="1">
      <alignment horizontal="left" vertical="center" wrapText="1"/>
    </xf>
    <xf numFmtId="42" fontId="15" fillId="6" borderId="4" xfId="4" applyFont="1" applyFill="1" applyBorder="1" applyAlignment="1" applyProtection="1">
      <alignment horizontal="left" vertical="center" wrapText="1"/>
      <protection locked="0"/>
    </xf>
    <xf numFmtId="0" fontId="10" fillId="6" borderId="0" xfId="0" applyFont="1" applyFill="1"/>
    <xf numFmtId="1" fontId="24" fillId="11" borderId="4" xfId="2" applyNumberFormat="1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170" fontId="15" fillId="11" borderId="4" xfId="7" applyNumberFormat="1" applyFont="1" applyFill="1" applyBorder="1" applyAlignment="1">
      <alignment horizontal="center" vertical="center" wrapText="1"/>
    </xf>
    <xf numFmtId="170" fontId="15" fillId="11" borderId="4" xfId="7" applyNumberFormat="1" applyFont="1" applyFill="1" applyBorder="1" applyAlignment="1" applyProtection="1">
      <alignment horizontal="center" vertical="center" wrapText="1"/>
      <protection locked="0"/>
    </xf>
    <xf numFmtId="170" fontId="15" fillId="11" borderId="4" xfId="7" applyNumberFormat="1" applyFont="1" applyFill="1" applyBorder="1" applyAlignment="1">
      <alignment vertical="center" wrapText="1"/>
    </xf>
    <xf numFmtId="170" fontId="15" fillId="11" borderId="4" xfId="7" applyNumberFormat="1" applyFont="1" applyFill="1" applyBorder="1" applyAlignment="1" applyProtection="1">
      <alignment vertical="center" wrapText="1"/>
      <protection locked="0"/>
    </xf>
    <xf numFmtId="170" fontId="15" fillId="6" borderId="4" xfId="7" applyNumberFormat="1" applyFont="1" applyFill="1" applyBorder="1" applyAlignment="1">
      <alignment horizontal="left" vertical="center" wrapText="1"/>
    </xf>
    <xf numFmtId="170" fontId="15" fillId="6" borderId="4" xfId="7" applyNumberFormat="1" applyFont="1" applyFill="1" applyBorder="1" applyAlignment="1" applyProtection="1">
      <alignment horizontal="left" vertical="center" wrapText="1"/>
      <protection locked="0"/>
    </xf>
    <xf numFmtId="170" fontId="15" fillId="6" borderId="4" xfId="7" applyNumberFormat="1" applyFont="1" applyFill="1" applyBorder="1" applyAlignment="1" applyProtection="1">
      <alignment horizontal="center" vertical="center" wrapText="1"/>
      <protection locked="0"/>
    </xf>
    <xf numFmtId="170" fontId="15" fillId="6" borderId="4" xfId="7" applyNumberFormat="1" applyFont="1" applyFill="1" applyBorder="1" applyAlignment="1">
      <alignment vertical="center" wrapText="1"/>
    </xf>
    <xf numFmtId="41" fontId="15" fillId="6" borderId="4" xfId="7" applyFont="1" applyFill="1" applyBorder="1" applyAlignment="1" applyProtection="1">
      <alignment horizontal="left" vertical="center" wrapText="1"/>
      <protection locked="0"/>
    </xf>
    <xf numFmtId="170" fontId="15" fillId="6" borderId="4" xfId="7" applyNumberFormat="1" applyFont="1" applyFill="1" applyBorder="1" applyAlignment="1" applyProtection="1">
      <alignment vertical="center" wrapText="1"/>
      <protection locked="0"/>
    </xf>
    <xf numFmtId="183" fontId="24" fillId="11" borderId="4" xfId="2" applyNumberFormat="1" applyFont="1" applyFill="1" applyBorder="1" applyAlignment="1">
      <alignment horizontal="center" vertical="center" wrapText="1"/>
    </xf>
    <xf numFmtId="42" fontId="24" fillId="11" borderId="4" xfId="9" applyFont="1" applyFill="1" applyBorder="1" applyAlignment="1">
      <alignment horizontal="center" vertical="center" wrapText="1"/>
    </xf>
    <xf numFmtId="170" fontId="15" fillId="11" borderId="4" xfId="7" applyNumberFormat="1" applyFont="1" applyFill="1" applyBorder="1" applyAlignment="1">
      <alignment horizontal="left" vertical="center" wrapText="1"/>
    </xf>
    <xf numFmtId="170" fontId="15" fillId="11" borderId="4" xfId="7" applyNumberFormat="1" applyFont="1" applyFill="1" applyBorder="1" applyAlignment="1" applyProtection="1">
      <alignment horizontal="left" vertical="center" wrapText="1"/>
      <protection locked="0"/>
    </xf>
    <xf numFmtId="184" fontId="15" fillId="11" borderId="4" xfId="11" applyFont="1" applyFill="1" applyBorder="1" applyAlignment="1" applyProtection="1">
      <alignment horizontal="center" vertical="center" wrapText="1"/>
      <protection locked="0"/>
    </xf>
    <xf numFmtId="1" fontId="24" fillId="6" borderId="4" xfId="0" applyNumberFormat="1" applyFont="1" applyFill="1" applyBorder="1" applyAlignment="1">
      <alignment horizontal="center" vertical="center" wrapText="1"/>
    </xf>
    <xf numFmtId="9" fontId="24" fillId="11" borderId="4" xfId="0" applyNumberFormat="1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vertical="center" wrapText="1"/>
    </xf>
    <xf numFmtId="167" fontId="15" fillId="11" borderId="4" xfId="1" applyNumberFormat="1" applyFont="1" applyFill="1" applyBorder="1" applyAlignment="1">
      <alignment horizontal="center" vertical="center" wrapText="1"/>
    </xf>
    <xf numFmtId="167" fontId="15" fillId="11" borderId="4" xfId="1" applyNumberFormat="1" applyFont="1" applyFill="1" applyBorder="1" applyAlignment="1" applyProtection="1">
      <alignment horizontal="center" vertical="center" wrapText="1"/>
      <protection locked="0"/>
    </xf>
    <xf numFmtId="167" fontId="15" fillId="11" borderId="4" xfId="1" applyNumberFormat="1" applyFont="1" applyFill="1" applyBorder="1" applyAlignment="1">
      <alignment vertical="center" wrapText="1"/>
    </xf>
    <xf numFmtId="167" fontId="15" fillId="11" borderId="4" xfId="1" applyNumberFormat="1" applyFont="1" applyFill="1" applyBorder="1" applyAlignment="1" applyProtection="1">
      <alignment vertical="center" wrapText="1"/>
      <protection locked="0"/>
    </xf>
    <xf numFmtId="9" fontId="15" fillId="11" borderId="4" xfId="1" applyFont="1" applyFill="1" applyBorder="1" applyAlignment="1">
      <alignment horizontal="center" vertical="center" wrapText="1"/>
    </xf>
    <xf numFmtId="174" fontId="24" fillId="6" borderId="4" xfId="7" applyNumberFormat="1" applyFont="1" applyFill="1" applyBorder="1" applyAlignment="1">
      <alignment horizontal="center" vertical="center" wrapText="1"/>
    </xf>
    <xf numFmtId="170" fontId="15" fillId="6" borderId="4" xfId="7" applyNumberFormat="1" applyFont="1" applyFill="1" applyBorder="1" applyAlignment="1">
      <alignment horizontal="center" vertical="center" wrapText="1"/>
    </xf>
    <xf numFmtId="165" fontId="14" fillId="11" borderId="4" xfId="8" applyNumberFormat="1" applyFill="1" applyBorder="1" applyAlignment="1">
      <alignment horizontal="center" vertical="center" wrapText="1"/>
    </xf>
    <xf numFmtId="10" fontId="24" fillId="11" borderId="4" xfId="1" applyNumberFormat="1" applyFont="1" applyFill="1" applyBorder="1" applyAlignment="1">
      <alignment horizontal="center" vertical="center"/>
    </xf>
    <xf numFmtId="9" fontId="24" fillId="11" borderId="4" xfId="1" applyFont="1" applyFill="1" applyBorder="1" applyAlignment="1">
      <alignment horizontal="center" vertical="center"/>
    </xf>
    <xf numFmtId="10" fontId="15" fillId="11" borderId="4" xfId="1" applyNumberFormat="1" applyFont="1" applyFill="1" applyBorder="1" applyAlignment="1">
      <alignment vertical="center" wrapText="1"/>
    </xf>
    <xf numFmtId="10" fontId="15" fillId="11" borderId="4" xfId="1" applyNumberFormat="1" applyFont="1" applyFill="1" applyBorder="1" applyAlignment="1" applyProtection="1">
      <alignment horizontal="center" vertical="center" wrapText="1"/>
      <protection locked="0"/>
    </xf>
    <xf numFmtId="165" fontId="14" fillId="6" borderId="4" xfId="8" applyNumberFormat="1" applyFill="1" applyBorder="1" applyAlignment="1">
      <alignment horizontal="center" vertical="center" wrapText="1"/>
    </xf>
    <xf numFmtId="9" fontId="24" fillId="6" borderId="4" xfId="0" applyNumberFormat="1" applyFont="1" applyFill="1" applyBorder="1" applyAlignment="1">
      <alignment horizontal="center" vertical="center" wrapText="1"/>
    </xf>
    <xf numFmtId="167" fontId="15" fillId="6" borderId="4" xfId="1" applyNumberFormat="1" applyFont="1" applyFill="1" applyBorder="1" applyAlignment="1">
      <alignment horizontal="center" vertical="center" wrapText="1"/>
    </xf>
    <xf numFmtId="167" fontId="15" fillId="6" borderId="4" xfId="1" applyNumberFormat="1" applyFont="1" applyFill="1" applyBorder="1" applyAlignment="1" applyProtection="1">
      <alignment horizontal="center" vertical="center" wrapText="1"/>
      <protection locked="0"/>
    </xf>
    <xf numFmtId="167" fontId="15" fillId="6" borderId="4" xfId="1" applyNumberFormat="1" applyFont="1" applyFill="1" applyBorder="1" applyAlignment="1">
      <alignment vertical="center" wrapText="1"/>
    </xf>
    <xf numFmtId="167" fontId="15" fillId="6" borderId="4" xfId="1" applyNumberFormat="1" applyFont="1" applyFill="1" applyBorder="1" applyAlignment="1" applyProtection="1">
      <alignment vertical="center" wrapText="1"/>
      <protection locked="0"/>
    </xf>
    <xf numFmtId="9" fontId="15" fillId="6" borderId="4" xfId="1" applyFont="1" applyFill="1" applyBorder="1" applyAlignment="1">
      <alignment horizontal="center" vertical="center" wrapText="1"/>
    </xf>
    <xf numFmtId="10" fontId="15" fillId="6" borderId="4" xfId="1" applyNumberFormat="1" applyFont="1" applyFill="1" applyBorder="1" applyAlignment="1" applyProtection="1">
      <alignment horizontal="center" vertical="center" wrapText="1"/>
      <protection locked="0"/>
    </xf>
    <xf numFmtId="9" fontId="15" fillId="6" borderId="4" xfId="1" applyFont="1" applyFill="1" applyBorder="1" applyAlignment="1" applyProtection="1">
      <alignment horizontal="center" vertical="center" wrapText="1"/>
      <protection locked="0"/>
    </xf>
    <xf numFmtId="10" fontId="15" fillId="6" borderId="4" xfId="1" applyNumberFormat="1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/>
    </xf>
    <xf numFmtId="0" fontId="9" fillId="7" borderId="10" xfId="0" applyFont="1" applyFill="1" applyBorder="1" applyAlignment="1" applyProtection="1">
      <alignment vertical="center"/>
      <protection locked="0"/>
    </xf>
    <xf numFmtId="0" fontId="9" fillId="7" borderId="9" xfId="0" applyFont="1" applyFill="1" applyBorder="1" applyAlignment="1" applyProtection="1">
      <alignment vertical="center"/>
      <protection locked="0"/>
    </xf>
    <xf numFmtId="0" fontId="9" fillId="7" borderId="11" xfId="0" applyFont="1" applyFill="1" applyBorder="1" applyAlignment="1" applyProtection="1">
      <alignment vertical="center"/>
      <protection locked="0"/>
    </xf>
    <xf numFmtId="0" fontId="10" fillId="15" borderId="0" xfId="0" applyFont="1" applyFill="1"/>
    <xf numFmtId="2" fontId="24" fillId="11" borderId="4" xfId="0" applyNumberFormat="1" applyFont="1" applyFill="1" applyBorder="1" applyAlignment="1">
      <alignment horizontal="center" vertical="center" wrapText="1"/>
    </xf>
    <xf numFmtId="170" fontId="15" fillId="11" borderId="4" xfId="12" applyNumberFormat="1" applyFont="1" applyFill="1" applyBorder="1" applyAlignment="1" applyProtection="1">
      <alignment horizontal="center" vertical="center" wrapText="1"/>
      <protection locked="0"/>
    </xf>
    <xf numFmtId="0" fontId="25" fillId="6" borderId="4" xfId="0" applyFont="1" applyFill="1" applyBorder="1" applyAlignment="1">
      <alignment horizontal="center" vertical="center" wrapText="1"/>
    </xf>
    <xf numFmtId="2" fontId="24" fillId="6" borderId="4" xfId="0" applyNumberFormat="1" applyFont="1" applyFill="1" applyBorder="1" applyAlignment="1">
      <alignment horizontal="center" vertical="center" wrapText="1"/>
    </xf>
    <xf numFmtId="0" fontId="9" fillId="8" borderId="10" xfId="0" applyFont="1" applyFill="1" applyBorder="1" applyAlignment="1" applyProtection="1">
      <alignment vertical="center"/>
      <protection locked="0"/>
    </xf>
    <xf numFmtId="0" fontId="9" fillId="8" borderId="9" xfId="0" applyFont="1" applyFill="1" applyBorder="1" applyAlignment="1" applyProtection="1">
      <alignment vertical="center"/>
      <protection locked="0"/>
    </xf>
    <xf numFmtId="0" fontId="9" fillId="8" borderId="11" xfId="0" applyFont="1" applyFill="1" applyBorder="1" applyAlignment="1" applyProtection="1">
      <alignment vertical="center"/>
      <protection locked="0"/>
    </xf>
    <xf numFmtId="0" fontId="9" fillId="8" borderId="10" xfId="0" applyFont="1" applyFill="1" applyBorder="1" applyAlignment="1" applyProtection="1">
      <alignment horizontal="center" vertical="center" wrapText="1"/>
      <protection locked="0"/>
    </xf>
    <xf numFmtId="0" fontId="19" fillId="11" borderId="4" xfId="0" applyFont="1" applyFill="1" applyBorder="1" applyAlignment="1">
      <alignment horizontal="center" vertical="center" wrapText="1"/>
    </xf>
    <xf numFmtId="1" fontId="24" fillId="11" borderId="4" xfId="0" applyNumberFormat="1" applyFont="1" applyFill="1" applyBorder="1" applyAlignment="1">
      <alignment horizontal="center" vertical="center" wrapText="1"/>
    </xf>
    <xf numFmtId="9" fontId="14" fillId="0" borderId="0" xfId="8" applyNumberFormat="1"/>
    <xf numFmtId="0" fontId="34" fillId="3" borderId="12" xfId="0" applyFont="1" applyFill="1" applyBorder="1" applyAlignment="1">
      <alignment vertical="center" wrapText="1"/>
    </xf>
    <xf numFmtId="0" fontId="34" fillId="3" borderId="0" xfId="0" applyFont="1" applyFill="1" applyAlignment="1">
      <alignment vertical="center" wrapText="1"/>
    </xf>
    <xf numFmtId="0" fontId="11" fillId="19" borderId="4" xfId="0" applyFont="1" applyFill="1" applyBorder="1" applyAlignment="1">
      <alignment horizontal="center" vertical="center" wrapText="1"/>
    </xf>
    <xf numFmtId="0" fontId="11" fillId="19" borderId="2" xfId="0" applyFont="1" applyFill="1" applyBorder="1" applyAlignment="1">
      <alignment horizontal="center" vertical="center" wrapText="1"/>
    </xf>
    <xf numFmtId="0" fontId="15" fillId="12" borderId="19" xfId="0" applyFont="1" applyFill="1" applyBorder="1" applyAlignment="1">
      <alignment horizontal="center" vertical="center" wrapText="1"/>
    </xf>
    <xf numFmtId="0" fontId="14" fillId="12" borderId="33" xfId="8" applyFill="1" applyBorder="1" applyAlignment="1" applyProtection="1">
      <alignment horizontal="center" vertical="center" wrapText="1"/>
    </xf>
    <xf numFmtId="0" fontId="15" fillId="12" borderId="33" xfId="0" applyFont="1" applyFill="1" applyBorder="1" applyAlignment="1">
      <alignment horizontal="center" vertical="center" wrapText="1"/>
    </xf>
    <xf numFmtId="187" fontId="15" fillId="6" borderId="5" xfId="0" applyNumberFormat="1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horizontal="center" vertical="center"/>
    </xf>
    <xf numFmtId="165" fontId="15" fillId="12" borderId="5" xfId="0" applyNumberFormat="1" applyFont="1" applyFill="1" applyBorder="1" applyAlignment="1">
      <alignment horizontal="center" vertical="center"/>
    </xf>
    <xf numFmtId="2" fontId="15" fillId="6" borderId="4" xfId="0" applyNumberFormat="1" applyFont="1" applyFill="1" applyBorder="1" applyAlignment="1">
      <alignment horizontal="center" vertical="center" wrapText="1"/>
    </xf>
    <xf numFmtId="2" fontId="15" fillId="6" borderId="4" xfId="0" applyNumberFormat="1" applyFont="1" applyFill="1" applyBorder="1" applyAlignment="1" applyProtection="1">
      <alignment horizontal="center" vertical="center" wrapText="1"/>
      <protection locked="0"/>
    </xf>
    <xf numFmtId="9" fontId="3" fillId="20" borderId="4" xfId="1" applyFont="1" applyFill="1" applyBorder="1" applyAlignment="1" applyProtection="1">
      <alignment horizontal="right" vertical="center"/>
    </xf>
    <xf numFmtId="187" fontId="15" fillId="6" borderId="4" xfId="11" applyNumberFormat="1" applyFont="1" applyFill="1" applyBorder="1" applyAlignment="1" applyProtection="1">
      <alignment horizontal="center" vertical="center" wrapText="1"/>
      <protection locked="0"/>
    </xf>
    <xf numFmtId="9" fontId="15" fillId="6" borderId="10" xfId="1" applyFont="1" applyFill="1" applyBorder="1" applyAlignment="1" applyProtection="1">
      <alignment horizontal="center" vertical="center" wrapText="1"/>
      <protection locked="0"/>
    </xf>
    <xf numFmtId="0" fontId="15" fillId="13" borderId="4" xfId="0" applyFont="1" applyFill="1" applyBorder="1" applyAlignment="1">
      <alignment horizontal="center" vertical="center" wrapText="1"/>
    </xf>
    <xf numFmtId="184" fontId="15" fillId="13" borderId="4" xfId="11" applyFont="1" applyFill="1" applyBorder="1" applyAlignment="1" applyProtection="1">
      <alignment horizontal="center" vertical="center" wrapText="1"/>
    </xf>
    <xf numFmtId="173" fontId="15" fillId="13" borderId="4" xfId="11" applyNumberFormat="1" applyFont="1" applyFill="1" applyBorder="1" applyAlignment="1" applyProtection="1">
      <alignment horizontal="center" vertical="center" wrapText="1"/>
    </xf>
    <xf numFmtId="173" fontId="15" fillId="13" borderId="4" xfId="11" applyNumberFormat="1" applyFont="1" applyFill="1" applyBorder="1" applyAlignment="1" applyProtection="1">
      <alignment horizontal="center" vertical="center" wrapText="1"/>
      <protection locked="0"/>
    </xf>
    <xf numFmtId="184" fontId="15" fillId="12" borderId="4" xfId="11" applyFont="1" applyFill="1" applyBorder="1" applyAlignment="1" applyProtection="1">
      <alignment horizontal="center" vertical="center" wrapText="1"/>
    </xf>
    <xf numFmtId="173" fontId="15" fillId="6" borderId="4" xfId="11" applyNumberFormat="1" applyFont="1" applyFill="1" applyBorder="1" applyAlignment="1" applyProtection="1">
      <alignment horizontal="center" vertical="center" wrapText="1"/>
    </xf>
    <xf numFmtId="173" fontId="15" fillId="6" borderId="4" xfId="11" applyNumberFormat="1" applyFont="1" applyFill="1" applyBorder="1" applyAlignment="1" applyProtection="1">
      <alignment horizontal="center" vertical="center" wrapText="1"/>
      <protection locked="0"/>
    </xf>
    <xf numFmtId="2" fontId="15" fillId="6" borderId="4" xfId="11" applyNumberFormat="1" applyFont="1" applyFill="1" applyBorder="1" applyAlignment="1" applyProtection="1">
      <alignment horizontal="center" vertical="center" wrapText="1"/>
      <protection locked="0"/>
    </xf>
    <xf numFmtId="188" fontId="36" fillId="6" borderId="15" xfId="9" applyNumberFormat="1" applyFont="1" applyFill="1" applyBorder="1" applyAlignment="1">
      <alignment vertical="center" wrapText="1"/>
    </xf>
    <xf numFmtId="188" fontId="36" fillId="6" borderId="34" xfId="9" applyNumberFormat="1" applyFont="1" applyFill="1" applyBorder="1" applyAlignment="1">
      <alignment vertical="center" wrapText="1"/>
    </xf>
    <xf numFmtId="189" fontId="15" fillId="13" borderId="5" xfId="2" applyNumberFormat="1" applyFont="1" applyFill="1" applyBorder="1" applyAlignment="1" applyProtection="1">
      <alignment horizontal="center" vertical="center" wrapText="1"/>
    </xf>
    <xf numFmtId="189" fontId="15" fillId="13" borderId="5" xfId="2" applyNumberFormat="1" applyFont="1" applyFill="1" applyBorder="1" applyAlignment="1" applyProtection="1">
      <alignment horizontal="left" vertical="center" wrapText="1"/>
      <protection locked="0"/>
    </xf>
    <xf numFmtId="173" fontId="15" fillId="13" borderId="5" xfId="11" applyNumberFormat="1" applyFont="1" applyFill="1" applyBorder="1" applyAlignment="1" applyProtection="1">
      <alignment horizontal="left" vertical="center" wrapText="1"/>
    </xf>
    <xf numFmtId="189" fontId="15" fillId="13" borderId="5" xfId="2" applyNumberFormat="1" applyFont="1" applyFill="1" applyBorder="1" applyAlignment="1" applyProtection="1">
      <alignment horizontal="left" vertical="center" wrapText="1"/>
    </xf>
    <xf numFmtId="173" fontId="15" fillId="13" borderId="5" xfId="2" applyNumberFormat="1" applyFont="1" applyFill="1" applyBorder="1" applyAlignment="1" applyProtection="1">
      <alignment horizontal="left" vertical="center" wrapText="1"/>
    </xf>
    <xf numFmtId="3" fontId="15" fillId="6" borderId="4" xfId="0" applyNumberFormat="1" applyFont="1" applyFill="1" applyBorder="1" applyAlignment="1">
      <alignment horizontal="center" vertical="center" wrapText="1"/>
    </xf>
    <xf numFmtId="170" fontId="15" fillId="12" borderId="5" xfId="7" applyNumberFormat="1" applyFont="1" applyFill="1" applyBorder="1" applyAlignment="1" applyProtection="1">
      <alignment horizontal="left" vertical="center" wrapText="1"/>
    </xf>
    <xf numFmtId="170" fontId="15" fillId="12" borderId="5" xfId="7" applyNumberFormat="1" applyFont="1" applyFill="1" applyBorder="1" applyAlignment="1" applyProtection="1">
      <alignment horizontal="left" vertical="center" wrapText="1"/>
      <protection locked="0"/>
    </xf>
    <xf numFmtId="0" fontId="15" fillId="12" borderId="13" xfId="0" applyFont="1" applyFill="1" applyBorder="1" applyAlignment="1">
      <alignment horizontal="center" vertical="center" wrapText="1"/>
    </xf>
    <xf numFmtId="184" fontId="15" fillId="12" borderId="8" xfId="11" applyFont="1" applyFill="1" applyBorder="1" applyAlignment="1" applyProtection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165" fontId="15" fillId="12" borderId="8" xfId="0" applyNumberFormat="1" applyFont="1" applyFill="1" applyBorder="1" applyAlignment="1">
      <alignment horizontal="center" vertical="center"/>
    </xf>
    <xf numFmtId="173" fontId="15" fillId="12" borderId="4" xfId="11" applyNumberFormat="1" applyFont="1" applyFill="1" applyBorder="1" applyAlignment="1" applyProtection="1">
      <alignment horizontal="center" vertical="center" wrapText="1"/>
    </xf>
    <xf numFmtId="173" fontId="15" fillId="12" borderId="4" xfId="11" applyNumberFormat="1" applyFont="1" applyFill="1" applyBorder="1" applyAlignment="1" applyProtection="1">
      <alignment horizontal="center" vertical="center" wrapText="1"/>
      <protection locked="0"/>
    </xf>
    <xf numFmtId="167" fontId="15" fillId="6" borderId="10" xfId="1" applyNumberFormat="1" applyFont="1" applyFill="1" applyBorder="1" applyAlignment="1" applyProtection="1">
      <alignment horizontal="center" vertical="center" wrapText="1"/>
      <protection locked="0"/>
    </xf>
    <xf numFmtId="167" fontId="3" fillId="6" borderId="4" xfId="1" applyNumberFormat="1" applyFont="1" applyFill="1" applyBorder="1" applyAlignment="1" applyProtection="1">
      <alignment horizontal="right" vertical="center"/>
    </xf>
    <xf numFmtId="0" fontId="14" fillId="13" borderId="36" xfId="8" applyFill="1" applyBorder="1" applyAlignment="1" applyProtection="1">
      <alignment horizontal="center" vertical="center" wrapText="1"/>
    </xf>
    <xf numFmtId="170" fontId="1" fillId="6" borderId="5" xfId="7" applyNumberFormat="1" applyFont="1" applyFill="1" applyBorder="1" applyAlignment="1" applyProtection="1">
      <alignment horizontal="left" vertical="center" wrapText="1"/>
    </xf>
    <xf numFmtId="170" fontId="1" fillId="13" borderId="5" xfId="7" applyNumberFormat="1" applyFont="1" applyFill="1" applyBorder="1" applyAlignment="1" applyProtection="1">
      <alignment horizontal="left" vertical="center" wrapText="1"/>
      <protection locked="0"/>
    </xf>
    <xf numFmtId="9" fontId="15" fillId="12" borderId="4" xfId="1" applyFont="1" applyFill="1" applyBorder="1" applyAlignment="1" applyProtection="1">
      <alignment horizontal="center" vertical="center"/>
    </xf>
    <xf numFmtId="10" fontId="15" fillId="12" borderId="4" xfId="0" applyNumberFormat="1" applyFont="1" applyFill="1" applyBorder="1" applyAlignment="1">
      <alignment horizontal="center" vertical="center" wrapText="1"/>
    </xf>
    <xf numFmtId="10" fontId="15" fillId="12" borderId="4" xfId="0" applyNumberFormat="1" applyFont="1" applyFill="1" applyBorder="1" applyAlignment="1" applyProtection="1">
      <alignment horizontal="center" vertical="center" wrapText="1"/>
      <protection locked="0"/>
    </xf>
    <xf numFmtId="0" fontId="14" fillId="13" borderId="37" xfId="8" applyFill="1" applyBorder="1" applyAlignment="1" applyProtection="1">
      <alignment horizontal="center" vertical="center" wrapText="1"/>
    </xf>
    <xf numFmtId="0" fontId="15" fillId="13" borderId="38" xfId="0" applyFont="1" applyFill="1" applyBorder="1" applyAlignment="1">
      <alignment horizontal="center" vertical="center" wrapText="1"/>
    </xf>
    <xf numFmtId="167" fontId="24" fillId="12" borderId="4" xfId="1" applyNumberFormat="1" applyFont="1" applyFill="1" applyBorder="1" applyAlignment="1" applyProtection="1">
      <alignment horizontal="center" vertical="center"/>
    </xf>
    <xf numFmtId="10" fontId="15" fillId="6" borderId="4" xfId="1" applyNumberFormat="1" applyFont="1" applyFill="1" applyBorder="1" applyAlignment="1" applyProtection="1">
      <alignment horizontal="center" vertical="center" wrapText="1"/>
    </xf>
    <xf numFmtId="10" fontId="15" fillId="9" borderId="4" xfId="1" applyNumberFormat="1" applyFont="1" applyFill="1" applyBorder="1" applyAlignment="1" applyProtection="1">
      <alignment horizontal="center" vertical="center" wrapText="1"/>
    </xf>
    <xf numFmtId="10" fontId="11" fillId="4" borderId="4" xfId="1" applyNumberFormat="1" applyFont="1" applyFill="1" applyBorder="1" applyAlignment="1" applyProtection="1">
      <alignment horizontal="center" vertical="center" wrapText="1"/>
    </xf>
    <xf numFmtId="1" fontId="15" fillId="9" borderId="4" xfId="7" applyNumberFormat="1" applyFont="1" applyFill="1" applyBorder="1" applyAlignment="1" applyProtection="1">
      <alignment horizontal="center" vertical="center" wrapText="1"/>
    </xf>
    <xf numFmtId="1" fontId="15" fillId="9" borderId="4" xfId="7" applyNumberFormat="1" applyFont="1" applyFill="1" applyBorder="1" applyAlignment="1" applyProtection="1">
      <alignment horizontal="center" vertical="center" wrapText="1"/>
      <protection locked="0"/>
    </xf>
    <xf numFmtId="184" fontId="15" fillId="7" borderId="4" xfId="11" applyFont="1" applyFill="1" applyBorder="1" applyAlignment="1" applyProtection="1">
      <alignment horizontal="center" vertical="center" wrapText="1"/>
      <protection locked="0"/>
    </xf>
    <xf numFmtId="9" fontId="9" fillId="7" borderId="3" xfId="1" applyFont="1" applyFill="1" applyBorder="1" applyAlignment="1" applyProtection="1">
      <alignment vertical="center" wrapText="1"/>
      <protection locked="0"/>
    </xf>
    <xf numFmtId="3" fontId="15" fillId="13" borderId="8" xfId="0" applyNumberFormat="1" applyFont="1" applyFill="1" applyBorder="1" applyAlignment="1">
      <alignment horizontal="center" vertical="center"/>
    </xf>
    <xf numFmtId="0" fontId="27" fillId="13" borderId="8" xfId="0" applyFont="1" applyFill="1" applyBorder="1" applyAlignment="1">
      <alignment horizontal="center" vertical="center" wrapText="1"/>
    </xf>
    <xf numFmtId="2" fontId="15" fillId="12" borderId="4" xfId="0" applyNumberFormat="1" applyFont="1" applyFill="1" applyBorder="1" applyAlignment="1">
      <alignment horizontal="center" vertical="center" wrapText="1"/>
    </xf>
    <xf numFmtId="2" fontId="15" fillId="12" borderId="4" xfId="0" applyNumberFormat="1" applyFont="1" applyFill="1" applyBorder="1" applyAlignment="1" applyProtection="1">
      <alignment horizontal="center" vertical="center" wrapText="1"/>
      <protection locked="0"/>
    </xf>
    <xf numFmtId="170" fontId="15" fillId="12" borderId="4" xfId="0" applyNumberFormat="1" applyFont="1" applyFill="1" applyBorder="1" applyAlignment="1">
      <alignment horizontal="center" vertical="center" wrapText="1"/>
    </xf>
    <xf numFmtId="170" fontId="15" fillId="12" borderId="4" xfId="0" applyNumberFormat="1" applyFont="1" applyFill="1" applyBorder="1" applyAlignment="1" applyProtection="1">
      <alignment horizontal="center" vertical="center" wrapText="1"/>
      <protection locked="0"/>
    </xf>
    <xf numFmtId="0" fontId="19" fillId="21" borderId="4" xfId="0" applyFont="1" applyFill="1" applyBorder="1" applyAlignment="1">
      <alignment horizontal="center" vertical="center" wrapText="1"/>
    </xf>
    <xf numFmtId="0" fontId="15" fillId="21" borderId="4" xfId="0" applyFont="1" applyFill="1" applyBorder="1" applyAlignment="1">
      <alignment horizontal="center" vertical="center" wrapText="1"/>
    </xf>
    <xf numFmtId="0" fontId="14" fillId="21" borderId="20" xfId="8" applyFill="1" applyBorder="1" applyAlignment="1" applyProtection="1">
      <alignment horizontal="center" vertical="center" wrapText="1"/>
    </xf>
    <xf numFmtId="0" fontId="15" fillId="21" borderId="4" xfId="0" applyFont="1" applyFill="1" applyBorder="1" applyAlignment="1">
      <alignment horizontal="center" vertical="center"/>
    </xf>
    <xf numFmtId="3" fontId="15" fillId="21" borderId="4" xfId="0" applyNumberFormat="1" applyFont="1" applyFill="1" applyBorder="1" applyAlignment="1">
      <alignment horizontal="center" vertical="center"/>
    </xf>
    <xf numFmtId="0" fontId="27" fillId="21" borderId="4" xfId="0" applyFont="1" applyFill="1" applyBorder="1" applyAlignment="1">
      <alignment horizontal="center" vertical="center" wrapText="1"/>
    </xf>
    <xf numFmtId="170" fontId="15" fillId="21" borderId="4" xfId="7" applyNumberFormat="1" applyFont="1" applyFill="1" applyBorder="1" applyAlignment="1" applyProtection="1">
      <alignment horizontal="center" vertical="center" wrapText="1"/>
    </xf>
    <xf numFmtId="170" fontId="15" fillId="21" borderId="4" xfId="7" applyNumberFormat="1" applyFont="1" applyFill="1" applyBorder="1" applyAlignment="1" applyProtection="1">
      <alignment horizontal="center" vertical="center" wrapText="1"/>
      <protection locked="0"/>
    </xf>
    <xf numFmtId="184" fontId="15" fillId="8" borderId="4" xfId="11" applyFont="1" applyFill="1" applyBorder="1" applyAlignment="1" applyProtection="1">
      <alignment horizontal="center" vertical="center" wrapText="1"/>
      <protection locked="0"/>
    </xf>
    <xf numFmtId="0" fontId="37" fillId="8" borderId="3" xfId="0" applyFont="1" applyFill="1" applyBorder="1" applyAlignment="1">
      <alignment horizontal="center" vertical="center" wrapText="1"/>
    </xf>
    <xf numFmtId="3" fontId="15" fillId="12" borderId="8" xfId="0" applyNumberFormat="1" applyFont="1" applyFill="1" applyBorder="1" applyAlignment="1">
      <alignment horizontal="center" vertical="center"/>
    </xf>
    <xf numFmtId="9" fontId="18" fillId="0" borderId="0" xfId="1" applyFont="1" applyAlignment="1">
      <alignment horizontal="center"/>
    </xf>
    <xf numFmtId="9" fontId="5" fillId="0" borderId="0" xfId="1" applyFont="1" applyAlignment="1">
      <alignment horizontal="center"/>
    </xf>
    <xf numFmtId="9" fontId="18" fillId="0" borderId="0" xfId="1" applyFont="1"/>
    <xf numFmtId="0" fontId="14" fillId="13" borderId="4" xfId="8" applyFill="1" applyBorder="1" applyAlignment="1">
      <alignment horizontal="center" vertical="center" wrapText="1"/>
    </xf>
    <xf numFmtId="173" fontId="15" fillId="13" borderId="4" xfId="11" applyNumberFormat="1" applyFont="1" applyFill="1" applyBorder="1" applyAlignment="1">
      <alignment horizontal="center" vertical="center" wrapText="1"/>
    </xf>
    <xf numFmtId="170" fontId="15" fillId="13" borderId="4" xfId="7" applyNumberFormat="1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 wrapText="1"/>
    </xf>
    <xf numFmtId="0" fontId="14" fillId="12" borderId="4" xfId="8" applyFill="1" applyBorder="1" applyAlignment="1">
      <alignment horizontal="center" vertical="center" wrapText="1"/>
    </xf>
    <xf numFmtId="175" fontId="24" fillId="12" borderId="4" xfId="0" applyNumberFormat="1" applyFont="1" applyFill="1" applyBorder="1" applyAlignment="1">
      <alignment horizontal="center" vertical="center"/>
    </xf>
    <xf numFmtId="165" fontId="24" fillId="12" borderId="4" xfId="0" applyNumberFormat="1" applyFont="1" applyFill="1" applyBorder="1" applyAlignment="1">
      <alignment horizontal="center" vertical="center"/>
    </xf>
    <xf numFmtId="173" fontId="15" fillId="12" borderId="4" xfId="11" applyNumberFormat="1" applyFont="1" applyFill="1" applyBorder="1" applyAlignment="1">
      <alignment horizontal="center" vertical="center" wrapText="1"/>
    </xf>
    <xf numFmtId="175" fontId="24" fillId="13" borderId="4" xfId="0" applyNumberFormat="1" applyFont="1" applyFill="1" applyBorder="1" applyAlignment="1">
      <alignment horizontal="center" vertical="center"/>
    </xf>
    <xf numFmtId="190" fontId="15" fillId="13" borderId="4" xfId="11" applyNumberFormat="1" applyFont="1" applyFill="1" applyBorder="1" applyAlignment="1">
      <alignment horizontal="center" vertical="center" wrapText="1"/>
    </xf>
    <xf numFmtId="190" fontId="15" fillId="13" borderId="4" xfId="11" applyNumberFormat="1" applyFont="1" applyFill="1" applyBorder="1" applyAlignment="1" applyProtection="1">
      <alignment horizontal="center" vertical="center" wrapText="1"/>
      <protection locked="0"/>
    </xf>
    <xf numFmtId="3" fontId="24" fillId="12" borderId="4" xfId="0" applyNumberFormat="1" applyFont="1" applyFill="1" applyBorder="1" applyAlignment="1">
      <alignment horizontal="center" vertical="center"/>
    </xf>
    <xf numFmtId="170" fontId="15" fillId="12" borderId="5" xfId="7" applyNumberFormat="1" applyFont="1" applyFill="1" applyBorder="1" applyAlignment="1">
      <alignment horizontal="left" vertical="center" wrapText="1"/>
    </xf>
    <xf numFmtId="41" fontId="15" fillId="12" borderId="4" xfId="7" applyFont="1" applyFill="1" applyBorder="1" applyAlignment="1">
      <alignment horizontal="center" vertical="center" wrapText="1"/>
    </xf>
    <xf numFmtId="3" fontId="24" fillId="13" borderId="4" xfId="0" applyNumberFormat="1" applyFont="1" applyFill="1" applyBorder="1" applyAlignment="1">
      <alignment horizontal="center" vertical="center"/>
    </xf>
    <xf numFmtId="41" fontId="15" fillId="13" borderId="4" xfId="7" applyFont="1" applyFill="1" applyBorder="1" applyAlignment="1">
      <alignment horizontal="center" vertical="center" wrapText="1"/>
    </xf>
    <xf numFmtId="173" fontId="15" fillId="12" borderId="5" xfId="11" applyNumberFormat="1" applyFont="1" applyFill="1" applyBorder="1" applyAlignment="1">
      <alignment horizontal="left" vertical="center" wrapText="1"/>
    </xf>
    <xf numFmtId="173" fontId="15" fillId="12" borderId="5" xfId="11" applyNumberFormat="1" applyFont="1" applyFill="1" applyBorder="1" applyAlignment="1" applyProtection="1">
      <alignment horizontal="left" vertical="center" wrapText="1"/>
      <protection locked="0"/>
    </xf>
    <xf numFmtId="173" fontId="15" fillId="12" borderId="5" xfId="11" applyNumberFormat="1" applyFont="1" applyFill="1" applyBorder="1" applyAlignment="1" applyProtection="1">
      <alignment horizontal="left" vertical="center" wrapText="1"/>
    </xf>
    <xf numFmtId="9" fontId="24" fillId="12" borderId="4" xfId="1" applyFont="1" applyFill="1" applyBorder="1" applyAlignment="1">
      <alignment horizontal="center" vertical="center"/>
    </xf>
    <xf numFmtId="10" fontId="15" fillId="12" borderId="5" xfId="1" applyNumberFormat="1" applyFont="1" applyFill="1" applyBorder="1" applyAlignment="1">
      <alignment horizontal="center" vertical="center" wrapText="1"/>
    </xf>
    <xf numFmtId="10" fontId="15" fillId="12" borderId="5" xfId="1" applyNumberFormat="1" applyFont="1" applyFill="1" applyBorder="1" applyAlignment="1" applyProtection="1">
      <alignment horizontal="left" vertical="center" wrapText="1"/>
      <protection locked="0"/>
    </xf>
    <xf numFmtId="167" fontId="15" fillId="12" borderId="5" xfId="1" applyNumberFormat="1" applyFont="1" applyFill="1" applyBorder="1" applyAlignment="1" applyProtection="1">
      <alignment horizontal="right" vertical="center" wrapText="1"/>
      <protection locked="0"/>
    </xf>
    <xf numFmtId="10" fontId="15" fillId="12" borderId="5" xfId="1" applyNumberFormat="1" applyFont="1" applyFill="1" applyBorder="1" applyAlignment="1" applyProtection="1">
      <alignment horizontal="center" vertical="center" wrapText="1"/>
    </xf>
    <xf numFmtId="10" fontId="15" fillId="12" borderId="4" xfId="1" applyNumberFormat="1" applyFont="1" applyFill="1" applyBorder="1" applyAlignment="1">
      <alignment horizontal="right" vertical="center" wrapText="1"/>
    </xf>
    <xf numFmtId="167" fontId="24" fillId="12" borderId="4" xfId="1" applyNumberFormat="1" applyFont="1" applyFill="1" applyBorder="1" applyAlignment="1">
      <alignment horizontal="center" vertical="center"/>
    </xf>
    <xf numFmtId="10" fontId="15" fillId="12" borderId="5" xfId="1" applyNumberFormat="1" applyFont="1" applyFill="1" applyBorder="1" applyAlignment="1" applyProtection="1">
      <alignment horizontal="center" vertical="center" wrapText="1"/>
      <protection locked="0"/>
    </xf>
    <xf numFmtId="9" fontId="15" fillId="12" borderId="5" xfId="1" applyFont="1" applyFill="1" applyBorder="1" applyAlignment="1" applyProtection="1">
      <alignment horizontal="center" vertical="center" wrapText="1"/>
      <protection locked="0"/>
    </xf>
    <xf numFmtId="167" fontId="15" fillId="12" borderId="4" xfId="1" applyNumberFormat="1" applyFont="1" applyFill="1" applyBorder="1" applyAlignment="1">
      <alignment horizontal="center" vertical="center" wrapText="1"/>
    </xf>
    <xf numFmtId="9" fontId="24" fillId="13" borderId="4" xfId="1" applyFont="1" applyFill="1" applyBorder="1" applyAlignment="1">
      <alignment horizontal="center" vertical="center"/>
    </xf>
    <xf numFmtId="10" fontId="15" fillId="13" borderId="4" xfId="1" applyNumberFormat="1" applyFont="1" applyFill="1" applyBorder="1" applyAlignment="1">
      <alignment horizontal="center" vertical="center" wrapText="1"/>
    </xf>
    <xf numFmtId="167" fontId="15" fillId="13" borderId="4" xfId="1" applyNumberFormat="1" applyFont="1" applyFill="1" applyBorder="1" applyAlignment="1">
      <alignment horizontal="center" vertical="center" wrapText="1"/>
    </xf>
    <xf numFmtId="10" fontId="15" fillId="12" borderId="4" xfId="1" applyNumberFormat="1" applyFont="1" applyFill="1" applyBorder="1" applyAlignment="1">
      <alignment horizontal="center" vertical="center" wrapText="1"/>
    </xf>
    <xf numFmtId="9" fontId="15" fillId="13" borderId="4" xfId="1" applyFont="1" applyFill="1" applyBorder="1" applyAlignment="1">
      <alignment horizontal="center" vertical="center" wrapText="1"/>
    </xf>
    <xf numFmtId="184" fontId="15" fillId="7" borderId="4" xfId="11" applyFont="1" applyFill="1" applyBorder="1" applyAlignment="1">
      <alignment horizontal="center" vertical="center" wrapText="1"/>
    </xf>
    <xf numFmtId="0" fontId="24" fillId="13" borderId="8" xfId="0" applyFont="1" applyFill="1" applyBorder="1" applyAlignment="1">
      <alignment horizontal="center" vertical="center" wrapText="1"/>
    </xf>
    <xf numFmtId="164" fontId="24" fillId="13" borderId="8" xfId="0" applyNumberFormat="1" applyFont="1" applyFill="1" applyBorder="1" applyAlignment="1">
      <alignment horizontal="center" vertical="center"/>
    </xf>
    <xf numFmtId="0" fontId="24" fillId="13" borderId="8" xfId="0" applyFont="1" applyFill="1" applyBorder="1" applyAlignment="1">
      <alignment horizontal="center" wrapText="1"/>
    </xf>
    <xf numFmtId="0" fontId="24" fillId="12" borderId="8" xfId="0" applyFont="1" applyFill="1" applyBorder="1" applyAlignment="1">
      <alignment horizontal="center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8" xfId="0" applyFont="1" applyFill="1" applyBorder="1" applyAlignment="1">
      <alignment horizontal="center" wrapText="1"/>
    </xf>
    <xf numFmtId="164" fontId="24" fillId="12" borderId="8" xfId="0" applyNumberFormat="1" applyFont="1" applyFill="1" applyBorder="1" applyAlignment="1">
      <alignment horizontal="center" vertical="center"/>
    </xf>
    <xf numFmtId="170" fontId="15" fillId="12" borderId="4" xfId="7" applyNumberFormat="1" applyFont="1" applyFill="1" applyBorder="1" applyAlignment="1">
      <alignment horizontal="center" vertical="center" wrapText="1"/>
    </xf>
    <xf numFmtId="0" fontId="14" fillId="13" borderId="8" xfId="8" applyFill="1" applyBorder="1" applyAlignment="1">
      <alignment horizontal="center" vertical="center" wrapText="1"/>
    </xf>
    <xf numFmtId="0" fontId="24" fillId="13" borderId="8" xfId="0" applyFont="1" applyFill="1" applyBorder="1" applyAlignment="1">
      <alignment horizontal="center" vertical="center"/>
    </xf>
    <xf numFmtId="171" fontId="15" fillId="13" borderId="4" xfId="7" applyNumberFormat="1" applyFont="1" applyFill="1" applyBorder="1" applyAlignment="1" applyProtection="1">
      <alignment horizontal="center" vertical="center" wrapText="1"/>
    </xf>
    <xf numFmtId="184" fontId="15" fillId="8" borderId="4" xfId="11" applyFont="1" applyFill="1" applyBorder="1" applyAlignment="1">
      <alignment horizontal="center" vertical="center" wrapText="1"/>
    </xf>
    <xf numFmtId="0" fontId="14" fillId="0" borderId="0" xfId="8"/>
    <xf numFmtId="165" fontId="15" fillId="12" borderId="4" xfId="0" applyNumberFormat="1" applyFont="1" applyFill="1" applyBorder="1" applyAlignment="1">
      <alignment horizontal="center" vertical="center" wrapText="1"/>
    </xf>
    <xf numFmtId="184" fontId="15" fillId="13" borderId="4" xfId="11" applyFont="1" applyFill="1" applyBorder="1" applyAlignment="1">
      <alignment horizontal="center" vertical="center" wrapText="1"/>
    </xf>
    <xf numFmtId="184" fontId="15" fillId="12" borderId="4" xfId="11" applyFont="1" applyFill="1" applyBorder="1" applyAlignment="1">
      <alignment horizontal="center" vertical="center" wrapText="1"/>
    </xf>
    <xf numFmtId="165" fontId="15" fillId="13" borderId="4" xfId="0" applyNumberFormat="1" applyFont="1" applyFill="1" applyBorder="1" applyAlignment="1">
      <alignment horizontal="center" vertical="center" wrapText="1"/>
    </xf>
    <xf numFmtId="170" fontId="15" fillId="13" borderId="5" xfId="7" applyNumberFormat="1" applyFont="1" applyFill="1" applyBorder="1" applyAlignment="1">
      <alignment horizontal="center" vertical="center" wrapText="1"/>
    </xf>
    <xf numFmtId="170" fontId="15" fillId="12" borderId="5" xfId="7" applyNumberFormat="1" applyFont="1" applyFill="1" applyBorder="1" applyAlignment="1">
      <alignment horizontal="center" vertical="center" wrapText="1"/>
    </xf>
    <xf numFmtId="0" fontId="15" fillId="13" borderId="5" xfId="2" applyFont="1" applyFill="1" applyBorder="1" applyAlignment="1">
      <alignment horizontal="center" vertical="center" wrapText="1"/>
    </xf>
    <xf numFmtId="0" fontId="14" fillId="22" borderId="4" xfId="8" applyFill="1" applyBorder="1" applyAlignment="1">
      <alignment horizontal="center" vertical="center" wrapText="1"/>
    </xf>
    <xf numFmtId="175" fontId="15" fillId="13" borderId="4" xfId="0" applyNumberFormat="1" applyFont="1" applyFill="1" applyBorder="1" applyAlignment="1">
      <alignment horizontal="center" vertical="center"/>
    </xf>
    <xf numFmtId="173" fontId="15" fillId="13" borderId="5" xfId="11" applyNumberFormat="1" applyFont="1" applyFill="1" applyBorder="1" applyAlignment="1">
      <alignment horizontal="left" vertical="center" wrapText="1"/>
    </xf>
    <xf numFmtId="173" fontId="15" fillId="13" borderId="5" xfId="11" applyNumberFormat="1" applyFont="1" applyFill="1" applyBorder="1" applyAlignment="1" applyProtection="1">
      <alignment horizontal="left" vertical="center" wrapText="1"/>
      <protection locked="0"/>
    </xf>
    <xf numFmtId="184" fontId="15" fillId="13" borderId="5" xfId="11" applyFont="1" applyFill="1" applyBorder="1" applyAlignment="1" applyProtection="1">
      <alignment horizontal="left" vertical="center" wrapText="1"/>
    </xf>
    <xf numFmtId="184" fontId="15" fillId="10" borderId="4" xfId="11" applyFont="1" applyFill="1" applyBorder="1" applyAlignment="1">
      <alignment horizontal="center" vertical="center" wrapText="1"/>
    </xf>
    <xf numFmtId="10" fontId="15" fillId="13" borderId="5" xfId="1" applyNumberFormat="1" applyFont="1" applyFill="1" applyBorder="1" applyAlignment="1">
      <alignment horizontal="center" vertical="center" wrapText="1"/>
    </xf>
    <xf numFmtId="10" fontId="15" fillId="13" borderId="5" xfId="1" applyNumberFormat="1" applyFont="1" applyFill="1" applyBorder="1" applyAlignment="1" applyProtection="1">
      <alignment horizontal="center" vertical="center" wrapText="1"/>
      <protection locked="0"/>
    </xf>
    <xf numFmtId="10" fontId="15" fillId="13" borderId="5" xfId="1" applyNumberFormat="1" applyFont="1" applyFill="1" applyBorder="1" applyAlignment="1" applyProtection="1">
      <alignment horizontal="center" vertical="center" wrapText="1"/>
    </xf>
    <xf numFmtId="10" fontId="15" fillId="13" borderId="4" xfId="11" applyNumberFormat="1" applyFont="1" applyFill="1" applyBorder="1" applyAlignment="1">
      <alignment horizontal="center" vertical="center" wrapText="1"/>
    </xf>
    <xf numFmtId="3" fontId="15" fillId="12" borderId="4" xfId="0" applyNumberFormat="1" applyFont="1" applyFill="1" applyBorder="1" applyAlignment="1">
      <alignment horizontal="center" vertical="center" wrapText="1"/>
    </xf>
    <xf numFmtId="0" fontId="14" fillId="12" borderId="8" xfId="8" applyFill="1" applyBorder="1" applyAlignment="1">
      <alignment horizontal="center" vertical="center" wrapText="1"/>
    </xf>
    <xf numFmtId="170" fontId="15" fillId="12" borderId="8" xfId="7" applyNumberFormat="1" applyFont="1" applyFill="1" applyBorder="1" applyAlignment="1">
      <alignment vertical="center"/>
    </xf>
    <xf numFmtId="0" fontId="15" fillId="12" borderId="8" xfId="0" applyFont="1" applyFill="1" applyBorder="1" applyAlignment="1">
      <alignment horizontal="center" wrapText="1"/>
    </xf>
    <xf numFmtId="164" fontId="15" fillId="12" borderId="8" xfId="0" applyNumberFormat="1" applyFont="1" applyFill="1" applyBorder="1" applyAlignment="1">
      <alignment horizontal="center" vertical="center" wrapText="1"/>
    </xf>
    <xf numFmtId="0" fontId="15" fillId="13" borderId="8" xfId="0" applyFont="1" applyFill="1" applyBorder="1" applyAlignment="1">
      <alignment horizontal="center" wrapText="1"/>
    </xf>
    <xf numFmtId="164" fontId="15" fillId="13" borderId="8" xfId="0" applyNumberFormat="1" applyFont="1" applyFill="1" applyBorder="1" applyAlignment="1">
      <alignment horizontal="center" vertical="center" wrapText="1"/>
    </xf>
    <xf numFmtId="0" fontId="19" fillId="12" borderId="4" xfId="0" applyFont="1" applyFill="1" applyBorder="1" applyAlignment="1">
      <alignment horizontal="center" vertical="center" wrapText="1"/>
    </xf>
    <xf numFmtId="0" fontId="14" fillId="22" borderId="8" xfId="8" applyFill="1" applyBorder="1" applyAlignment="1">
      <alignment horizontal="center" vertical="center" wrapText="1"/>
    </xf>
    <xf numFmtId="166" fontId="15" fillId="12" borderId="8" xfId="0" applyNumberFormat="1" applyFont="1" applyFill="1" applyBorder="1" applyAlignment="1">
      <alignment horizontal="center" vertical="center"/>
    </xf>
    <xf numFmtId="170" fontId="15" fillId="12" borderId="4" xfId="7" applyNumberFormat="1" applyFont="1" applyFill="1" applyBorder="1" applyAlignment="1">
      <alignment vertical="center" wrapText="1"/>
    </xf>
    <xf numFmtId="170" fontId="15" fillId="12" borderId="4" xfId="7" applyNumberFormat="1" applyFont="1" applyFill="1" applyBorder="1" applyAlignment="1" applyProtection="1">
      <alignment vertical="center" wrapText="1"/>
      <protection locked="0"/>
    </xf>
    <xf numFmtId="41" fontId="15" fillId="12" borderId="4" xfId="7" applyFont="1" applyFill="1" applyBorder="1" applyAlignment="1" applyProtection="1">
      <alignment vertical="center" wrapText="1"/>
    </xf>
    <xf numFmtId="170" fontId="15" fillId="10" borderId="4" xfId="7" applyNumberFormat="1" applyFont="1" applyFill="1" applyBorder="1" applyAlignment="1">
      <alignment horizontal="center" vertical="center" wrapText="1"/>
    </xf>
    <xf numFmtId="170" fontId="15" fillId="8" borderId="4" xfId="7" applyNumberFormat="1" applyFont="1" applyFill="1" applyBorder="1" applyAlignment="1">
      <alignment horizontal="center" vertical="center" wrapText="1"/>
    </xf>
    <xf numFmtId="0" fontId="22" fillId="13" borderId="0" xfId="0" applyFont="1" applyFill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 wrapText="1"/>
    </xf>
    <xf numFmtId="0" fontId="6" fillId="23" borderId="0" xfId="0" applyFont="1" applyFill="1" applyAlignment="1">
      <alignment horizontal="center" vertical="center" wrapText="1"/>
    </xf>
    <xf numFmtId="0" fontId="24" fillId="13" borderId="4" xfId="2" applyFont="1" applyFill="1" applyBorder="1" applyAlignment="1">
      <alignment horizontal="center" vertical="center" wrapText="1"/>
    </xf>
    <xf numFmtId="0" fontId="14" fillId="13" borderId="11" xfId="8" applyFill="1" applyBorder="1" applyAlignment="1">
      <alignment horizontal="center" vertical="center" wrapText="1"/>
    </xf>
    <xf numFmtId="0" fontId="24" fillId="13" borderId="8" xfId="2" applyFont="1" applyFill="1" applyBorder="1" applyAlignment="1">
      <alignment horizontal="center" vertical="center" wrapText="1"/>
    </xf>
    <xf numFmtId="3" fontId="24" fillId="13" borderId="8" xfId="2" applyNumberFormat="1" applyFont="1" applyFill="1" applyBorder="1" applyAlignment="1">
      <alignment horizontal="center" vertical="center" wrapText="1"/>
    </xf>
    <xf numFmtId="0" fontId="24" fillId="13" borderId="4" xfId="0" applyFont="1" applyFill="1" applyBorder="1" applyAlignment="1">
      <alignment horizontal="center" wrapText="1"/>
    </xf>
    <xf numFmtId="0" fontId="24" fillId="12" borderId="5" xfId="2" applyFont="1" applyFill="1" applyBorder="1" applyAlignment="1">
      <alignment horizontal="center" vertical="center" wrapText="1"/>
    </xf>
    <xf numFmtId="0" fontId="14" fillId="12" borderId="11" xfId="8" applyFill="1" applyBorder="1" applyAlignment="1">
      <alignment horizontal="center" vertical="center" wrapText="1"/>
    </xf>
    <xf numFmtId="0" fontId="24" fillId="12" borderId="8" xfId="2" applyFont="1" applyFill="1" applyBorder="1" applyAlignment="1">
      <alignment horizontal="center" vertical="center" wrapText="1"/>
    </xf>
    <xf numFmtId="42" fontId="24" fillId="12" borderId="8" xfId="9" applyFont="1" applyFill="1" applyBorder="1" applyAlignment="1">
      <alignment horizontal="center" vertical="center" wrapText="1"/>
    </xf>
    <xf numFmtId="0" fontId="24" fillId="12" borderId="4" xfId="0" applyFont="1" applyFill="1" applyBorder="1" applyAlignment="1">
      <alignment horizontal="center" wrapText="1"/>
    </xf>
    <xf numFmtId="0" fontId="14" fillId="13" borderId="14" xfId="8" applyFill="1" applyBorder="1" applyAlignment="1">
      <alignment horizontal="center" vertical="center" wrapText="1"/>
    </xf>
    <xf numFmtId="42" fontId="24" fillId="13" borderId="8" xfId="9" applyFont="1" applyFill="1" applyBorder="1" applyAlignment="1">
      <alignment horizontal="center" vertical="center" wrapText="1"/>
    </xf>
    <xf numFmtId="169" fontId="15" fillId="12" borderId="5" xfId="2" applyNumberFormat="1" applyFont="1" applyFill="1" applyBorder="1" applyAlignment="1">
      <alignment horizontal="left" vertical="center" wrapText="1"/>
    </xf>
    <xf numFmtId="41" fontId="15" fillId="13" borderId="4" xfId="7" applyFont="1" applyFill="1" applyBorder="1" applyAlignment="1" applyProtection="1">
      <alignment horizontal="center" vertical="center" wrapText="1"/>
      <protection locked="0"/>
    </xf>
    <xf numFmtId="0" fontId="24" fillId="12" borderId="19" xfId="2" applyFont="1" applyFill="1" applyBorder="1" applyAlignment="1">
      <alignment horizontal="center" vertical="center" wrapText="1"/>
    </xf>
    <xf numFmtId="41" fontId="15" fillId="12" borderId="5" xfId="7" applyFont="1" applyFill="1" applyBorder="1" applyAlignment="1">
      <alignment horizontal="center" vertical="center" wrapText="1"/>
    </xf>
    <xf numFmtId="41" fontId="15" fillId="12" borderId="5" xfId="7" applyFont="1" applyFill="1" applyBorder="1" applyAlignment="1" applyProtection="1">
      <alignment horizontal="center" vertical="center" wrapText="1"/>
      <protection locked="0"/>
    </xf>
    <xf numFmtId="42" fontId="24" fillId="13" borderId="4" xfId="9" applyFont="1" applyFill="1" applyBorder="1" applyAlignment="1">
      <alignment horizontal="center" vertical="center" wrapText="1"/>
    </xf>
    <xf numFmtId="9" fontId="24" fillId="13" borderId="4" xfId="0" applyNumberFormat="1" applyFont="1" applyFill="1" applyBorder="1" applyAlignment="1">
      <alignment horizontal="center" vertical="center" wrapText="1"/>
    </xf>
    <xf numFmtId="0" fontId="24" fillId="13" borderId="4" xfId="0" applyFont="1" applyFill="1" applyBorder="1" applyAlignment="1">
      <alignment vertical="center" wrapText="1"/>
    </xf>
    <xf numFmtId="41" fontId="24" fillId="12" borderId="19" xfId="7" applyFont="1" applyFill="1" applyBorder="1" applyAlignment="1">
      <alignment horizontal="center" vertical="center" wrapText="1"/>
    </xf>
    <xf numFmtId="0" fontId="24" fillId="13" borderId="5" xfId="0" applyFont="1" applyFill="1" applyBorder="1" applyAlignment="1">
      <alignment horizontal="center" vertical="center" wrapText="1"/>
    </xf>
    <xf numFmtId="165" fontId="14" fillId="13" borderId="4" xfId="8" applyNumberFormat="1" applyFill="1" applyBorder="1" applyAlignment="1">
      <alignment horizontal="center" vertical="center" wrapText="1"/>
    </xf>
    <xf numFmtId="167" fontId="24" fillId="13" borderId="4" xfId="1" applyNumberFormat="1" applyFont="1" applyFill="1" applyBorder="1" applyAlignment="1">
      <alignment horizontal="center" vertical="center"/>
    </xf>
    <xf numFmtId="0" fontId="24" fillId="13" borderId="7" xfId="0" applyFont="1" applyFill="1" applyBorder="1" applyAlignment="1">
      <alignment horizontal="center" vertical="center" wrapText="1"/>
    </xf>
    <xf numFmtId="165" fontId="14" fillId="12" borderId="4" xfId="8" applyNumberFormat="1" applyFill="1" applyBorder="1" applyAlignment="1">
      <alignment horizontal="center" vertical="center" wrapText="1"/>
    </xf>
    <xf numFmtId="9" fontId="24" fillId="12" borderId="4" xfId="0" applyNumberFormat="1" applyFont="1" applyFill="1" applyBorder="1" applyAlignment="1">
      <alignment horizontal="center" vertical="center" wrapText="1"/>
    </xf>
    <xf numFmtId="9" fontId="15" fillId="12" borderId="4" xfId="1" applyFont="1" applyFill="1" applyBorder="1" applyAlignment="1">
      <alignment horizontal="center" vertical="center" wrapText="1"/>
    </xf>
    <xf numFmtId="0" fontId="15" fillId="12" borderId="19" xfId="2" applyFont="1" applyFill="1" applyBorder="1" applyAlignment="1">
      <alignment horizontal="center" vertical="center" wrapText="1"/>
    </xf>
    <xf numFmtId="0" fontId="14" fillId="12" borderId="19" xfId="8" applyFill="1" applyBorder="1" applyAlignment="1">
      <alignment horizontal="center" vertical="center" wrapText="1"/>
    </xf>
    <xf numFmtId="41" fontId="15" fillId="12" borderId="4" xfId="7" applyFont="1" applyFill="1" applyBorder="1" applyAlignment="1" applyProtection="1">
      <alignment horizontal="center" vertical="center" wrapText="1"/>
      <protection locked="0"/>
    </xf>
    <xf numFmtId="172" fontId="15" fillId="13" borderId="4" xfId="7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19" fillId="13" borderId="5" xfId="0" applyFont="1" applyFill="1" applyBorder="1" applyAlignment="1">
      <alignment horizontal="center" vertical="center" wrapText="1"/>
    </xf>
    <xf numFmtId="0" fontId="20" fillId="12" borderId="19" xfId="2" applyFont="1" applyFill="1" applyBorder="1" applyAlignment="1">
      <alignment horizontal="center" vertical="center" wrapText="1"/>
    </xf>
    <xf numFmtId="182" fontId="15" fillId="12" borderId="4" xfId="7" applyNumberFormat="1" applyFont="1" applyFill="1" applyBorder="1" applyAlignment="1">
      <alignment horizontal="center" vertical="center" wrapText="1"/>
    </xf>
    <xf numFmtId="182" fontId="15" fillId="12" borderId="4" xfId="7" applyNumberFormat="1" applyFont="1" applyFill="1" applyBorder="1" applyAlignment="1" applyProtection="1">
      <alignment horizontal="center" vertical="center" wrapText="1"/>
      <protection locked="0"/>
    </xf>
    <xf numFmtId="192" fontId="5" fillId="0" borderId="0" xfId="1" applyNumberFormat="1" applyFont="1"/>
    <xf numFmtId="184" fontId="24" fillId="5" borderId="4" xfId="11" applyFont="1" applyFill="1" applyBorder="1" applyAlignment="1">
      <alignment horizontal="center" vertical="center" wrapText="1"/>
    </xf>
    <xf numFmtId="184" fontId="15" fillId="6" borderId="4" xfId="11" applyFont="1" applyFill="1" applyBorder="1" applyAlignment="1">
      <alignment horizontal="center" vertical="center" wrapText="1"/>
    </xf>
    <xf numFmtId="184" fontId="15" fillId="6" borderId="4" xfId="11" applyFont="1" applyFill="1" applyBorder="1" applyAlignment="1" applyProtection="1">
      <alignment horizontal="center" vertical="center" wrapText="1"/>
      <protection locked="0"/>
    </xf>
    <xf numFmtId="173" fontId="15" fillId="6" borderId="4" xfId="11" applyNumberFormat="1" applyFont="1" applyFill="1" applyBorder="1" applyAlignment="1">
      <alignment horizontal="right" vertical="center" wrapText="1"/>
    </xf>
    <xf numFmtId="173" fontId="24" fillId="16" borderId="4" xfId="11" applyNumberFormat="1" applyFont="1" applyFill="1" applyBorder="1" applyAlignment="1">
      <alignment horizontal="center" vertical="center"/>
    </xf>
    <xf numFmtId="173" fontId="15" fillId="16" borderId="4" xfId="11" applyNumberFormat="1" applyFont="1" applyFill="1" applyBorder="1" applyAlignment="1">
      <alignment horizontal="center" vertical="center" wrapText="1"/>
    </xf>
    <xf numFmtId="173" fontId="15" fillId="16" borderId="4" xfId="11" applyNumberFormat="1" applyFont="1" applyFill="1" applyBorder="1" applyAlignment="1" applyProtection="1">
      <alignment horizontal="center" vertical="center" wrapText="1"/>
      <protection locked="0"/>
    </xf>
    <xf numFmtId="173" fontId="24" fillId="9" borderId="4" xfId="11" applyNumberFormat="1" applyFont="1" applyFill="1" applyBorder="1" applyAlignment="1">
      <alignment horizontal="center" vertical="center"/>
    </xf>
    <xf numFmtId="173" fontId="15" fillId="9" borderId="4" xfId="11" applyNumberFormat="1" applyFont="1" applyFill="1" applyBorder="1" applyAlignment="1">
      <alignment horizontal="center" vertical="center" wrapText="1"/>
    </xf>
    <xf numFmtId="173" fontId="15" fillId="9" borderId="4" xfId="11" applyNumberFormat="1" applyFont="1" applyFill="1" applyBorder="1" applyAlignment="1" applyProtection="1">
      <alignment horizontal="center" vertical="center" wrapText="1"/>
      <protection locked="0"/>
    </xf>
    <xf numFmtId="173" fontId="24" fillId="16" borderId="4" xfId="11" applyNumberFormat="1" applyFont="1" applyFill="1" applyBorder="1" applyAlignment="1">
      <alignment horizontal="center" vertical="center" wrapText="1"/>
    </xf>
    <xf numFmtId="173" fontId="24" fillId="9" borderId="4" xfId="11" applyNumberFormat="1" applyFont="1" applyFill="1" applyBorder="1" applyAlignment="1">
      <alignment horizontal="center" vertical="center" wrapText="1"/>
    </xf>
    <xf numFmtId="177" fontId="15" fillId="16" borderId="4" xfId="11" applyNumberFormat="1" applyFont="1" applyFill="1" applyBorder="1" applyAlignment="1">
      <alignment horizontal="center" vertical="center" wrapText="1"/>
    </xf>
    <xf numFmtId="178" fontId="15" fillId="16" borderId="4" xfId="11" applyNumberFormat="1" applyFont="1" applyFill="1" applyBorder="1" applyAlignment="1">
      <alignment horizontal="center" vertical="center" wrapText="1"/>
    </xf>
    <xf numFmtId="173" fontId="15" fillId="9" borderId="10" xfId="11" applyNumberFormat="1" applyFont="1" applyFill="1" applyBorder="1" applyAlignment="1">
      <alignment horizontal="center" vertical="center" wrapText="1"/>
    </xf>
    <xf numFmtId="173" fontId="15" fillId="9" borderId="10" xfId="11" applyNumberFormat="1" applyFont="1" applyFill="1" applyBorder="1" applyAlignment="1" applyProtection="1">
      <alignment horizontal="center" vertical="center" wrapText="1"/>
      <protection locked="0"/>
    </xf>
    <xf numFmtId="44" fontId="0" fillId="0" borderId="0" xfId="0" applyNumberFormat="1"/>
    <xf numFmtId="9" fontId="5" fillId="0" borderId="0" xfId="1" applyFont="1" applyAlignment="1">
      <alignment wrapText="1"/>
    </xf>
    <xf numFmtId="0" fontId="39" fillId="0" borderId="0" xfId="0" applyFont="1"/>
    <xf numFmtId="0" fontId="39" fillId="0" borderId="0" xfId="0" applyFont="1" applyAlignment="1">
      <alignment wrapText="1"/>
    </xf>
    <xf numFmtId="173" fontId="24" fillId="5" borderId="4" xfId="11" applyNumberFormat="1" applyFont="1" applyFill="1" applyBorder="1" applyAlignment="1">
      <alignment horizontal="center" vertical="center" wrapText="1"/>
    </xf>
    <xf numFmtId="173" fontId="15" fillId="6" borderId="4" xfId="11" applyNumberFormat="1" applyFont="1" applyFill="1" applyBorder="1" applyAlignment="1">
      <alignment horizontal="center" vertical="center" wrapText="1"/>
    </xf>
    <xf numFmtId="173" fontId="15" fillId="6" borderId="4" xfId="11" applyNumberFormat="1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9" fontId="15" fillId="6" borderId="4" xfId="1" applyFont="1" applyFill="1" applyBorder="1" applyAlignment="1">
      <alignment horizontal="center" vertical="center"/>
    </xf>
    <xf numFmtId="173" fontId="15" fillId="5" borderId="4" xfId="11" applyNumberFormat="1" applyFont="1" applyFill="1" applyBorder="1" applyAlignment="1" applyProtection="1">
      <alignment horizontal="center" vertical="center" wrapText="1"/>
      <protection locked="0"/>
    </xf>
    <xf numFmtId="185" fontId="15" fillId="6" borderId="4" xfId="11" applyNumberFormat="1" applyFont="1" applyFill="1" applyBorder="1" applyAlignment="1">
      <alignment horizontal="center" vertical="center" wrapText="1"/>
    </xf>
    <xf numFmtId="185" fontId="15" fillId="5" borderId="4" xfId="11" applyNumberFormat="1" applyFont="1" applyFill="1" applyBorder="1" applyAlignment="1" applyProtection="1">
      <alignment horizontal="center" vertical="center" wrapText="1"/>
      <protection locked="0"/>
    </xf>
    <xf numFmtId="185" fontId="15" fillId="6" borderId="4" xfId="7" applyNumberFormat="1" applyFont="1" applyFill="1" applyBorder="1" applyAlignment="1">
      <alignment horizontal="center" vertical="center" wrapText="1"/>
    </xf>
    <xf numFmtId="173" fontId="15" fillId="5" borderId="4" xfId="11" applyNumberFormat="1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wrapText="1"/>
    </xf>
    <xf numFmtId="165" fontId="15" fillId="5" borderId="4" xfId="0" applyNumberFormat="1" applyFont="1" applyFill="1" applyBorder="1" applyAlignment="1">
      <alignment horizontal="center" vertical="center"/>
    </xf>
    <xf numFmtId="173" fontId="15" fillId="5" borderId="4" xfId="11" applyNumberFormat="1" applyFont="1" applyFill="1" applyBorder="1" applyAlignment="1">
      <alignment horizontal="center" vertical="center" wrapText="1"/>
    </xf>
    <xf numFmtId="173" fontId="15" fillId="5" borderId="4" xfId="11" applyNumberFormat="1" applyFont="1" applyFill="1" applyBorder="1" applyAlignment="1" applyProtection="1">
      <alignment horizontal="center" vertical="center" wrapText="1"/>
    </xf>
    <xf numFmtId="165" fontId="15" fillId="6" borderId="4" xfId="0" applyNumberFormat="1" applyFont="1" applyFill="1" applyBorder="1" applyAlignment="1">
      <alignment horizontal="center" vertical="center"/>
    </xf>
    <xf numFmtId="164" fontId="15" fillId="5" borderId="4" xfId="0" applyNumberFormat="1" applyFont="1" applyFill="1" applyBorder="1" applyAlignment="1">
      <alignment horizontal="center" vertical="center"/>
    </xf>
    <xf numFmtId="173" fontId="15" fillId="24" borderId="4" xfId="11" applyNumberFormat="1" applyFont="1" applyFill="1" applyBorder="1" applyAlignment="1">
      <alignment horizontal="center" vertical="center"/>
    </xf>
    <xf numFmtId="170" fontId="15" fillId="6" borderId="4" xfId="0" applyNumberFormat="1" applyFont="1" applyFill="1" applyBorder="1" applyAlignment="1">
      <alignment horizontal="center" vertical="center"/>
    </xf>
    <xf numFmtId="170" fontId="15" fillId="6" borderId="4" xfId="7" applyNumberFormat="1" applyFont="1" applyFill="1" applyBorder="1" applyAlignment="1" applyProtection="1">
      <alignment horizontal="center" vertical="center" wrapText="1"/>
    </xf>
    <xf numFmtId="170" fontId="15" fillId="5" borderId="4" xfId="0" applyNumberFormat="1" applyFont="1" applyFill="1" applyBorder="1" applyAlignment="1">
      <alignment horizontal="center" vertical="center"/>
    </xf>
    <xf numFmtId="170" fontId="15" fillId="5" borderId="4" xfId="7" applyNumberFormat="1" applyFont="1" applyFill="1" applyBorder="1" applyAlignment="1" applyProtection="1">
      <alignment horizontal="center" vertical="center" wrapText="1"/>
      <protection locked="0"/>
    </xf>
    <xf numFmtId="170" fontId="15" fillId="5" borderId="4" xfId="7" applyNumberFormat="1" applyFont="1" applyFill="1" applyBorder="1" applyAlignment="1" applyProtection="1">
      <alignment horizontal="center" vertical="center" wrapText="1"/>
    </xf>
    <xf numFmtId="0" fontId="14" fillId="24" borderId="4" xfId="8" applyFill="1" applyBorder="1" applyAlignment="1">
      <alignment horizontal="center" vertical="center" wrapText="1"/>
    </xf>
    <xf numFmtId="0" fontId="15" fillId="24" borderId="4" xfId="0" applyFont="1" applyFill="1" applyBorder="1" applyAlignment="1">
      <alignment horizontal="center" vertical="center" wrapText="1"/>
    </xf>
    <xf numFmtId="10" fontId="15" fillId="24" borderId="4" xfId="1" applyNumberFormat="1" applyFont="1" applyFill="1" applyBorder="1" applyAlignment="1">
      <alignment horizontal="center" vertical="center"/>
    </xf>
    <xf numFmtId="0" fontId="15" fillId="24" borderId="4" xfId="0" applyFont="1" applyFill="1" applyBorder="1" applyAlignment="1">
      <alignment horizontal="center" wrapText="1"/>
    </xf>
    <xf numFmtId="164" fontId="15" fillId="24" borderId="4" xfId="0" applyNumberFormat="1" applyFont="1" applyFill="1" applyBorder="1" applyAlignment="1">
      <alignment horizontal="center" vertical="center"/>
    </xf>
    <xf numFmtId="10" fontId="15" fillId="24" borderId="4" xfId="1" applyNumberFormat="1" applyFont="1" applyFill="1" applyBorder="1" applyAlignment="1">
      <alignment horizontal="center" vertical="center" wrapText="1"/>
    </xf>
    <xf numFmtId="10" fontId="15" fillId="24" borderId="4" xfId="1" applyNumberFormat="1" applyFont="1" applyFill="1" applyBorder="1" applyAlignment="1" applyProtection="1">
      <alignment horizontal="center" vertical="center" wrapText="1"/>
      <protection locked="0"/>
    </xf>
    <xf numFmtId="10" fontId="15" fillId="24" borderId="4" xfId="1" applyNumberFormat="1" applyFont="1" applyFill="1" applyBorder="1" applyAlignment="1" applyProtection="1">
      <alignment horizontal="center" vertical="center" wrapText="1"/>
    </xf>
    <xf numFmtId="170" fontId="15" fillId="16" borderId="4" xfId="0" applyNumberFormat="1" applyFont="1" applyFill="1" applyBorder="1" applyAlignment="1">
      <alignment horizontal="center" vertical="center"/>
    </xf>
    <xf numFmtId="0" fontId="15" fillId="16" borderId="4" xfId="0" applyFont="1" applyFill="1" applyBorder="1" applyAlignment="1">
      <alignment horizontal="center" wrapText="1"/>
    </xf>
    <xf numFmtId="164" fontId="15" fillId="16" borderId="4" xfId="0" applyNumberFormat="1" applyFont="1" applyFill="1" applyBorder="1" applyAlignment="1">
      <alignment horizontal="center" vertical="center"/>
    </xf>
    <xf numFmtId="170" fontId="15" fillId="16" borderId="4" xfId="7" applyNumberFormat="1" applyFont="1" applyFill="1" applyBorder="1" applyAlignment="1" applyProtection="1">
      <alignment horizontal="center" vertical="center" wrapText="1"/>
    </xf>
    <xf numFmtId="167" fontId="15" fillId="5" borderId="4" xfId="1" applyNumberFormat="1" applyFont="1" applyFill="1" applyBorder="1" applyAlignment="1">
      <alignment horizontal="center" vertical="center"/>
    </xf>
    <xf numFmtId="10" fontId="15" fillId="5" borderId="4" xfId="1" applyNumberFormat="1" applyFont="1" applyFill="1" applyBorder="1" applyAlignment="1" applyProtection="1">
      <alignment horizontal="center" vertical="center" wrapText="1"/>
      <protection locked="0"/>
    </xf>
    <xf numFmtId="10" fontId="15" fillId="5" borderId="4" xfId="1" applyNumberFormat="1" applyFont="1" applyFill="1" applyBorder="1" applyAlignment="1" applyProtection="1">
      <alignment horizontal="center" vertical="center" wrapText="1"/>
    </xf>
    <xf numFmtId="9" fontId="15" fillId="24" borderId="4" xfId="0" applyNumberFormat="1" applyFont="1" applyFill="1" applyBorder="1" applyAlignment="1">
      <alignment horizontal="center" vertical="center"/>
    </xf>
    <xf numFmtId="9" fontId="15" fillId="5" borderId="4" xfId="0" applyNumberFormat="1" applyFont="1" applyFill="1" applyBorder="1" applyAlignment="1">
      <alignment horizontal="center" vertical="center"/>
    </xf>
    <xf numFmtId="0" fontId="15" fillId="24" borderId="5" xfId="2" applyFont="1" applyFill="1" applyBorder="1" applyAlignment="1">
      <alignment horizontal="center" vertical="center" wrapText="1"/>
    </xf>
    <xf numFmtId="3" fontId="15" fillId="24" borderId="4" xfId="0" applyNumberFormat="1" applyFont="1" applyFill="1" applyBorder="1" applyAlignment="1">
      <alignment horizontal="center" vertical="center"/>
    </xf>
    <xf numFmtId="184" fontId="15" fillId="24" borderId="4" xfId="11" applyFont="1" applyFill="1" applyBorder="1" applyAlignment="1">
      <alignment horizontal="center" vertical="center" wrapText="1"/>
    </xf>
    <xf numFmtId="184" fontId="15" fillId="24" borderId="4" xfId="11" applyFont="1" applyFill="1" applyBorder="1" applyAlignment="1" applyProtection="1">
      <alignment horizontal="center" vertical="center" wrapText="1"/>
      <protection locked="0"/>
    </xf>
    <xf numFmtId="184" fontId="15" fillId="24" borderId="4" xfId="11" applyFont="1" applyFill="1" applyBorder="1" applyAlignment="1" applyProtection="1">
      <alignment horizontal="center" vertical="center" wrapText="1"/>
    </xf>
    <xf numFmtId="173" fontId="15" fillId="24" borderId="10" xfId="11" applyNumberFormat="1" applyFont="1" applyFill="1" applyBorder="1" applyAlignment="1">
      <alignment horizontal="center" vertical="center" wrapText="1"/>
    </xf>
    <xf numFmtId="173" fontId="15" fillId="24" borderId="10" xfId="11" applyNumberFormat="1" applyFont="1" applyFill="1" applyBorder="1" applyAlignment="1" applyProtection="1">
      <alignment horizontal="center" vertical="center" wrapText="1"/>
      <protection locked="0"/>
    </xf>
    <xf numFmtId="173" fontId="15" fillId="24" borderId="10" xfId="11" applyNumberFormat="1" applyFont="1" applyFill="1" applyBorder="1" applyAlignment="1" applyProtection="1">
      <alignment horizontal="center" vertical="center" wrapText="1"/>
    </xf>
    <xf numFmtId="0" fontId="15" fillId="24" borderId="4" xfId="2" applyFont="1" applyFill="1" applyBorder="1" applyAlignment="1">
      <alignment horizontal="center" vertical="center" wrapText="1"/>
    </xf>
    <xf numFmtId="170" fontId="15" fillId="16" borderId="4" xfId="7" applyNumberFormat="1" applyFont="1" applyFill="1" applyBorder="1" applyAlignment="1">
      <alignment vertical="center"/>
    </xf>
    <xf numFmtId="170" fontId="15" fillId="24" borderId="10" xfId="7" applyNumberFormat="1" applyFont="1" applyFill="1" applyBorder="1" applyAlignment="1">
      <alignment horizontal="center" vertical="center" wrapText="1"/>
    </xf>
    <xf numFmtId="170" fontId="15" fillId="24" borderId="10" xfId="7" applyNumberFormat="1" applyFont="1" applyFill="1" applyBorder="1" applyAlignment="1" applyProtection="1">
      <alignment horizontal="center" vertical="center" wrapText="1"/>
      <protection locked="0"/>
    </xf>
    <xf numFmtId="170" fontId="15" fillId="24" borderId="10" xfId="7" applyNumberFormat="1" applyFont="1" applyFill="1" applyBorder="1" applyAlignment="1" applyProtection="1">
      <alignment horizontal="center" vertical="center" wrapText="1"/>
    </xf>
    <xf numFmtId="9" fontId="15" fillId="16" borderId="4" xfId="1" applyFont="1" applyFill="1" applyBorder="1" applyAlignment="1">
      <alignment horizontal="center" vertical="center"/>
    </xf>
    <xf numFmtId="10" fontId="15" fillId="24" borderId="10" xfId="1" applyNumberFormat="1" applyFont="1" applyFill="1" applyBorder="1" applyAlignment="1">
      <alignment horizontal="center" vertical="center" wrapText="1"/>
    </xf>
    <xf numFmtId="10" fontId="15" fillId="24" borderId="10" xfId="1" applyNumberFormat="1" applyFont="1" applyFill="1" applyBorder="1" applyAlignment="1" applyProtection="1">
      <alignment horizontal="center" vertical="center" wrapText="1"/>
      <protection locked="0"/>
    </xf>
    <xf numFmtId="10" fontId="15" fillId="24" borderId="10" xfId="1" applyNumberFormat="1" applyFont="1" applyFill="1" applyBorder="1" applyAlignment="1" applyProtection="1">
      <alignment horizontal="center" vertical="center" wrapText="1"/>
    </xf>
    <xf numFmtId="10" fontId="41" fillId="7" borderId="10" xfId="1" applyNumberFormat="1" applyFont="1" applyFill="1" applyBorder="1" applyAlignment="1">
      <alignment vertical="center" wrapText="1"/>
    </xf>
    <xf numFmtId="10" fontId="41" fillId="7" borderId="10" xfId="1" applyNumberFormat="1" applyFont="1" applyFill="1" applyBorder="1" applyAlignment="1" applyProtection="1">
      <alignment vertical="center" wrapText="1"/>
      <protection locked="0"/>
    </xf>
    <xf numFmtId="9" fontId="41" fillId="7" borderId="10" xfId="1" applyFont="1" applyFill="1" applyBorder="1" applyAlignment="1" applyProtection="1">
      <alignment vertical="center" wrapText="1"/>
      <protection locked="0"/>
    </xf>
    <xf numFmtId="10" fontId="41" fillId="7" borderId="10" xfId="1" applyNumberFormat="1" applyFont="1" applyFill="1" applyBorder="1" applyAlignment="1" applyProtection="1">
      <alignment vertical="center" wrapText="1"/>
    </xf>
    <xf numFmtId="9" fontId="41" fillId="7" borderId="10" xfId="1" applyFont="1" applyFill="1" applyBorder="1" applyAlignment="1" applyProtection="1">
      <alignment vertical="center" wrapText="1"/>
    </xf>
    <xf numFmtId="9" fontId="41" fillId="7" borderId="10" xfId="1" applyFont="1" applyFill="1" applyBorder="1" applyAlignment="1">
      <alignment vertical="center" wrapText="1"/>
    </xf>
    <xf numFmtId="0" fontId="14" fillId="6" borderId="39" xfId="8" applyFill="1" applyBorder="1" applyAlignment="1">
      <alignment horizontal="center" vertical="center" wrapText="1"/>
    </xf>
    <xf numFmtId="0" fontId="15" fillId="6" borderId="39" xfId="0" applyFont="1" applyFill="1" applyBorder="1" applyAlignment="1">
      <alignment horizontal="center" vertical="center" wrapText="1"/>
    </xf>
    <xf numFmtId="9" fontId="15" fillId="6" borderId="39" xfId="0" applyNumberFormat="1" applyFont="1" applyFill="1" applyBorder="1" applyAlignment="1">
      <alignment horizontal="center" vertical="center" wrapText="1"/>
    </xf>
    <xf numFmtId="165" fontId="15" fillId="6" borderId="39" xfId="0" applyNumberFormat="1" applyFont="1" applyFill="1" applyBorder="1" applyAlignment="1">
      <alignment horizontal="center" vertical="center"/>
    </xf>
    <xf numFmtId="9" fontId="15" fillId="6" borderId="39" xfId="1" applyFont="1" applyFill="1" applyBorder="1" applyAlignment="1">
      <alignment horizontal="center" vertical="center"/>
    </xf>
    <xf numFmtId="10" fontId="15" fillId="6" borderId="39" xfId="1" applyNumberFormat="1" applyFont="1" applyFill="1" applyBorder="1" applyAlignment="1">
      <alignment horizontal="center" vertical="center" wrapText="1"/>
    </xf>
    <xf numFmtId="10" fontId="15" fillId="6" borderId="39" xfId="1" applyNumberFormat="1" applyFont="1" applyFill="1" applyBorder="1" applyAlignment="1" applyProtection="1">
      <alignment horizontal="center" vertical="center" wrapText="1"/>
      <protection locked="0"/>
    </xf>
    <xf numFmtId="10" fontId="15" fillId="6" borderId="39" xfId="1" applyNumberFormat="1" applyFont="1" applyFill="1" applyBorder="1" applyAlignment="1" applyProtection="1">
      <alignment horizontal="center" vertical="center" wrapText="1"/>
    </xf>
    <xf numFmtId="0" fontId="14" fillId="5" borderId="8" xfId="8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9" fontId="15" fillId="9" borderId="8" xfId="2" applyNumberFormat="1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wrapText="1"/>
    </xf>
    <xf numFmtId="0" fontId="15" fillId="9" borderId="39" xfId="0" applyFont="1" applyFill="1" applyBorder="1" applyAlignment="1">
      <alignment horizontal="center" vertical="center" wrapText="1"/>
    </xf>
    <xf numFmtId="10" fontId="15" fillId="5" borderId="8" xfId="1" applyNumberFormat="1" applyFont="1" applyFill="1" applyBorder="1" applyAlignment="1">
      <alignment horizontal="center" vertical="center" wrapText="1"/>
    </xf>
    <xf numFmtId="10" fontId="15" fillId="5" borderId="8" xfId="1" applyNumberFormat="1" applyFont="1" applyFill="1" applyBorder="1" applyAlignment="1" applyProtection="1">
      <alignment horizontal="center" vertical="center" wrapText="1"/>
      <protection locked="0"/>
    </xf>
    <xf numFmtId="10" fontId="15" fillId="5" borderId="8" xfId="1" applyNumberFormat="1" applyFont="1" applyFill="1" applyBorder="1" applyAlignment="1" applyProtection="1">
      <alignment horizontal="center" vertical="center" wrapText="1"/>
    </xf>
    <xf numFmtId="9" fontId="5" fillId="0" borderId="0" xfId="1" applyFont="1" applyAlignment="1">
      <alignment horizontal="center" vertical="center"/>
    </xf>
    <xf numFmtId="173" fontId="15" fillId="12" borderId="4" xfId="11" applyNumberFormat="1" applyFont="1" applyFill="1" applyBorder="1" applyAlignment="1">
      <alignment horizontal="center" vertical="center"/>
    </xf>
    <xf numFmtId="173" fontId="15" fillId="13" borderId="4" xfId="11" applyNumberFormat="1" applyFont="1" applyFill="1" applyBorder="1" applyAlignment="1">
      <alignment horizontal="center" vertical="center"/>
    </xf>
    <xf numFmtId="173" fontId="15" fillId="5" borderId="4" xfId="11" applyNumberFormat="1" applyFont="1" applyFill="1" applyBorder="1" applyAlignment="1">
      <alignment horizontal="right" vertical="center" wrapText="1"/>
    </xf>
    <xf numFmtId="173" fontId="15" fillId="9" borderId="5" xfId="11" applyNumberFormat="1" applyFont="1" applyFill="1" applyBorder="1" applyAlignment="1">
      <alignment horizontal="right" vertical="center" wrapText="1"/>
    </xf>
    <xf numFmtId="173" fontId="15" fillId="9" borderId="5" xfId="11" applyNumberFormat="1" applyFont="1" applyFill="1" applyBorder="1" applyAlignment="1" applyProtection="1">
      <alignment horizontal="left" vertical="center" wrapText="1"/>
      <protection locked="0"/>
    </xf>
    <xf numFmtId="173" fontId="15" fillId="9" borderId="5" xfId="11" applyNumberFormat="1" applyFont="1" applyFill="1" applyBorder="1" applyAlignment="1" applyProtection="1">
      <alignment horizontal="left" vertical="center" wrapText="1"/>
    </xf>
    <xf numFmtId="173" fontId="15" fillId="25" borderId="4" xfId="11" applyNumberFormat="1" applyFont="1" applyFill="1" applyBorder="1" applyAlignment="1">
      <alignment horizontal="right" vertical="center" wrapText="1"/>
    </xf>
    <xf numFmtId="173" fontId="15" fillId="25" borderId="4" xfId="11" applyNumberFormat="1" applyFont="1" applyFill="1" applyBorder="1" applyAlignment="1" applyProtection="1">
      <alignment horizontal="center" vertical="center" wrapText="1"/>
      <protection locked="0"/>
    </xf>
    <xf numFmtId="9" fontId="3" fillId="25" borderId="4" xfId="1" applyFont="1" applyFill="1" applyBorder="1" applyAlignment="1" applyProtection="1">
      <alignment horizontal="center" vertical="center"/>
    </xf>
    <xf numFmtId="173" fontId="15" fillId="25" borderId="4" xfId="11" applyNumberFormat="1" applyFont="1" applyFill="1" applyBorder="1" applyAlignment="1" applyProtection="1">
      <alignment horizontal="center" vertical="center" wrapText="1"/>
    </xf>
    <xf numFmtId="170" fontId="15" fillId="12" borderId="4" xfId="7" applyNumberFormat="1" applyFont="1" applyFill="1" applyBorder="1" applyAlignment="1">
      <alignment horizontal="center" vertical="center"/>
    </xf>
    <xf numFmtId="170" fontId="15" fillId="25" borderId="4" xfId="7" applyNumberFormat="1" applyFont="1" applyFill="1" applyBorder="1" applyAlignment="1">
      <alignment horizontal="right" vertical="center" wrapText="1"/>
    </xf>
    <xf numFmtId="170" fontId="15" fillId="25" borderId="4" xfId="7" applyNumberFormat="1" applyFont="1" applyFill="1" applyBorder="1" applyAlignment="1" applyProtection="1">
      <alignment horizontal="center" vertical="center" wrapText="1"/>
      <protection locked="0"/>
    </xf>
    <xf numFmtId="170" fontId="15" fillId="25" borderId="4" xfId="7" applyNumberFormat="1" applyFont="1" applyFill="1" applyBorder="1" applyAlignment="1" applyProtection="1">
      <alignment horizontal="center" vertical="center" wrapText="1"/>
    </xf>
    <xf numFmtId="170" fontId="15" fillId="6" borderId="4" xfId="7" applyNumberFormat="1" applyFont="1" applyFill="1" applyBorder="1" applyAlignment="1">
      <alignment horizontal="right" vertical="center" wrapText="1"/>
    </xf>
    <xf numFmtId="170" fontId="15" fillId="25" borderId="5" xfId="7" applyNumberFormat="1" applyFont="1" applyFill="1" applyBorder="1" applyAlignment="1">
      <alignment horizontal="right" vertical="center" wrapText="1"/>
    </xf>
    <xf numFmtId="170" fontId="15" fillId="25" borderId="5" xfId="7" applyNumberFormat="1" applyFont="1" applyFill="1" applyBorder="1" applyAlignment="1" applyProtection="1">
      <alignment horizontal="left" vertical="center" wrapText="1"/>
      <protection locked="0"/>
    </xf>
    <xf numFmtId="170" fontId="15" fillId="25" borderId="5" xfId="7" applyNumberFormat="1" applyFont="1" applyFill="1" applyBorder="1" applyAlignment="1" applyProtection="1">
      <alignment horizontal="left" vertical="center" wrapText="1"/>
    </xf>
    <xf numFmtId="170" fontId="15" fillId="9" borderId="5" xfId="7" applyNumberFormat="1" applyFont="1" applyFill="1" applyBorder="1" applyAlignment="1">
      <alignment horizontal="right" vertical="center" wrapText="1"/>
    </xf>
    <xf numFmtId="170" fontId="15" fillId="9" borderId="5" xfId="7" applyNumberFormat="1" applyFont="1" applyFill="1" applyBorder="1" applyAlignment="1" applyProtection="1">
      <alignment horizontal="left" vertical="center" wrapText="1"/>
      <protection locked="0"/>
    </xf>
    <xf numFmtId="10" fontId="15" fillId="25" borderId="4" xfId="0" applyNumberFormat="1" applyFont="1" applyFill="1" applyBorder="1" applyAlignment="1">
      <alignment horizontal="right" vertical="center" wrapText="1"/>
    </xf>
    <xf numFmtId="10" fontId="15" fillId="25" borderId="4" xfId="0" applyNumberFormat="1" applyFont="1" applyFill="1" applyBorder="1" applyAlignment="1" applyProtection="1">
      <alignment horizontal="center" vertical="center" wrapText="1"/>
      <protection locked="0"/>
    </xf>
    <xf numFmtId="9" fontId="3" fillId="26" borderId="4" xfId="1" applyFont="1" applyFill="1" applyBorder="1" applyAlignment="1" applyProtection="1">
      <alignment horizontal="center" vertical="center"/>
    </xf>
    <xf numFmtId="10" fontId="15" fillId="25" borderId="4" xfId="0" applyNumberFormat="1" applyFont="1" applyFill="1" applyBorder="1" applyAlignment="1">
      <alignment horizontal="center" vertical="center" wrapText="1"/>
    </xf>
    <xf numFmtId="10" fontId="15" fillId="25" borderId="4" xfId="1" applyNumberFormat="1" applyFont="1" applyFill="1" applyBorder="1" applyAlignment="1">
      <alignment horizontal="right" vertical="center" wrapText="1"/>
    </xf>
    <xf numFmtId="10" fontId="15" fillId="25" borderId="4" xfId="1" applyNumberFormat="1" applyFont="1" applyFill="1" applyBorder="1" applyAlignment="1" applyProtection="1">
      <alignment horizontal="center" vertical="center" wrapText="1"/>
      <protection locked="0"/>
    </xf>
    <xf numFmtId="10" fontId="15" fillId="6" borderId="4" xfId="1" applyNumberFormat="1" applyFont="1" applyFill="1" applyBorder="1" applyAlignment="1">
      <alignment horizontal="right" vertical="center" wrapText="1"/>
    </xf>
    <xf numFmtId="170" fontId="15" fillId="9" borderId="4" xfId="7" applyNumberFormat="1" applyFont="1" applyFill="1" applyBorder="1" applyAlignment="1" applyProtection="1">
      <alignment horizontal="center" vertical="center" wrapText="1"/>
    </xf>
    <xf numFmtId="10" fontId="15" fillId="9" borderId="4" xfId="1" applyNumberFormat="1" applyFont="1" applyFill="1" applyBorder="1" applyAlignment="1">
      <alignment horizontal="right" vertical="center" wrapText="1"/>
    </xf>
    <xf numFmtId="10" fontId="15" fillId="13" borderId="4" xfId="0" applyNumberFormat="1" applyFont="1" applyFill="1" applyBorder="1" applyAlignment="1">
      <alignment horizontal="center" vertical="center" wrapText="1"/>
    </xf>
    <xf numFmtId="10" fontId="15" fillId="13" borderId="4" xfId="1" applyNumberFormat="1" applyFont="1" applyFill="1" applyBorder="1" applyAlignment="1">
      <alignment horizontal="right" vertical="center" wrapText="1"/>
    </xf>
    <xf numFmtId="184" fontId="15" fillId="12" borderId="4" xfId="11" applyFont="1" applyFill="1" applyBorder="1" applyAlignment="1">
      <alignment horizontal="right" vertical="center" wrapText="1"/>
    </xf>
    <xf numFmtId="184" fontId="15" fillId="12" borderId="4" xfId="11" applyFont="1" applyFill="1" applyBorder="1" applyAlignment="1" applyProtection="1">
      <alignment horizontal="right" vertical="center" wrapText="1"/>
    </xf>
    <xf numFmtId="170" fontId="15" fillId="13" borderId="3" xfId="7" applyNumberFormat="1" applyFont="1" applyFill="1" applyBorder="1" applyAlignment="1">
      <alignment horizontal="right" vertical="center" wrapText="1"/>
    </xf>
    <xf numFmtId="170" fontId="15" fillId="13" borderId="3" xfId="7" applyNumberFormat="1" applyFont="1" applyFill="1" applyBorder="1" applyAlignment="1" applyProtection="1">
      <alignment horizontal="right" vertical="center" wrapText="1"/>
    </xf>
    <xf numFmtId="0" fontId="15" fillId="12" borderId="4" xfId="2" applyFont="1" applyFill="1" applyBorder="1" applyAlignment="1">
      <alignment horizontal="center" vertical="center" wrapText="1"/>
    </xf>
    <xf numFmtId="173" fontId="15" fillId="12" borderId="4" xfId="11" applyNumberFormat="1" applyFont="1" applyFill="1" applyBorder="1" applyAlignment="1">
      <alignment horizontal="right" vertical="center" wrapText="1"/>
    </xf>
    <xf numFmtId="173" fontId="15" fillId="12" borderId="4" xfId="11" applyNumberFormat="1" applyFont="1" applyFill="1" applyBorder="1" applyAlignment="1" applyProtection="1">
      <alignment horizontal="right" vertical="center" wrapText="1"/>
    </xf>
    <xf numFmtId="0" fontId="15" fillId="13" borderId="4" xfId="2" applyFont="1" applyFill="1" applyBorder="1" applyAlignment="1">
      <alignment horizontal="center" vertical="center" wrapText="1"/>
    </xf>
    <xf numFmtId="10" fontId="15" fillId="13" borderId="3" xfId="1" applyNumberFormat="1" applyFont="1" applyFill="1" applyBorder="1" applyAlignment="1">
      <alignment horizontal="right" vertical="center" wrapText="1"/>
    </xf>
    <xf numFmtId="10" fontId="15" fillId="13" borderId="3" xfId="1" applyNumberFormat="1" applyFont="1" applyFill="1" applyBorder="1" applyAlignment="1" applyProtection="1">
      <alignment horizontal="right" vertical="center" wrapText="1"/>
    </xf>
    <xf numFmtId="193" fontId="15" fillId="13" borderId="3" xfId="1" applyNumberFormat="1" applyFont="1" applyFill="1" applyBorder="1" applyAlignment="1">
      <alignment horizontal="right" vertical="center" wrapText="1"/>
    </xf>
    <xf numFmtId="194" fontId="15" fillId="13" borderId="3" xfId="1" applyNumberFormat="1" applyFont="1" applyFill="1" applyBorder="1" applyAlignment="1">
      <alignment horizontal="right" vertical="center" wrapText="1"/>
    </xf>
    <xf numFmtId="195" fontId="15" fillId="13" borderId="3" xfId="1" applyNumberFormat="1" applyFont="1" applyFill="1" applyBorder="1" applyAlignment="1">
      <alignment horizontal="right" vertical="center" wrapText="1"/>
    </xf>
    <xf numFmtId="191" fontId="3" fillId="6" borderId="4" xfId="1" applyNumberFormat="1" applyFont="1" applyFill="1" applyBorder="1" applyAlignment="1" applyProtection="1">
      <alignment horizontal="center" vertical="center"/>
    </xf>
    <xf numFmtId="10" fontId="15" fillId="5" borderId="4" xfId="1" applyNumberFormat="1" applyFont="1" applyFill="1" applyBorder="1" applyAlignment="1">
      <alignment horizontal="center" vertical="center"/>
    </xf>
    <xf numFmtId="170" fontId="15" fillId="13" borderId="4" xfId="7" applyNumberFormat="1" applyFont="1" applyFill="1" applyBorder="1" applyAlignment="1">
      <alignment horizontal="center" vertical="center"/>
    </xf>
    <xf numFmtId="2" fontId="21" fillId="13" borderId="3" xfId="0" applyNumberFormat="1" applyFont="1" applyFill="1" applyBorder="1" applyAlignment="1">
      <alignment vertical="center" wrapText="1"/>
    </xf>
    <xf numFmtId="0" fontId="17" fillId="0" borderId="0" xfId="0" applyFont="1"/>
    <xf numFmtId="10" fontId="21" fillId="13" borderId="3" xfId="0" applyNumberFormat="1" applyFont="1" applyFill="1" applyBorder="1" applyAlignment="1">
      <alignment vertical="center" wrapText="1"/>
    </xf>
    <xf numFmtId="9" fontId="21" fillId="13" borderId="3" xfId="0" applyNumberFormat="1" applyFont="1" applyFill="1" applyBorder="1" applyAlignment="1">
      <alignment vertical="center" wrapText="1"/>
    </xf>
    <xf numFmtId="10" fontId="9" fillId="7" borderId="10" xfId="0" applyNumberFormat="1" applyFont="1" applyFill="1" applyBorder="1" applyAlignment="1">
      <alignment vertical="center" wrapText="1"/>
    </xf>
    <xf numFmtId="10" fontId="9" fillId="7" borderId="9" xfId="0" applyNumberFormat="1" applyFont="1" applyFill="1" applyBorder="1" applyAlignment="1">
      <alignment vertical="center" wrapText="1"/>
    </xf>
    <xf numFmtId="0" fontId="9" fillId="7" borderId="9" xfId="0" applyFont="1" applyFill="1" applyBorder="1" applyAlignment="1">
      <alignment vertical="center" wrapText="1"/>
    </xf>
    <xf numFmtId="0" fontId="9" fillId="7" borderId="11" xfId="0" applyFont="1" applyFill="1" applyBorder="1" applyAlignment="1">
      <alignment vertical="center" wrapText="1"/>
    </xf>
    <xf numFmtId="9" fontId="5" fillId="0" borderId="0" xfId="0" applyNumberFormat="1" applyFont="1" applyAlignment="1">
      <alignment wrapText="1"/>
    </xf>
    <xf numFmtId="0" fontId="5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173" fontId="24" fillId="5" borderId="4" xfId="11" applyNumberFormat="1" applyFont="1" applyFill="1" applyBorder="1" applyAlignment="1">
      <alignment horizontal="right" vertical="center" wrapText="1"/>
    </xf>
    <xf numFmtId="4" fontId="24" fillId="5" borderId="4" xfId="0" applyNumberFormat="1" applyFont="1" applyFill="1" applyBorder="1" applyAlignment="1">
      <alignment horizontal="right" vertical="center" wrapText="1"/>
    </xf>
    <xf numFmtId="173" fontId="15" fillId="6" borderId="4" xfId="11" applyNumberFormat="1" applyFont="1" applyFill="1" applyBorder="1" applyAlignment="1">
      <alignment horizontal="right" vertical="center"/>
    </xf>
    <xf numFmtId="173" fontId="15" fillId="5" borderId="4" xfId="11" applyNumberFormat="1" applyFont="1" applyFill="1" applyBorder="1" applyAlignment="1">
      <alignment horizontal="right" vertical="center"/>
    </xf>
    <xf numFmtId="0" fontId="15" fillId="5" borderId="4" xfId="0" applyFont="1" applyFill="1" applyBorder="1" applyAlignment="1">
      <alignment horizontal="center" vertical="center"/>
    </xf>
    <xf numFmtId="184" fontId="15" fillId="5" borderId="4" xfId="11" applyFont="1" applyFill="1" applyBorder="1" applyAlignment="1">
      <alignment horizontal="center" vertical="center" wrapText="1"/>
    </xf>
    <xf numFmtId="173" fontId="15" fillId="9" borderId="5" xfId="11" applyNumberFormat="1" applyFont="1" applyFill="1" applyBorder="1" applyAlignment="1">
      <alignment horizontal="left" vertical="center" wrapText="1"/>
    </xf>
    <xf numFmtId="184" fontId="15" fillId="9" borderId="5" xfId="11" applyFont="1" applyFill="1" applyBorder="1" applyAlignment="1">
      <alignment horizontal="left" vertical="center" wrapText="1"/>
    </xf>
    <xf numFmtId="170" fontId="15" fillId="6" borderId="4" xfId="7" applyNumberFormat="1" applyFont="1" applyFill="1" applyBorder="1" applyAlignment="1">
      <alignment horizontal="right" vertical="center"/>
    </xf>
    <xf numFmtId="171" fontId="15" fillId="9" borderId="5" xfId="7" applyNumberFormat="1" applyFont="1" applyFill="1" applyBorder="1" applyAlignment="1">
      <alignment horizontal="left" vertical="center" wrapText="1"/>
    </xf>
    <xf numFmtId="171" fontId="15" fillId="9" borderId="5" xfId="7" applyNumberFormat="1" applyFont="1" applyFill="1" applyBorder="1" applyAlignment="1" applyProtection="1">
      <alignment horizontal="left" vertical="center" wrapText="1"/>
      <protection locked="0"/>
    </xf>
    <xf numFmtId="170" fontId="15" fillId="9" borderId="5" xfId="7" applyNumberFormat="1" applyFont="1" applyFill="1" applyBorder="1" applyAlignment="1">
      <alignment horizontal="left" vertical="center" wrapText="1"/>
    </xf>
    <xf numFmtId="171" fontId="15" fillId="9" borderId="5" xfId="7" applyNumberFormat="1" applyFont="1" applyFill="1" applyBorder="1" applyAlignment="1" applyProtection="1">
      <alignment horizontal="left" vertical="center" wrapText="1"/>
    </xf>
    <xf numFmtId="170" fontId="15" fillId="5" borderId="4" xfId="7" applyNumberFormat="1" applyFont="1" applyFill="1" applyBorder="1" applyAlignment="1">
      <alignment horizontal="right" vertical="center"/>
    </xf>
    <xf numFmtId="171" fontId="15" fillId="6" borderId="4" xfId="7" applyNumberFormat="1" applyFont="1" applyFill="1" applyBorder="1" applyAlignment="1">
      <alignment horizontal="center" vertical="center" wrapText="1"/>
    </xf>
    <xf numFmtId="171" fontId="15" fillId="6" borderId="4" xfId="7" applyNumberFormat="1" applyFont="1" applyFill="1" applyBorder="1" applyAlignment="1" applyProtection="1">
      <alignment horizontal="center" vertical="center" wrapText="1"/>
      <protection locked="0"/>
    </xf>
    <xf numFmtId="171" fontId="15" fillId="6" borderId="4" xfId="7" applyNumberFormat="1" applyFont="1" applyFill="1" applyBorder="1" applyAlignment="1" applyProtection="1">
      <alignment horizontal="center" vertical="center" wrapText="1"/>
    </xf>
    <xf numFmtId="10" fontId="15" fillId="6" borderId="4" xfId="1" applyNumberFormat="1" applyFont="1" applyFill="1" applyBorder="1" applyAlignment="1">
      <alignment horizontal="right" vertical="center"/>
    </xf>
    <xf numFmtId="10" fontId="21" fillId="17" borderId="26" xfId="0" applyNumberFormat="1" applyFont="1" applyFill="1" applyBorder="1" applyAlignment="1">
      <alignment wrapText="1"/>
    </xf>
    <xf numFmtId="0" fontId="15" fillId="16" borderId="5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10" fontId="15" fillId="5" borderId="4" xfId="1" applyNumberFormat="1" applyFont="1" applyFill="1" applyBorder="1" applyAlignment="1">
      <alignment horizontal="right" vertical="center"/>
    </xf>
    <xf numFmtId="173" fontId="15" fillId="9" borderId="4" xfId="11" applyNumberFormat="1" applyFont="1" applyFill="1" applyBorder="1" applyAlignment="1" applyProtection="1">
      <alignment horizontal="center" vertical="center" wrapText="1"/>
    </xf>
    <xf numFmtId="170" fontId="15" fillId="9" borderId="3" xfId="7" applyNumberFormat="1" applyFont="1" applyFill="1" applyBorder="1" applyAlignment="1">
      <alignment horizontal="center" vertical="center" wrapText="1"/>
    </xf>
    <xf numFmtId="170" fontId="15" fillId="9" borderId="3" xfId="7" applyNumberFormat="1" applyFont="1" applyFill="1" applyBorder="1" applyAlignment="1" applyProtection="1">
      <alignment horizontal="center" vertical="center" wrapText="1"/>
      <protection locked="0"/>
    </xf>
    <xf numFmtId="170" fontId="15" fillId="9" borderId="3" xfId="7" applyNumberFormat="1" applyFont="1" applyFill="1" applyBorder="1" applyAlignment="1" applyProtection="1">
      <alignment horizontal="center" vertical="center" wrapText="1"/>
    </xf>
    <xf numFmtId="9" fontId="15" fillId="5" borderId="4" xfId="1" applyFont="1" applyFill="1" applyBorder="1" applyAlignment="1">
      <alignment horizontal="right" vertical="center"/>
    </xf>
    <xf numFmtId="10" fontId="15" fillId="9" borderId="3" xfId="1" applyNumberFormat="1" applyFont="1" applyFill="1" applyBorder="1" applyAlignment="1">
      <alignment horizontal="center" vertical="center" wrapText="1"/>
    </xf>
    <xf numFmtId="10" fontId="15" fillId="9" borderId="3" xfId="1" applyNumberFormat="1" applyFont="1" applyFill="1" applyBorder="1" applyAlignment="1" applyProtection="1">
      <alignment horizontal="center" vertical="center" wrapText="1"/>
      <protection locked="0"/>
    </xf>
    <xf numFmtId="10" fontId="15" fillId="9" borderId="3" xfId="1" applyNumberFormat="1" applyFont="1" applyFill="1" applyBorder="1" applyAlignment="1" applyProtection="1">
      <alignment horizontal="center" vertical="center" wrapText="1"/>
    </xf>
    <xf numFmtId="9" fontId="15" fillId="9" borderId="3" xfId="1" applyFont="1" applyFill="1" applyBorder="1" applyAlignment="1" applyProtection="1">
      <alignment horizontal="center" vertical="center" wrapText="1"/>
      <protection locked="0"/>
    </xf>
    <xf numFmtId="9" fontId="15" fillId="9" borderId="3" xfId="1" applyFont="1" applyFill="1" applyBorder="1" applyAlignment="1">
      <alignment horizontal="center" vertical="center" wrapText="1"/>
    </xf>
    <xf numFmtId="9" fontId="15" fillId="13" borderId="4" xfId="1" applyFont="1" applyFill="1" applyBorder="1" applyAlignment="1">
      <alignment horizontal="right" vertical="center"/>
    </xf>
    <xf numFmtId="9" fontId="15" fillId="9" borderId="8" xfId="2" applyNumberFormat="1" applyFont="1" applyFill="1" applyBorder="1" applyAlignment="1">
      <alignment horizontal="right" vertical="center" wrapText="1"/>
    </xf>
    <xf numFmtId="0" fontId="5" fillId="5" borderId="0" xfId="0" applyFont="1" applyFill="1"/>
    <xf numFmtId="9" fontId="15" fillId="16" borderId="4" xfId="0" applyNumberFormat="1" applyFont="1" applyFill="1" applyBorder="1" applyAlignment="1">
      <alignment horizontal="right" vertical="center" wrapText="1"/>
    </xf>
    <xf numFmtId="0" fontId="5" fillId="16" borderId="0" xfId="0" applyFont="1" applyFill="1"/>
    <xf numFmtId="170" fontId="24" fillId="5" borderId="4" xfId="7" applyNumberFormat="1" applyFont="1" applyFill="1" applyBorder="1" applyAlignment="1">
      <alignment horizontal="right" vertical="center" wrapText="1"/>
    </xf>
    <xf numFmtId="9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5" fillId="23" borderId="0" xfId="0" applyFont="1" applyFill="1"/>
    <xf numFmtId="0" fontId="6" fillId="3" borderId="4" xfId="0" applyFont="1" applyFill="1" applyBorder="1" applyAlignment="1">
      <alignment horizontal="center" wrapText="1"/>
    </xf>
    <xf numFmtId="0" fontId="5" fillId="23" borderId="0" xfId="0" applyFont="1" applyFill="1" applyAlignment="1">
      <alignment wrapText="1"/>
    </xf>
    <xf numFmtId="0" fontId="0" fillId="23" borderId="0" xfId="0" applyFill="1"/>
    <xf numFmtId="170" fontId="24" fillId="6" borderId="4" xfId="7" applyNumberFormat="1" applyFont="1" applyFill="1" applyBorder="1" applyAlignment="1">
      <alignment horizontal="center" vertical="center" wrapText="1"/>
    </xf>
    <xf numFmtId="165" fontId="24" fillId="6" borderId="4" xfId="0" applyNumberFormat="1" applyFont="1" applyFill="1" applyBorder="1" applyAlignment="1">
      <alignment horizontal="center" vertical="center"/>
    </xf>
    <xf numFmtId="0" fontId="0" fillId="27" borderId="0" xfId="0" applyFill="1"/>
    <xf numFmtId="9" fontId="29" fillId="6" borderId="4" xfId="1" applyFont="1" applyFill="1" applyBorder="1" applyAlignment="1" applyProtection="1">
      <alignment horizontal="center" vertical="center" wrapText="1"/>
    </xf>
    <xf numFmtId="170" fontId="15" fillId="6" borderId="4" xfId="7" applyNumberFormat="1" applyFont="1" applyFill="1" applyBorder="1" applyAlignment="1" applyProtection="1">
      <alignment horizontal="right" vertical="center" wrapText="1"/>
    </xf>
    <xf numFmtId="9" fontId="0" fillId="23" borderId="0" xfId="1" applyFont="1" applyFill="1" applyBorder="1"/>
    <xf numFmtId="168" fontId="15" fillId="6" borderId="4" xfId="4" applyNumberFormat="1" applyFont="1" applyFill="1" applyBorder="1" applyAlignment="1">
      <alignment horizontal="center" vertical="center"/>
    </xf>
    <xf numFmtId="42" fontId="24" fillId="6" borderId="4" xfId="4" applyFont="1" applyFill="1" applyBorder="1" applyAlignment="1" applyProtection="1">
      <alignment horizontal="center" vertical="center"/>
    </xf>
    <xf numFmtId="168" fontId="15" fillId="6" borderId="4" xfId="4" applyNumberFormat="1" applyFont="1" applyFill="1" applyBorder="1" applyAlignment="1">
      <alignment horizontal="center" vertical="center" wrapText="1"/>
    </xf>
    <xf numFmtId="168" fontId="15" fillId="6" borderId="4" xfId="4" applyNumberFormat="1" applyFont="1" applyFill="1" applyBorder="1" applyAlignment="1" applyProtection="1">
      <alignment horizontal="center" vertical="center" wrapText="1"/>
      <protection locked="0"/>
    </xf>
    <xf numFmtId="168" fontId="15" fillId="6" borderId="4" xfId="4" applyNumberFormat="1" applyFont="1" applyFill="1" applyBorder="1" applyAlignment="1" applyProtection="1">
      <alignment horizontal="center" vertical="center" wrapText="1"/>
    </xf>
    <xf numFmtId="9" fontId="3" fillId="16" borderId="4" xfId="1" applyFont="1" applyFill="1" applyBorder="1" applyAlignment="1" applyProtection="1">
      <alignment horizontal="center" vertical="center" wrapText="1"/>
    </xf>
    <xf numFmtId="168" fontId="15" fillId="6" borderId="4" xfId="4" applyNumberFormat="1" applyFont="1" applyFill="1" applyBorder="1" applyAlignment="1" applyProtection="1">
      <alignment horizontal="right" vertical="center" wrapText="1"/>
    </xf>
    <xf numFmtId="0" fontId="10" fillId="23" borderId="0" xfId="0" applyFont="1" applyFill="1"/>
    <xf numFmtId="168" fontId="15" fillId="5" borderId="4" xfId="4" applyNumberFormat="1" applyFont="1" applyFill="1" applyBorder="1" applyAlignment="1">
      <alignment horizontal="center" vertical="center"/>
    </xf>
    <xf numFmtId="42" fontId="24" fillId="5" borderId="4" xfId="4" applyFont="1" applyFill="1" applyBorder="1" applyAlignment="1" applyProtection="1">
      <alignment horizontal="center" vertical="center"/>
    </xf>
    <xf numFmtId="168" fontId="15" fillId="5" borderId="4" xfId="4" applyNumberFormat="1" applyFont="1" applyFill="1" applyBorder="1" applyAlignment="1">
      <alignment horizontal="center" vertical="center" wrapText="1"/>
    </xf>
    <xf numFmtId="168" fontId="15" fillId="5" borderId="4" xfId="4" applyNumberFormat="1" applyFont="1" applyFill="1" applyBorder="1" applyAlignment="1" applyProtection="1">
      <alignment horizontal="center" vertical="center" wrapText="1"/>
      <protection locked="0"/>
    </xf>
    <xf numFmtId="168" fontId="15" fillId="5" borderId="4" xfId="4" applyNumberFormat="1" applyFont="1" applyFill="1" applyBorder="1" applyAlignment="1" applyProtection="1">
      <alignment horizontal="center" vertical="center" wrapText="1"/>
    </xf>
    <xf numFmtId="168" fontId="15" fillId="5" borderId="4" xfId="4" applyNumberFormat="1" applyFont="1" applyFill="1" applyBorder="1" applyAlignment="1" applyProtection="1">
      <alignment horizontal="right" vertical="center" wrapText="1"/>
    </xf>
    <xf numFmtId="1" fontId="24" fillId="5" borderId="4" xfId="4" applyNumberFormat="1" applyFont="1" applyFill="1" applyBorder="1" applyAlignment="1" applyProtection="1">
      <alignment horizontal="center" vertical="center"/>
    </xf>
    <xf numFmtId="168" fontId="15" fillId="9" borderId="4" xfId="4" applyNumberFormat="1" applyFont="1" applyFill="1" applyBorder="1" applyAlignment="1">
      <alignment horizontal="left" vertical="center" wrapText="1"/>
    </xf>
    <xf numFmtId="168" fontId="15" fillId="9" borderId="4" xfId="4" applyNumberFormat="1" applyFont="1" applyFill="1" applyBorder="1" applyAlignment="1" applyProtection="1">
      <alignment horizontal="left" vertical="center" wrapText="1"/>
      <protection locked="0"/>
    </xf>
    <xf numFmtId="168" fontId="15" fillId="9" borderId="4" xfId="4" applyNumberFormat="1" applyFont="1" applyFill="1" applyBorder="1" applyAlignment="1" applyProtection="1">
      <alignment horizontal="left" vertical="center" wrapText="1"/>
    </xf>
    <xf numFmtId="168" fontId="15" fillId="9" borderId="4" xfId="4" applyNumberFormat="1" applyFont="1" applyFill="1" applyBorder="1" applyAlignment="1" applyProtection="1">
      <alignment horizontal="right" vertical="center" wrapText="1"/>
    </xf>
    <xf numFmtId="170" fontId="15" fillId="9" borderId="4" xfId="7" applyNumberFormat="1" applyFont="1" applyFill="1" applyBorder="1" applyAlignment="1">
      <alignment horizontal="left" vertical="center" wrapText="1"/>
    </xf>
    <xf numFmtId="170" fontId="15" fillId="9" borderId="4" xfId="7" applyNumberFormat="1" applyFont="1" applyFill="1" applyBorder="1" applyAlignment="1" applyProtection="1">
      <alignment horizontal="left" vertical="center" wrapText="1"/>
      <protection locked="0"/>
    </xf>
    <xf numFmtId="170" fontId="15" fillId="9" borderId="4" xfId="7" applyNumberFormat="1" applyFont="1" applyFill="1" applyBorder="1" applyAlignment="1" applyProtection="1">
      <alignment horizontal="left" vertical="center" wrapText="1"/>
    </xf>
    <xf numFmtId="170" fontId="15" fillId="5" borderId="4" xfId="7" applyNumberFormat="1" applyFont="1" applyFill="1" applyBorder="1" applyAlignment="1">
      <alignment horizontal="center" vertical="center"/>
    </xf>
    <xf numFmtId="10" fontId="15" fillId="9" borderId="4" xfId="1" applyNumberFormat="1" applyFont="1" applyFill="1" applyBorder="1" applyAlignment="1" applyProtection="1">
      <alignment horizontal="right" vertical="center" wrapText="1"/>
      <protection locked="0"/>
    </xf>
    <xf numFmtId="10" fontId="15" fillId="9" borderId="4" xfId="1" applyNumberFormat="1" applyFont="1" applyFill="1" applyBorder="1" applyAlignment="1" applyProtection="1">
      <alignment horizontal="right" vertical="center" wrapText="1"/>
    </xf>
    <xf numFmtId="175" fontId="15" fillId="6" borderId="4" xfId="2" applyNumberFormat="1" applyFont="1" applyFill="1" applyBorder="1" applyAlignment="1">
      <alignment horizontal="center" vertical="center" wrapText="1"/>
    </xf>
    <xf numFmtId="0" fontId="10" fillId="27" borderId="0" xfId="0" applyFont="1" applyFill="1"/>
    <xf numFmtId="10" fontId="15" fillId="6" borderId="4" xfId="1" applyNumberFormat="1" applyFont="1" applyFill="1" applyBorder="1" applyAlignment="1" applyProtection="1">
      <alignment horizontal="right" vertical="center" wrapText="1"/>
      <protection locked="0"/>
    </xf>
    <xf numFmtId="10" fontId="15" fillId="6" borderId="4" xfId="1" applyNumberFormat="1" applyFont="1" applyFill="1" applyBorder="1" applyAlignment="1" applyProtection="1">
      <alignment horizontal="right" vertical="center" wrapText="1"/>
    </xf>
    <xf numFmtId="10" fontId="15" fillId="6" borderId="4" xfId="1" applyNumberFormat="1" applyFont="1" applyFill="1" applyBorder="1" applyAlignment="1">
      <alignment vertical="center" wrapText="1"/>
    </xf>
    <xf numFmtId="10" fontId="15" fillId="6" borderId="4" xfId="1" applyNumberFormat="1" applyFont="1" applyFill="1" applyBorder="1" applyAlignment="1" applyProtection="1">
      <alignment vertical="center" wrapText="1"/>
      <protection locked="0"/>
    </xf>
    <xf numFmtId="10" fontId="15" fillId="6" borderId="4" xfId="1" applyNumberFormat="1" applyFont="1" applyFill="1" applyBorder="1" applyAlignment="1" applyProtection="1">
      <alignment vertical="center" wrapText="1"/>
    </xf>
    <xf numFmtId="10" fontId="24" fillId="12" borderId="4" xfId="1" applyNumberFormat="1" applyFont="1" applyFill="1" applyBorder="1" applyAlignment="1" applyProtection="1">
      <alignment vertical="center" wrapText="1"/>
    </xf>
    <xf numFmtId="10" fontId="24" fillId="12" borderId="4" xfId="1" applyNumberFormat="1" applyFont="1" applyFill="1" applyBorder="1" applyAlignment="1" applyProtection="1">
      <alignment vertical="center" wrapText="1"/>
      <protection locked="0"/>
    </xf>
    <xf numFmtId="9" fontId="15" fillId="13" borderId="4" xfId="1" applyFont="1" applyFill="1" applyBorder="1" applyAlignment="1" applyProtection="1">
      <alignment vertical="center" wrapText="1"/>
    </xf>
    <xf numFmtId="10" fontId="15" fillId="10" borderId="4" xfId="1" applyNumberFormat="1" applyFont="1" applyFill="1" applyBorder="1" applyAlignment="1" applyProtection="1">
      <alignment horizontal="right" vertical="center" wrapText="1"/>
    </xf>
    <xf numFmtId="10" fontId="15" fillId="9" borderId="4" xfId="1" applyNumberFormat="1" applyFont="1" applyFill="1" applyBorder="1" applyAlignment="1">
      <alignment vertical="center" wrapText="1"/>
    </xf>
    <xf numFmtId="10" fontId="15" fillId="9" borderId="4" xfId="1" applyNumberFormat="1" applyFont="1" applyFill="1" applyBorder="1" applyAlignment="1" applyProtection="1">
      <alignment vertical="center" wrapText="1"/>
      <protection locked="0"/>
    </xf>
    <xf numFmtId="10" fontId="15" fillId="9" borderId="4" xfId="1" applyNumberFormat="1" applyFont="1" applyFill="1" applyBorder="1" applyAlignment="1" applyProtection="1">
      <alignment vertical="center" wrapText="1"/>
    </xf>
    <xf numFmtId="170" fontId="15" fillId="6" borderId="4" xfId="7" applyNumberFormat="1" applyFont="1" applyFill="1" applyBorder="1" applyAlignment="1" applyProtection="1">
      <alignment vertical="center" wrapText="1"/>
    </xf>
    <xf numFmtId="0" fontId="9" fillId="7" borderId="10" xfId="0" applyFont="1" applyFill="1" applyBorder="1" applyAlignment="1" applyProtection="1">
      <alignment vertical="center" wrapText="1"/>
      <protection locked="0"/>
    </xf>
    <xf numFmtId="10" fontId="9" fillId="7" borderId="10" xfId="0" applyNumberFormat="1" applyFont="1" applyFill="1" applyBorder="1" applyAlignment="1" applyProtection="1">
      <alignment vertical="center" wrapText="1"/>
      <protection locked="0"/>
    </xf>
    <xf numFmtId="9" fontId="9" fillId="7" borderId="10" xfId="1" applyFont="1" applyFill="1" applyBorder="1" applyAlignment="1" applyProtection="1">
      <alignment horizontal="center" vertical="center" wrapText="1"/>
    </xf>
    <xf numFmtId="10" fontId="9" fillId="7" borderId="10" xfId="0" applyNumberFormat="1" applyFont="1" applyFill="1" applyBorder="1" applyAlignment="1">
      <alignment horizontal="right" vertical="center" wrapText="1"/>
    </xf>
    <xf numFmtId="10" fontId="24" fillId="6" borderId="4" xfId="0" applyNumberFormat="1" applyFont="1" applyFill="1" applyBorder="1" applyAlignment="1">
      <alignment horizontal="center" vertical="center" wrapText="1"/>
    </xf>
    <xf numFmtId="165" fontId="24" fillId="6" borderId="4" xfId="0" applyNumberFormat="1" applyFont="1" applyFill="1" applyBorder="1" applyAlignment="1">
      <alignment horizontal="center" vertical="center" wrapText="1"/>
    </xf>
    <xf numFmtId="3" fontId="24" fillId="6" borderId="4" xfId="0" applyNumberFormat="1" applyFont="1" applyFill="1" applyBorder="1" applyAlignment="1">
      <alignment horizontal="center" vertical="center" wrapText="1"/>
    </xf>
    <xf numFmtId="10" fontId="24" fillId="5" borderId="4" xfId="1" applyNumberFormat="1" applyFont="1" applyFill="1" applyBorder="1" applyAlignment="1">
      <alignment horizontal="right" vertical="center" wrapText="1"/>
    </xf>
    <xf numFmtId="10" fontId="24" fillId="5" borderId="4" xfId="1" applyNumberFormat="1" applyFont="1" applyFill="1" applyBorder="1" applyAlignment="1" applyProtection="1">
      <alignment horizontal="right" vertical="center" wrapText="1"/>
      <protection locked="0"/>
    </xf>
    <xf numFmtId="10" fontId="24" fillId="5" borderId="4" xfId="1" applyNumberFormat="1" applyFont="1" applyFill="1" applyBorder="1" applyAlignment="1" applyProtection="1">
      <alignment horizontal="right" vertical="center" wrapText="1"/>
    </xf>
    <xf numFmtId="10" fontId="15" fillId="6" borderId="4" xfId="0" applyNumberFormat="1" applyFont="1" applyFill="1" applyBorder="1" applyAlignment="1">
      <alignment horizontal="center" vertical="center" wrapText="1"/>
    </xf>
    <xf numFmtId="0" fontId="14" fillId="23" borderId="0" xfId="8" applyFill="1"/>
    <xf numFmtId="9" fontId="0" fillId="23" borderId="0" xfId="1" applyFont="1" applyFill="1"/>
    <xf numFmtId="9" fontId="5" fillId="0" borderId="0" xfId="1" applyFont="1" applyAlignment="1">
      <alignment horizontal="right" indent="3"/>
    </xf>
    <xf numFmtId="168" fontId="15" fillId="9" borderId="4" xfId="4" applyNumberFormat="1" applyFont="1" applyFill="1" applyBorder="1" applyAlignment="1">
      <alignment horizontal="center" vertical="center" wrapText="1"/>
    </xf>
    <xf numFmtId="168" fontId="15" fillId="9" borderId="4" xfId="4" applyNumberFormat="1" applyFont="1" applyFill="1" applyBorder="1" applyAlignment="1" applyProtection="1">
      <alignment horizontal="center" vertical="center" wrapText="1"/>
      <protection locked="0"/>
    </xf>
    <xf numFmtId="168" fontId="15" fillId="6" borderId="4" xfId="4" applyNumberFormat="1" applyFont="1" applyFill="1" applyBorder="1" applyAlignment="1" applyProtection="1">
      <alignment horizontal="right" vertical="center" wrapText="1"/>
      <protection locked="0"/>
    </xf>
    <xf numFmtId="168" fontId="15" fillId="6" borderId="4" xfId="4" applyNumberFormat="1" applyFont="1" applyFill="1" applyBorder="1" applyAlignment="1">
      <alignment horizontal="right" vertical="center" wrapText="1"/>
    </xf>
    <xf numFmtId="174" fontId="24" fillId="6" borderId="4" xfId="7" applyNumberFormat="1" applyFont="1" applyFill="1" applyBorder="1" applyAlignment="1">
      <alignment horizontal="center" vertical="center"/>
    </xf>
    <xf numFmtId="41" fontId="15" fillId="6" borderId="8" xfId="7" applyFont="1" applyFill="1" applyBorder="1" applyAlignment="1">
      <alignment horizontal="center" vertical="center" wrapText="1"/>
    </xf>
    <xf numFmtId="41" fontId="15" fillId="9" borderId="4" xfId="7" applyFont="1" applyFill="1" applyBorder="1" applyAlignment="1">
      <alignment horizontal="center" vertical="center" wrapText="1"/>
    </xf>
    <xf numFmtId="41" fontId="15" fillId="9" borderId="4" xfId="7" applyFont="1" applyFill="1" applyBorder="1" applyAlignment="1" applyProtection="1">
      <alignment horizontal="center" vertical="center" wrapText="1"/>
      <protection locked="0"/>
    </xf>
    <xf numFmtId="41" fontId="15" fillId="6" borderId="4" xfId="7" applyFont="1" applyFill="1" applyBorder="1" applyAlignment="1" applyProtection="1">
      <alignment horizontal="right" vertical="center" wrapText="1"/>
      <protection locked="0"/>
    </xf>
    <xf numFmtId="41" fontId="15" fillId="5" borderId="4" xfId="7" applyFont="1" applyFill="1" applyBorder="1" applyAlignment="1">
      <alignment horizontal="right" vertical="center" wrapText="1"/>
    </xf>
    <xf numFmtId="41" fontId="10" fillId="9" borderId="0" xfId="7" applyFont="1" applyFill="1"/>
    <xf numFmtId="0" fontId="24" fillId="12" borderId="4" xfId="2" applyFont="1" applyFill="1" applyBorder="1" applyAlignment="1">
      <alignment horizontal="center" vertical="center" wrapText="1"/>
    </xf>
    <xf numFmtId="183" fontId="24" fillId="9" borderId="4" xfId="4" applyNumberFormat="1" applyFont="1" applyFill="1" applyBorder="1" applyAlignment="1">
      <alignment horizontal="center" vertical="center" wrapText="1"/>
    </xf>
    <xf numFmtId="168" fontId="15" fillId="5" borderId="4" xfId="4" applyNumberFormat="1" applyFont="1" applyFill="1" applyBorder="1" applyAlignment="1">
      <alignment horizontal="right" vertical="center" wrapText="1"/>
    </xf>
    <xf numFmtId="168" fontId="15" fillId="5" borderId="4" xfId="4" applyNumberFormat="1" applyFont="1" applyFill="1" applyBorder="1" applyAlignment="1" applyProtection="1">
      <alignment horizontal="right" vertical="center" wrapText="1"/>
      <protection locked="0"/>
    </xf>
    <xf numFmtId="183" fontId="24" fillId="6" borderId="4" xfId="4" applyNumberFormat="1" applyFont="1" applyFill="1" applyBorder="1" applyAlignment="1">
      <alignment horizontal="center" vertical="center" wrapText="1"/>
    </xf>
    <xf numFmtId="168" fontId="15" fillId="9" borderId="5" xfId="4" applyNumberFormat="1" applyFont="1" applyFill="1" applyBorder="1" applyAlignment="1">
      <alignment horizontal="right" vertical="center" wrapText="1"/>
    </xf>
    <xf numFmtId="168" fontId="15" fillId="9" borderId="5" xfId="4" applyNumberFormat="1" applyFont="1" applyFill="1" applyBorder="1" applyAlignment="1" applyProtection="1">
      <alignment horizontal="right" vertical="center" wrapText="1"/>
      <protection locked="0"/>
    </xf>
    <xf numFmtId="1" fontId="24" fillId="6" borderId="4" xfId="4" applyNumberFormat="1" applyFont="1" applyFill="1" applyBorder="1" applyAlignment="1">
      <alignment horizontal="center" vertical="center"/>
    </xf>
    <xf numFmtId="1" fontId="24" fillId="12" borderId="4" xfId="4" applyNumberFormat="1" applyFont="1" applyFill="1" applyBorder="1" applyAlignment="1">
      <alignment horizontal="center" vertical="center"/>
    </xf>
    <xf numFmtId="170" fontId="15" fillId="6" borderId="4" xfId="7" applyNumberFormat="1" applyFont="1" applyFill="1" applyBorder="1" applyAlignment="1" applyProtection="1">
      <alignment horizontal="right" vertical="center" wrapText="1"/>
      <protection locked="0"/>
    </xf>
    <xf numFmtId="183" fontId="24" fillId="9" borderId="4" xfId="4" applyNumberFormat="1" applyFont="1" applyFill="1" applyBorder="1" applyAlignment="1">
      <alignment horizontal="center" vertical="center"/>
    </xf>
    <xf numFmtId="42" fontId="24" fillId="13" borderId="4" xfId="4" applyFont="1" applyFill="1" applyBorder="1" applyAlignment="1">
      <alignment vertical="center"/>
    </xf>
    <xf numFmtId="10" fontId="24" fillId="6" borderId="4" xfId="1" applyNumberFormat="1" applyFont="1" applyFill="1" applyBorder="1" applyAlignment="1">
      <alignment horizontal="center" vertical="center"/>
    </xf>
    <xf numFmtId="9" fontId="24" fillId="9" borderId="4" xfId="1" applyFont="1" applyFill="1" applyBorder="1" applyAlignment="1">
      <alignment horizontal="center" vertical="center"/>
    </xf>
    <xf numFmtId="10" fontId="15" fillId="9" borderId="5" xfId="1" applyNumberFormat="1" applyFont="1" applyFill="1" applyBorder="1" applyAlignment="1">
      <alignment horizontal="right" vertical="center" wrapText="1"/>
    </xf>
    <xf numFmtId="10" fontId="15" fillId="9" borderId="5" xfId="1" applyNumberFormat="1" applyFont="1" applyFill="1" applyBorder="1" applyAlignment="1" applyProtection="1">
      <alignment horizontal="right" vertical="center" wrapText="1"/>
      <protection locked="0"/>
    </xf>
    <xf numFmtId="9" fontId="24" fillId="6" borderId="4" xfId="1" applyFont="1" applyFill="1" applyBorder="1" applyAlignment="1">
      <alignment horizontal="center" vertical="center"/>
    </xf>
    <xf numFmtId="0" fontId="24" fillId="13" borderId="19" xfId="2" applyFont="1" applyFill="1" applyBorder="1" applyAlignment="1">
      <alignment horizontal="center" vertical="center" wrapText="1"/>
    </xf>
    <xf numFmtId="0" fontId="14" fillId="16" borderId="8" xfId="8" applyFill="1" applyBorder="1" applyAlignment="1">
      <alignment horizontal="center" vertical="center" wrapText="1"/>
    </xf>
    <xf numFmtId="0" fontId="24" fillId="9" borderId="19" xfId="2" applyFont="1" applyFill="1" applyBorder="1" applyAlignment="1">
      <alignment horizontal="center" vertical="center" wrapText="1"/>
    </xf>
    <xf numFmtId="170" fontId="15" fillId="9" borderId="4" xfId="7" applyNumberFormat="1" applyFont="1" applyFill="1" applyBorder="1" applyAlignment="1" applyProtection="1">
      <alignment horizontal="right" vertical="center" wrapText="1"/>
      <protection locked="0"/>
    </xf>
    <xf numFmtId="0" fontId="25" fillId="13" borderId="19" xfId="2" applyFont="1" applyFill="1" applyBorder="1" applyAlignment="1">
      <alignment horizontal="center" vertical="center" wrapText="1"/>
    </xf>
    <xf numFmtId="0" fontId="14" fillId="13" borderId="19" xfId="8" applyFill="1" applyBorder="1" applyAlignment="1">
      <alignment horizontal="center" vertical="center" wrapText="1"/>
    </xf>
    <xf numFmtId="0" fontId="9" fillId="8" borderId="10" xfId="0" applyFont="1" applyFill="1" applyBorder="1" applyAlignment="1">
      <alignment vertical="center" wrapText="1"/>
    </xf>
    <xf numFmtId="0" fontId="9" fillId="8" borderId="9" xfId="0" applyFont="1" applyFill="1" applyBorder="1" applyAlignment="1">
      <alignment vertical="center" wrapText="1"/>
    </xf>
    <xf numFmtId="0" fontId="9" fillId="8" borderId="11" xfId="0" applyFont="1" applyFill="1" applyBorder="1" applyAlignment="1">
      <alignment vertical="center" wrapText="1"/>
    </xf>
    <xf numFmtId="0" fontId="25" fillId="15" borderId="5" xfId="0" applyFont="1" applyFill="1" applyBorder="1" applyAlignment="1">
      <alignment horizontal="center" vertical="center" wrapText="1"/>
    </xf>
    <xf numFmtId="0" fontId="25" fillId="15" borderId="0" xfId="0" applyFont="1" applyFill="1" applyAlignment="1">
      <alignment vertical="center" wrapText="1"/>
    </xf>
    <xf numFmtId="9" fontId="0" fillId="0" borderId="0" xfId="0" applyNumberFormat="1"/>
    <xf numFmtId="9" fontId="0" fillId="0" borderId="15" xfId="0" applyNumberFormat="1" applyBorder="1" applyAlignment="1">
      <alignment horizontal="center"/>
    </xf>
    <xf numFmtId="0" fontId="7" fillId="4" borderId="7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0" fontId="24" fillId="13" borderId="5" xfId="2" applyFont="1" applyFill="1" applyBorder="1" applyAlignment="1">
      <alignment horizontal="center" vertical="center" wrapText="1"/>
    </xf>
    <xf numFmtId="0" fontId="19" fillId="16" borderId="4" xfId="0" applyFont="1" applyFill="1" applyBorder="1" applyAlignment="1">
      <alignment horizontal="center" vertical="center" wrapText="1"/>
    </xf>
    <xf numFmtId="0" fontId="25" fillId="16" borderId="4" xfId="0" applyFont="1" applyFill="1" applyBorder="1" applyAlignment="1">
      <alignment horizontal="center" vertical="center" wrapText="1"/>
    </xf>
    <xf numFmtId="0" fontId="15" fillId="13" borderId="3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9" fillId="6" borderId="4" xfId="0" applyFont="1" applyFill="1" applyBorder="1" applyAlignment="1">
      <alignment horizontal="center" vertical="center" wrapText="1"/>
    </xf>
    <xf numFmtId="0" fontId="5" fillId="0" borderId="6" xfId="0" applyFont="1" applyBorder="1"/>
    <xf numFmtId="9" fontId="5" fillId="0" borderId="0" xfId="1" applyFont="1" applyBorder="1" applyProtection="1"/>
    <xf numFmtId="0" fontId="5" fillId="0" borderId="4" xfId="0" applyFont="1" applyBorder="1"/>
    <xf numFmtId="9" fontId="18" fillId="0" borderId="0" xfId="1" applyFont="1" applyBorder="1" applyProtection="1"/>
    <xf numFmtId="0" fontId="34" fillId="3" borderId="12" xfId="0" applyFont="1" applyFill="1" applyBorder="1" applyAlignment="1">
      <alignment vertical="center"/>
    </xf>
    <xf numFmtId="0" fontId="34" fillId="3" borderId="0" xfId="0" applyFont="1" applyFill="1" applyAlignment="1">
      <alignment vertical="center"/>
    </xf>
    <xf numFmtId="9" fontId="5" fillId="0" borderId="4" xfId="1" applyFont="1" applyBorder="1" applyProtection="1"/>
    <xf numFmtId="9" fontId="5" fillId="0" borderId="4" xfId="1" applyFont="1" applyBorder="1" applyAlignment="1" applyProtection="1">
      <alignment horizontal="center"/>
    </xf>
    <xf numFmtId="168" fontId="15" fillId="9" borderId="4" xfId="9" applyNumberFormat="1" applyFont="1" applyFill="1" applyBorder="1" applyAlignment="1">
      <alignment horizontal="center" vertical="center" wrapText="1"/>
    </xf>
    <xf numFmtId="168" fontId="15" fillId="9" borderId="4" xfId="9" applyNumberFormat="1" applyFont="1" applyFill="1" applyBorder="1" applyAlignment="1" applyProtection="1">
      <alignment horizontal="center" vertical="center" wrapText="1"/>
      <protection locked="0"/>
    </xf>
    <xf numFmtId="184" fontId="15" fillId="6" borderId="4" xfId="11" applyFont="1" applyFill="1" applyBorder="1" applyAlignment="1" applyProtection="1">
      <alignment horizontal="center" vertical="center" wrapText="1"/>
    </xf>
    <xf numFmtId="41" fontId="24" fillId="6" borderId="4" xfId="7" applyFont="1" applyFill="1" applyBorder="1" applyAlignment="1">
      <alignment horizontal="center" vertical="center"/>
    </xf>
    <xf numFmtId="41" fontId="15" fillId="9" borderId="4" xfId="7" applyFont="1" applyFill="1" applyBorder="1" applyAlignment="1" applyProtection="1">
      <alignment horizontal="center" vertical="center" wrapText="1"/>
    </xf>
    <xf numFmtId="0" fontId="24" fillId="6" borderId="5" xfId="0" applyFont="1" applyFill="1" applyBorder="1" applyAlignment="1">
      <alignment horizontal="center" vertical="center" wrapText="1"/>
    </xf>
    <xf numFmtId="184" fontId="24" fillId="6" borderId="4" xfId="11" applyFont="1" applyFill="1" applyBorder="1" applyAlignment="1" applyProtection="1">
      <alignment horizontal="center" vertical="center" wrapText="1"/>
    </xf>
    <xf numFmtId="184" fontId="24" fillId="6" borderId="4" xfId="11" applyFont="1" applyFill="1" applyBorder="1" applyAlignment="1" applyProtection="1">
      <alignment horizontal="center" vertical="center"/>
    </xf>
    <xf numFmtId="184" fontId="24" fillId="9" borderId="4" xfId="11" applyFont="1" applyFill="1" applyBorder="1" applyAlignment="1" applyProtection="1">
      <alignment horizontal="center" vertical="center"/>
    </xf>
    <xf numFmtId="184" fontId="24" fillId="9" borderId="4" xfId="11" applyFont="1" applyFill="1" applyBorder="1" applyAlignment="1" applyProtection="1">
      <alignment horizontal="center" vertical="center" wrapText="1"/>
    </xf>
    <xf numFmtId="184" fontId="15" fillId="9" borderId="4" xfId="11" applyFont="1" applyFill="1" applyBorder="1" applyAlignment="1" applyProtection="1">
      <alignment horizontal="center" vertical="center" wrapText="1"/>
    </xf>
    <xf numFmtId="170" fontId="24" fillId="6" borderId="4" xfId="7" applyNumberFormat="1" applyFont="1" applyFill="1" applyBorder="1" applyAlignment="1" applyProtection="1">
      <alignment horizontal="center" vertical="center" wrapText="1"/>
    </xf>
    <xf numFmtId="170" fontId="24" fillId="9" borderId="4" xfId="7" applyNumberFormat="1" applyFont="1" applyFill="1" applyBorder="1" applyAlignment="1" applyProtection="1">
      <alignment horizontal="center" vertical="center"/>
    </xf>
    <xf numFmtId="170" fontId="24" fillId="9" borderId="4" xfId="7" applyNumberFormat="1" applyFont="1" applyFill="1" applyBorder="1" applyAlignment="1" applyProtection="1">
      <alignment horizontal="center" vertical="center" wrapText="1"/>
    </xf>
    <xf numFmtId="173" fontId="24" fillId="6" borderId="4" xfId="11" applyNumberFormat="1" applyFont="1" applyFill="1" applyBorder="1" applyAlignment="1" applyProtection="1">
      <alignment horizontal="center" vertical="center"/>
    </xf>
    <xf numFmtId="9" fontId="43" fillId="29" borderId="26" xfId="0" applyNumberFormat="1" applyFont="1" applyFill="1" applyBorder="1" applyAlignment="1">
      <alignment horizontal="center" vertical="center" wrapText="1"/>
    </xf>
    <xf numFmtId="9" fontId="43" fillId="30" borderId="26" xfId="0" applyNumberFormat="1" applyFont="1" applyFill="1" applyBorder="1" applyAlignment="1">
      <alignment horizontal="center" vertical="center" wrapText="1"/>
    </xf>
    <xf numFmtId="9" fontId="43" fillId="31" borderId="26" xfId="0" applyNumberFormat="1" applyFont="1" applyFill="1" applyBorder="1" applyAlignment="1">
      <alignment horizontal="center" vertical="center" wrapText="1"/>
    </xf>
    <xf numFmtId="9" fontId="43" fillId="32" borderId="26" xfId="0" applyNumberFormat="1" applyFont="1" applyFill="1" applyBorder="1" applyAlignment="1">
      <alignment horizontal="center" vertical="center" wrapText="1"/>
    </xf>
    <xf numFmtId="185" fontId="21" fillId="17" borderId="26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/>
    </xf>
    <xf numFmtId="9" fontId="24" fillId="6" borderId="4" xfId="1" applyFont="1" applyFill="1" applyBorder="1" applyAlignment="1" applyProtection="1">
      <alignment horizontal="center" vertical="center"/>
    </xf>
    <xf numFmtId="182" fontId="15" fillId="9" borderId="4" xfId="7" applyNumberFormat="1" applyFont="1" applyFill="1" applyBorder="1" applyAlignment="1" applyProtection="1">
      <alignment horizontal="center" vertical="center" wrapText="1"/>
    </xf>
    <xf numFmtId="170" fontId="24" fillId="6" borderId="4" xfId="7" applyNumberFormat="1" applyFont="1" applyFill="1" applyBorder="1" applyAlignment="1" applyProtection="1">
      <alignment horizontal="center" vertical="center"/>
    </xf>
    <xf numFmtId="182" fontId="15" fillId="6" borderId="4" xfId="7" applyNumberFormat="1" applyFont="1" applyFill="1" applyBorder="1" applyAlignment="1" applyProtection="1">
      <alignment horizontal="center" vertical="center" wrapText="1"/>
    </xf>
    <xf numFmtId="9" fontId="14" fillId="9" borderId="4" xfId="1" applyFont="1" applyFill="1" applyBorder="1" applyAlignment="1" applyProtection="1">
      <alignment horizontal="center" vertical="center" wrapText="1"/>
    </xf>
    <xf numFmtId="9" fontId="24" fillId="9" borderId="4" xfId="1" applyFont="1" applyFill="1" applyBorder="1" applyAlignment="1" applyProtection="1">
      <alignment horizontal="center" vertical="center" wrapText="1"/>
    </xf>
    <xf numFmtId="9" fontId="24" fillId="9" borderId="4" xfId="1" applyFont="1" applyFill="1" applyBorder="1" applyAlignment="1" applyProtection="1">
      <alignment horizontal="center" vertical="center"/>
    </xf>
    <xf numFmtId="9" fontId="10" fillId="0" borderId="0" xfId="1" applyFont="1" applyProtection="1"/>
    <xf numFmtId="3" fontId="24" fillId="6" borderId="4" xfId="0" applyNumberFormat="1" applyFont="1" applyFill="1" applyBorder="1" applyAlignment="1">
      <alignment horizontal="center" vertical="center"/>
    </xf>
    <xf numFmtId="9" fontId="24" fillId="13" borderId="4" xfId="1" applyFont="1" applyFill="1" applyBorder="1" applyAlignment="1" applyProtection="1">
      <alignment horizontal="center" vertical="center" wrapText="1"/>
    </xf>
    <xf numFmtId="170" fontId="24" fillId="6" borderId="4" xfId="7" applyNumberFormat="1" applyFont="1" applyFill="1" applyBorder="1" applyAlignment="1" applyProtection="1">
      <alignment vertical="center" wrapText="1"/>
    </xf>
    <xf numFmtId="9" fontId="9" fillId="7" borderId="9" xfId="1" applyFont="1" applyFill="1" applyBorder="1" applyAlignment="1" applyProtection="1">
      <alignment vertical="center" wrapText="1"/>
    </xf>
    <xf numFmtId="9" fontId="9" fillId="7" borderId="9" xfId="1" applyFont="1" applyFill="1" applyBorder="1" applyAlignment="1" applyProtection="1">
      <alignment horizontal="center" vertical="center" wrapText="1"/>
    </xf>
    <xf numFmtId="9" fontId="9" fillId="7" borderId="11" xfId="1" applyFont="1" applyFill="1" applyBorder="1" applyAlignment="1" applyProtection="1">
      <alignment horizontal="center" vertical="center" wrapText="1"/>
    </xf>
    <xf numFmtId="170" fontId="27" fillId="9" borderId="4" xfId="7" applyNumberFormat="1" applyFont="1" applyFill="1" applyBorder="1" applyAlignment="1" applyProtection="1">
      <alignment horizontal="center" vertical="center" wrapText="1"/>
    </xf>
    <xf numFmtId="9" fontId="15" fillId="9" borderId="4" xfId="1" applyFont="1" applyFill="1" applyBorder="1" applyAlignment="1" applyProtection="1">
      <alignment horizontal="center" vertical="center"/>
    </xf>
    <xf numFmtId="170" fontId="15" fillId="9" borderId="4" xfId="7" applyNumberFormat="1" applyFont="1" applyFill="1" applyBorder="1" applyAlignment="1" applyProtection="1">
      <alignment horizontal="center" wrapText="1"/>
    </xf>
    <xf numFmtId="0" fontId="19" fillId="9" borderId="4" xfId="0" applyFont="1" applyFill="1" applyBorder="1" applyAlignment="1">
      <alignment horizontal="center" vertical="center" wrapText="1"/>
    </xf>
    <xf numFmtId="170" fontId="27" fillId="6" borderId="4" xfId="7" applyNumberFormat="1" applyFont="1" applyFill="1" applyBorder="1" applyAlignment="1" applyProtection="1">
      <alignment horizontal="center" vertical="center" wrapText="1"/>
    </xf>
    <xf numFmtId="9" fontId="9" fillId="8" borderId="9" xfId="1" applyFont="1" applyFill="1" applyBorder="1" applyAlignment="1">
      <alignment vertical="center" wrapText="1"/>
    </xf>
    <xf numFmtId="9" fontId="9" fillId="8" borderId="9" xfId="1" applyFont="1" applyFill="1" applyBorder="1" applyAlignment="1">
      <alignment horizontal="center" vertical="center" wrapText="1"/>
    </xf>
    <xf numFmtId="9" fontId="9" fillId="8" borderId="11" xfId="1" applyFont="1" applyFill="1" applyBorder="1" applyAlignment="1">
      <alignment horizontal="center" vertical="center" wrapText="1"/>
    </xf>
    <xf numFmtId="165" fontId="15" fillId="9" borderId="4" xfId="0" applyNumberFormat="1" applyFont="1" applyFill="1" applyBorder="1" applyAlignment="1">
      <alignment horizontal="center" vertical="center" wrapText="1"/>
    </xf>
    <xf numFmtId="165" fontId="14" fillId="9" borderId="4" xfId="8" applyNumberFormat="1" applyFill="1" applyBorder="1" applyAlignment="1">
      <alignment horizontal="center" vertical="center" wrapText="1"/>
    </xf>
    <xf numFmtId="3" fontId="15" fillId="9" borderId="4" xfId="0" applyNumberFormat="1" applyFont="1" applyFill="1" applyBorder="1" applyAlignment="1">
      <alignment horizontal="center" vertical="center" wrapText="1"/>
    </xf>
    <xf numFmtId="170" fontId="15" fillId="6" borderId="4" xfId="1" applyNumberFormat="1" applyFont="1" applyFill="1" applyBorder="1" applyAlignment="1" applyProtection="1">
      <alignment horizontal="center" vertical="center" wrapText="1"/>
    </xf>
    <xf numFmtId="0" fontId="14" fillId="13" borderId="9" xfId="8" applyFill="1" applyBorder="1" applyAlignment="1" applyProtection="1">
      <alignment horizontal="center" vertical="center" wrapText="1"/>
    </xf>
    <xf numFmtId="4" fontId="15" fillId="13" borderId="4" xfId="0" applyNumberFormat="1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center" vertical="center" wrapText="1"/>
    </xf>
    <xf numFmtId="3" fontId="15" fillId="13" borderId="10" xfId="0" applyNumberFormat="1" applyFont="1" applyFill="1" applyBorder="1" applyAlignment="1" applyProtection="1">
      <alignment horizontal="center" vertical="center" wrapText="1"/>
      <protection locked="0"/>
    </xf>
    <xf numFmtId="2" fontId="15" fillId="13" borderId="10" xfId="0" applyNumberFormat="1" applyFont="1" applyFill="1" applyBorder="1" applyAlignment="1">
      <alignment horizontal="center" vertical="center" wrapText="1"/>
    </xf>
    <xf numFmtId="0" fontId="15" fillId="13" borderId="4" xfId="0" applyFont="1" applyFill="1" applyBorder="1" applyAlignment="1" applyProtection="1">
      <alignment horizontal="center" vertical="center" wrapText="1"/>
      <protection locked="0"/>
    </xf>
    <xf numFmtId="2" fontId="15" fillId="13" borderId="4" xfId="0" applyNumberFormat="1" applyFont="1" applyFill="1" applyBorder="1" applyAlignment="1">
      <alignment horizontal="center" vertical="center" wrapText="1"/>
    </xf>
    <xf numFmtId="0" fontId="15" fillId="13" borderId="10" xfId="0" applyFont="1" applyFill="1" applyBorder="1" applyAlignment="1" applyProtection="1">
      <alignment horizontal="center" vertical="center" wrapText="1"/>
      <protection locked="0"/>
    </xf>
    <xf numFmtId="0" fontId="15" fillId="13" borderId="2" xfId="0" applyFont="1" applyFill="1" applyBorder="1" applyAlignment="1" applyProtection="1">
      <alignment horizontal="center" vertical="center" wrapText="1"/>
      <protection locked="0"/>
    </xf>
    <xf numFmtId="42" fontId="15" fillId="13" borderId="10" xfId="4" applyFont="1" applyFill="1" applyBorder="1" applyAlignment="1" applyProtection="1">
      <alignment horizontal="center" vertical="center" wrapText="1"/>
    </xf>
    <xf numFmtId="42" fontId="15" fillId="13" borderId="4" xfId="4" applyFont="1" applyFill="1" applyBorder="1" applyAlignment="1" applyProtection="1">
      <alignment horizontal="center" vertical="center" wrapText="1"/>
    </xf>
    <xf numFmtId="42" fontId="15" fillId="13" borderId="4" xfId="4" applyFont="1" applyFill="1" applyBorder="1" applyAlignment="1" applyProtection="1">
      <alignment horizontal="center" vertical="center" wrapText="1"/>
      <protection locked="0"/>
    </xf>
    <xf numFmtId="0" fontId="14" fillId="5" borderId="4" xfId="8" applyFill="1" applyBorder="1" applyAlignment="1" applyProtection="1">
      <alignment horizontal="center" vertical="center" wrapText="1"/>
    </xf>
    <xf numFmtId="3" fontId="24" fillId="5" borderId="4" xfId="0" applyNumberFormat="1" applyFont="1" applyFill="1" applyBorder="1" applyAlignment="1">
      <alignment horizontal="center" vertical="center" wrapText="1"/>
    </xf>
    <xf numFmtId="173" fontId="15" fillId="9" borderId="4" xfId="4" applyNumberFormat="1" applyFont="1" applyFill="1" applyBorder="1" applyAlignment="1" applyProtection="1">
      <alignment horizontal="right" vertical="center" wrapText="1"/>
    </xf>
    <xf numFmtId="42" fontId="24" fillId="6" borderId="4" xfId="4" applyFont="1" applyFill="1" applyBorder="1" applyAlignment="1" applyProtection="1">
      <alignment horizontal="center" vertical="center" wrapText="1"/>
    </xf>
    <xf numFmtId="168" fontId="24" fillId="6" borderId="4" xfId="4" applyNumberFormat="1" applyFont="1" applyFill="1" applyBorder="1" applyAlignment="1" applyProtection="1">
      <alignment horizontal="center" vertical="center" wrapText="1"/>
    </xf>
    <xf numFmtId="168" fontId="24" fillId="6" borderId="4" xfId="4" applyNumberFormat="1" applyFont="1" applyFill="1" applyBorder="1" applyAlignment="1" applyProtection="1">
      <alignment horizontal="center" vertical="center" wrapText="1"/>
      <protection locked="0"/>
    </xf>
    <xf numFmtId="42" fontId="24" fillId="5" borderId="4" xfId="4" applyFont="1" applyFill="1" applyBorder="1" applyAlignment="1" applyProtection="1">
      <alignment horizontal="center" vertical="center" wrapText="1"/>
    </xf>
    <xf numFmtId="168" fontId="24" fillId="5" borderId="4" xfId="4" applyNumberFormat="1" applyFont="1" applyFill="1" applyBorder="1" applyAlignment="1" applyProtection="1">
      <alignment horizontal="center" vertical="center" wrapText="1"/>
    </xf>
    <xf numFmtId="3" fontId="44" fillId="0" borderId="15" xfId="0" applyNumberFormat="1" applyFont="1" applyBorder="1" applyAlignment="1" applyProtection="1">
      <alignment horizontal="center" vertical="center" wrapText="1"/>
      <protection locked="0"/>
    </xf>
    <xf numFmtId="168" fontId="24" fillId="5" borderId="4" xfId="4" applyNumberFormat="1" applyFont="1" applyFill="1" applyBorder="1" applyAlignment="1" applyProtection="1">
      <alignment horizontal="center" vertical="center" wrapText="1"/>
      <protection locked="0"/>
    </xf>
    <xf numFmtId="42" fontId="24" fillId="13" borderId="4" xfId="4" applyFont="1" applyFill="1" applyBorder="1" applyAlignment="1" applyProtection="1">
      <alignment horizontal="center" vertical="center" wrapText="1"/>
    </xf>
    <xf numFmtId="3" fontId="44" fillId="0" borderId="15" xfId="0" applyNumberFormat="1" applyFont="1" applyBorder="1" applyAlignment="1" applyProtection="1">
      <alignment horizontal="center" vertical="center"/>
      <protection locked="0"/>
    </xf>
    <xf numFmtId="1" fontId="24" fillId="13" borderId="4" xfId="7" applyNumberFormat="1" applyFont="1" applyFill="1" applyBorder="1" applyAlignment="1" applyProtection="1">
      <alignment horizontal="center" vertical="center"/>
    </xf>
    <xf numFmtId="170" fontId="24" fillId="13" borderId="4" xfId="7" applyNumberFormat="1" applyFont="1" applyFill="1" applyBorder="1" applyAlignment="1" applyProtection="1">
      <alignment horizontal="center" vertical="center" wrapText="1"/>
    </xf>
    <xf numFmtId="170" fontId="24" fillId="13" borderId="4" xfId="7" applyNumberFormat="1" applyFont="1" applyFill="1" applyBorder="1" applyAlignment="1" applyProtection="1">
      <alignment horizontal="center" vertical="center" wrapText="1"/>
      <protection locked="0"/>
    </xf>
    <xf numFmtId="170" fontId="24" fillId="12" borderId="4" xfId="7" applyNumberFormat="1" applyFont="1" applyFill="1" applyBorder="1" applyAlignment="1" applyProtection="1">
      <alignment horizontal="center" vertical="center" wrapText="1"/>
    </xf>
    <xf numFmtId="170" fontId="24" fillId="6" borderId="4" xfId="7" applyNumberFormat="1" applyFont="1" applyFill="1" applyBorder="1" applyAlignment="1" applyProtection="1">
      <alignment horizontal="center" vertical="center" wrapText="1"/>
      <protection locked="0"/>
    </xf>
    <xf numFmtId="0" fontId="24" fillId="13" borderId="19" xfId="2" applyFont="1" applyFill="1" applyBorder="1" applyAlignment="1" applyProtection="1">
      <alignment horizontal="center" vertical="center" wrapText="1"/>
    </xf>
    <xf numFmtId="168" fontId="24" fillId="13" borderId="4" xfId="4" applyNumberFormat="1" applyFont="1" applyFill="1" applyBorder="1" applyAlignment="1" applyProtection="1">
      <alignment horizontal="center" vertical="center" wrapText="1"/>
    </xf>
    <xf numFmtId="168" fontId="24" fillId="13" borderId="4" xfId="4" applyNumberFormat="1" applyFont="1" applyFill="1" applyBorder="1" applyAlignment="1" applyProtection="1">
      <alignment horizontal="center" vertical="center" wrapText="1"/>
      <protection locked="0"/>
    </xf>
    <xf numFmtId="0" fontId="24" fillId="12" borderId="19" xfId="2" applyFont="1" applyFill="1" applyBorder="1" applyAlignment="1" applyProtection="1">
      <alignment horizontal="center" vertical="center" wrapText="1"/>
    </xf>
    <xf numFmtId="170" fontId="24" fillId="12" borderId="4" xfId="7" applyNumberFormat="1" applyFont="1" applyFill="1" applyBorder="1" applyAlignment="1" applyProtection="1">
      <alignment horizontal="center" vertical="center" wrapText="1"/>
      <protection locked="0"/>
    </xf>
    <xf numFmtId="41" fontId="24" fillId="6" borderId="4" xfId="7" applyFont="1" applyFill="1" applyBorder="1" applyAlignment="1" applyProtection="1">
      <alignment horizontal="center" vertical="center" wrapText="1"/>
    </xf>
    <xf numFmtId="10" fontId="24" fillId="13" borderId="4" xfId="1" applyNumberFormat="1" applyFont="1" applyFill="1" applyBorder="1" applyAlignment="1" applyProtection="1">
      <alignment horizontal="center" vertical="center" wrapText="1"/>
    </xf>
    <xf numFmtId="10" fontId="24" fillId="13" borderId="4" xfId="1" applyNumberFormat="1" applyFont="1" applyFill="1" applyBorder="1" applyAlignment="1" applyProtection="1">
      <alignment horizontal="center" vertical="center" wrapText="1"/>
      <protection locked="0"/>
    </xf>
    <xf numFmtId="1" fontId="24" fillId="12" borderId="4" xfId="1" applyNumberFormat="1" applyFont="1" applyFill="1" applyBorder="1" applyAlignment="1" applyProtection="1">
      <alignment horizontal="center" vertical="center"/>
    </xf>
    <xf numFmtId="1" fontId="24" fillId="13" borderId="4" xfId="7" applyNumberFormat="1" applyFont="1" applyFill="1" applyBorder="1" applyAlignment="1" applyProtection="1">
      <alignment horizontal="center" vertical="center" wrapText="1"/>
    </xf>
    <xf numFmtId="41" fontId="24" fillId="13" borderId="4" xfId="7" applyFont="1" applyFill="1" applyBorder="1" applyAlignment="1" applyProtection="1">
      <alignment horizontal="center" vertical="center" wrapText="1"/>
    </xf>
    <xf numFmtId="0" fontId="45" fillId="0" borderId="15" xfId="0" applyFont="1" applyBorder="1" applyAlignment="1" applyProtection="1">
      <alignment horizontal="center" vertical="center"/>
      <protection locked="0"/>
    </xf>
    <xf numFmtId="167" fontId="24" fillId="6" borderId="4" xfId="1" applyNumberFormat="1" applyFont="1" applyFill="1" applyBorder="1" applyAlignment="1" applyProtection="1">
      <alignment horizontal="center" vertical="center" wrapText="1"/>
    </xf>
    <xf numFmtId="9" fontId="45" fillId="0" borderId="15" xfId="0" applyNumberFormat="1" applyFont="1" applyBorder="1" applyAlignment="1" applyProtection="1">
      <alignment horizontal="center" vertical="center"/>
      <protection locked="0"/>
    </xf>
    <xf numFmtId="9" fontId="15" fillId="13" borderId="10" xfId="1" applyFont="1" applyFill="1" applyBorder="1" applyAlignment="1" applyProtection="1">
      <alignment horizontal="center" vertical="center" wrapText="1"/>
    </xf>
    <xf numFmtId="0" fontId="24" fillId="12" borderId="19" xfId="0" applyFont="1" applyFill="1" applyBorder="1" applyAlignment="1">
      <alignment horizontal="center" vertical="center" wrapText="1"/>
    </xf>
    <xf numFmtId="42" fontId="24" fillId="12" borderId="4" xfId="4" applyFont="1" applyFill="1" applyBorder="1" applyAlignment="1" applyProtection="1">
      <alignment horizontal="center" vertical="center" wrapText="1"/>
    </xf>
    <xf numFmtId="42" fontId="24" fillId="12" borderId="4" xfId="4" applyFont="1" applyFill="1" applyBorder="1" applyAlignment="1" applyProtection="1">
      <alignment horizontal="center" vertical="center"/>
    </xf>
    <xf numFmtId="168" fontId="24" fillId="12" borderId="4" xfId="4" applyNumberFormat="1" applyFont="1" applyFill="1" applyBorder="1" applyAlignment="1" applyProtection="1">
      <alignment horizontal="center" vertical="center" wrapText="1"/>
    </xf>
    <xf numFmtId="168" fontId="24" fillId="12" borderId="4" xfId="4" applyNumberFormat="1" applyFont="1" applyFill="1" applyBorder="1" applyAlignment="1" applyProtection="1">
      <alignment horizontal="center" vertical="center" wrapText="1"/>
      <protection locked="0"/>
    </xf>
    <xf numFmtId="41" fontId="24" fillId="12" borderId="4" xfId="4" applyNumberFormat="1" applyFont="1" applyFill="1" applyBorder="1" applyAlignment="1" applyProtection="1">
      <alignment horizontal="center" vertical="center" wrapText="1"/>
      <protection locked="0"/>
    </xf>
    <xf numFmtId="0" fontId="24" fillId="13" borderId="19" xfId="0" applyFont="1" applyFill="1" applyBorder="1" applyAlignment="1">
      <alignment horizontal="center" vertical="center" wrapText="1"/>
    </xf>
    <xf numFmtId="41" fontId="24" fillId="13" borderId="4" xfId="4" applyNumberFormat="1" applyFont="1" applyFill="1" applyBorder="1" applyAlignment="1" applyProtection="1">
      <alignment horizontal="center" vertical="center" wrapText="1"/>
      <protection locked="0"/>
    </xf>
    <xf numFmtId="41" fontId="24" fillId="12" borderId="4" xfId="7" applyFont="1" applyFill="1" applyBorder="1" applyAlignment="1" applyProtection="1">
      <alignment vertical="center" wrapText="1"/>
    </xf>
    <xf numFmtId="170" fontId="24" fillId="13" borderId="4" xfId="1" applyNumberFormat="1" applyFont="1" applyFill="1" applyBorder="1" applyAlignment="1" applyProtection="1">
      <alignment horizontal="center" vertical="center" wrapText="1"/>
    </xf>
    <xf numFmtId="4" fontId="24" fillId="13" borderId="4" xfId="0" applyNumberFormat="1" applyFont="1" applyFill="1" applyBorder="1" applyAlignment="1">
      <alignment horizontal="center" vertical="center" wrapText="1"/>
    </xf>
    <xf numFmtId="4" fontId="24" fillId="13" borderId="4" xfId="0" applyNumberFormat="1" applyFont="1" applyFill="1" applyBorder="1" applyAlignment="1" applyProtection="1">
      <alignment horizontal="center" vertical="center" wrapText="1"/>
      <protection locked="0"/>
    </xf>
    <xf numFmtId="196" fontId="24" fillId="12" borderId="4" xfId="0" applyNumberFormat="1" applyFont="1" applyFill="1" applyBorder="1" applyAlignment="1">
      <alignment horizontal="center" vertical="center" wrapText="1"/>
    </xf>
    <xf numFmtId="4" fontId="24" fillId="12" borderId="4" xfId="0" applyNumberFormat="1" applyFont="1" applyFill="1" applyBorder="1" applyAlignment="1">
      <alignment horizontal="center" vertical="center" wrapText="1"/>
    </xf>
    <xf numFmtId="4" fontId="24" fillId="12" borderId="4" xfId="0" applyNumberFormat="1" applyFont="1" applyFill="1" applyBorder="1" applyAlignment="1" applyProtection="1">
      <alignment horizontal="center" vertical="center" wrapText="1"/>
      <protection locked="0"/>
    </xf>
    <xf numFmtId="0" fontId="25" fillId="13" borderId="4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 applyProtection="1">
      <alignment vertical="center" wrapText="1"/>
      <protection locked="0"/>
    </xf>
    <xf numFmtId="0" fontId="24" fillId="8" borderId="4" xfId="0" applyFont="1" applyFill="1" applyBorder="1" applyAlignment="1">
      <alignment horizontal="center" vertical="center" wrapText="1"/>
    </xf>
    <xf numFmtId="3" fontId="24" fillId="12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70" fontId="24" fillId="6" borderId="4" xfId="7" applyNumberFormat="1" applyFont="1" applyFill="1" applyBorder="1" applyAlignment="1">
      <alignment horizontal="center" vertical="center"/>
    </xf>
    <xf numFmtId="41" fontId="15" fillId="5" borderId="4" xfId="7" applyFont="1" applyFill="1" applyBorder="1" applyAlignment="1">
      <alignment horizontal="center" vertical="center" wrapText="1"/>
    </xf>
    <xf numFmtId="173" fontId="24" fillId="5" borderId="4" xfId="11" applyNumberFormat="1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165" fontId="24" fillId="5" borderId="4" xfId="0" applyNumberFormat="1" applyFont="1" applyFill="1" applyBorder="1" applyAlignment="1">
      <alignment horizontal="center" vertical="center"/>
    </xf>
    <xf numFmtId="8" fontId="15" fillId="33" borderId="26" xfId="0" applyNumberFormat="1" applyFont="1" applyFill="1" applyBorder="1" applyAlignment="1">
      <alignment horizontal="center" vertical="center" wrapText="1"/>
    </xf>
    <xf numFmtId="173" fontId="24" fillId="6" borderId="4" xfId="11" applyNumberFormat="1" applyFont="1" applyFill="1" applyBorder="1" applyAlignment="1">
      <alignment horizontal="center" vertical="center"/>
    </xf>
    <xf numFmtId="4" fontId="24" fillId="5" borderId="4" xfId="0" applyNumberFormat="1" applyFont="1" applyFill="1" applyBorder="1" applyAlignment="1">
      <alignment horizontal="center" vertical="center"/>
    </xf>
    <xf numFmtId="170" fontId="15" fillId="9" borderId="5" xfId="7" applyNumberFormat="1" applyFont="1" applyFill="1" applyBorder="1" applyAlignment="1">
      <alignment horizontal="center" vertical="center" wrapText="1"/>
    </xf>
    <xf numFmtId="4" fontId="24" fillId="6" borderId="4" xfId="0" applyNumberFormat="1" applyFont="1" applyFill="1" applyBorder="1" applyAlignment="1">
      <alignment horizontal="center" vertical="center"/>
    </xf>
    <xf numFmtId="0" fontId="24" fillId="5" borderId="11" xfId="0" applyFont="1" applyFill="1" applyBorder="1" applyAlignment="1">
      <alignment horizontal="center" vertical="center" wrapText="1"/>
    </xf>
    <xf numFmtId="173" fontId="15" fillId="9" borderId="5" xfId="11" applyNumberFormat="1" applyFont="1" applyFill="1" applyBorder="1" applyAlignment="1">
      <alignment horizontal="center" vertical="center" wrapText="1"/>
    </xf>
    <xf numFmtId="0" fontId="24" fillId="6" borderId="11" xfId="0" applyFont="1" applyFill="1" applyBorder="1" applyAlignment="1">
      <alignment horizontal="center" vertical="center" wrapText="1"/>
    </xf>
    <xf numFmtId="10" fontId="24" fillId="9" borderId="4" xfId="1" applyNumberFormat="1" applyFont="1" applyFill="1" applyBorder="1" applyAlignment="1">
      <alignment horizontal="center" vertical="center"/>
    </xf>
    <xf numFmtId="165" fontId="24" fillId="9" borderId="4" xfId="0" applyNumberFormat="1" applyFont="1" applyFill="1" applyBorder="1" applyAlignment="1">
      <alignment horizontal="center" vertical="center"/>
    </xf>
    <xf numFmtId="0" fontId="25" fillId="9" borderId="4" xfId="0" applyFont="1" applyFill="1" applyBorder="1" applyAlignment="1">
      <alignment horizontal="center" vertical="center" wrapText="1"/>
    </xf>
    <xf numFmtId="173" fontId="24" fillId="6" borderId="4" xfId="11" applyNumberFormat="1" applyFont="1" applyFill="1" applyBorder="1" applyAlignment="1">
      <alignment horizontal="center" vertical="center" wrapText="1"/>
    </xf>
    <xf numFmtId="9" fontId="9" fillId="7" borderId="9" xfId="1" applyFont="1" applyFill="1" applyBorder="1" applyAlignment="1">
      <alignment vertical="center" wrapText="1"/>
    </xf>
    <xf numFmtId="9" fontId="9" fillId="7" borderId="11" xfId="1" applyFont="1" applyFill="1" applyBorder="1" applyAlignment="1">
      <alignment vertical="center" wrapText="1"/>
    </xf>
    <xf numFmtId="164" fontId="15" fillId="5" borderId="8" xfId="0" applyNumberFormat="1" applyFont="1" applyFill="1" applyBorder="1" applyAlignment="1">
      <alignment horizontal="center" vertical="center"/>
    </xf>
    <xf numFmtId="9" fontId="9" fillId="8" borderId="9" xfId="1" applyFont="1" applyFill="1" applyBorder="1" applyAlignment="1" applyProtection="1">
      <alignment vertical="center" wrapText="1"/>
    </xf>
    <xf numFmtId="9" fontId="9" fillId="8" borderId="11" xfId="1" applyFont="1" applyFill="1" applyBorder="1" applyAlignment="1">
      <alignment vertical="center" wrapText="1"/>
    </xf>
    <xf numFmtId="4" fontId="15" fillId="9" borderId="4" xfId="0" applyNumberFormat="1" applyFont="1" applyFill="1" applyBorder="1" applyAlignment="1">
      <alignment horizontal="center" vertical="center" wrapText="1"/>
    </xf>
    <xf numFmtId="9" fontId="14" fillId="0" borderId="0" xfId="8" applyNumberFormat="1" applyAlignment="1">
      <alignment horizontal="center" vertical="center"/>
    </xf>
    <xf numFmtId="0" fontId="14" fillId="13" borderId="8" xfId="8" applyFill="1" applyBorder="1" applyAlignment="1" applyProtection="1">
      <alignment horizontal="center" vertical="center" wrapText="1"/>
    </xf>
    <xf numFmtId="0" fontId="14" fillId="12" borderId="5" xfId="8" applyFill="1" applyBorder="1" applyAlignment="1" applyProtection="1">
      <alignment horizontal="center" vertical="center" wrapText="1"/>
    </xf>
    <xf numFmtId="0" fontId="14" fillId="13" borderId="5" xfId="8" applyFill="1" applyBorder="1" applyAlignment="1" applyProtection="1">
      <alignment horizontal="center" vertical="center" wrapText="1"/>
    </xf>
    <xf numFmtId="0" fontId="14" fillId="12" borderId="8" xfId="8" applyFill="1" applyBorder="1" applyAlignment="1" applyProtection="1">
      <alignment horizontal="center" vertical="center" wrapText="1"/>
    </xf>
    <xf numFmtId="0" fontId="22" fillId="12" borderId="5" xfId="0" applyFont="1" applyFill="1" applyBorder="1" applyAlignment="1">
      <alignment horizontal="center" vertical="center" wrapText="1"/>
    </xf>
    <xf numFmtId="10" fontId="3" fillId="6" borderId="4" xfId="1" applyNumberFormat="1" applyFont="1" applyFill="1" applyBorder="1" applyAlignment="1" applyProtection="1">
      <alignment horizontal="right" vertical="center"/>
    </xf>
    <xf numFmtId="0" fontId="19" fillId="13" borderId="11" xfId="0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center" vertical="center" wrapText="1"/>
    </xf>
    <xf numFmtId="0" fontId="47" fillId="35" borderId="0" xfId="0" applyFont="1" applyFill="1"/>
    <xf numFmtId="0" fontId="48" fillId="0" borderId="0" xfId="0" applyFont="1"/>
    <xf numFmtId="0" fontId="49" fillId="35" borderId="0" xfId="0" applyFont="1" applyFill="1" applyAlignment="1">
      <alignment vertical="center"/>
    </xf>
    <xf numFmtId="0" fontId="50" fillId="35" borderId="12" xfId="0" applyFont="1" applyFill="1" applyBorder="1"/>
    <xf numFmtId="0" fontId="50" fillId="35" borderId="0" xfId="0" applyFont="1" applyFill="1"/>
    <xf numFmtId="0" fontId="50" fillId="35" borderId="12" xfId="0" applyFont="1" applyFill="1" applyBorder="1" applyAlignment="1">
      <alignment horizontal="center"/>
    </xf>
    <xf numFmtId="0" fontId="50" fillId="35" borderId="0" xfId="0" applyFont="1" applyFill="1" applyAlignment="1">
      <alignment horizontal="center"/>
    </xf>
    <xf numFmtId="0" fontId="51" fillId="35" borderId="26" xfId="0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0" fontId="50" fillId="36" borderId="53" xfId="0" applyFont="1" applyFill="1" applyBorder="1" applyAlignment="1">
      <alignment horizontal="center" vertical="center" wrapText="1"/>
    </xf>
    <xf numFmtId="0" fontId="50" fillId="36" borderId="52" xfId="0" applyFont="1" applyFill="1" applyBorder="1" applyAlignment="1">
      <alignment horizontal="center" vertical="center" wrapText="1"/>
    </xf>
    <xf numFmtId="0" fontId="50" fillId="36" borderId="26" xfId="0" applyFont="1" applyFill="1" applyBorder="1" applyAlignment="1">
      <alignment horizontal="center" vertical="center" wrapText="1"/>
    </xf>
    <xf numFmtId="0" fontId="50" fillId="36" borderId="43" xfId="0" applyFont="1" applyFill="1" applyBorder="1" applyAlignment="1">
      <alignment horizontal="center" vertical="center" wrapText="1"/>
    </xf>
    <xf numFmtId="0" fontId="50" fillId="36" borderId="42" xfId="0" applyFont="1" applyFill="1" applyBorder="1" applyAlignment="1">
      <alignment horizontal="center" vertical="center" wrapText="1"/>
    </xf>
    <xf numFmtId="0" fontId="50" fillId="36" borderId="51" xfId="0" applyFont="1" applyFill="1" applyBorder="1" applyAlignment="1">
      <alignment horizontal="center" vertical="center" wrapText="1"/>
    </xf>
    <xf numFmtId="0" fontId="53" fillId="0" borderId="0" xfId="0" applyFont="1"/>
    <xf numFmtId="0" fontId="21" fillId="37" borderId="50" xfId="0" applyFont="1" applyFill="1" applyBorder="1" applyAlignment="1">
      <alignment horizontal="center" vertical="center" wrapText="1"/>
    </xf>
    <xf numFmtId="0" fontId="55" fillId="37" borderId="50" xfId="8" applyFont="1" applyFill="1" applyBorder="1" applyAlignment="1" applyProtection="1">
      <alignment horizontal="center" vertical="center" wrapText="1"/>
    </xf>
    <xf numFmtId="4" fontId="21" fillId="37" borderId="50" xfId="0" applyNumberFormat="1" applyFont="1" applyFill="1" applyBorder="1" applyAlignment="1">
      <alignment horizontal="center" vertical="center"/>
    </xf>
    <xf numFmtId="0" fontId="21" fillId="37" borderId="50" xfId="0" applyFont="1" applyFill="1" applyBorder="1" applyAlignment="1">
      <alignment horizontal="center" vertical="center"/>
    </xf>
    <xf numFmtId="165" fontId="21" fillId="37" borderId="50" xfId="0" applyNumberFormat="1" applyFont="1" applyFill="1" applyBorder="1" applyAlignment="1">
      <alignment horizontal="center" vertical="center"/>
    </xf>
    <xf numFmtId="168" fontId="21" fillId="37" borderId="26" xfId="4" applyNumberFormat="1" applyFont="1" applyFill="1" applyBorder="1" applyAlignment="1" applyProtection="1">
      <alignment horizontal="center" vertical="center" wrapText="1"/>
    </xf>
    <xf numFmtId="168" fontId="21" fillId="37" borderId="50" xfId="4" applyNumberFormat="1" applyFont="1" applyFill="1" applyBorder="1" applyAlignment="1" applyProtection="1">
      <alignment horizontal="center" vertical="center" wrapText="1"/>
      <protection locked="0"/>
    </xf>
    <xf numFmtId="9" fontId="43" fillId="17" borderId="26" xfId="1" applyFont="1" applyFill="1" applyBorder="1" applyAlignment="1" applyProtection="1">
      <alignment horizontal="right" vertical="center"/>
    </xf>
    <xf numFmtId="168" fontId="21" fillId="37" borderId="50" xfId="4" applyNumberFormat="1" applyFont="1" applyFill="1" applyBorder="1" applyAlignment="1" applyProtection="1">
      <alignment horizontal="center" vertical="center" wrapText="1"/>
    </xf>
    <xf numFmtId="168" fontId="21" fillId="37" borderId="26" xfId="4" applyNumberFormat="1" applyFont="1" applyFill="1" applyBorder="1" applyAlignment="1" applyProtection="1">
      <alignment horizontal="center" vertical="center" wrapText="1"/>
      <protection locked="0"/>
    </xf>
    <xf numFmtId="42" fontId="21" fillId="37" borderId="50" xfId="4" applyFont="1" applyFill="1" applyBorder="1" applyAlignment="1" applyProtection="1">
      <alignment horizontal="center" vertical="center" wrapText="1"/>
    </xf>
    <xf numFmtId="10" fontId="43" fillId="17" borderId="26" xfId="1" applyNumberFormat="1" applyFont="1" applyFill="1" applyBorder="1" applyAlignment="1" applyProtection="1">
      <alignment horizontal="right" vertical="center"/>
    </xf>
    <xf numFmtId="0" fontId="21" fillId="17" borderId="26" xfId="0" applyFont="1" applyFill="1" applyBorder="1" applyAlignment="1">
      <alignment horizontal="center" vertical="center" wrapText="1"/>
    </xf>
    <xf numFmtId="0" fontId="55" fillId="17" borderId="50" xfId="8" applyFont="1" applyFill="1" applyBorder="1" applyAlignment="1" applyProtection="1">
      <alignment horizontal="center" vertical="center" wrapText="1"/>
    </xf>
    <xf numFmtId="0" fontId="21" fillId="17" borderId="50" xfId="0" applyFont="1" applyFill="1" applyBorder="1" applyAlignment="1">
      <alignment horizontal="center" vertical="center" wrapText="1"/>
    </xf>
    <xf numFmtId="1" fontId="21" fillId="17" borderId="54" xfId="0" applyNumberFormat="1" applyFont="1" applyFill="1" applyBorder="1" applyAlignment="1">
      <alignment horizontal="center" vertical="center" wrapText="1"/>
    </xf>
    <xf numFmtId="0" fontId="21" fillId="17" borderId="50" xfId="0" applyFont="1" applyFill="1" applyBorder="1" applyAlignment="1">
      <alignment horizontal="center" vertical="center"/>
    </xf>
    <xf numFmtId="165" fontId="21" fillId="17" borderId="50" xfId="0" applyNumberFormat="1" applyFont="1" applyFill="1" applyBorder="1" applyAlignment="1">
      <alignment horizontal="center" vertical="center"/>
    </xf>
    <xf numFmtId="170" fontId="21" fillId="17" borderId="26" xfId="7" applyNumberFormat="1" applyFont="1" applyFill="1" applyBorder="1" applyAlignment="1" applyProtection="1">
      <alignment horizontal="center" vertical="center" wrapText="1"/>
    </xf>
    <xf numFmtId="170" fontId="21" fillId="17" borderId="50" xfId="7" applyNumberFormat="1" applyFont="1" applyFill="1" applyBorder="1" applyAlignment="1" applyProtection="1">
      <alignment horizontal="center" vertical="center" wrapText="1"/>
      <protection locked="0"/>
    </xf>
    <xf numFmtId="170" fontId="21" fillId="17" borderId="50" xfId="7" applyNumberFormat="1" applyFont="1" applyFill="1" applyBorder="1" applyAlignment="1" applyProtection="1">
      <alignment horizontal="center" vertical="center" wrapText="1"/>
    </xf>
    <xf numFmtId="170" fontId="21" fillId="17" borderId="26" xfId="7" applyNumberFormat="1" applyFont="1" applyFill="1" applyBorder="1" applyAlignment="1" applyProtection="1">
      <alignment horizontal="center" vertical="center" wrapText="1"/>
      <protection locked="0"/>
    </xf>
    <xf numFmtId="41" fontId="21" fillId="17" borderId="50" xfId="7" applyFont="1" applyFill="1" applyBorder="1" applyAlignment="1" applyProtection="1">
      <alignment horizontal="center" vertical="center" wrapText="1"/>
    </xf>
    <xf numFmtId="0" fontId="21" fillId="37" borderId="26" xfId="0" applyFont="1" applyFill="1" applyBorder="1" applyAlignment="1">
      <alignment horizontal="center" vertical="center" wrapText="1"/>
    </xf>
    <xf numFmtId="0" fontId="55" fillId="17" borderId="41" xfId="8" applyFont="1" applyFill="1" applyBorder="1" applyAlignment="1" applyProtection="1">
      <alignment horizontal="center" vertical="center" wrapText="1"/>
    </xf>
    <xf numFmtId="0" fontId="21" fillId="17" borderId="41" xfId="0" applyFont="1" applyFill="1" applyBorder="1" applyAlignment="1">
      <alignment horizontal="center" vertical="center" wrapText="1"/>
    </xf>
    <xf numFmtId="164" fontId="21" fillId="17" borderId="41" xfId="0" applyNumberFormat="1" applyFont="1" applyFill="1" applyBorder="1" applyAlignment="1">
      <alignment horizontal="center" vertical="center"/>
    </xf>
    <xf numFmtId="42" fontId="21" fillId="17" borderId="41" xfId="4" applyFont="1" applyFill="1" applyBorder="1" applyAlignment="1" applyProtection="1">
      <alignment horizontal="center" vertical="center" wrapText="1"/>
    </xf>
    <xf numFmtId="0" fontId="21" fillId="17" borderId="55" xfId="0" applyFont="1" applyFill="1" applyBorder="1" applyAlignment="1">
      <alignment horizontal="center" vertical="center" wrapText="1"/>
    </xf>
    <xf numFmtId="168" fontId="21" fillId="17" borderId="55" xfId="4" applyNumberFormat="1" applyFont="1" applyFill="1" applyBorder="1" applyAlignment="1" applyProtection="1">
      <alignment horizontal="center" vertical="center" wrapText="1"/>
    </xf>
    <xf numFmtId="168" fontId="21" fillId="17" borderId="55" xfId="4" applyNumberFormat="1" applyFont="1" applyFill="1" applyBorder="1" applyAlignment="1" applyProtection="1">
      <alignment horizontal="center" vertical="center" wrapText="1"/>
      <protection locked="0"/>
    </xf>
    <xf numFmtId="42" fontId="21" fillId="17" borderId="50" xfId="4" applyFont="1" applyFill="1" applyBorder="1" applyAlignment="1" applyProtection="1">
      <alignment horizontal="center" vertical="center" wrapText="1"/>
    </xf>
    <xf numFmtId="0" fontId="55" fillId="37" borderId="54" xfId="8" applyFont="1" applyFill="1" applyBorder="1" applyAlignment="1" applyProtection="1">
      <alignment horizontal="center" vertical="center" wrapText="1"/>
    </xf>
    <xf numFmtId="0" fontId="21" fillId="37" borderId="54" xfId="0" applyFont="1" applyFill="1" applyBorder="1" applyAlignment="1">
      <alignment horizontal="center" vertical="center" wrapText="1"/>
    </xf>
    <xf numFmtId="42" fontId="21" fillId="37" borderId="54" xfId="4" applyFont="1" applyFill="1" applyBorder="1" applyAlignment="1" applyProtection="1">
      <alignment horizontal="center" vertical="center" wrapText="1"/>
    </xf>
    <xf numFmtId="165" fontId="21" fillId="37" borderId="54" xfId="0" applyNumberFormat="1" applyFont="1" applyFill="1" applyBorder="1" applyAlignment="1">
      <alignment horizontal="center" vertical="center"/>
    </xf>
    <xf numFmtId="42" fontId="21" fillId="37" borderId="54" xfId="4" applyFont="1" applyFill="1" applyBorder="1" applyAlignment="1" applyProtection="1">
      <alignment horizontal="center" vertical="center"/>
    </xf>
    <xf numFmtId="168" fontId="21" fillId="37" borderId="54" xfId="4" applyNumberFormat="1" applyFont="1" applyFill="1" applyBorder="1" applyAlignment="1" applyProtection="1">
      <alignment horizontal="center" vertical="center" wrapText="1"/>
    </xf>
    <xf numFmtId="168" fontId="21" fillId="37" borderId="54" xfId="4" applyNumberFormat="1" applyFont="1" applyFill="1" applyBorder="1" applyAlignment="1" applyProtection="1">
      <alignment horizontal="center" vertical="center" wrapText="1"/>
      <protection locked="0"/>
    </xf>
    <xf numFmtId="168" fontId="21" fillId="37" borderId="54" xfId="4" applyNumberFormat="1" applyFont="1" applyFill="1" applyBorder="1" applyAlignment="1">
      <alignment horizontal="center" vertical="center" wrapText="1"/>
    </xf>
    <xf numFmtId="0" fontId="55" fillId="37" borderId="41" xfId="8" applyFont="1" applyFill="1" applyBorder="1" applyAlignment="1" applyProtection="1">
      <alignment horizontal="center" vertical="center" wrapText="1"/>
    </xf>
    <xf numFmtId="42" fontId="21" fillId="17" borderId="41" xfId="4" applyFont="1" applyFill="1" applyBorder="1" applyAlignment="1" applyProtection="1">
      <alignment horizontal="center" vertical="center"/>
    </xf>
    <xf numFmtId="168" fontId="21" fillId="17" borderId="26" xfId="4" applyNumberFormat="1" applyFont="1" applyFill="1" applyBorder="1" applyAlignment="1" applyProtection="1">
      <alignment horizontal="center" vertical="center" wrapText="1"/>
    </xf>
    <xf numFmtId="168" fontId="21" fillId="17" borderId="26" xfId="4" applyNumberFormat="1" applyFont="1" applyFill="1" applyBorder="1" applyAlignment="1" applyProtection="1">
      <alignment horizontal="center" vertical="center" wrapText="1"/>
      <protection locked="0"/>
    </xf>
    <xf numFmtId="192" fontId="43" fillId="17" borderId="26" xfId="1" applyNumberFormat="1" applyFont="1" applyFill="1" applyBorder="1" applyAlignment="1" applyProtection="1">
      <alignment horizontal="right" vertical="center"/>
    </xf>
    <xf numFmtId="168" fontId="21" fillId="37" borderId="50" xfId="4" applyNumberFormat="1" applyFont="1" applyFill="1" applyBorder="1" applyAlignment="1" applyProtection="1">
      <alignment horizontal="center" vertical="center"/>
    </xf>
    <xf numFmtId="168" fontId="21" fillId="37" borderId="26" xfId="4" applyNumberFormat="1" applyFont="1" applyFill="1" applyBorder="1" applyAlignment="1" applyProtection="1">
      <alignment horizontal="center" vertical="center"/>
      <protection locked="0"/>
    </xf>
    <xf numFmtId="168" fontId="21" fillId="37" borderId="50" xfId="4" applyNumberFormat="1" applyFont="1" applyFill="1" applyBorder="1" applyAlignment="1" applyProtection="1">
      <alignment horizontal="center" vertical="center"/>
      <protection locked="0"/>
    </xf>
    <xf numFmtId="168" fontId="21" fillId="37" borderId="26" xfId="4" applyNumberFormat="1" applyFont="1" applyFill="1" applyBorder="1" applyAlignment="1" applyProtection="1">
      <alignment horizontal="center" vertical="center"/>
    </xf>
    <xf numFmtId="0" fontId="55" fillId="17" borderId="54" xfId="8" applyFont="1" applyFill="1" applyBorder="1" applyAlignment="1" applyProtection="1">
      <alignment horizontal="center" vertical="center" wrapText="1"/>
    </xf>
    <xf numFmtId="0" fontId="21" fillId="17" borderId="54" xfId="0" applyFont="1" applyFill="1" applyBorder="1" applyAlignment="1">
      <alignment horizontal="center" vertical="center" wrapText="1"/>
    </xf>
    <xf numFmtId="165" fontId="21" fillId="17" borderId="54" xfId="0" applyNumberFormat="1" applyFont="1" applyFill="1" applyBorder="1" applyAlignment="1">
      <alignment horizontal="center" vertical="center"/>
    </xf>
    <xf numFmtId="0" fontId="21" fillId="17" borderId="54" xfId="0" applyFont="1" applyFill="1" applyBorder="1" applyAlignment="1">
      <alignment horizontal="center" vertical="center"/>
    </xf>
    <xf numFmtId="170" fontId="21" fillId="17" borderId="45" xfId="7" applyNumberFormat="1" applyFont="1" applyFill="1" applyBorder="1" applyAlignment="1" applyProtection="1">
      <alignment horizontal="center" vertical="center" wrapText="1"/>
    </xf>
    <xf numFmtId="170" fontId="21" fillId="17" borderId="45" xfId="7" applyNumberFormat="1" applyFont="1" applyFill="1" applyBorder="1" applyAlignment="1" applyProtection="1">
      <alignment horizontal="center" vertical="center" wrapText="1"/>
      <protection locked="0"/>
    </xf>
    <xf numFmtId="41" fontId="21" fillId="37" borderId="50" xfId="7" applyFont="1" applyFill="1" applyBorder="1" applyAlignment="1" applyProtection="1">
      <alignment horizontal="center" vertical="center" wrapText="1"/>
    </xf>
    <xf numFmtId="0" fontId="21" fillId="37" borderId="54" xfId="0" applyFont="1" applyFill="1" applyBorder="1" applyAlignment="1">
      <alignment horizontal="center" vertical="center"/>
    </xf>
    <xf numFmtId="170" fontId="21" fillId="37" borderId="26" xfId="7" applyNumberFormat="1" applyFont="1" applyFill="1" applyBorder="1" applyAlignment="1" applyProtection="1">
      <alignment horizontal="center" vertical="center" wrapText="1"/>
    </xf>
    <xf numFmtId="170" fontId="21" fillId="37" borderId="26" xfId="7" applyNumberFormat="1" applyFont="1" applyFill="1" applyBorder="1" applyAlignment="1" applyProtection="1">
      <alignment horizontal="center" vertical="center" wrapText="1"/>
      <protection locked="0"/>
    </xf>
    <xf numFmtId="170" fontId="21" fillId="37" borderId="45" xfId="7" applyNumberFormat="1" applyFont="1" applyFill="1" applyBorder="1" applyAlignment="1" applyProtection="1">
      <alignment horizontal="center" vertical="center" wrapText="1"/>
    </xf>
    <xf numFmtId="170" fontId="21" fillId="37" borderId="45" xfId="7" applyNumberFormat="1" applyFont="1" applyFill="1" applyBorder="1" applyAlignment="1" applyProtection="1">
      <alignment horizontal="center" vertical="center" wrapText="1"/>
      <protection locked="0"/>
    </xf>
    <xf numFmtId="0" fontId="21" fillId="17" borderId="44" xfId="0" applyFont="1" applyFill="1" applyBorder="1" applyAlignment="1">
      <alignment horizontal="center" vertical="center" wrapText="1"/>
    </xf>
    <xf numFmtId="0" fontId="21" fillId="37" borderId="44" xfId="0" applyFont="1" applyFill="1" applyBorder="1" applyAlignment="1">
      <alignment horizontal="center" vertical="center" wrapText="1"/>
    </xf>
    <xf numFmtId="0" fontId="21" fillId="37" borderId="41" xfId="0" applyFont="1" applyFill="1" applyBorder="1" applyAlignment="1">
      <alignment horizontal="center" vertical="center" wrapText="1"/>
    </xf>
    <xf numFmtId="174" fontId="21" fillId="37" borderId="41" xfId="7" applyNumberFormat="1" applyFont="1" applyFill="1" applyBorder="1" applyAlignment="1" applyProtection="1">
      <alignment horizontal="center" vertical="center"/>
    </xf>
    <xf numFmtId="41" fontId="21" fillId="37" borderId="41" xfId="7" applyFont="1" applyFill="1" applyBorder="1" applyAlignment="1" applyProtection="1">
      <alignment horizontal="center" vertical="center" wrapText="1"/>
    </xf>
    <xf numFmtId="41" fontId="21" fillId="37" borderId="41" xfId="7" applyFont="1" applyFill="1" applyBorder="1" applyAlignment="1" applyProtection="1">
      <alignment horizontal="center" vertical="center"/>
    </xf>
    <xf numFmtId="0" fontId="21" fillId="37" borderId="55" xfId="0" applyFont="1" applyFill="1" applyBorder="1" applyAlignment="1">
      <alignment horizontal="center" vertical="center" wrapText="1"/>
    </xf>
    <xf numFmtId="170" fontId="21" fillId="37" borderId="55" xfId="7" applyNumberFormat="1" applyFont="1" applyFill="1" applyBorder="1" applyAlignment="1" applyProtection="1">
      <alignment horizontal="center" vertical="center" wrapText="1"/>
    </xf>
    <xf numFmtId="170" fontId="21" fillId="37" borderId="55" xfId="7" applyNumberFormat="1" applyFont="1" applyFill="1" applyBorder="1" applyAlignment="1" applyProtection="1">
      <alignment horizontal="center" vertical="center" wrapText="1"/>
      <protection locked="0"/>
    </xf>
    <xf numFmtId="9" fontId="21" fillId="17" borderId="41" xfId="1" applyFont="1" applyFill="1" applyBorder="1" applyAlignment="1" applyProtection="1">
      <alignment horizontal="center" vertical="center"/>
    </xf>
    <xf numFmtId="9" fontId="21" fillId="17" borderId="41" xfId="1" applyFont="1" applyFill="1" applyBorder="1" applyAlignment="1" applyProtection="1">
      <alignment horizontal="center" vertical="center" wrapText="1"/>
    </xf>
    <xf numFmtId="10" fontId="21" fillId="17" borderId="55" xfId="1" applyNumberFormat="1" applyFont="1" applyFill="1" applyBorder="1" applyAlignment="1" applyProtection="1">
      <alignment horizontal="center" vertical="center" wrapText="1"/>
    </xf>
    <xf numFmtId="10" fontId="21" fillId="17" borderId="55" xfId="1" applyNumberFormat="1" applyFont="1" applyFill="1" applyBorder="1" applyAlignment="1" applyProtection="1">
      <alignment horizontal="center" vertical="center" wrapText="1"/>
      <protection locked="0"/>
    </xf>
    <xf numFmtId="9" fontId="21" fillId="37" borderId="50" xfId="1" applyFont="1" applyFill="1" applyBorder="1" applyAlignment="1" applyProtection="1">
      <alignment horizontal="center" vertical="center" wrapText="1"/>
    </xf>
    <xf numFmtId="9" fontId="21" fillId="17" borderId="50" xfId="1" applyFont="1" applyFill="1" applyBorder="1" applyAlignment="1" applyProtection="1">
      <alignment horizontal="center" vertical="center" wrapText="1"/>
    </xf>
    <xf numFmtId="170" fontId="21" fillId="37" borderId="54" xfId="7" applyNumberFormat="1" applyFont="1" applyFill="1" applyBorder="1" applyAlignment="1" applyProtection="1">
      <alignment horizontal="center" vertical="center" wrapText="1"/>
    </xf>
    <xf numFmtId="170" fontId="21" fillId="37" borderId="54" xfId="7" applyNumberFormat="1" applyFont="1" applyFill="1" applyBorder="1" applyAlignment="1" applyProtection="1">
      <alignment horizontal="center" vertical="center" wrapText="1"/>
      <protection locked="0"/>
    </xf>
    <xf numFmtId="37" fontId="21" fillId="17" borderId="41" xfId="7" applyNumberFormat="1" applyFont="1" applyFill="1" applyBorder="1" applyAlignment="1" applyProtection="1">
      <alignment horizontal="center" vertical="center"/>
    </xf>
    <xf numFmtId="41" fontId="21" fillId="17" borderId="41" xfId="7" applyFont="1" applyFill="1" applyBorder="1" applyAlignment="1" applyProtection="1">
      <alignment horizontal="center" vertical="center" wrapText="1"/>
    </xf>
    <xf numFmtId="41" fontId="21" fillId="17" borderId="41" xfId="7" applyFont="1" applyFill="1" applyBorder="1" applyAlignment="1" applyProtection="1">
      <alignment horizontal="center" vertical="center"/>
    </xf>
    <xf numFmtId="170" fontId="21" fillId="17" borderId="55" xfId="7" applyNumberFormat="1" applyFont="1" applyFill="1" applyBorder="1" applyAlignment="1" applyProtection="1">
      <alignment horizontal="center" vertical="center" wrapText="1"/>
    </xf>
    <xf numFmtId="170" fontId="21" fillId="17" borderId="55" xfId="7" applyNumberFormat="1" applyFont="1" applyFill="1" applyBorder="1" applyAlignment="1" applyProtection="1">
      <alignment horizontal="center" vertical="center" wrapText="1"/>
      <protection locked="0"/>
    </xf>
    <xf numFmtId="0" fontId="55" fillId="38" borderId="54" xfId="8" applyFont="1" applyFill="1" applyBorder="1" applyAlignment="1" applyProtection="1">
      <alignment horizontal="center" vertical="center" wrapText="1"/>
    </xf>
    <xf numFmtId="9" fontId="21" fillId="37" borderId="54" xfId="1" applyFont="1" applyFill="1" applyBorder="1" applyAlignment="1" applyProtection="1">
      <alignment horizontal="center" vertical="center" wrapText="1"/>
    </xf>
    <xf numFmtId="9" fontId="21" fillId="37" borderId="54" xfId="1" applyFont="1" applyFill="1" applyBorder="1" applyAlignment="1" applyProtection="1">
      <alignment horizontal="center" vertical="center"/>
    </xf>
    <xf numFmtId="10" fontId="21" fillId="37" borderId="54" xfId="1" applyNumberFormat="1" applyFont="1" applyFill="1" applyBorder="1" applyAlignment="1" applyProtection="1">
      <alignment horizontal="center" vertical="center" wrapText="1"/>
    </xf>
    <xf numFmtId="10" fontId="21" fillId="37" borderId="54" xfId="1" applyNumberFormat="1" applyFont="1" applyFill="1" applyBorder="1" applyAlignment="1" applyProtection="1">
      <alignment horizontal="center" vertical="center" wrapText="1"/>
      <protection locked="0"/>
    </xf>
    <xf numFmtId="41" fontId="21" fillId="17" borderId="41" xfId="7" applyFont="1" applyFill="1" applyBorder="1" applyAlignment="1" applyProtection="1">
      <alignment vertical="center" wrapText="1"/>
    </xf>
    <xf numFmtId="41" fontId="21" fillId="17" borderId="41" xfId="7" applyFont="1" applyFill="1" applyBorder="1" applyAlignment="1" applyProtection="1">
      <alignment vertical="center"/>
    </xf>
    <xf numFmtId="0" fontId="21" fillId="37" borderId="57" xfId="0" applyFont="1" applyFill="1" applyBorder="1" applyAlignment="1">
      <alignment horizontal="center" vertical="center" wrapText="1"/>
    </xf>
    <xf numFmtId="174" fontId="21" fillId="37" borderId="54" xfId="7" applyNumberFormat="1" applyFont="1" applyFill="1" applyBorder="1" applyAlignment="1" applyProtection="1">
      <alignment horizontal="center" vertical="center" wrapText="1"/>
    </xf>
    <xf numFmtId="41" fontId="21" fillId="37" borderId="54" xfId="7" applyFont="1" applyFill="1" applyBorder="1" applyAlignment="1" applyProtection="1">
      <alignment horizontal="center" vertical="center"/>
    </xf>
    <xf numFmtId="174" fontId="21" fillId="17" borderId="41" xfId="7" applyNumberFormat="1" applyFont="1" applyFill="1" applyBorder="1" applyAlignment="1" applyProtection="1">
      <alignment horizontal="center" vertical="center"/>
    </xf>
    <xf numFmtId="170" fontId="21" fillId="38" borderId="55" xfId="7" applyNumberFormat="1" applyFont="1" applyFill="1" applyBorder="1" applyAlignment="1" applyProtection="1">
      <alignment horizontal="center" vertical="center" wrapText="1"/>
      <protection locked="0"/>
    </xf>
    <xf numFmtId="167" fontId="21" fillId="37" borderId="54" xfId="1" applyNumberFormat="1" applyFont="1" applyFill="1" applyBorder="1" applyAlignment="1" applyProtection="1">
      <alignment horizontal="center" vertical="center" wrapText="1"/>
    </xf>
    <xf numFmtId="167" fontId="21" fillId="37" borderId="54" xfId="0" applyNumberFormat="1" applyFont="1" applyFill="1" applyBorder="1" applyAlignment="1">
      <alignment horizontal="center" vertical="center"/>
    </xf>
    <xf numFmtId="167" fontId="21" fillId="37" borderId="54" xfId="1" applyNumberFormat="1" applyFont="1" applyFill="1" applyBorder="1" applyAlignment="1" applyProtection="1">
      <alignment horizontal="center" vertical="center"/>
    </xf>
    <xf numFmtId="10" fontId="21" fillId="38" borderId="54" xfId="1" applyNumberFormat="1" applyFont="1" applyFill="1" applyBorder="1" applyAlignment="1" applyProtection="1">
      <alignment horizontal="center" vertical="center" wrapText="1"/>
    </xf>
    <xf numFmtId="10" fontId="21" fillId="38" borderId="54" xfId="1" applyNumberFormat="1" applyFont="1" applyFill="1" applyBorder="1" applyAlignment="1" applyProtection="1">
      <alignment horizontal="center" vertical="center" wrapText="1"/>
      <protection locked="0"/>
    </xf>
    <xf numFmtId="10" fontId="21" fillId="38" borderId="55" xfId="1" applyNumberFormat="1" applyFont="1" applyFill="1" applyBorder="1" applyAlignment="1" applyProtection="1">
      <alignment horizontal="center" vertical="center" wrapText="1"/>
      <protection locked="0"/>
    </xf>
    <xf numFmtId="10" fontId="21" fillId="37" borderId="54" xfId="1" applyNumberFormat="1" applyFont="1" applyFill="1" applyBorder="1" applyAlignment="1" applyProtection="1">
      <alignment vertical="center" wrapText="1"/>
      <protection locked="0"/>
    </xf>
    <xf numFmtId="10" fontId="21" fillId="37" borderId="54" xfId="7" applyNumberFormat="1" applyFont="1" applyFill="1" applyBorder="1" applyAlignment="1" applyProtection="1">
      <alignment horizontal="center" vertical="center" wrapText="1"/>
      <protection locked="0"/>
    </xf>
    <xf numFmtId="10" fontId="21" fillId="17" borderId="55" xfId="7" applyNumberFormat="1" applyFont="1" applyFill="1" applyBorder="1" applyAlignment="1" applyProtection="1">
      <alignment horizontal="center" vertical="center" wrapText="1"/>
      <protection locked="0"/>
    </xf>
    <xf numFmtId="0" fontId="55" fillId="37" borderId="58" xfId="8" applyFont="1" applyFill="1" applyBorder="1" applyAlignment="1" applyProtection="1">
      <alignment horizontal="center" vertical="center" wrapText="1"/>
    </xf>
    <xf numFmtId="0" fontId="21" fillId="37" borderId="58" xfId="0" applyFont="1" applyFill="1" applyBorder="1" applyAlignment="1">
      <alignment horizontal="center" vertical="center" wrapText="1"/>
    </xf>
    <xf numFmtId="9" fontId="21" fillId="37" borderId="58" xfId="1" applyFont="1" applyFill="1" applyBorder="1" applyAlignment="1" applyProtection="1">
      <alignment horizontal="center" vertical="center" wrapText="1"/>
    </xf>
    <xf numFmtId="165" fontId="21" fillId="37" borderId="58" xfId="0" applyNumberFormat="1" applyFont="1" applyFill="1" applyBorder="1" applyAlignment="1">
      <alignment horizontal="center" vertical="center"/>
    </xf>
    <xf numFmtId="9" fontId="21" fillId="37" borderId="58" xfId="1" applyFont="1" applyFill="1" applyBorder="1" applyAlignment="1" applyProtection="1">
      <alignment horizontal="center" vertical="center"/>
    </xf>
    <xf numFmtId="10" fontId="21" fillId="37" borderId="58" xfId="1" applyNumberFormat="1" applyFont="1" applyFill="1" applyBorder="1" applyAlignment="1" applyProtection="1">
      <alignment horizontal="center" vertical="center" wrapText="1"/>
    </xf>
    <xf numFmtId="10" fontId="21" fillId="37" borderId="58" xfId="1" applyNumberFormat="1" applyFont="1" applyFill="1" applyBorder="1" applyAlignment="1" applyProtection="1">
      <alignment horizontal="center" vertical="center" wrapText="1"/>
      <protection locked="0"/>
    </xf>
    <xf numFmtId="0" fontId="55" fillId="17" borderId="26" xfId="8" applyFont="1" applyFill="1" applyBorder="1" applyAlignment="1" applyProtection="1">
      <alignment horizontal="center" vertical="center" wrapText="1"/>
    </xf>
    <xf numFmtId="164" fontId="21" fillId="17" borderId="26" xfId="0" applyNumberFormat="1" applyFont="1" applyFill="1" applyBorder="1" applyAlignment="1">
      <alignment horizontal="center" vertical="center"/>
    </xf>
    <xf numFmtId="0" fontId="17" fillId="0" borderId="26" xfId="0" applyFont="1" applyBorder="1"/>
    <xf numFmtId="0" fontId="55" fillId="37" borderId="26" xfId="8" applyFont="1" applyFill="1" applyBorder="1" applyAlignment="1" applyProtection="1">
      <alignment horizontal="center" vertical="center" wrapText="1"/>
    </xf>
    <xf numFmtId="42" fontId="21" fillId="37" borderId="26" xfId="4" applyFont="1" applyFill="1" applyBorder="1" applyAlignment="1" applyProtection="1">
      <alignment horizontal="center" vertical="center" wrapText="1"/>
    </xf>
    <xf numFmtId="42" fontId="21" fillId="37" borderId="26" xfId="4" applyFont="1" applyFill="1" applyBorder="1" applyAlignment="1" applyProtection="1">
      <alignment horizontal="center" vertical="center"/>
    </xf>
    <xf numFmtId="165" fontId="21" fillId="37" borderId="26" xfId="0" applyNumberFormat="1" applyFont="1" applyFill="1" applyBorder="1" applyAlignment="1">
      <alignment horizontal="center" vertical="center"/>
    </xf>
    <xf numFmtId="42" fontId="21" fillId="17" borderId="26" xfId="4" applyFont="1" applyFill="1" applyBorder="1" applyAlignment="1" applyProtection="1">
      <alignment horizontal="center" vertical="center" wrapText="1"/>
    </xf>
    <xf numFmtId="42" fontId="21" fillId="17" borderId="26" xfId="4" applyFont="1" applyFill="1" applyBorder="1" applyAlignment="1" applyProtection="1">
      <alignment horizontal="center" vertical="center"/>
    </xf>
    <xf numFmtId="165" fontId="21" fillId="17" borderId="26" xfId="0" applyNumberFormat="1" applyFont="1" applyFill="1" applyBorder="1" applyAlignment="1">
      <alignment horizontal="center" vertical="center"/>
    </xf>
    <xf numFmtId="9" fontId="21" fillId="37" borderId="26" xfId="1" applyFont="1" applyFill="1" applyBorder="1" applyAlignment="1" applyProtection="1">
      <alignment horizontal="center" vertical="center" wrapText="1"/>
    </xf>
    <xf numFmtId="9" fontId="21" fillId="37" borderId="26" xfId="1" applyFont="1" applyFill="1" applyBorder="1" applyAlignment="1" applyProtection="1">
      <alignment horizontal="center" vertical="center"/>
    </xf>
    <xf numFmtId="10" fontId="21" fillId="37" borderId="26" xfId="1" applyNumberFormat="1" applyFont="1" applyFill="1" applyBorder="1" applyAlignment="1" applyProtection="1">
      <alignment horizontal="center" vertical="center" wrapText="1"/>
    </xf>
    <xf numFmtId="10" fontId="21" fillId="37" borderId="26" xfId="1" applyNumberFormat="1" applyFont="1" applyFill="1" applyBorder="1" applyAlignment="1" applyProtection="1">
      <alignment horizontal="center" vertical="center" wrapText="1"/>
      <protection locked="0"/>
    </xf>
    <xf numFmtId="42" fontId="21" fillId="17" borderId="50" xfId="4" applyFont="1" applyFill="1" applyBorder="1" applyAlignment="1">
      <alignment horizontal="center" vertical="center" wrapText="1"/>
    </xf>
    <xf numFmtId="2" fontId="21" fillId="37" borderId="26" xfId="0" applyNumberFormat="1" applyFont="1" applyFill="1" applyBorder="1" applyAlignment="1">
      <alignment horizontal="center" vertical="center" wrapText="1"/>
    </xf>
    <xf numFmtId="2" fontId="21" fillId="37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37" borderId="26" xfId="0" applyFont="1" applyFill="1" applyBorder="1" applyAlignment="1" applyProtection="1">
      <alignment horizontal="center" vertical="center" wrapText="1"/>
      <protection locked="0"/>
    </xf>
    <xf numFmtId="170" fontId="21" fillId="37" borderId="26" xfId="0" applyNumberFormat="1" applyFont="1" applyFill="1" applyBorder="1" applyAlignment="1">
      <alignment horizontal="center" vertical="center" wrapText="1"/>
    </xf>
    <xf numFmtId="170" fontId="21" fillId="37" borderId="26" xfId="0" applyNumberFormat="1" applyFont="1" applyFill="1" applyBorder="1" applyAlignment="1" applyProtection="1">
      <alignment horizontal="center" vertical="center" wrapText="1"/>
      <protection locked="0"/>
    </xf>
    <xf numFmtId="170" fontId="21" fillId="17" borderId="26" xfId="7" applyNumberFormat="1" applyFont="1" applyFill="1" applyBorder="1" applyAlignment="1" applyProtection="1">
      <alignment vertical="center" wrapText="1"/>
    </xf>
    <xf numFmtId="0" fontId="52" fillId="39" borderId="45" xfId="0" applyFont="1" applyFill="1" applyBorder="1" applyAlignment="1">
      <alignment vertical="center" wrapText="1"/>
    </xf>
    <xf numFmtId="0" fontId="52" fillId="39" borderId="0" xfId="0" applyFont="1" applyFill="1" applyAlignment="1" applyProtection="1">
      <alignment vertical="center" wrapText="1"/>
      <protection locked="0"/>
    </xf>
    <xf numFmtId="42" fontId="21" fillId="39" borderId="50" xfId="4" applyFont="1" applyFill="1" applyBorder="1" applyAlignment="1" applyProtection="1">
      <alignment horizontal="center" vertical="center" wrapText="1"/>
    </xf>
    <xf numFmtId="0" fontId="52" fillId="39" borderId="0" xfId="0" applyFont="1" applyFill="1" applyAlignment="1">
      <alignment vertical="center" wrapText="1"/>
    </xf>
    <xf numFmtId="0" fontId="52" fillId="39" borderId="51" xfId="0" applyFont="1" applyFill="1" applyBorder="1" applyAlignment="1">
      <alignment vertical="center" wrapText="1"/>
    </xf>
    <xf numFmtId="41" fontId="21" fillId="37" borderId="26" xfId="7" applyFont="1" applyFill="1" applyBorder="1" applyAlignment="1" applyProtection="1">
      <alignment horizontal="center" vertical="center"/>
    </xf>
    <xf numFmtId="164" fontId="21" fillId="37" borderId="26" xfId="0" applyNumberFormat="1" applyFont="1" applyFill="1" applyBorder="1" applyAlignment="1">
      <alignment horizontal="center" vertical="center"/>
    </xf>
    <xf numFmtId="41" fontId="21" fillId="37" borderId="26" xfId="7" applyFont="1" applyFill="1" applyBorder="1" applyAlignment="1" applyProtection="1">
      <alignment horizontal="center" vertical="center"/>
      <protection locked="0"/>
    </xf>
    <xf numFmtId="170" fontId="21" fillId="37" borderId="50" xfId="7" applyNumberFormat="1" applyFont="1" applyFill="1" applyBorder="1" applyAlignment="1" applyProtection="1">
      <alignment horizontal="center" vertical="center" wrapText="1"/>
    </xf>
    <xf numFmtId="41" fontId="21" fillId="37" borderId="26" xfId="7" applyFont="1" applyFill="1" applyBorder="1" applyAlignment="1" applyProtection="1">
      <alignment horizontal="center" vertical="center" wrapText="1"/>
    </xf>
    <xf numFmtId="41" fontId="21" fillId="37" borderId="26" xfId="7" applyFont="1" applyFill="1" applyBorder="1" applyAlignment="1" applyProtection="1">
      <alignment horizontal="center" vertical="center" wrapText="1"/>
      <protection locked="0"/>
    </xf>
    <xf numFmtId="0" fontId="21" fillId="17" borderId="26" xfId="0" applyFont="1" applyFill="1" applyBorder="1" applyAlignment="1">
      <alignment horizontal="center" wrapText="1"/>
    </xf>
    <xf numFmtId="170" fontId="21" fillId="17" borderId="26" xfId="7" applyNumberFormat="1" applyFont="1" applyFill="1" applyBorder="1" applyAlignment="1" applyProtection="1">
      <alignment vertical="center"/>
    </xf>
    <xf numFmtId="170" fontId="21" fillId="17" borderId="26" xfId="7" applyNumberFormat="1" applyFont="1" applyFill="1" applyBorder="1" applyAlignment="1" applyProtection="1">
      <alignment horizontal="center" vertical="center"/>
      <protection locked="0"/>
    </xf>
    <xf numFmtId="10" fontId="21" fillId="37" borderId="26" xfId="1" applyNumberFormat="1" applyFont="1" applyFill="1" applyBorder="1" applyAlignment="1" applyProtection="1">
      <alignment horizontal="center" vertical="center"/>
    </xf>
    <xf numFmtId="10" fontId="21" fillId="37" borderId="26" xfId="1" applyNumberFormat="1" applyFont="1" applyFill="1" applyBorder="1" applyAlignment="1" applyProtection="1">
      <alignment horizontal="center" vertical="center"/>
      <protection locked="0"/>
    </xf>
    <xf numFmtId="10" fontId="21" fillId="37" borderId="50" xfId="1" applyNumberFormat="1" applyFont="1" applyFill="1" applyBorder="1" applyAlignment="1" applyProtection="1">
      <alignment horizontal="center" vertical="center" wrapText="1"/>
    </xf>
    <xf numFmtId="10" fontId="21" fillId="37" borderId="50" xfId="1" applyNumberFormat="1" applyFont="1" applyFill="1" applyBorder="1" applyAlignment="1" applyProtection="1">
      <alignment horizontal="center" vertical="center" wrapText="1"/>
      <protection locked="0"/>
    </xf>
    <xf numFmtId="9" fontId="21" fillId="17" borderId="26" xfId="1" applyFont="1" applyFill="1" applyBorder="1" applyAlignment="1" applyProtection="1">
      <alignment horizontal="center" vertical="center" wrapText="1"/>
    </xf>
    <xf numFmtId="10" fontId="21" fillId="17" borderId="26" xfId="1" applyNumberFormat="1" applyFont="1" applyFill="1" applyBorder="1" applyAlignment="1" applyProtection="1">
      <alignment horizontal="center" vertical="center"/>
    </xf>
    <xf numFmtId="10" fontId="21" fillId="17" borderId="26" xfId="1" applyNumberFormat="1" applyFont="1" applyFill="1" applyBorder="1" applyAlignment="1" applyProtection="1">
      <alignment horizontal="center" vertical="center"/>
      <protection locked="0"/>
    </xf>
    <xf numFmtId="10" fontId="21" fillId="17" borderId="50" xfId="1" applyNumberFormat="1" applyFont="1" applyFill="1" applyBorder="1" applyAlignment="1" applyProtection="1">
      <alignment horizontal="center" vertical="center" wrapText="1"/>
    </xf>
    <xf numFmtId="10" fontId="21" fillId="17" borderId="50" xfId="1" applyNumberFormat="1" applyFont="1" applyFill="1" applyBorder="1" applyAlignment="1" applyProtection="1">
      <alignment horizontal="center" vertical="center" wrapText="1"/>
      <protection locked="0"/>
    </xf>
    <xf numFmtId="0" fontId="22" fillId="37" borderId="26" xfId="0" applyFont="1" applyFill="1" applyBorder="1" applyAlignment="1">
      <alignment horizontal="center" vertical="center" wrapText="1"/>
    </xf>
    <xf numFmtId="174" fontId="21" fillId="37" borderId="26" xfId="7" applyNumberFormat="1" applyFont="1" applyFill="1" applyBorder="1" applyAlignment="1" applyProtection="1">
      <alignment horizontal="center" vertical="center"/>
    </xf>
    <xf numFmtId="170" fontId="21" fillId="37" borderId="26" xfId="7" applyNumberFormat="1" applyFont="1" applyFill="1" applyBorder="1" applyAlignment="1" applyProtection="1">
      <alignment horizontal="center" vertical="center"/>
    </xf>
    <xf numFmtId="170" fontId="21" fillId="37" borderId="26" xfId="7" applyNumberFormat="1" applyFont="1" applyFill="1" applyBorder="1" applyAlignment="1" applyProtection="1">
      <alignment horizontal="center" vertical="center"/>
      <protection locked="0"/>
    </xf>
    <xf numFmtId="170" fontId="21" fillId="37" borderId="50" xfId="7" applyNumberFormat="1" applyFont="1" applyFill="1" applyBorder="1" applyAlignment="1" applyProtection="1">
      <alignment horizontal="center" vertical="center" wrapText="1"/>
      <protection locked="0"/>
    </xf>
    <xf numFmtId="0" fontId="52" fillId="40" borderId="45" xfId="0" applyFont="1" applyFill="1" applyBorder="1" applyAlignment="1">
      <alignment vertical="center" wrapText="1"/>
    </xf>
    <xf numFmtId="0" fontId="52" fillId="40" borderId="0" xfId="0" applyFont="1" applyFill="1" applyAlignment="1" applyProtection="1">
      <alignment vertical="center" wrapText="1"/>
      <protection locked="0"/>
    </xf>
    <xf numFmtId="42" fontId="21" fillId="40" borderId="50" xfId="4" applyFont="1" applyFill="1" applyBorder="1" applyAlignment="1" applyProtection="1">
      <alignment horizontal="center" vertical="center" wrapText="1"/>
    </xf>
    <xf numFmtId="0" fontId="52" fillId="40" borderId="0" xfId="0" applyFont="1" applyFill="1" applyAlignment="1">
      <alignment vertical="center" wrapText="1"/>
    </xf>
    <xf numFmtId="0" fontId="52" fillId="40" borderId="51" xfId="0" applyFont="1" applyFill="1" applyBorder="1" applyAlignment="1" applyProtection="1">
      <alignment vertical="center" wrapText="1"/>
      <protection locked="0"/>
    </xf>
    <xf numFmtId="0" fontId="52" fillId="40" borderId="51" xfId="0" applyFont="1" applyFill="1" applyBorder="1" applyAlignment="1">
      <alignment vertical="center" wrapText="1"/>
    </xf>
    <xf numFmtId="0" fontId="52" fillId="40" borderId="43" xfId="0" applyFont="1" applyFill="1" applyBorder="1" applyAlignment="1">
      <alignment horizontal="center" vertical="center" wrapText="1"/>
    </xf>
    <xf numFmtId="0" fontId="22" fillId="17" borderId="41" xfId="0" applyFont="1" applyFill="1" applyBorder="1" applyAlignment="1">
      <alignment horizontal="center" vertical="center" wrapText="1"/>
    </xf>
    <xf numFmtId="170" fontId="21" fillId="17" borderId="26" xfId="7" applyNumberFormat="1" applyFont="1" applyFill="1" applyBorder="1" applyAlignment="1" applyProtection="1">
      <alignment horizontal="center" vertical="center"/>
    </xf>
    <xf numFmtId="41" fontId="21" fillId="17" borderId="26" xfId="7" applyFont="1" applyFill="1" applyBorder="1" applyAlignment="1" applyProtection="1">
      <alignment horizontal="center" vertical="center" wrapText="1"/>
    </xf>
    <xf numFmtId="0" fontId="48" fillId="0" borderId="0" xfId="0" applyFont="1" applyAlignment="1">
      <alignment horizontal="center"/>
    </xf>
    <xf numFmtId="0" fontId="14" fillId="0" borderId="0" xfId="8" applyFill="1" applyBorder="1" applyProtection="1"/>
    <xf numFmtId="9" fontId="48" fillId="0" borderId="0" xfId="1" applyFont="1" applyFill="1" applyBorder="1" applyProtection="1"/>
    <xf numFmtId="170" fontId="15" fillId="9" borderId="5" xfId="7" applyNumberFormat="1" applyFont="1" applyFill="1" applyBorder="1" applyAlignment="1" applyProtection="1">
      <alignment horizontal="right" vertical="center" wrapText="1"/>
    </xf>
    <xf numFmtId="170" fontId="24" fillId="9" borderId="4" xfId="7" applyNumberFormat="1" applyFont="1" applyFill="1" applyBorder="1" applyAlignment="1" applyProtection="1">
      <alignment horizontal="center" vertical="center" wrapText="1"/>
      <protection locked="0"/>
    </xf>
    <xf numFmtId="170" fontId="24" fillId="13" borderId="4" xfId="7" applyNumberFormat="1" applyFont="1" applyFill="1" applyBorder="1" applyAlignment="1">
      <alignment horizontal="center" vertical="center" wrapText="1"/>
    </xf>
    <xf numFmtId="170" fontId="15" fillId="16" borderId="4" xfId="7" applyNumberFormat="1" applyFont="1" applyFill="1" applyBorder="1" applyAlignment="1" applyProtection="1">
      <alignment horizontal="right" vertical="center" wrapText="1"/>
    </xf>
    <xf numFmtId="170" fontId="24" fillId="15" borderId="4" xfId="7" applyNumberFormat="1" applyFont="1" applyFill="1" applyBorder="1" applyAlignment="1" applyProtection="1">
      <alignment horizontal="center" vertical="center" wrapText="1"/>
      <protection locked="0"/>
    </xf>
    <xf numFmtId="170" fontId="24" fillId="16" borderId="4" xfId="7" applyNumberFormat="1" applyFont="1" applyFill="1" applyBorder="1" applyAlignment="1" applyProtection="1">
      <alignment horizontal="center" vertical="center" wrapText="1"/>
      <protection locked="0"/>
    </xf>
    <xf numFmtId="41" fontId="15" fillId="9" borderId="4" xfId="11" applyNumberFormat="1" applyFont="1" applyFill="1" applyBorder="1" applyAlignment="1" applyProtection="1">
      <alignment horizontal="center" vertical="center" wrapText="1"/>
      <protection locked="0"/>
    </xf>
    <xf numFmtId="170" fontId="24" fillId="16" borderId="4" xfId="7" applyNumberFormat="1" applyFont="1" applyFill="1" applyBorder="1" applyAlignment="1" applyProtection="1">
      <alignment horizontal="center" vertical="center"/>
      <protection locked="0"/>
    </xf>
    <xf numFmtId="170" fontId="24" fillId="9" borderId="4" xfId="7" applyNumberFormat="1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 wrapText="1"/>
    </xf>
    <xf numFmtId="0" fontId="24" fillId="16" borderId="4" xfId="0" applyFont="1" applyFill="1" applyBorder="1" applyAlignment="1">
      <alignment horizontal="center" vertical="center"/>
    </xf>
    <xf numFmtId="9" fontId="24" fillId="9" borderId="4" xfId="1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9" borderId="4" xfId="2" applyFont="1" applyFill="1" applyBorder="1" applyAlignment="1">
      <alignment horizontal="center" vertical="center" wrapText="1"/>
    </xf>
    <xf numFmtId="9" fontId="24" fillId="9" borderId="4" xfId="1" applyFont="1" applyFill="1" applyBorder="1" applyAlignment="1" applyProtection="1">
      <alignment horizontal="center" vertical="center"/>
      <protection locked="0"/>
    </xf>
    <xf numFmtId="0" fontId="15" fillId="16" borderId="4" xfId="2" applyFont="1" applyFill="1" applyBorder="1" applyAlignment="1">
      <alignment horizontal="center" vertical="center" wrapText="1"/>
    </xf>
    <xf numFmtId="0" fontId="24" fillId="9" borderId="4" xfId="3" applyFont="1" applyFill="1" applyBorder="1" applyAlignment="1">
      <alignment horizontal="center" vertical="center" wrapText="1"/>
    </xf>
    <xf numFmtId="0" fontId="24" fillId="16" borderId="4" xfId="3" applyFont="1" applyFill="1" applyBorder="1" applyAlignment="1">
      <alignment horizontal="center" vertical="center" wrapText="1"/>
    </xf>
    <xf numFmtId="0" fontId="24" fillId="15" borderId="4" xfId="0" applyFont="1" applyFill="1" applyBorder="1" applyAlignment="1">
      <alignment horizontal="center" vertical="center" wrapText="1"/>
    </xf>
    <xf numFmtId="0" fontId="24" fillId="15" borderId="4" xfId="0" applyFont="1" applyFill="1" applyBorder="1" applyAlignment="1">
      <alignment horizontal="center" vertical="center"/>
    </xf>
    <xf numFmtId="9" fontId="24" fillId="9" borderId="4" xfId="3" applyNumberFormat="1" applyFont="1" applyFill="1" applyBorder="1" applyAlignment="1">
      <alignment horizontal="center" vertical="center" wrapText="1"/>
    </xf>
    <xf numFmtId="0" fontId="15" fillId="16" borderId="11" xfId="2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9" fontId="15" fillId="16" borderId="4" xfId="1" applyFont="1" applyFill="1" applyBorder="1" applyAlignment="1">
      <alignment horizontal="center" vertical="center" wrapText="1"/>
    </xf>
    <xf numFmtId="0" fontId="15" fillId="15" borderId="4" xfId="2" applyFont="1" applyFill="1" applyBorder="1" applyAlignment="1">
      <alignment horizontal="center" vertical="center" wrapText="1"/>
    </xf>
    <xf numFmtId="0" fontId="14" fillId="16" borderId="39" xfId="8" applyFill="1" applyBorder="1" applyAlignment="1">
      <alignment horizontal="center" vertical="center" wrapText="1"/>
    </xf>
    <xf numFmtId="0" fontId="14" fillId="15" borderId="4" xfId="8" applyFill="1" applyBorder="1" applyAlignment="1">
      <alignment horizontal="center" vertical="center" wrapText="1"/>
    </xf>
    <xf numFmtId="0" fontId="14" fillId="13" borderId="59" xfId="8" applyFill="1" applyBorder="1" applyAlignment="1">
      <alignment horizontal="center" vertical="center" wrapText="1"/>
    </xf>
    <xf numFmtId="184" fontId="24" fillId="16" borderId="4" xfId="11" applyFont="1" applyFill="1" applyBorder="1" applyAlignment="1" applyProtection="1">
      <alignment horizontal="center" vertical="center"/>
      <protection locked="0"/>
    </xf>
    <xf numFmtId="184" fontId="24" fillId="16" borderId="4" xfId="11" applyFont="1" applyFill="1" applyBorder="1" applyAlignment="1" applyProtection="1">
      <alignment horizontal="center" vertical="center" wrapText="1"/>
      <protection locked="0"/>
    </xf>
    <xf numFmtId="184" fontId="24" fillId="9" borderId="4" xfId="11" applyFont="1" applyFill="1" applyBorder="1" applyAlignment="1" applyProtection="1">
      <alignment horizontal="center" vertical="center" wrapText="1"/>
      <protection locked="0"/>
    </xf>
    <xf numFmtId="9" fontId="24" fillId="16" borderId="4" xfId="1" applyFont="1" applyFill="1" applyBorder="1" applyAlignment="1">
      <alignment horizontal="center" vertical="center" wrapText="1"/>
    </xf>
    <xf numFmtId="184" fontId="24" fillId="13" borderId="4" xfId="11" applyFont="1" applyFill="1" applyBorder="1" applyAlignment="1" applyProtection="1">
      <alignment horizontal="center" vertical="center"/>
      <protection locked="0"/>
    </xf>
    <xf numFmtId="184" fontId="24" fillId="13" borderId="4" xfId="11" applyFont="1" applyFill="1" applyBorder="1" applyAlignment="1" applyProtection="1">
      <alignment horizontal="center" vertical="center" wrapText="1"/>
      <protection locked="0"/>
    </xf>
    <xf numFmtId="9" fontId="5" fillId="0" borderId="0" xfId="1" applyFont="1" applyAlignment="1">
      <alignment horizontal="right"/>
    </xf>
    <xf numFmtId="9" fontId="24" fillId="9" borderId="4" xfId="1" applyFont="1" applyFill="1" applyBorder="1" applyAlignment="1" applyProtection="1">
      <alignment horizontal="center" vertical="center" wrapText="1"/>
      <protection locked="0"/>
    </xf>
    <xf numFmtId="184" fontId="24" fillId="9" borderId="4" xfId="11" applyFont="1" applyFill="1" applyBorder="1" applyAlignment="1">
      <alignment horizontal="center" vertical="center" wrapText="1"/>
    </xf>
    <xf numFmtId="184" fontId="24" fillId="15" borderId="4" xfId="11" applyFont="1" applyFill="1" applyBorder="1" applyAlignment="1" applyProtection="1">
      <alignment horizontal="center" vertical="center" wrapText="1"/>
      <protection locked="0"/>
    </xf>
    <xf numFmtId="9" fontId="24" fillId="16" borderId="5" xfId="1" applyFont="1" applyFill="1" applyBorder="1" applyAlignment="1">
      <alignment horizontal="center" vertical="center" wrapText="1"/>
    </xf>
    <xf numFmtId="167" fontId="24" fillId="16" borderId="4" xfId="1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9" fontId="15" fillId="16" borderId="5" xfId="1" applyFont="1" applyFill="1" applyBorder="1" applyAlignment="1" applyProtection="1">
      <alignment horizontal="right" vertical="center" wrapText="1"/>
    </xf>
    <xf numFmtId="173" fontId="15" fillId="9" borderId="4" xfId="11" applyNumberFormat="1" applyFont="1" applyFill="1" applyBorder="1" applyAlignment="1">
      <alignment horizontal="right" vertical="center" wrapText="1"/>
    </xf>
    <xf numFmtId="10" fontId="15" fillId="9" borderId="5" xfId="1" applyNumberFormat="1" applyFont="1" applyFill="1" applyBorder="1" applyAlignment="1" applyProtection="1">
      <alignment horizontal="left" vertical="center" wrapText="1"/>
      <protection locked="0"/>
    </xf>
    <xf numFmtId="10" fontId="15" fillId="16" borderId="4" xfId="1" applyNumberFormat="1" applyFont="1" applyFill="1" applyBorder="1" applyAlignment="1">
      <alignment horizontal="right" vertical="center" wrapText="1"/>
    </xf>
    <xf numFmtId="10" fontId="15" fillId="9" borderId="4" xfId="0" applyNumberFormat="1" applyFont="1" applyFill="1" applyBorder="1" applyAlignment="1">
      <alignment horizontal="right" vertical="center" wrapText="1"/>
    </xf>
    <xf numFmtId="10" fontId="15" fillId="9" borderId="4" xfId="0" applyNumberFormat="1" applyFont="1" applyFill="1" applyBorder="1" applyAlignment="1" applyProtection="1">
      <alignment horizontal="center" vertical="center" wrapText="1"/>
      <protection locked="0"/>
    </xf>
    <xf numFmtId="10" fontId="15" fillId="16" borderId="5" xfId="1" applyNumberFormat="1" applyFont="1" applyFill="1" applyBorder="1" applyAlignment="1">
      <alignment horizontal="right" vertical="center" wrapText="1"/>
    </xf>
    <xf numFmtId="10" fontId="15" fillId="16" borderId="5" xfId="1" applyNumberFormat="1" applyFont="1" applyFill="1" applyBorder="1" applyAlignment="1" applyProtection="1">
      <alignment horizontal="center" vertical="center" wrapText="1"/>
      <protection locked="0"/>
    </xf>
    <xf numFmtId="173" fontId="15" fillId="9" borderId="4" xfId="11" applyNumberFormat="1" applyFont="1" applyFill="1" applyBorder="1" applyAlignment="1" applyProtection="1">
      <alignment horizontal="right" vertical="center" wrapText="1"/>
    </xf>
    <xf numFmtId="173" fontId="15" fillId="6" borderId="4" xfId="11" applyNumberFormat="1" applyFont="1" applyFill="1" applyBorder="1" applyAlignment="1" applyProtection="1">
      <alignment horizontal="right" vertical="center" wrapText="1"/>
    </xf>
    <xf numFmtId="173" fontId="15" fillId="9" borderId="5" xfId="11" applyNumberFormat="1" applyFont="1" applyFill="1" applyBorder="1" applyAlignment="1" applyProtection="1">
      <alignment horizontal="right" vertical="center" wrapText="1"/>
    </xf>
    <xf numFmtId="10" fontId="15" fillId="9" borderId="5" xfId="1" applyNumberFormat="1" applyFont="1" applyFill="1" applyBorder="1" applyAlignment="1" applyProtection="1">
      <alignment horizontal="right" vertical="center" wrapText="1"/>
    </xf>
    <xf numFmtId="10" fontId="15" fillId="9" borderId="5" xfId="1" applyNumberFormat="1" applyFont="1" applyFill="1" applyBorder="1" applyAlignment="1">
      <alignment horizontal="center" vertical="center" wrapText="1"/>
    </xf>
    <xf numFmtId="10" fontId="15" fillId="9" borderId="4" xfId="0" applyNumberFormat="1" applyFont="1" applyFill="1" applyBorder="1" applyAlignment="1">
      <alignment horizontal="center" vertical="center" wrapText="1"/>
    </xf>
    <xf numFmtId="10" fontId="15" fillId="16" borderId="5" xfId="1" applyNumberFormat="1" applyFont="1" applyFill="1" applyBorder="1" applyAlignment="1">
      <alignment horizontal="center" vertical="center" wrapText="1"/>
    </xf>
    <xf numFmtId="9" fontId="29" fillId="16" borderId="4" xfId="1" applyFont="1" applyFill="1" applyBorder="1" applyAlignment="1" applyProtection="1">
      <alignment horizontal="right" vertical="center" wrapText="1"/>
    </xf>
    <xf numFmtId="0" fontId="59" fillId="16" borderId="0" xfId="0" applyFont="1" applyFill="1"/>
    <xf numFmtId="0" fontId="9" fillId="7" borderId="4" xfId="0" applyFont="1" applyFill="1" applyBorder="1" applyAlignment="1" applyProtection="1">
      <alignment vertical="center" wrapText="1"/>
      <protection locked="0"/>
    </xf>
    <xf numFmtId="173" fontId="15" fillId="16" borderId="5" xfId="11" applyNumberFormat="1" applyFont="1" applyFill="1" applyBorder="1" applyAlignment="1" applyProtection="1">
      <alignment horizontal="left" vertical="center" wrapText="1"/>
      <protection locked="0"/>
    </xf>
    <xf numFmtId="0" fontId="3" fillId="6" borderId="4" xfId="7" applyNumberFormat="1" applyFont="1" applyFill="1" applyBorder="1" applyAlignment="1" applyProtection="1">
      <alignment horizontal="right" vertical="center"/>
    </xf>
    <xf numFmtId="170" fontId="15" fillId="16" borderId="5" xfId="7" applyNumberFormat="1" applyFont="1" applyFill="1" applyBorder="1" applyAlignment="1">
      <alignment horizontal="right" vertical="center" wrapText="1"/>
    </xf>
    <xf numFmtId="170" fontId="42" fillId="16" borderId="5" xfId="7" applyNumberFormat="1" applyFont="1" applyFill="1" applyBorder="1" applyAlignment="1" applyProtection="1">
      <alignment horizontal="right" vertical="center" wrapText="1"/>
    </xf>
    <xf numFmtId="41" fontId="58" fillId="6" borderId="4" xfId="7" applyFont="1" applyFill="1" applyBorder="1" applyAlignment="1">
      <alignment horizontal="center" vertical="center" wrapText="1"/>
    </xf>
    <xf numFmtId="41" fontId="58" fillId="6" borderId="4" xfId="7" applyFont="1" applyFill="1" applyBorder="1" applyAlignment="1" applyProtection="1">
      <alignment horizontal="center" vertical="center" wrapText="1"/>
      <protection locked="0"/>
    </xf>
    <xf numFmtId="41" fontId="15" fillId="6" borderId="4" xfId="7" applyFont="1" applyFill="1" applyBorder="1" applyAlignment="1">
      <alignment horizontal="right" vertical="center" wrapText="1"/>
    </xf>
    <xf numFmtId="177" fontId="15" fillId="13" borderId="4" xfId="11" applyNumberFormat="1" applyFont="1" applyFill="1" applyBorder="1" applyAlignment="1">
      <alignment horizontal="center" vertical="center"/>
    </xf>
    <xf numFmtId="178" fontId="15" fillId="5" borderId="4" xfId="11" applyNumberFormat="1" applyFont="1" applyFill="1" applyBorder="1" applyAlignment="1">
      <alignment horizontal="right" vertical="center" wrapText="1"/>
    </xf>
    <xf numFmtId="178" fontId="15" fillId="5" borderId="4" xfId="11" applyNumberFormat="1" applyFont="1" applyFill="1" applyBorder="1" applyAlignment="1">
      <alignment horizontal="center" vertical="center" wrapText="1"/>
    </xf>
    <xf numFmtId="0" fontId="15" fillId="12" borderId="5" xfId="2" applyFont="1" applyFill="1" applyBorder="1" applyAlignment="1">
      <alignment horizontal="center" vertical="center" wrapText="1"/>
    </xf>
    <xf numFmtId="168" fontId="15" fillId="12" borderId="4" xfId="9" applyNumberFormat="1" applyFont="1" applyFill="1" applyBorder="1" applyAlignment="1">
      <alignment horizontal="center" vertical="center"/>
    </xf>
    <xf numFmtId="42" fontId="15" fillId="12" borderId="4" xfId="9" applyFont="1" applyFill="1" applyBorder="1" applyAlignment="1">
      <alignment horizontal="center" vertical="center"/>
    </xf>
    <xf numFmtId="168" fontId="15" fillId="13" borderId="4" xfId="9" applyNumberFormat="1" applyFont="1" applyFill="1" applyBorder="1" applyAlignment="1">
      <alignment horizontal="center" vertical="center"/>
    </xf>
    <xf numFmtId="197" fontId="15" fillId="13" borderId="4" xfId="0" applyNumberFormat="1" applyFont="1" applyFill="1" applyBorder="1" applyAlignment="1">
      <alignment horizontal="center" vertical="center"/>
    </xf>
    <xf numFmtId="2" fontId="15" fillId="12" borderId="4" xfId="9" applyNumberFormat="1" applyFont="1" applyFill="1" applyBorder="1" applyAlignment="1">
      <alignment horizontal="center" vertical="center"/>
    </xf>
    <xf numFmtId="1" fontId="15" fillId="12" borderId="4" xfId="9" applyNumberFormat="1" applyFont="1" applyFill="1" applyBorder="1" applyAlignment="1">
      <alignment horizontal="center" vertical="center"/>
    </xf>
    <xf numFmtId="2" fontId="15" fillId="13" borderId="4" xfId="9" applyNumberFormat="1" applyFont="1" applyFill="1" applyBorder="1" applyAlignment="1">
      <alignment horizontal="center" vertical="center"/>
    </xf>
    <xf numFmtId="1" fontId="15" fillId="13" borderId="4" xfId="9" applyNumberFormat="1" applyFont="1" applyFill="1" applyBorder="1" applyAlignment="1">
      <alignment horizontal="center" vertical="center"/>
    </xf>
    <xf numFmtId="42" fontId="15" fillId="12" borderId="4" xfId="9" applyFont="1" applyFill="1" applyBorder="1" applyAlignment="1">
      <alignment vertical="center"/>
    </xf>
    <xf numFmtId="4" fontId="15" fillId="6" borderId="4" xfId="11" applyNumberFormat="1" applyFont="1" applyFill="1" applyBorder="1" applyAlignment="1">
      <alignment horizontal="right" vertical="center" wrapText="1"/>
    </xf>
    <xf numFmtId="4" fontId="15" fillId="6" borderId="4" xfId="11" applyNumberFormat="1" applyFont="1" applyFill="1" applyBorder="1" applyAlignment="1">
      <alignment horizontal="center" vertical="center" wrapText="1"/>
    </xf>
    <xf numFmtId="0" fontId="15" fillId="13" borderId="19" xfId="2" applyFont="1" applyFill="1" applyBorder="1" applyAlignment="1">
      <alignment horizontal="center" vertical="center" wrapText="1"/>
    </xf>
    <xf numFmtId="10" fontId="15" fillId="12" borderId="4" xfId="1" applyNumberFormat="1" applyFont="1" applyFill="1" applyBorder="1" applyAlignment="1">
      <alignment horizontal="center" vertical="center"/>
    </xf>
    <xf numFmtId="9" fontId="15" fillId="12" borderId="4" xfId="1" applyFont="1" applyFill="1" applyBorder="1" applyAlignment="1">
      <alignment horizontal="center" vertical="center"/>
    </xf>
    <xf numFmtId="10" fontId="15" fillId="13" borderId="4" xfId="1" applyNumberFormat="1" applyFont="1" applyFill="1" applyBorder="1" applyAlignment="1">
      <alignment horizontal="center" vertical="center"/>
    </xf>
    <xf numFmtId="9" fontId="15" fillId="13" borderId="4" xfId="1" applyFont="1" applyFill="1" applyBorder="1" applyAlignment="1">
      <alignment horizontal="center" vertical="center"/>
    </xf>
    <xf numFmtId="10" fontId="15" fillId="5" borderId="4" xfId="1" applyNumberFormat="1" applyFont="1" applyFill="1" applyBorder="1" applyAlignment="1">
      <alignment horizontal="right" vertical="center" wrapText="1"/>
    </xf>
    <xf numFmtId="10" fontId="15" fillId="9" borderId="5" xfId="1" applyNumberFormat="1" applyFont="1" applyFill="1" applyBorder="1" applyAlignment="1">
      <alignment horizontal="left" vertical="center" wrapText="1"/>
    </xf>
    <xf numFmtId="168" fontId="15" fillId="13" borderId="4" xfId="9" applyNumberFormat="1" applyFont="1" applyFill="1" applyBorder="1" applyAlignment="1">
      <alignment horizontal="center" vertical="center" wrapText="1"/>
    </xf>
    <xf numFmtId="42" fontId="15" fillId="13" borderId="4" xfId="9" applyFont="1" applyFill="1" applyBorder="1" applyAlignment="1">
      <alignment horizontal="center" vertical="center" wrapText="1"/>
    </xf>
    <xf numFmtId="41" fontId="9" fillId="8" borderId="3" xfId="7" applyFont="1" applyFill="1" applyBorder="1" applyAlignment="1">
      <alignment horizontal="center" vertical="center" wrapText="1"/>
    </xf>
    <xf numFmtId="41" fontId="19" fillId="13" borderId="4" xfId="7" applyFont="1" applyFill="1" applyBorder="1" applyAlignment="1">
      <alignment horizontal="center" vertical="center" wrapText="1"/>
    </xf>
    <xf numFmtId="41" fontId="14" fillId="13" borderId="4" xfId="7" applyFont="1" applyFill="1" applyBorder="1" applyAlignment="1">
      <alignment horizontal="center" vertical="center" wrapText="1"/>
    </xf>
    <xf numFmtId="41" fontId="10" fillId="0" borderId="0" xfId="7" applyFont="1"/>
    <xf numFmtId="190" fontId="15" fillId="12" borderId="4" xfId="11" applyNumberFormat="1" applyFont="1" applyFill="1" applyBorder="1" applyAlignment="1">
      <alignment horizontal="center" vertical="center"/>
    </xf>
    <xf numFmtId="9" fontId="3" fillId="6" borderId="10" xfId="1" applyFont="1" applyFill="1" applyBorder="1" applyAlignment="1" applyProtection="1">
      <alignment horizontal="right" vertical="center"/>
    </xf>
    <xf numFmtId="198" fontId="10" fillId="0" borderId="0" xfId="0" applyNumberFormat="1" applyFont="1"/>
    <xf numFmtId="41" fontId="15" fillId="13" borderId="4" xfId="7" applyFont="1" applyFill="1" applyBorder="1" applyAlignment="1">
      <alignment horizontal="center" vertical="center"/>
    </xf>
    <xf numFmtId="41" fontId="15" fillId="13" borderId="5" xfId="7" applyFont="1" applyFill="1" applyBorder="1" applyAlignment="1">
      <alignment horizontal="center" vertical="center" wrapText="1"/>
    </xf>
    <xf numFmtId="169" fontId="15" fillId="13" borderId="5" xfId="2" applyNumberFormat="1" applyFont="1" applyFill="1" applyBorder="1" applyAlignment="1">
      <alignment horizontal="left" vertical="center" wrapText="1"/>
    </xf>
    <xf numFmtId="169" fontId="15" fillId="13" borderId="5" xfId="2" applyNumberFormat="1" applyFont="1" applyFill="1" applyBorder="1" applyAlignment="1" applyProtection="1">
      <alignment horizontal="left" vertical="center" wrapText="1"/>
      <protection locked="0"/>
    </xf>
    <xf numFmtId="169" fontId="15" fillId="13" borderId="5" xfId="2" applyNumberFormat="1" applyFont="1" applyFill="1" applyBorder="1" applyAlignment="1" applyProtection="1">
      <alignment horizontal="left" vertical="center" wrapText="1"/>
    </xf>
    <xf numFmtId="41" fontId="15" fillId="12" borderId="5" xfId="7" applyFont="1" applyFill="1" applyBorder="1" applyAlignment="1" applyProtection="1">
      <alignment horizontal="left" vertical="center" wrapText="1"/>
    </xf>
    <xf numFmtId="41" fontId="15" fillId="12" borderId="5" xfId="7" applyFont="1" applyFill="1" applyBorder="1" applyAlignment="1">
      <alignment horizontal="left" vertical="center" wrapText="1"/>
    </xf>
    <xf numFmtId="167" fontId="15" fillId="13" borderId="4" xfId="1" applyNumberFormat="1" applyFont="1" applyFill="1" applyBorder="1" applyAlignment="1" applyProtection="1">
      <alignment horizontal="center" vertical="center" wrapText="1"/>
    </xf>
    <xf numFmtId="167" fontId="15" fillId="12" borderId="4" xfId="1" applyNumberFormat="1" applyFont="1" applyFill="1" applyBorder="1" applyAlignment="1" applyProtection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169" fontId="15" fillId="12" borderId="3" xfId="0" applyNumberFormat="1" applyFont="1" applyFill="1" applyBorder="1" applyAlignment="1">
      <alignment horizontal="center" vertical="center" wrapText="1"/>
    </xf>
    <xf numFmtId="169" fontId="15" fillId="12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7" borderId="2" xfId="0" applyFont="1" applyFill="1" applyBorder="1" applyAlignment="1">
      <alignment vertical="center" wrapText="1"/>
    </xf>
    <xf numFmtId="0" fontId="15" fillId="12" borderId="13" xfId="2" applyFont="1" applyFill="1" applyBorder="1" applyAlignment="1">
      <alignment horizontal="center" vertical="center" wrapText="1"/>
    </xf>
    <xf numFmtId="170" fontId="15" fillId="12" borderId="8" xfId="7" applyNumberFormat="1" applyFont="1" applyFill="1" applyBorder="1" applyAlignment="1">
      <alignment horizontal="center" vertical="center"/>
    </xf>
    <xf numFmtId="0" fontId="9" fillId="8" borderId="2" xfId="0" applyFont="1" applyFill="1" applyBorder="1" applyAlignment="1">
      <alignment vertical="center" wrapText="1"/>
    </xf>
    <xf numFmtId="0" fontId="9" fillId="8" borderId="0" xfId="0" applyFont="1" applyFill="1" applyAlignment="1">
      <alignment vertical="center" wrapText="1"/>
    </xf>
    <xf numFmtId="41" fontId="15" fillId="12" borderId="8" xfId="7" applyFont="1" applyFill="1" applyBorder="1" applyAlignment="1">
      <alignment vertical="center"/>
    </xf>
    <xf numFmtId="172" fontId="15" fillId="12" borderId="4" xfId="7" applyNumberFormat="1" applyFont="1" applyFill="1" applyBorder="1" applyAlignment="1">
      <alignment horizontal="center" vertical="center" wrapText="1"/>
    </xf>
    <xf numFmtId="172" fontId="15" fillId="12" borderId="4" xfId="7" applyNumberFormat="1" applyFont="1" applyFill="1" applyBorder="1" applyAlignment="1" applyProtection="1">
      <alignment horizontal="center" vertical="center" wrapText="1"/>
      <protection locked="0"/>
    </xf>
    <xf numFmtId="184" fontId="15" fillId="13" borderId="4" xfId="11" applyFont="1" applyFill="1" applyBorder="1" applyAlignment="1" applyProtection="1">
      <alignment horizontal="center" vertical="center" wrapText="1"/>
      <protection locked="0"/>
    </xf>
    <xf numFmtId="3" fontId="24" fillId="12" borderId="4" xfId="2" applyNumberFormat="1" applyFont="1" applyFill="1" applyBorder="1" applyAlignment="1">
      <alignment horizontal="center" vertical="center" wrapText="1"/>
    </xf>
    <xf numFmtId="37" fontId="24" fillId="12" borderId="4" xfId="7" applyNumberFormat="1" applyFont="1" applyFill="1" applyBorder="1" applyAlignment="1">
      <alignment horizontal="center" vertical="center" wrapText="1"/>
    </xf>
    <xf numFmtId="3" fontId="24" fillId="13" borderId="5" xfId="0" applyNumberFormat="1" applyFont="1" applyFill="1" applyBorder="1" applyAlignment="1">
      <alignment horizontal="center" vertical="center" wrapText="1"/>
    </xf>
    <xf numFmtId="41" fontId="15" fillId="13" borderId="5" xfId="7" applyFont="1" applyFill="1" applyBorder="1" applyAlignment="1" applyProtection="1">
      <alignment horizontal="center" vertical="center" wrapText="1"/>
      <protection locked="0"/>
    </xf>
    <xf numFmtId="9" fontId="24" fillId="12" borderId="4" xfId="1" applyFont="1" applyFill="1" applyBorder="1" applyAlignment="1">
      <alignment horizontal="center" vertical="center" wrapText="1"/>
    </xf>
    <xf numFmtId="9" fontId="15" fillId="12" borderId="4" xfId="1" applyFont="1" applyFill="1" applyBorder="1" applyAlignment="1" applyProtection="1">
      <alignment horizontal="center" vertical="center" wrapText="1"/>
      <protection locked="0"/>
    </xf>
    <xf numFmtId="9" fontId="15" fillId="12" borderId="4" xfId="1" applyFont="1" applyFill="1" applyBorder="1" applyAlignment="1">
      <alignment horizontal="right" vertical="center" wrapText="1"/>
    </xf>
    <xf numFmtId="174" fontId="24" fillId="13" borderId="4" xfId="7" applyNumberFormat="1" applyFont="1" applyFill="1" applyBorder="1" applyAlignment="1">
      <alignment horizontal="center" vertical="center" wrapText="1"/>
    </xf>
    <xf numFmtId="167" fontId="24" fillId="12" borderId="4" xfId="0" applyNumberFormat="1" applyFont="1" applyFill="1" applyBorder="1" applyAlignment="1">
      <alignment horizontal="center" vertical="center" wrapText="1"/>
    </xf>
    <xf numFmtId="10" fontId="15" fillId="13" borderId="5" xfId="7" applyNumberFormat="1" applyFont="1" applyFill="1" applyBorder="1" applyAlignment="1">
      <alignment horizontal="center" vertical="center" wrapText="1"/>
    </xf>
    <xf numFmtId="9" fontId="24" fillId="13" borderId="4" xfId="1" applyFont="1" applyFill="1" applyBorder="1" applyAlignment="1">
      <alignment horizontal="center" vertical="center" wrapText="1"/>
    </xf>
    <xf numFmtId="0" fontId="14" fillId="12" borderId="5" xfId="8" applyFill="1" applyBorder="1" applyAlignment="1">
      <alignment horizontal="center" vertical="center" wrapText="1"/>
    </xf>
    <xf numFmtId="9" fontId="24" fillId="12" borderId="5" xfId="1" applyFont="1" applyFill="1" applyBorder="1" applyAlignment="1">
      <alignment horizontal="center" vertical="center" wrapText="1"/>
    </xf>
    <xf numFmtId="0" fontId="25" fillId="13" borderId="11" xfId="0" applyFont="1" applyFill="1" applyBorder="1" applyAlignment="1">
      <alignment horizontal="center" vertical="center" wrapText="1"/>
    </xf>
    <xf numFmtId="3" fontId="24" fillId="13" borderId="4" xfId="2" applyNumberFormat="1" applyFont="1" applyFill="1" applyBorder="1" applyAlignment="1">
      <alignment horizontal="center" vertical="center" wrapText="1"/>
    </xf>
    <xf numFmtId="169" fontId="15" fillId="13" borderId="3" xfId="0" applyNumberFormat="1" applyFont="1" applyFill="1" applyBorder="1" applyAlignment="1">
      <alignment horizontal="center" vertical="center" wrapText="1"/>
    </xf>
    <xf numFmtId="169" fontId="15" fillId="13" borderId="3" xfId="0" applyNumberFormat="1" applyFont="1" applyFill="1" applyBorder="1" applyAlignment="1" applyProtection="1">
      <alignment horizontal="center" vertical="center" wrapText="1"/>
      <protection locked="0"/>
    </xf>
    <xf numFmtId="2" fontId="15" fillId="9" borderId="4" xfId="7" applyNumberFormat="1" applyFont="1" applyFill="1" applyBorder="1" applyAlignment="1" applyProtection="1">
      <alignment horizontal="center" vertical="center" wrapText="1"/>
      <protection locked="0"/>
    </xf>
    <xf numFmtId="43" fontId="15" fillId="9" borderId="4" xfId="7" applyNumberFormat="1" applyFont="1" applyFill="1" applyBorder="1" applyAlignment="1">
      <alignment horizontal="center" vertical="center" wrapText="1"/>
    </xf>
    <xf numFmtId="0" fontId="19" fillId="15" borderId="60" xfId="0" applyFont="1" applyFill="1" applyBorder="1" applyAlignment="1">
      <alignment horizontal="center" vertical="center" wrapText="1"/>
    </xf>
    <xf numFmtId="0" fontId="5" fillId="0" borderId="2" xfId="0" applyFont="1" applyBorder="1"/>
    <xf numFmtId="10" fontId="5" fillId="0" borderId="0" xfId="1" applyNumberFormat="1" applyFont="1" applyAlignment="1">
      <alignment horizontal="right"/>
    </xf>
    <xf numFmtId="10" fontId="11" fillId="4" borderId="4" xfId="1" applyNumberFormat="1" applyFont="1" applyFill="1" applyBorder="1" applyAlignment="1">
      <alignment horizontal="center" vertical="center" wrapText="1"/>
    </xf>
    <xf numFmtId="173" fontId="15" fillId="6" borderId="4" xfId="0" applyNumberFormat="1" applyFont="1" applyFill="1" applyBorder="1" applyAlignment="1">
      <alignment horizontal="center" vertical="center"/>
    </xf>
    <xf numFmtId="165" fontId="15" fillId="6" borderId="4" xfId="0" applyNumberFormat="1" applyFont="1" applyFill="1" applyBorder="1" applyAlignment="1">
      <alignment horizontal="center" vertical="center" wrapText="1"/>
    </xf>
    <xf numFmtId="0" fontId="15" fillId="42" borderId="4" xfId="0" applyFont="1" applyFill="1" applyBorder="1" applyAlignment="1">
      <alignment horizontal="center" wrapText="1"/>
    </xf>
    <xf numFmtId="165" fontId="15" fillId="42" borderId="4" xfId="0" applyNumberFormat="1" applyFont="1" applyFill="1" applyBorder="1" applyAlignment="1">
      <alignment horizontal="center" vertical="center" wrapText="1"/>
    </xf>
    <xf numFmtId="0" fontId="15" fillId="24" borderId="4" xfId="0" applyFont="1" applyFill="1" applyBorder="1" applyAlignment="1">
      <alignment horizontal="center" vertical="center"/>
    </xf>
    <xf numFmtId="165" fontId="15" fillId="24" borderId="4" xfId="0" applyNumberFormat="1" applyFont="1" applyFill="1" applyBorder="1" applyAlignment="1">
      <alignment horizontal="center" vertical="center" wrapText="1"/>
    </xf>
    <xf numFmtId="173" fontId="15" fillId="24" borderId="4" xfId="11" applyNumberFormat="1" applyFont="1" applyFill="1" applyBorder="1" applyAlignment="1">
      <alignment horizontal="center" vertical="center" wrapText="1"/>
    </xf>
    <xf numFmtId="173" fontId="15" fillId="24" borderId="4" xfId="11" applyNumberFormat="1" applyFont="1" applyFill="1" applyBorder="1" applyAlignment="1" applyProtection="1">
      <alignment horizontal="center" vertical="center" wrapText="1"/>
      <protection locked="0"/>
    </xf>
    <xf numFmtId="173" fontId="15" fillId="24" borderId="4" xfId="11" applyNumberFormat="1" applyFont="1" applyFill="1" applyBorder="1" applyAlignment="1" applyProtection="1">
      <alignment horizontal="center" vertical="center" wrapText="1"/>
    </xf>
    <xf numFmtId="0" fontId="14" fillId="42" borderId="4" xfId="8" applyFill="1" applyBorder="1" applyAlignment="1">
      <alignment horizontal="center" vertical="center" wrapText="1"/>
    </xf>
    <xf numFmtId="0" fontId="15" fillId="42" borderId="4" xfId="0" applyFont="1" applyFill="1" applyBorder="1" applyAlignment="1">
      <alignment horizontal="center" vertical="center" wrapText="1"/>
    </xf>
    <xf numFmtId="173" fontId="15" fillId="42" borderId="4" xfId="11" applyNumberFormat="1" applyFont="1" applyFill="1" applyBorder="1" applyAlignment="1">
      <alignment horizontal="center" vertical="center"/>
    </xf>
    <xf numFmtId="0" fontId="15" fillId="42" borderId="4" xfId="0" applyFont="1" applyFill="1" applyBorder="1" applyAlignment="1">
      <alignment horizontal="center" vertical="center"/>
    </xf>
    <xf numFmtId="173" fontId="15" fillId="42" borderId="4" xfId="11" applyNumberFormat="1" applyFont="1" applyFill="1" applyBorder="1" applyAlignment="1">
      <alignment horizontal="center" vertical="center" wrapText="1"/>
    </xf>
    <xf numFmtId="173" fontId="15" fillId="42" borderId="4" xfId="11" applyNumberFormat="1" applyFont="1" applyFill="1" applyBorder="1" applyAlignment="1" applyProtection="1">
      <alignment horizontal="center" vertical="center" wrapText="1"/>
      <protection locked="0"/>
    </xf>
    <xf numFmtId="173" fontId="15" fillId="42" borderId="4" xfId="11" applyNumberFormat="1" applyFont="1" applyFill="1" applyBorder="1" applyAlignment="1" applyProtection="1">
      <alignment horizontal="center" vertical="center" wrapText="1"/>
    </xf>
    <xf numFmtId="0" fontId="15" fillId="34" borderId="4" xfId="0" applyFont="1" applyFill="1" applyBorder="1" applyAlignment="1">
      <alignment horizontal="center" vertical="center" wrapText="1"/>
    </xf>
    <xf numFmtId="173" fontId="15" fillId="34" borderId="4" xfId="11" applyNumberFormat="1" applyFont="1" applyFill="1" applyBorder="1" applyAlignment="1">
      <alignment horizontal="center" vertical="center" wrapText="1"/>
    </xf>
    <xf numFmtId="173" fontId="15" fillId="34" borderId="4" xfId="11" applyNumberFormat="1" applyFont="1" applyFill="1" applyBorder="1" applyAlignment="1" applyProtection="1">
      <alignment horizontal="center" vertical="center" wrapText="1"/>
      <protection locked="0"/>
    </xf>
    <xf numFmtId="173" fontId="15" fillId="34" borderId="4" xfId="11" applyNumberFormat="1" applyFont="1" applyFill="1" applyBorder="1" applyAlignment="1" applyProtection="1">
      <alignment horizontal="center" vertical="center" wrapText="1"/>
    </xf>
    <xf numFmtId="10" fontId="15" fillId="42" borderId="4" xfId="1" applyNumberFormat="1" applyFont="1" applyFill="1" applyBorder="1" applyAlignment="1">
      <alignment horizontal="center" vertical="center" wrapText="1"/>
    </xf>
    <xf numFmtId="10" fontId="29" fillId="6" borderId="4" xfId="1" applyNumberFormat="1" applyFont="1" applyFill="1" applyBorder="1" applyAlignment="1" applyProtection="1">
      <alignment horizontal="right" vertical="center"/>
    </xf>
    <xf numFmtId="4" fontId="15" fillId="6" borderId="4" xfId="0" applyNumberFormat="1" applyFont="1" applyFill="1" applyBorder="1" applyAlignment="1">
      <alignment horizontal="center" vertical="center"/>
    </xf>
    <xf numFmtId="4" fontId="15" fillId="42" borderId="4" xfId="0" applyNumberFormat="1" applyFont="1" applyFill="1" applyBorder="1" applyAlignment="1">
      <alignment horizontal="center" vertical="center" wrapText="1"/>
    </xf>
    <xf numFmtId="170" fontId="15" fillId="42" borderId="4" xfId="7" applyNumberFormat="1" applyFont="1" applyFill="1" applyBorder="1" applyAlignment="1">
      <alignment horizontal="center" vertical="center" wrapText="1"/>
    </xf>
    <xf numFmtId="170" fontId="15" fillId="42" borderId="4" xfId="7" applyNumberFormat="1" applyFont="1" applyFill="1" applyBorder="1" applyAlignment="1" applyProtection="1">
      <alignment horizontal="center" vertical="center" wrapText="1"/>
      <protection locked="0"/>
    </xf>
    <xf numFmtId="170" fontId="15" fillId="42" borderId="4" xfId="7" applyNumberFormat="1" applyFont="1" applyFill="1" applyBorder="1" applyAlignment="1" applyProtection="1">
      <alignment horizontal="center" vertical="center" wrapText="1"/>
    </xf>
    <xf numFmtId="0" fontId="15" fillId="10" borderId="4" xfId="0" applyFont="1" applyFill="1" applyBorder="1" applyAlignment="1">
      <alignment horizontal="center" vertical="center" wrapText="1"/>
    </xf>
    <xf numFmtId="10" fontId="15" fillId="10" borderId="4" xfId="0" applyNumberFormat="1" applyFont="1" applyFill="1" applyBorder="1" applyAlignment="1">
      <alignment horizontal="center" vertical="center" wrapText="1"/>
    </xf>
    <xf numFmtId="10" fontId="15" fillId="10" borderId="4" xfId="0" applyNumberFormat="1" applyFont="1" applyFill="1" applyBorder="1" applyAlignment="1" applyProtection="1">
      <alignment horizontal="center" vertical="center" wrapText="1"/>
      <protection locked="0"/>
    </xf>
    <xf numFmtId="10" fontId="20" fillId="10" borderId="4" xfId="0" applyNumberFormat="1" applyFont="1" applyFill="1" applyBorder="1" applyAlignment="1" applyProtection="1">
      <alignment horizontal="center" vertical="center" wrapText="1"/>
      <protection locked="0"/>
    </xf>
    <xf numFmtId="10" fontId="11" fillId="43" borderId="4" xfId="0" applyNumberFormat="1" applyFont="1" applyFill="1" applyBorder="1" applyAlignment="1">
      <alignment horizontal="center" vertical="center" wrapText="1"/>
    </xf>
    <xf numFmtId="2" fontId="15" fillId="42" borderId="4" xfId="0" applyNumberFormat="1" applyFont="1" applyFill="1" applyBorder="1" applyAlignment="1">
      <alignment horizontal="center" vertical="center" wrapText="1"/>
    </xf>
    <xf numFmtId="10" fontId="15" fillId="42" borderId="4" xfId="0" applyNumberFormat="1" applyFont="1" applyFill="1" applyBorder="1" applyAlignment="1">
      <alignment horizontal="center" vertical="center" wrapText="1"/>
    </xf>
    <xf numFmtId="184" fontId="15" fillId="42" borderId="4" xfId="11" applyFont="1" applyFill="1" applyBorder="1" applyAlignment="1">
      <alignment horizontal="center" vertical="center" wrapText="1"/>
    </xf>
    <xf numFmtId="184" fontId="15" fillId="42" borderId="4" xfId="11" applyFont="1" applyFill="1" applyBorder="1" applyAlignment="1" applyProtection="1">
      <alignment horizontal="center" vertical="center" wrapText="1"/>
      <protection locked="0"/>
    </xf>
    <xf numFmtId="184" fontId="15" fillId="42" borderId="4" xfId="11" applyFont="1" applyFill="1" applyBorder="1" applyAlignment="1" applyProtection="1">
      <alignment horizontal="center" vertical="center" wrapText="1"/>
    </xf>
    <xf numFmtId="0" fontId="15" fillId="16" borderId="4" xfId="0" applyFont="1" applyFill="1" applyBorder="1" applyAlignment="1">
      <alignment horizontal="center" vertical="center"/>
    </xf>
    <xf numFmtId="165" fontId="15" fillId="16" borderId="4" xfId="0" applyNumberFormat="1" applyFont="1" applyFill="1" applyBorder="1" applyAlignment="1">
      <alignment horizontal="center" vertical="center" wrapText="1"/>
    </xf>
    <xf numFmtId="9" fontId="29" fillId="6" borderId="4" xfId="1" applyFont="1" applyFill="1" applyBorder="1" applyAlignment="1" applyProtection="1">
      <alignment horizontal="right" vertical="center"/>
    </xf>
    <xf numFmtId="10" fontId="15" fillId="16" borderId="4" xfId="1" applyNumberFormat="1" applyFont="1" applyFill="1" applyBorder="1" applyAlignment="1" applyProtection="1">
      <alignment horizontal="center" vertical="center" wrapText="1"/>
    </xf>
    <xf numFmtId="0" fontId="15" fillId="6" borderId="5" xfId="2" applyFont="1" applyFill="1" applyBorder="1" applyAlignment="1">
      <alignment horizontal="center" vertical="center" wrapText="1"/>
    </xf>
    <xf numFmtId="4" fontId="15" fillId="9" borderId="4" xfId="0" applyNumberFormat="1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10" fontId="15" fillId="42" borderId="4" xfId="1" applyNumberFormat="1" applyFont="1" applyFill="1" applyBorder="1" applyAlignment="1" applyProtection="1">
      <alignment horizontal="center" vertical="center" wrapText="1"/>
      <protection locked="0"/>
    </xf>
    <xf numFmtId="10" fontId="15" fillId="42" borderId="4" xfId="1" applyNumberFormat="1" applyFont="1" applyFill="1" applyBorder="1" applyAlignment="1" applyProtection="1">
      <alignment horizontal="center" vertical="center" wrapText="1"/>
    </xf>
    <xf numFmtId="10" fontId="60" fillId="42" borderId="4" xfId="1" applyNumberFormat="1" applyFont="1" applyFill="1" applyBorder="1" applyAlignment="1">
      <alignment horizontal="center" vertical="center" wrapText="1"/>
    </xf>
    <xf numFmtId="165" fontId="15" fillId="9" borderId="4" xfId="0" applyNumberFormat="1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vertical="center" wrapText="1"/>
    </xf>
    <xf numFmtId="0" fontId="9" fillId="7" borderId="14" xfId="0" applyFont="1" applyFill="1" applyBorder="1" applyAlignment="1" applyProtection="1">
      <alignment vertical="center" wrapText="1"/>
      <protection locked="0"/>
    </xf>
    <xf numFmtId="9" fontId="9" fillId="7" borderId="14" xfId="1" applyFont="1" applyFill="1" applyBorder="1" applyAlignment="1" applyProtection="1">
      <alignment horizontal="right" vertical="center" wrapText="1"/>
    </xf>
    <xf numFmtId="10" fontId="9" fillId="7" borderId="14" xfId="1" applyNumberFormat="1" applyFont="1" applyFill="1" applyBorder="1" applyAlignment="1">
      <alignment vertical="center" wrapText="1"/>
    </xf>
    <xf numFmtId="0" fontId="14" fillId="5" borderId="11" xfId="8" applyFill="1" applyBorder="1" applyAlignment="1">
      <alignment horizontal="center" vertical="center" wrapText="1"/>
    </xf>
    <xf numFmtId="10" fontId="15" fillId="5" borderId="4" xfId="0" applyNumberFormat="1" applyFont="1" applyFill="1" applyBorder="1" applyAlignment="1">
      <alignment horizontal="center" vertical="center" wrapText="1"/>
    </xf>
    <xf numFmtId="0" fontId="14" fillId="6" borderId="11" xfId="8" applyFill="1" applyBorder="1" applyAlignment="1">
      <alignment horizontal="center" vertical="center" wrapText="1"/>
    </xf>
    <xf numFmtId="10" fontId="20" fillId="6" borderId="4" xfId="1" applyNumberFormat="1" applyFont="1" applyFill="1" applyBorder="1" applyAlignment="1" applyProtection="1">
      <alignment horizontal="center" vertical="center" wrapText="1"/>
      <protection locked="0"/>
    </xf>
    <xf numFmtId="10" fontId="20" fillId="6" borderId="4" xfId="1" applyNumberFormat="1" applyFont="1" applyFill="1" applyBorder="1" applyAlignment="1" applyProtection="1">
      <alignment horizontal="center" vertical="center" wrapText="1"/>
    </xf>
    <xf numFmtId="10" fontId="9" fillId="8" borderId="4" xfId="1" applyNumberFormat="1" applyFont="1" applyFill="1" applyBorder="1" applyAlignment="1">
      <alignment vertical="center" wrapText="1"/>
    </xf>
    <xf numFmtId="170" fontId="20" fillId="16" borderId="5" xfId="7" applyNumberFormat="1" applyFont="1" applyFill="1" applyBorder="1" applyAlignment="1" applyProtection="1">
      <alignment vertical="center" wrapText="1"/>
      <protection locked="0"/>
    </xf>
    <xf numFmtId="170" fontId="20" fillId="16" borderId="5" xfId="7" applyNumberFormat="1" applyFont="1" applyFill="1" applyBorder="1" applyAlignment="1" applyProtection="1">
      <alignment horizontal="center" vertical="center" wrapText="1"/>
      <protection locked="0"/>
    </xf>
    <xf numFmtId="170" fontId="20" fillId="16" borderId="4" xfId="7" applyNumberFormat="1" applyFont="1" applyFill="1" applyBorder="1" applyAlignment="1">
      <alignment horizontal="left" vertical="center" wrapText="1"/>
    </xf>
    <xf numFmtId="0" fontId="5" fillId="0" borderId="1" xfId="0" applyFont="1" applyBorder="1"/>
    <xf numFmtId="199" fontId="3" fillId="6" borderId="4" xfId="1" applyNumberFormat="1" applyFont="1" applyFill="1" applyBorder="1" applyAlignment="1" applyProtection="1">
      <alignment horizontal="right" vertical="center"/>
    </xf>
    <xf numFmtId="0" fontId="61" fillId="16" borderId="5" xfId="0" applyFont="1" applyFill="1" applyBorder="1" applyAlignment="1">
      <alignment horizontal="center" vertical="center" wrapText="1"/>
    </xf>
    <xf numFmtId="0" fontId="62" fillId="16" borderId="4" xfId="0" applyFont="1" applyFill="1" applyBorder="1" applyAlignment="1">
      <alignment horizontal="center" vertical="center" wrapText="1"/>
    </xf>
    <xf numFmtId="187" fontId="62" fillId="16" borderId="4" xfId="0" applyNumberFormat="1" applyFont="1" applyFill="1" applyBorder="1" applyAlignment="1" applyProtection="1">
      <alignment horizontal="center" vertical="center"/>
      <protection locked="0"/>
    </xf>
    <xf numFmtId="0" fontId="62" fillId="16" borderId="4" xfId="0" applyFont="1" applyFill="1" applyBorder="1" applyAlignment="1">
      <alignment horizontal="center" vertical="center"/>
    </xf>
    <xf numFmtId="165" fontId="62" fillId="16" borderId="4" xfId="0" applyNumberFormat="1" applyFont="1" applyFill="1" applyBorder="1" applyAlignment="1">
      <alignment horizontal="center" vertical="center"/>
    </xf>
    <xf numFmtId="0" fontId="62" fillId="16" borderId="4" xfId="0" applyFont="1" applyFill="1" applyBorder="1" applyAlignment="1" applyProtection="1">
      <alignment horizontal="center" vertical="center" wrapText="1"/>
      <protection locked="0"/>
    </xf>
    <xf numFmtId="0" fontId="3" fillId="6" borderId="4" xfId="1" applyNumberFormat="1" applyFont="1" applyFill="1" applyBorder="1" applyAlignment="1" applyProtection="1">
      <alignment horizontal="center" vertical="center"/>
    </xf>
    <xf numFmtId="0" fontId="62" fillId="9" borderId="4" xfId="0" applyFont="1" applyFill="1" applyBorder="1" applyAlignment="1">
      <alignment horizontal="center" vertical="center"/>
    </xf>
    <xf numFmtId="175" fontId="6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62" fillId="9" borderId="4" xfId="0" applyFont="1" applyFill="1" applyBorder="1" applyAlignment="1">
      <alignment horizontal="center" wrapText="1"/>
    </xf>
    <xf numFmtId="164" fontId="62" fillId="9" borderId="4" xfId="0" applyNumberFormat="1" applyFont="1" applyFill="1" applyBorder="1" applyAlignment="1">
      <alignment horizontal="center" vertical="center"/>
    </xf>
    <xf numFmtId="0" fontId="62" fillId="9" borderId="4" xfId="0" applyFont="1" applyFill="1" applyBorder="1" applyAlignment="1" applyProtection="1">
      <alignment horizontal="center" vertical="center" wrapText="1"/>
      <protection locked="0"/>
    </xf>
    <xf numFmtId="0" fontId="62" fillId="11" borderId="4" xfId="0" applyFont="1" applyFill="1" applyBorder="1" applyAlignment="1">
      <alignment horizontal="center" vertical="center" wrapText="1"/>
    </xf>
    <xf numFmtId="175" fontId="62" fillId="16" borderId="4" xfId="0" applyNumberFormat="1" applyFont="1" applyFill="1" applyBorder="1" applyAlignment="1" applyProtection="1">
      <alignment horizontal="center" vertical="center" wrapText="1"/>
      <protection locked="0"/>
    </xf>
    <xf numFmtId="0" fontId="62" fillId="16" borderId="4" xfId="0" applyFont="1" applyFill="1" applyBorder="1" applyAlignment="1">
      <alignment horizontal="center" wrapText="1"/>
    </xf>
    <xf numFmtId="165" fontId="62" fillId="9" borderId="4" xfId="0" applyNumberFormat="1" applyFont="1" applyFill="1" applyBorder="1" applyAlignment="1">
      <alignment horizontal="center" vertical="center"/>
    </xf>
    <xf numFmtId="0" fontId="62" fillId="15" borderId="4" xfId="0" applyFont="1" applyFill="1" applyBorder="1" applyAlignment="1">
      <alignment horizontal="center" vertical="center"/>
    </xf>
    <xf numFmtId="3" fontId="62" fillId="16" borderId="4" xfId="0" applyNumberFormat="1" applyFont="1" applyFill="1" applyBorder="1" applyAlignment="1" applyProtection="1">
      <alignment horizontal="center" vertical="center" wrapText="1"/>
      <protection locked="0"/>
    </xf>
    <xf numFmtId="0" fontId="62" fillId="9" borderId="4" xfId="0" applyFont="1" applyFill="1" applyBorder="1" applyAlignment="1">
      <alignment horizontal="center" vertical="center" wrapText="1"/>
    </xf>
    <xf numFmtId="175" fontId="62" fillId="9" borderId="4" xfId="0" applyNumberFormat="1" applyFont="1" applyFill="1" applyBorder="1" applyAlignment="1" applyProtection="1">
      <alignment horizontal="center" vertical="center"/>
      <protection locked="0"/>
    </xf>
    <xf numFmtId="0" fontId="62" fillId="11" borderId="4" xfId="0" applyFont="1" applyFill="1" applyBorder="1" applyAlignment="1">
      <alignment horizontal="center" vertical="center"/>
    </xf>
    <xf numFmtId="4" fontId="62" fillId="16" borderId="4" xfId="0" applyNumberFormat="1" applyFont="1" applyFill="1" applyBorder="1" applyAlignment="1" applyProtection="1">
      <alignment horizontal="center" vertical="center"/>
      <protection locked="0"/>
    </xf>
    <xf numFmtId="4" fontId="6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62" fillId="16" borderId="4" xfId="0" applyNumberFormat="1" applyFont="1" applyFill="1" applyBorder="1" applyAlignment="1" applyProtection="1">
      <alignment horizontal="center" vertical="center" wrapText="1"/>
      <protection locked="0"/>
    </xf>
    <xf numFmtId="10" fontId="62" fillId="9" borderId="4" xfId="1" applyNumberFormat="1" applyFont="1" applyFill="1" applyBorder="1" applyAlignment="1" applyProtection="1">
      <alignment horizontal="center" vertical="center" wrapText="1"/>
      <protection locked="0"/>
    </xf>
    <xf numFmtId="0" fontId="62" fillId="16" borderId="24" xfId="0" applyFont="1" applyFill="1" applyBorder="1" applyAlignment="1">
      <alignment horizontal="center" vertical="center" wrapText="1"/>
    </xf>
    <xf numFmtId="170" fontId="15" fillId="16" borderId="4" xfId="7" applyNumberFormat="1" applyFont="1" applyFill="1" applyBorder="1" applyAlignment="1" applyProtection="1">
      <alignment horizontal="center" vertical="center"/>
      <protection locked="0"/>
    </xf>
    <xf numFmtId="0" fontId="62" fillId="14" borderId="5" xfId="0" applyFont="1" applyFill="1" applyBorder="1" applyAlignment="1">
      <alignment horizontal="center" vertical="center" wrapText="1"/>
    </xf>
    <xf numFmtId="10" fontId="62" fillId="9" borderId="4" xfId="0" applyNumberFormat="1" applyFont="1" applyFill="1" applyBorder="1" applyAlignment="1">
      <alignment horizontal="center" vertical="center"/>
    </xf>
    <xf numFmtId="0" fontId="62" fillId="16" borderId="4" xfId="3" applyFont="1" applyFill="1" applyBorder="1" applyAlignment="1">
      <alignment horizontal="center" vertical="center" wrapText="1"/>
    </xf>
    <xf numFmtId="165" fontId="62" fillId="16" borderId="4" xfId="0" applyNumberFormat="1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173" fontId="62" fillId="9" borderId="4" xfId="11" applyNumberFormat="1" applyFont="1" applyFill="1" applyBorder="1" applyAlignment="1" applyProtection="1">
      <alignment horizontal="center" vertical="center" wrapText="1"/>
      <protection locked="0"/>
    </xf>
    <xf numFmtId="2" fontId="6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7" fillId="7" borderId="4" xfId="0" applyFont="1" applyFill="1" applyBorder="1" applyAlignment="1">
      <alignment vertical="center" wrapText="1"/>
    </xf>
    <xf numFmtId="9" fontId="27" fillId="7" borderId="4" xfId="1" applyFont="1" applyFill="1" applyBorder="1" applyAlignment="1">
      <alignment vertical="center" wrapText="1"/>
    </xf>
    <xf numFmtId="0" fontId="29" fillId="14" borderId="4" xfId="0" applyFont="1" applyFill="1" applyBorder="1" applyAlignment="1">
      <alignment horizontal="center" vertical="center" wrapText="1"/>
    </xf>
    <xf numFmtId="3" fontId="15" fillId="16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16" borderId="4" xfId="0" applyFont="1" applyFill="1" applyBorder="1" applyAlignment="1" applyProtection="1">
      <alignment horizontal="center" vertical="center" wrapText="1"/>
      <protection locked="0"/>
    </xf>
    <xf numFmtId="4" fontId="15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9" borderId="4" xfId="0" applyFont="1" applyFill="1" applyBorder="1" applyAlignment="1">
      <alignment horizontal="center" wrapText="1"/>
    </xf>
    <xf numFmtId="164" fontId="15" fillId="9" borderId="4" xfId="0" applyNumberFormat="1" applyFont="1" applyFill="1" applyBorder="1" applyAlignment="1">
      <alignment horizontal="center" vertical="center"/>
    </xf>
    <xf numFmtId="170" fontId="24" fillId="5" borderId="4" xfId="7" applyNumberFormat="1" applyFont="1" applyFill="1" applyBorder="1" applyAlignment="1">
      <alignment vertical="center" wrapText="1"/>
    </xf>
    <xf numFmtId="0" fontId="26" fillId="5" borderId="4" xfId="0" applyFont="1" applyFill="1" applyBorder="1" applyAlignment="1">
      <alignment horizontal="center" vertical="center" wrapText="1"/>
    </xf>
    <xf numFmtId="174" fontId="15" fillId="6" borderId="4" xfId="7" applyNumberFormat="1" applyFont="1" applyFill="1" applyBorder="1" applyAlignment="1" applyProtection="1">
      <alignment horizontal="center" vertical="center" wrapText="1"/>
      <protection locked="0"/>
    </xf>
    <xf numFmtId="174" fontId="15" fillId="9" borderId="4" xfId="7" applyNumberFormat="1" applyFont="1" applyFill="1" applyBorder="1" applyAlignment="1" applyProtection="1">
      <alignment horizontal="center" vertical="center" wrapText="1"/>
      <protection locked="0"/>
    </xf>
    <xf numFmtId="0" fontId="26" fillId="16" borderId="4" xfId="2" applyFont="1" applyFill="1" applyBorder="1" applyAlignment="1">
      <alignment horizontal="center" vertical="center" wrapText="1"/>
    </xf>
    <xf numFmtId="184" fontId="24" fillId="16" borderId="4" xfId="11" applyFont="1" applyFill="1" applyBorder="1" applyAlignment="1">
      <alignment horizontal="center" vertical="center" wrapText="1"/>
    </xf>
    <xf numFmtId="184" fontId="24" fillId="16" borderId="4" xfId="11" applyFont="1" applyFill="1" applyBorder="1" applyAlignment="1" applyProtection="1">
      <alignment horizontal="center" vertical="center" wrapText="1"/>
    </xf>
    <xf numFmtId="174" fontId="24" fillId="16" borderId="4" xfId="7" applyNumberFormat="1" applyFont="1" applyFill="1" applyBorder="1" applyAlignment="1" applyProtection="1">
      <alignment horizontal="center" vertical="center" wrapText="1"/>
      <protection locked="0"/>
    </xf>
    <xf numFmtId="0" fontId="26" fillId="9" borderId="4" xfId="0" applyFont="1" applyFill="1" applyBorder="1" applyAlignment="1">
      <alignment horizontal="center" vertical="center" wrapText="1"/>
    </xf>
    <xf numFmtId="42" fontId="24" fillId="9" borderId="4" xfId="9" applyFont="1" applyFill="1" applyBorder="1" applyAlignment="1">
      <alignment horizontal="center" vertical="center" wrapText="1"/>
    </xf>
    <xf numFmtId="42" fontId="24" fillId="9" borderId="4" xfId="9" applyFont="1" applyFill="1" applyBorder="1" applyAlignment="1">
      <alignment vertical="center"/>
    </xf>
    <xf numFmtId="173" fontId="24" fillId="9" borderId="4" xfId="11" applyNumberFormat="1" applyFont="1" applyFill="1" applyBorder="1" applyAlignment="1" applyProtection="1">
      <alignment horizontal="center" vertical="center" wrapText="1"/>
      <protection locked="0"/>
    </xf>
    <xf numFmtId="173" fontId="24" fillId="9" borderId="4" xfId="11" applyNumberFormat="1" applyFont="1" applyFill="1" applyBorder="1" applyAlignment="1" applyProtection="1">
      <alignment horizontal="center" vertical="center" wrapText="1"/>
    </xf>
    <xf numFmtId="0" fontId="26" fillId="16" borderId="4" xfId="0" applyFont="1" applyFill="1" applyBorder="1" applyAlignment="1">
      <alignment horizontal="center" vertical="center" wrapText="1"/>
    </xf>
    <xf numFmtId="42" fontId="24" fillId="16" borderId="4" xfId="9" applyFont="1" applyFill="1" applyBorder="1" applyAlignment="1">
      <alignment horizontal="center" vertical="center" wrapText="1"/>
    </xf>
    <xf numFmtId="0" fontId="24" fillId="16" borderId="4" xfId="0" applyFont="1" applyFill="1" applyBorder="1" applyAlignment="1">
      <alignment horizontal="center" wrapText="1"/>
    </xf>
    <xf numFmtId="197" fontId="24" fillId="16" borderId="4" xfId="0" applyNumberFormat="1" applyFont="1" applyFill="1" applyBorder="1" applyAlignment="1">
      <alignment horizontal="center" vertical="center"/>
    </xf>
    <xf numFmtId="173" fontId="24" fillId="16" borderId="4" xfId="11" applyNumberFormat="1" applyFont="1" applyFill="1" applyBorder="1" applyAlignment="1" applyProtection="1">
      <alignment horizontal="center" vertical="center" wrapText="1"/>
      <protection locked="0"/>
    </xf>
    <xf numFmtId="173" fontId="24" fillId="16" borderId="4" xfId="11" applyNumberFormat="1" applyFont="1" applyFill="1" applyBorder="1" applyAlignment="1" applyProtection="1">
      <alignment horizontal="center" vertical="center" wrapText="1"/>
    </xf>
    <xf numFmtId="1" fontId="24" fillId="16" borderId="4" xfId="9" applyNumberFormat="1" applyFont="1" applyFill="1" applyBorder="1" applyAlignment="1">
      <alignment horizontal="center" vertical="center"/>
    </xf>
    <xf numFmtId="182" fontId="24" fillId="16" borderId="4" xfId="7" applyNumberFormat="1" applyFont="1" applyFill="1" applyBorder="1" applyAlignment="1">
      <alignment horizontal="center" vertical="center" wrapText="1"/>
    </xf>
    <xf numFmtId="182" fontId="24" fillId="16" borderId="4" xfId="7" applyNumberFormat="1" applyFont="1" applyFill="1" applyBorder="1" applyAlignment="1" applyProtection="1">
      <alignment horizontal="center" vertical="center" wrapText="1"/>
      <protection locked="0"/>
    </xf>
    <xf numFmtId="182" fontId="24" fillId="16" borderId="4" xfId="7" applyNumberFormat="1" applyFont="1" applyFill="1" applyBorder="1" applyAlignment="1" applyProtection="1">
      <alignment horizontal="center" vertical="center" wrapText="1"/>
    </xf>
    <xf numFmtId="1" fontId="24" fillId="9" borderId="4" xfId="1" applyNumberFormat="1" applyFont="1" applyFill="1" applyBorder="1" applyAlignment="1">
      <alignment horizontal="center" vertical="center"/>
    </xf>
    <xf numFmtId="182" fontId="24" fillId="9" borderId="4" xfId="7" applyNumberFormat="1" applyFont="1" applyFill="1" applyBorder="1" applyAlignment="1">
      <alignment horizontal="center" vertical="center" wrapText="1"/>
    </xf>
    <xf numFmtId="182" fontId="24" fillId="9" borderId="4" xfId="7" applyNumberFormat="1" applyFont="1" applyFill="1" applyBorder="1" applyAlignment="1" applyProtection="1">
      <alignment horizontal="center" vertical="center" wrapText="1"/>
      <protection locked="0"/>
    </xf>
    <xf numFmtId="182" fontId="24" fillId="9" borderId="4" xfId="7" applyNumberFormat="1" applyFont="1" applyFill="1" applyBorder="1" applyAlignment="1" applyProtection="1">
      <alignment horizontal="center" vertical="center" wrapText="1"/>
    </xf>
    <xf numFmtId="10" fontId="24" fillId="16" borderId="4" xfId="0" applyNumberFormat="1" applyFont="1" applyFill="1" applyBorder="1" applyAlignment="1" applyProtection="1">
      <alignment horizontal="center" vertical="center" wrapText="1"/>
      <protection locked="0"/>
    </xf>
    <xf numFmtId="10" fontId="24" fillId="16" borderId="4" xfId="1" applyNumberFormat="1" applyFont="1" applyFill="1" applyBorder="1" applyAlignment="1" applyProtection="1">
      <alignment horizontal="center" vertical="center" wrapText="1"/>
    </xf>
    <xf numFmtId="0" fontId="24" fillId="9" borderId="63" xfId="0" applyFont="1" applyFill="1" applyBorder="1" applyAlignment="1">
      <alignment horizontal="center" vertical="center" wrapText="1"/>
    </xf>
    <xf numFmtId="165" fontId="24" fillId="9" borderId="4" xfId="0" applyNumberFormat="1" applyFont="1" applyFill="1" applyBorder="1" applyAlignment="1">
      <alignment horizontal="center" vertical="center" wrapText="1"/>
    </xf>
    <xf numFmtId="0" fontId="24" fillId="16" borderId="19" xfId="2" applyFont="1" applyFill="1" applyBorder="1" applyAlignment="1">
      <alignment horizontal="center" vertical="center" wrapText="1"/>
    </xf>
    <xf numFmtId="173" fontId="24" fillId="16" borderId="11" xfId="11" applyNumberFormat="1" applyFont="1" applyFill="1" applyBorder="1" applyAlignment="1">
      <alignment horizontal="center" vertical="center" wrapText="1"/>
    </xf>
    <xf numFmtId="173" fontId="24" fillId="16" borderId="11" xfId="11" applyNumberFormat="1" applyFont="1" applyFill="1" applyBorder="1" applyAlignment="1" applyProtection="1">
      <alignment horizontal="center" vertical="center" wrapText="1"/>
      <protection locked="0"/>
    </xf>
    <xf numFmtId="173" fontId="24" fillId="16" borderId="11" xfId="11" applyNumberFormat="1" applyFont="1" applyFill="1" applyBorder="1" applyAlignment="1" applyProtection="1">
      <alignment horizontal="center" vertical="center" wrapText="1"/>
    </xf>
    <xf numFmtId="41" fontId="24" fillId="9" borderId="4" xfId="7" applyFont="1" applyFill="1" applyBorder="1" applyAlignment="1">
      <alignment horizontal="center" vertical="center" wrapText="1"/>
    </xf>
    <xf numFmtId="170" fontId="24" fillId="16" borderId="11" xfId="7" applyNumberFormat="1" applyFont="1" applyFill="1" applyBorder="1" applyAlignment="1">
      <alignment horizontal="center" vertical="center" wrapText="1"/>
    </xf>
    <xf numFmtId="170" fontId="24" fillId="16" borderId="11" xfId="7" applyNumberFormat="1" applyFont="1" applyFill="1" applyBorder="1" applyAlignment="1" applyProtection="1">
      <alignment horizontal="center" vertical="center" wrapText="1"/>
      <protection locked="0"/>
    </xf>
    <xf numFmtId="170" fontId="24" fillId="16" borderId="11" xfId="7" applyNumberFormat="1" applyFont="1" applyFill="1" applyBorder="1" applyAlignment="1" applyProtection="1">
      <alignment horizontal="center" vertical="center" wrapText="1"/>
    </xf>
    <xf numFmtId="1" fontId="24" fillId="12" borderId="4" xfId="1" applyNumberFormat="1" applyFont="1" applyFill="1" applyBorder="1" applyAlignment="1">
      <alignment horizontal="center" vertical="center"/>
    </xf>
    <xf numFmtId="170" fontId="24" fillId="9" borderId="11" xfId="7" applyNumberFormat="1" applyFont="1" applyFill="1" applyBorder="1" applyAlignment="1">
      <alignment horizontal="center" vertical="center" wrapText="1"/>
    </xf>
    <xf numFmtId="170" fontId="24" fillId="9" borderId="11" xfId="7" applyNumberFormat="1" applyFont="1" applyFill="1" applyBorder="1" applyAlignment="1" applyProtection="1">
      <alignment horizontal="center" vertical="center" wrapText="1"/>
      <protection locked="0"/>
    </xf>
    <xf numFmtId="170" fontId="24" fillId="9" borderId="11" xfId="7" applyNumberFormat="1" applyFont="1" applyFill="1" applyBorder="1" applyAlignment="1" applyProtection="1">
      <alignment horizontal="center" vertical="center" wrapText="1"/>
    </xf>
    <xf numFmtId="0" fontId="9" fillId="7" borderId="11" xfId="0" applyFont="1" applyFill="1" applyBorder="1" applyAlignment="1" applyProtection="1">
      <alignment vertical="center" wrapText="1"/>
      <protection locked="0"/>
    </xf>
    <xf numFmtId="170" fontId="10" fillId="16" borderId="4" xfId="7" applyNumberFormat="1" applyFont="1" applyFill="1" applyBorder="1"/>
    <xf numFmtId="170" fontId="24" fillId="16" borderId="4" xfId="7" applyNumberFormat="1" applyFont="1" applyFill="1" applyBorder="1" applyAlignment="1">
      <alignment horizontal="center" vertical="center"/>
    </xf>
    <xf numFmtId="170" fontId="24" fillId="16" borderId="4" xfId="7" applyNumberFormat="1" applyFont="1" applyFill="1" applyBorder="1" applyAlignment="1">
      <alignment horizontal="center" wrapText="1"/>
    </xf>
    <xf numFmtId="0" fontId="14" fillId="16" borderId="19" xfId="8" applyFill="1" applyBorder="1" applyAlignment="1">
      <alignment horizontal="center" vertical="center" wrapText="1"/>
    </xf>
    <xf numFmtId="165" fontId="24" fillId="16" borderId="4" xfId="0" applyNumberFormat="1" applyFont="1" applyFill="1" applyBorder="1" applyAlignment="1">
      <alignment horizontal="center" vertical="center" wrapText="1"/>
    </xf>
    <xf numFmtId="9" fontId="24" fillId="16" borderId="4" xfId="0" applyNumberFormat="1" applyFont="1" applyFill="1" applyBorder="1" applyAlignment="1">
      <alignment horizontal="center" vertical="center" wrapText="1"/>
    </xf>
    <xf numFmtId="168" fontId="15" fillId="13" borderId="4" xfId="4" applyNumberFormat="1" applyFont="1" applyFill="1" applyBorder="1" applyAlignment="1">
      <alignment horizontal="center" vertical="center" wrapText="1"/>
    </xf>
    <xf numFmtId="168" fontId="15" fillId="13" borderId="4" xfId="4" applyNumberFormat="1" applyFont="1" applyFill="1" applyBorder="1" applyAlignment="1" applyProtection="1">
      <alignment horizontal="center" vertical="center" wrapText="1"/>
      <protection locked="0"/>
    </xf>
    <xf numFmtId="42" fontId="15" fillId="13" borderId="4" xfId="4" applyFont="1" applyFill="1" applyBorder="1" applyAlignment="1">
      <alignment horizontal="center" vertical="center" wrapText="1"/>
    </xf>
    <xf numFmtId="176" fontId="15" fillId="13" borderId="4" xfId="4" applyNumberFormat="1" applyFont="1" applyFill="1" applyBorder="1" applyAlignment="1">
      <alignment horizontal="center" vertical="center" wrapText="1"/>
    </xf>
    <xf numFmtId="179" fontId="15" fillId="13" borderId="4" xfId="4" applyNumberFormat="1" applyFont="1" applyFill="1" applyBorder="1" applyAlignment="1">
      <alignment horizontal="center" vertical="center" wrapText="1"/>
    </xf>
    <xf numFmtId="179" fontId="15" fillId="13" borderId="4" xfId="4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vertical="center"/>
    </xf>
    <xf numFmtId="42" fontId="24" fillId="12" borderId="4" xfId="4" applyFont="1" applyFill="1" applyBorder="1" applyAlignment="1">
      <alignment horizontal="center" vertical="center"/>
    </xf>
    <xf numFmtId="189" fontId="15" fillId="12" borderId="5" xfId="2" applyNumberFormat="1" applyFont="1" applyFill="1" applyBorder="1" applyAlignment="1">
      <alignment horizontal="right" vertical="center" wrapText="1"/>
    </xf>
    <xf numFmtId="189" fontId="15" fillId="12" borderId="5" xfId="2" applyNumberFormat="1" applyFont="1" applyFill="1" applyBorder="1" applyAlignment="1" applyProtection="1">
      <alignment horizontal="right" vertical="center" wrapText="1"/>
      <protection locked="0"/>
    </xf>
    <xf numFmtId="175" fontId="15" fillId="12" borderId="5" xfId="2" applyNumberFormat="1" applyFont="1" applyFill="1" applyBorder="1" applyAlignment="1" applyProtection="1">
      <alignment horizontal="left" vertical="center" wrapText="1"/>
    </xf>
    <xf numFmtId="189" fontId="15" fillId="12" borderId="5" xfId="2" applyNumberFormat="1" applyFont="1" applyFill="1" applyBorder="1" applyAlignment="1">
      <alignment horizontal="center" vertical="center" wrapText="1"/>
    </xf>
    <xf numFmtId="189" fontId="15" fillId="12" borderId="5" xfId="2" applyNumberFormat="1" applyFont="1" applyFill="1" applyBorder="1" applyAlignment="1" applyProtection="1">
      <alignment horizontal="center" vertical="center" wrapText="1"/>
      <protection locked="0"/>
    </xf>
    <xf numFmtId="42" fontId="15" fillId="12" borderId="4" xfId="4" applyFont="1" applyFill="1" applyBorder="1" applyAlignment="1">
      <alignment horizontal="center" vertical="center" wrapText="1"/>
    </xf>
    <xf numFmtId="42" fontId="24" fillId="13" borderId="4" xfId="4" applyFont="1" applyFill="1" applyBorder="1" applyAlignment="1">
      <alignment horizontal="center" vertical="center"/>
    </xf>
    <xf numFmtId="189" fontId="15" fillId="13" borderId="4" xfId="4" applyNumberFormat="1" applyFont="1" applyFill="1" applyBorder="1" applyAlignment="1">
      <alignment horizontal="right" vertical="center" wrapText="1"/>
    </xf>
    <xf numFmtId="189" fontId="15" fillId="13" borderId="4" xfId="4" applyNumberFormat="1" applyFont="1" applyFill="1" applyBorder="1" applyAlignment="1" applyProtection="1">
      <alignment horizontal="right" vertical="center" wrapText="1"/>
      <protection locked="0"/>
    </xf>
    <xf numFmtId="189" fontId="15" fillId="13" borderId="4" xfId="4" applyNumberFormat="1" applyFont="1" applyFill="1" applyBorder="1" applyAlignment="1">
      <alignment horizontal="center" vertical="center" wrapText="1"/>
    </xf>
    <xf numFmtId="189" fontId="15" fillId="13" borderId="4" xfId="4" applyNumberFormat="1" applyFont="1" applyFill="1" applyBorder="1" applyAlignment="1" applyProtection="1">
      <alignment horizontal="center" vertical="center" wrapText="1"/>
      <protection locked="0"/>
    </xf>
    <xf numFmtId="189" fontId="15" fillId="12" borderId="5" xfId="4" applyNumberFormat="1" applyFont="1" applyFill="1" applyBorder="1" applyAlignment="1">
      <alignment horizontal="right" vertical="center" wrapText="1"/>
    </xf>
    <xf numFmtId="189" fontId="15" fillId="12" borderId="5" xfId="4" applyNumberFormat="1" applyFont="1" applyFill="1" applyBorder="1" applyAlignment="1" applyProtection="1">
      <alignment horizontal="right" vertical="center" wrapText="1"/>
      <protection locked="0"/>
    </xf>
    <xf numFmtId="42" fontId="15" fillId="12" borderId="5" xfId="4" applyFont="1" applyFill="1" applyBorder="1" applyAlignment="1" applyProtection="1">
      <alignment horizontal="left" vertical="center" wrapText="1"/>
    </xf>
    <xf numFmtId="189" fontId="15" fillId="12" borderId="5" xfId="4" applyNumberFormat="1" applyFont="1" applyFill="1" applyBorder="1" applyAlignment="1">
      <alignment horizontal="center" vertical="center" wrapText="1"/>
    </xf>
    <xf numFmtId="189" fontId="15" fillId="12" borderId="5" xfId="4" applyNumberFormat="1" applyFont="1" applyFill="1" applyBorder="1" applyAlignment="1" applyProtection="1">
      <alignment horizontal="center" vertical="center" wrapText="1"/>
      <protection locked="0"/>
    </xf>
    <xf numFmtId="170" fontId="15" fillId="13" borderId="4" xfId="0" applyNumberFormat="1" applyFont="1" applyFill="1" applyBorder="1" applyAlignment="1">
      <alignment horizontal="center" vertical="center" wrapText="1"/>
    </xf>
    <xf numFmtId="170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168" fontId="15" fillId="12" borderId="4" xfId="4" applyNumberFormat="1" applyFont="1" applyFill="1" applyBorder="1" applyAlignment="1">
      <alignment horizontal="center" vertical="center" wrapText="1"/>
    </xf>
    <xf numFmtId="168" fontId="15" fillId="12" borderId="4" xfId="4" applyNumberFormat="1" applyFont="1" applyFill="1" applyBorder="1" applyAlignment="1" applyProtection="1">
      <alignment horizontal="center" vertical="center" wrapText="1"/>
      <protection locked="0"/>
    </xf>
    <xf numFmtId="4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4" fontId="15" fillId="12" borderId="4" xfId="0" applyNumberFormat="1" applyFont="1" applyFill="1" applyBorder="1" applyAlignment="1">
      <alignment horizontal="center" vertical="center" wrapText="1"/>
    </xf>
    <xf numFmtId="4" fontId="15" fillId="12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left" vertical="center"/>
    </xf>
    <xf numFmtId="0" fontId="15" fillId="12" borderId="4" xfId="0" applyFont="1" applyFill="1" applyBorder="1" applyAlignment="1" applyProtection="1">
      <alignment horizontal="center" vertical="center" wrapText="1"/>
      <protection locked="0"/>
    </xf>
    <xf numFmtId="2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10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2" fontId="15" fillId="13" borderId="4" xfId="1" applyNumberFormat="1" applyFont="1" applyFill="1" applyBorder="1" applyAlignment="1">
      <alignment horizontal="center" vertical="center" wrapText="1"/>
    </xf>
    <xf numFmtId="2" fontId="15" fillId="13" borderId="4" xfId="1" applyNumberFormat="1" applyFont="1" applyFill="1" applyBorder="1" applyAlignment="1" applyProtection="1">
      <alignment horizontal="center" vertical="center" wrapText="1"/>
      <protection locked="0"/>
    </xf>
    <xf numFmtId="0" fontId="26" fillId="13" borderId="8" xfId="0" applyFont="1" applyFill="1" applyBorder="1" applyAlignment="1">
      <alignment horizontal="center" vertical="center" wrapText="1"/>
    </xf>
    <xf numFmtId="2" fontId="64" fillId="12" borderId="20" xfId="7" applyNumberFormat="1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center" vertical="center" wrapText="1"/>
    </xf>
    <xf numFmtId="2" fontId="64" fillId="12" borderId="4" xfId="7" applyNumberFormat="1" applyFont="1" applyFill="1" applyBorder="1" applyAlignment="1">
      <alignment horizontal="center" vertical="center" wrapText="1"/>
    </xf>
    <xf numFmtId="2" fontId="64" fillId="13" borderId="4" xfId="7" applyNumberFormat="1" applyFont="1" applyFill="1" applyBorder="1" applyAlignment="1">
      <alignment horizontal="center" vertical="center" wrapText="1"/>
    </xf>
    <xf numFmtId="2" fontId="64" fillId="13" borderId="36" xfId="7" applyNumberFormat="1" applyFont="1" applyFill="1" applyBorder="1" applyAlignment="1">
      <alignment horizontal="center" vertical="center" wrapText="1"/>
    </xf>
    <xf numFmtId="42" fontId="15" fillId="7" borderId="4" xfId="4" applyFont="1" applyFill="1" applyBorder="1" applyAlignment="1">
      <alignment horizontal="center" vertical="center" wrapText="1"/>
    </xf>
    <xf numFmtId="41" fontId="24" fillId="12" borderId="8" xfId="7" applyFont="1" applyFill="1" applyBorder="1" applyAlignment="1">
      <alignment horizontal="center" vertical="center" wrapText="1"/>
    </xf>
    <xf numFmtId="43" fontId="15" fillId="13" borderId="4" xfId="0" applyNumberFormat="1" applyFont="1" applyFill="1" applyBorder="1" applyAlignment="1">
      <alignment horizontal="center" vertical="center" wrapText="1"/>
    </xf>
    <xf numFmtId="0" fontId="19" fillId="12" borderId="4" xfId="0" applyFont="1" applyFill="1" applyBorder="1" applyAlignment="1">
      <alignment vertical="center" wrapText="1"/>
    </xf>
    <xf numFmtId="42" fontId="15" fillId="8" borderId="4" xfId="4" applyFont="1" applyFill="1" applyBorder="1" applyAlignment="1">
      <alignment horizontal="center" vertical="center" wrapText="1"/>
    </xf>
    <xf numFmtId="0" fontId="19" fillId="13" borderId="5" xfId="0" applyFont="1" applyFill="1" applyBorder="1" applyAlignment="1">
      <alignment vertical="center" wrapText="1"/>
    </xf>
    <xf numFmtId="0" fontId="14" fillId="0" borderId="0" xfId="8" applyAlignment="1">
      <alignment horizontal="center"/>
    </xf>
    <xf numFmtId="9" fontId="17" fillId="0" borderId="0" xfId="1" applyFont="1" applyAlignment="1" applyProtection="1">
      <alignment horizontal="center"/>
    </xf>
    <xf numFmtId="9" fontId="18" fillId="0" borderId="0" xfId="1" applyFont="1" applyAlignment="1" applyProtection="1">
      <alignment horizontal="center"/>
    </xf>
    <xf numFmtId="9" fontId="11" fillId="4" borderId="2" xfId="1" applyFont="1" applyFill="1" applyBorder="1" applyAlignment="1" applyProtection="1">
      <alignment horizontal="center" vertical="center" wrapText="1"/>
    </xf>
    <xf numFmtId="0" fontId="15" fillId="13" borderId="11" xfId="0" applyFont="1" applyFill="1" applyBorder="1" applyAlignment="1">
      <alignment horizontal="center" vertical="center" wrapText="1"/>
    </xf>
    <xf numFmtId="200" fontId="15" fillId="13" borderId="4" xfId="0" applyNumberFormat="1" applyFont="1" applyFill="1" applyBorder="1" applyAlignment="1">
      <alignment horizontal="center" vertical="center" wrapText="1"/>
    </xf>
    <xf numFmtId="170" fontId="15" fillId="12" borderId="5" xfId="7" applyNumberFormat="1" applyFont="1" applyFill="1" applyBorder="1" applyAlignment="1" applyProtection="1">
      <alignment horizontal="center" vertical="center" wrapText="1"/>
    </xf>
    <xf numFmtId="171" fontId="15" fillId="12" borderId="5" xfId="7" applyNumberFormat="1" applyFont="1" applyFill="1" applyBorder="1" applyAlignment="1" applyProtection="1">
      <alignment horizontal="center" vertical="center" wrapText="1"/>
    </xf>
    <xf numFmtId="171" fontId="15" fillId="12" borderId="5" xfId="7" applyNumberFormat="1" applyFont="1" applyFill="1" applyBorder="1" applyAlignment="1" applyProtection="1">
      <alignment horizontal="center" vertical="center" wrapText="1"/>
      <protection locked="0"/>
    </xf>
    <xf numFmtId="172" fontId="15" fillId="12" borderId="5" xfId="7" applyNumberFormat="1" applyFont="1" applyFill="1" applyBorder="1" applyAlignment="1" applyProtection="1">
      <alignment horizontal="center" vertical="center" wrapText="1"/>
    </xf>
    <xf numFmtId="172" fontId="15" fillId="12" borderId="5" xfId="7" applyNumberFormat="1" applyFont="1" applyFill="1" applyBorder="1" applyAlignment="1" applyProtection="1">
      <alignment horizontal="center" vertical="center" wrapText="1"/>
      <protection locked="0"/>
    </xf>
    <xf numFmtId="170" fontId="15" fillId="13" borderId="5" xfId="7" applyNumberFormat="1" applyFont="1" applyFill="1" applyBorder="1" applyAlignment="1" applyProtection="1">
      <alignment horizontal="center" vertical="center" wrapText="1"/>
    </xf>
    <xf numFmtId="171" fontId="15" fillId="13" borderId="5" xfId="7" applyNumberFormat="1" applyFont="1" applyFill="1" applyBorder="1" applyAlignment="1" applyProtection="1">
      <alignment horizontal="center" vertical="center" wrapText="1"/>
    </xf>
    <xf numFmtId="171" fontId="15" fillId="13" borderId="5" xfId="7" applyNumberFormat="1" applyFont="1" applyFill="1" applyBorder="1" applyAlignment="1" applyProtection="1">
      <alignment horizontal="center" vertical="center" wrapText="1"/>
      <protection locked="0"/>
    </xf>
    <xf numFmtId="172" fontId="15" fillId="13" borderId="5" xfId="7" applyNumberFormat="1" applyFont="1" applyFill="1" applyBorder="1" applyAlignment="1" applyProtection="1">
      <alignment horizontal="center" vertical="center" wrapText="1"/>
    </xf>
    <xf numFmtId="172" fontId="15" fillId="13" borderId="5" xfId="7" applyNumberFormat="1" applyFont="1" applyFill="1" applyBorder="1" applyAlignment="1" applyProtection="1">
      <alignment horizontal="center" vertical="center" wrapText="1"/>
      <protection locked="0"/>
    </xf>
    <xf numFmtId="0" fontId="15" fillId="12" borderId="3" xfId="2" applyFont="1" applyFill="1" applyBorder="1" applyAlignment="1" applyProtection="1">
      <alignment horizontal="center" vertical="center" wrapText="1"/>
    </xf>
    <xf numFmtId="0" fontId="15" fillId="12" borderId="5" xfId="2" applyFont="1" applyFill="1" applyBorder="1" applyAlignment="1" applyProtection="1">
      <alignment horizontal="center" vertical="center" wrapText="1"/>
    </xf>
    <xf numFmtId="200" fontId="15" fillId="12" borderId="5" xfId="2" applyNumberFormat="1" applyFont="1" applyFill="1" applyBorder="1" applyAlignment="1" applyProtection="1">
      <alignment horizontal="left" vertical="center" wrapText="1"/>
    </xf>
    <xf numFmtId="168" fontId="15" fillId="12" borderId="5" xfId="4" applyNumberFormat="1" applyFont="1" applyFill="1" applyBorder="1" applyAlignment="1" applyProtection="1">
      <alignment horizontal="left" vertical="center" wrapText="1"/>
      <protection locked="0"/>
    </xf>
    <xf numFmtId="200" fontId="15" fillId="12" borderId="5" xfId="2" applyNumberFormat="1" applyFont="1" applyFill="1" applyBorder="1" applyAlignment="1" applyProtection="1">
      <alignment horizontal="left" vertical="center" wrapText="1"/>
      <protection locked="0"/>
    </xf>
    <xf numFmtId="41" fontId="15" fillId="13" borderId="5" xfId="7" applyFont="1" applyFill="1" applyBorder="1" applyAlignment="1" applyProtection="1">
      <alignment horizontal="left" vertical="center" wrapText="1"/>
    </xf>
    <xf numFmtId="167" fontId="15" fillId="12" borderId="4" xfId="0" applyNumberFormat="1" applyFont="1" applyFill="1" applyBorder="1" applyAlignment="1">
      <alignment horizontal="center" vertical="center" wrapText="1"/>
    </xf>
    <xf numFmtId="167" fontId="15" fillId="12" borderId="4" xfId="1" applyNumberFormat="1" applyFont="1" applyFill="1" applyBorder="1" applyAlignment="1" applyProtection="1">
      <alignment horizontal="center" vertical="center" wrapText="1"/>
      <protection locked="0"/>
    </xf>
    <xf numFmtId="0" fontId="15" fillId="13" borderId="64" xfId="2" applyFont="1" applyFill="1" applyBorder="1" applyAlignment="1" applyProtection="1">
      <alignment horizontal="center" vertical="center" wrapText="1"/>
    </xf>
    <xf numFmtId="0" fontId="15" fillId="13" borderId="18" xfId="2" applyFont="1" applyFill="1" applyBorder="1" applyAlignment="1" applyProtection="1">
      <alignment horizontal="center" vertical="center" wrapText="1"/>
    </xf>
    <xf numFmtId="200" fontId="15" fillId="13" borderId="18" xfId="2" applyNumberFormat="1" applyFont="1" applyFill="1" applyBorder="1" applyAlignment="1" applyProtection="1">
      <alignment horizontal="center" vertical="center" wrapText="1"/>
    </xf>
    <xf numFmtId="168" fontId="21" fillId="13" borderId="3" xfId="4" applyNumberFormat="1" applyFont="1" applyFill="1" applyBorder="1" applyAlignment="1" applyProtection="1">
      <alignment vertical="center" wrapText="1"/>
      <protection locked="0"/>
    </xf>
    <xf numFmtId="169" fontId="15" fillId="13" borderId="18" xfId="2" applyNumberFormat="1" applyFont="1" applyFill="1" applyBorder="1" applyAlignment="1" applyProtection="1">
      <alignment horizontal="center" vertical="center" wrapText="1"/>
    </xf>
    <xf numFmtId="169" fontId="9" fillId="13" borderId="3" xfId="0" applyNumberFormat="1" applyFont="1" applyFill="1" applyBorder="1" applyAlignment="1" applyProtection="1">
      <alignment vertical="center" wrapText="1"/>
      <protection locked="0"/>
    </xf>
    <xf numFmtId="169" fontId="21" fillId="13" borderId="2" xfId="0" applyNumberFormat="1" applyFont="1" applyFill="1" applyBorder="1" applyAlignment="1">
      <alignment vertical="center" wrapText="1"/>
    </xf>
    <xf numFmtId="169" fontId="62" fillId="13" borderId="3" xfId="0" applyNumberFormat="1" applyFont="1" applyFill="1" applyBorder="1" applyAlignment="1">
      <alignment vertical="center" wrapText="1"/>
    </xf>
    <xf numFmtId="168" fontId="21" fillId="12" borderId="3" xfId="4" applyNumberFormat="1" applyFont="1" applyFill="1" applyBorder="1" applyAlignment="1" applyProtection="1">
      <alignment vertical="center" wrapText="1"/>
      <protection locked="0"/>
    </xf>
    <xf numFmtId="169" fontId="9" fillId="12" borderId="3" xfId="0" applyNumberFormat="1" applyFont="1" applyFill="1" applyBorder="1" applyAlignment="1" applyProtection="1">
      <alignment vertical="center" wrapText="1"/>
      <protection locked="0"/>
    </xf>
    <xf numFmtId="169" fontId="21" fillId="12" borderId="3" xfId="0" applyNumberFormat="1" applyFont="1" applyFill="1" applyBorder="1" applyAlignment="1">
      <alignment vertical="center" wrapText="1"/>
    </xf>
    <xf numFmtId="169" fontId="65" fillId="12" borderId="3" xfId="0" applyNumberFormat="1" applyFont="1" applyFill="1" applyBorder="1" applyAlignment="1" applyProtection="1">
      <alignment vertical="center" wrapText="1"/>
      <protection locked="0"/>
    </xf>
    <xf numFmtId="169" fontId="53" fillId="11" borderId="3" xfId="0" applyNumberFormat="1" applyFont="1" applyFill="1" applyBorder="1" applyAlignment="1" applyProtection="1">
      <alignment vertical="center" wrapText="1"/>
      <protection locked="0"/>
    </xf>
    <xf numFmtId="169" fontId="53" fillId="12" borderId="3" xfId="0" applyNumberFormat="1" applyFont="1" applyFill="1" applyBorder="1" applyAlignment="1" applyProtection="1">
      <alignment vertical="center" wrapText="1"/>
      <protection locked="0"/>
    </xf>
    <xf numFmtId="169" fontId="62" fillId="12" borderId="3" xfId="0" applyNumberFormat="1" applyFont="1" applyFill="1" applyBorder="1" applyAlignment="1">
      <alignment vertical="center" wrapText="1"/>
    </xf>
    <xf numFmtId="41" fontId="15" fillId="12" borderId="8" xfId="7" applyFont="1" applyFill="1" applyBorder="1" applyAlignment="1" applyProtection="1">
      <alignment horizontal="center" vertical="center"/>
    </xf>
    <xf numFmtId="172" fontId="15" fillId="12" borderId="4" xfId="7" applyNumberFormat="1" applyFont="1" applyFill="1" applyBorder="1" applyAlignment="1" applyProtection="1">
      <alignment horizontal="center" vertical="center" wrapText="1"/>
    </xf>
    <xf numFmtId="0" fontId="22" fillId="13" borderId="5" xfId="0" applyFont="1" applyFill="1" applyBorder="1" applyAlignment="1">
      <alignment vertical="center" wrapText="1"/>
    </xf>
    <xf numFmtId="172" fontId="15" fillId="13" borderId="4" xfId="7" applyNumberFormat="1" applyFont="1" applyFill="1" applyBorder="1" applyAlignment="1" applyProtection="1">
      <alignment horizontal="center" vertical="center" wrapText="1"/>
    </xf>
    <xf numFmtId="172" fontId="15" fillId="13" borderId="4" xfId="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9" fontId="17" fillId="0" borderId="0" xfId="1" applyFont="1" applyAlignment="1" applyProtection="1">
      <alignment horizontal="center"/>
      <protection locked="0"/>
    </xf>
    <xf numFmtId="9" fontId="18" fillId="0" borderId="0" xfId="1" applyFont="1" applyAlignment="1" applyProtection="1">
      <alignment horizontal="center"/>
      <protection locked="0"/>
    </xf>
    <xf numFmtId="9" fontId="14" fillId="0" borderId="0" xfId="8" applyNumberFormat="1" applyProtection="1"/>
    <xf numFmtId="0" fontId="66" fillId="3" borderId="0" xfId="0" applyFont="1" applyFill="1" applyAlignment="1">
      <alignment horizontal="center"/>
    </xf>
    <xf numFmtId="0" fontId="67" fillId="13" borderId="4" xfId="8" applyFont="1" applyFill="1" applyBorder="1" applyAlignment="1" applyProtection="1">
      <alignment horizontal="center" vertical="center" wrapText="1"/>
    </xf>
    <xf numFmtId="44" fontId="15" fillId="13" borderId="4" xfId="10" applyFont="1" applyFill="1" applyBorder="1" applyAlignment="1" applyProtection="1">
      <alignment horizontal="center" vertical="center" wrapText="1"/>
    </xf>
    <xf numFmtId="0" fontId="67" fillId="12" borderId="4" xfId="8" applyFont="1" applyFill="1" applyBorder="1" applyAlignment="1" applyProtection="1">
      <alignment horizontal="center" vertical="center" wrapText="1"/>
    </xf>
    <xf numFmtId="0" fontId="15" fillId="12" borderId="4" xfId="7" applyNumberFormat="1" applyFont="1" applyFill="1" applyBorder="1" applyAlignment="1" applyProtection="1">
      <alignment horizontal="center" vertical="center" wrapText="1"/>
    </xf>
    <xf numFmtId="0" fontId="15" fillId="12" borderId="4" xfId="7" applyNumberFormat="1" applyFont="1" applyFill="1" applyBorder="1" applyAlignment="1" applyProtection="1">
      <alignment horizontal="center" vertical="center" wrapText="1"/>
      <protection locked="0"/>
    </xf>
    <xf numFmtId="0" fontId="29" fillId="12" borderId="4" xfId="0" applyFont="1" applyFill="1" applyBorder="1" applyAlignment="1">
      <alignment horizontal="center" vertical="center" wrapText="1"/>
    </xf>
    <xf numFmtId="42" fontId="29" fillId="12" borderId="4" xfId="9" applyFont="1" applyFill="1" applyBorder="1" applyAlignment="1" applyProtection="1">
      <alignment horizontal="center" vertical="center" wrapText="1"/>
    </xf>
    <xf numFmtId="0" fontId="29" fillId="12" borderId="4" xfId="0" applyFont="1" applyFill="1" applyBorder="1" applyAlignment="1">
      <alignment horizontal="center" wrapText="1"/>
    </xf>
    <xf numFmtId="42" fontId="29" fillId="12" borderId="4" xfId="9" applyFont="1" applyFill="1" applyBorder="1" applyAlignment="1" applyProtection="1">
      <alignment horizontal="center" vertical="center"/>
    </xf>
    <xf numFmtId="169" fontId="29" fillId="12" borderId="4" xfId="0" applyNumberFormat="1" applyFont="1" applyFill="1" applyBorder="1" applyAlignment="1">
      <alignment horizontal="center" vertical="center" wrapText="1"/>
    </xf>
    <xf numFmtId="169" fontId="29" fillId="12" borderId="4" xfId="0" applyNumberFormat="1" applyFont="1" applyFill="1" applyBorder="1" applyAlignment="1" applyProtection="1">
      <alignment horizontal="center" vertical="center" wrapText="1"/>
      <protection locked="0"/>
    </xf>
    <xf numFmtId="169" fontId="29" fillId="13" borderId="4" xfId="0" applyNumberFormat="1" applyFont="1" applyFill="1" applyBorder="1" applyAlignment="1">
      <alignment horizontal="center" vertical="center" wrapText="1"/>
    </xf>
    <xf numFmtId="0" fontId="35" fillId="0" borderId="0" xfId="0" applyFont="1"/>
    <xf numFmtId="0" fontId="29" fillId="13" borderId="4" xfId="0" applyFont="1" applyFill="1" applyBorder="1" applyAlignment="1">
      <alignment horizontal="center" vertical="center" wrapText="1"/>
    </xf>
    <xf numFmtId="42" fontId="29" fillId="13" borderId="4" xfId="9" applyFont="1" applyFill="1" applyBorder="1" applyAlignment="1" applyProtection="1">
      <alignment horizontal="center" vertical="center" wrapText="1"/>
    </xf>
    <xf numFmtId="0" fontId="29" fillId="13" borderId="4" xfId="0" applyFont="1" applyFill="1" applyBorder="1" applyAlignment="1">
      <alignment horizontal="center" wrapText="1"/>
    </xf>
    <xf numFmtId="197" fontId="29" fillId="13" borderId="4" xfId="0" applyNumberFormat="1" applyFont="1" applyFill="1" applyBorder="1" applyAlignment="1">
      <alignment horizontal="center" vertical="center"/>
    </xf>
    <xf numFmtId="169" fontId="29" fillId="13" borderId="4" xfId="0" applyNumberFormat="1" applyFont="1" applyFill="1" applyBorder="1" applyAlignment="1" applyProtection="1">
      <alignment horizontal="center" vertical="center" wrapText="1"/>
      <protection locked="0"/>
    </xf>
    <xf numFmtId="1" fontId="29" fillId="12" borderId="4" xfId="9" applyNumberFormat="1" applyFont="1" applyFill="1" applyBorder="1" applyAlignment="1" applyProtection="1">
      <alignment horizontal="center" vertical="center"/>
    </xf>
    <xf numFmtId="170" fontId="29" fillId="12" borderId="5" xfId="7" applyNumberFormat="1" applyFont="1" applyFill="1" applyBorder="1" applyAlignment="1" applyProtection="1">
      <alignment horizontal="center" vertical="center" wrapText="1"/>
    </xf>
    <xf numFmtId="170" fontId="29" fillId="12" borderId="5" xfId="7" applyNumberFormat="1" applyFont="1" applyFill="1" applyBorder="1" applyAlignment="1" applyProtection="1">
      <alignment horizontal="center" vertical="center" wrapText="1"/>
      <protection locked="0"/>
    </xf>
    <xf numFmtId="0" fontId="29" fillId="12" borderId="5" xfId="7" applyNumberFormat="1" applyFont="1" applyFill="1" applyBorder="1" applyAlignment="1" applyProtection="1">
      <alignment horizontal="center" vertical="center" wrapText="1"/>
    </xf>
    <xf numFmtId="0" fontId="29" fillId="12" borderId="5" xfId="7" applyNumberFormat="1" applyFont="1" applyFill="1" applyBorder="1" applyAlignment="1" applyProtection="1">
      <alignment horizontal="center" vertical="center" wrapText="1"/>
      <protection locked="0"/>
    </xf>
    <xf numFmtId="41" fontId="29" fillId="13" borderId="4" xfId="7" applyFont="1" applyFill="1" applyBorder="1" applyAlignment="1" applyProtection="1">
      <alignment horizontal="center" vertical="center" wrapText="1"/>
    </xf>
    <xf numFmtId="1" fontId="29" fillId="13" borderId="4" xfId="9" applyNumberFormat="1" applyFont="1" applyFill="1" applyBorder="1" applyAlignment="1" applyProtection="1">
      <alignment horizontal="center" vertical="center"/>
    </xf>
    <xf numFmtId="170" fontId="29" fillId="13" borderId="4" xfId="7" applyNumberFormat="1" applyFont="1" applyFill="1" applyBorder="1" applyAlignment="1" applyProtection="1">
      <alignment horizontal="center" vertical="center" wrapText="1"/>
    </xf>
    <xf numFmtId="170" fontId="29" fillId="13" borderId="4" xfId="7" applyNumberFormat="1" applyFont="1" applyFill="1" applyBorder="1" applyAlignment="1" applyProtection="1">
      <alignment horizontal="center" vertical="center" wrapText="1"/>
      <protection locked="0"/>
    </xf>
    <xf numFmtId="0" fontId="29" fillId="13" borderId="4" xfId="7" applyNumberFormat="1" applyFont="1" applyFill="1" applyBorder="1" applyAlignment="1" applyProtection="1">
      <alignment horizontal="center" vertical="center" wrapText="1"/>
    </xf>
    <xf numFmtId="0" fontId="29" fillId="13" borderId="4" xfId="7" applyNumberFormat="1" applyFont="1" applyFill="1" applyBorder="1" applyAlignment="1" applyProtection="1">
      <alignment horizontal="center" vertical="center" wrapText="1"/>
      <protection locked="0"/>
    </xf>
    <xf numFmtId="0" fontId="29" fillId="12" borderId="4" xfId="0" applyFont="1" applyFill="1" applyBorder="1" applyAlignment="1">
      <alignment horizontal="center" vertical="center"/>
    </xf>
    <xf numFmtId="42" fontId="29" fillId="12" borderId="4" xfId="9" applyFont="1" applyFill="1" applyBorder="1" applyAlignment="1" applyProtection="1">
      <alignment vertical="center"/>
    </xf>
    <xf numFmtId="169" fontId="29" fillId="12" borderId="5" xfId="2" applyNumberFormat="1" applyFont="1" applyFill="1" applyBorder="1" applyAlignment="1" applyProtection="1">
      <alignment horizontal="center" vertical="center" wrapText="1"/>
    </xf>
    <xf numFmtId="169" fontId="29" fillId="12" borderId="5" xfId="2" applyNumberFormat="1" applyFont="1" applyFill="1" applyBorder="1" applyAlignment="1" applyProtection="1">
      <alignment horizontal="left" vertical="center" wrapText="1"/>
      <protection locked="0"/>
    </xf>
    <xf numFmtId="169" fontId="29" fillId="12" borderId="5" xfId="2" applyNumberFormat="1" applyFont="1" applyFill="1" applyBorder="1" applyAlignment="1" applyProtection="1">
      <alignment horizontal="left" vertical="center" wrapText="1"/>
    </xf>
    <xf numFmtId="0" fontId="29" fillId="13" borderId="19" xfId="2" applyFont="1" applyFill="1" applyBorder="1" applyAlignment="1" applyProtection="1">
      <alignment horizontal="center" vertical="center" wrapText="1"/>
    </xf>
    <xf numFmtId="1" fontId="29" fillId="13" borderId="4" xfId="0" applyNumberFormat="1" applyFont="1" applyFill="1" applyBorder="1" applyAlignment="1">
      <alignment horizontal="center" vertical="center" wrapText="1"/>
    </xf>
    <xf numFmtId="1" fontId="29" fillId="13" borderId="4" xfId="7" applyNumberFormat="1" applyFont="1" applyFill="1" applyBorder="1" applyAlignment="1" applyProtection="1">
      <alignment horizontal="center" vertical="center" wrapText="1"/>
    </xf>
    <xf numFmtId="1" fontId="29" fillId="13" borderId="4" xfId="7" applyNumberFormat="1" applyFont="1" applyFill="1" applyBorder="1" applyAlignment="1" applyProtection="1">
      <alignment horizontal="center" vertical="center" wrapText="1"/>
      <protection locked="0"/>
    </xf>
    <xf numFmtId="201" fontId="29" fillId="13" borderId="4" xfId="7" applyNumberFormat="1" applyFont="1" applyFill="1" applyBorder="1" applyAlignment="1" applyProtection="1">
      <alignment horizontal="center" vertical="center" wrapText="1"/>
    </xf>
    <xf numFmtId="201" fontId="29" fillId="13" borderId="4" xfId="7" applyNumberFormat="1" applyFont="1" applyFill="1" applyBorder="1" applyAlignment="1" applyProtection="1">
      <alignment horizontal="center" vertical="center" wrapText="1"/>
      <protection locked="0"/>
    </xf>
    <xf numFmtId="41" fontId="29" fillId="13" borderId="4" xfId="7" applyFont="1" applyFill="1" applyBorder="1" applyAlignment="1" applyProtection="1">
      <alignment horizontal="center" vertical="center" wrapText="1"/>
      <protection locked="0"/>
    </xf>
    <xf numFmtId="9" fontId="29" fillId="12" borderId="4" xfId="1" applyFont="1" applyFill="1" applyBorder="1" applyAlignment="1" applyProtection="1">
      <alignment horizontal="center" vertical="center"/>
    </xf>
    <xf numFmtId="10" fontId="29" fillId="12" borderId="5" xfId="1" applyNumberFormat="1" applyFont="1" applyFill="1" applyBorder="1" applyAlignment="1" applyProtection="1">
      <alignment horizontal="left" vertical="center" wrapText="1"/>
      <protection locked="0"/>
    </xf>
    <xf numFmtId="10" fontId="29" fillId="12" borderId="5" xfId="1" applyNumberFormat="1" applyFont="1" applyFill="1" applyBorder="1" applyAlignment="1" applyProtection="1">
      <alignment horizontal="center" vertical="center" wrapText="1"/>
    </xf>
    <xf numFmtId="43" fontId="29" fillId="12" borderId="5" xfId="1" applyNumberFormat="1" applyFont="1" applyFill="1" applyBorder="1" applyAlignment="1" applyProtection="1">
      <alignment horizontal="center" vertical="center" wrapText="1"/>
    </xf>
    <xf numFmtId="10" fontId="29" fillId="12" borderId="5" xfId="1" applyNumberFormat="1" applyFont="1" applyFill="1" applyBorder="1" applyAlignment="1" applyProtection="1">
      <alignment horizontal="center" vertical="center" wrapText="1"/>
      <protection locked="0"/>
    </xf>
    <xf numFmtId="9" fontId="29" fillId="13" borderId="4" xfId="1" applyFont="1" applyFill="1" applyBorder="1" applyAlignment="1" applyProtection="1">
      <alignment horizontal="center" vertical="center" wrapText="1"/>
    </xf>
    <xf numFmtId="174" fontId="29" fillId="13" borderId="4" xfId="7" applyNumberFormat="1" applyFont="1" applyFill="1" applyBorder="1" applyAlignment="1" applyProtection="1">
      <alignment horizontal="center" vertical="center" wrapText="1"/>
    </xf>
    <xf numFmtId="174" fontId="29" fillId="13" borderId="4" xfId="7" applyNumberFormat="1" applyFont="1" applyFill="1" applyBorder="1" applyAlignment="1" applyProtection="1">
      <alignment horizontal="center" vertical="center" wrapText="1"/>
      <protection locked="0"/>
    </xf>
    <xf numFmtId="165" fontId="67" fillId="12" borderId="4" xfId="8" applyNumberFormat="1" applyFont="1" applyFill="1" applyBorder="1" applyAlignment="1" applyProtection="1">
      <alignment horizontal="center" vertical="center" wrapText="1"/>
    </xf>
    <xf numFmtId="167" fontId="15" fillId="12" borderId="4" xfId="1" applyNumberFormat="1" applyFont="1" applyFill="1" applyBorder="1" applyAlignment="1" applyProtection="1">
      <alignment horizontal="center" vertical="center"/>
    </xf>
    <xf numFmtId="165" fontId="67" fillId="13" borderId="4" xfId="8" applyNumberFormat="1" applyFont="1" applyFill="1" applyBorder="1" applyAlignment="1" applyProtection="1">
      <alignment horizontal="center" vertical="center" wrapText="1"/>
    </xf>
    <xf numFmtId="165" fontId="29" fillId="13" borderId="4" xfId="0" applyNumberFormat="1" applyFont="1" applyFill="1" applyBorder="1" applyAlignment="1">
      <alignment horizontal="center" vertical="center" wrapText="1"/>
    </xf>
    <xf numFmtId="9" fontId="29" fillId="13" borderId="4" xfId="1" applyFont="1" applyFill="1" applyBorder="1" applyAlignment="1" applyProtection="1">
      <alignment horizontal="center" vertical="center"/>
    </xf>
    <xf numFmtId="0" fontId="29" fillId="13" borderId="4" xfId="0" applyFont="1" applyFill="1" applyBorder="1" applyAlignment="1">
      <alignment horizontal="center" vertical="center"/>
    </xf>
    <xf numFmtId="10" fontId="29" fillId="13" borderId="4" xfId="1" applyNumberFormat="1" applyFont="1" applyFill="1" applyBorder="1" applyAlignment="1" applyProtection="1">
      <alignment horizontal="center" vertical="center" wrapText="1"/>
      <protection locked="0"/>
    </xf>
    <xf numFmtId="10" fontId="29" fillId="13" borderId="4" xfId="1" applyNumberFormat="1" applyFont="1" applyFill="1" applyBorder="1" applyAlignment="1" applyProtection="1">
      <alignment horizontal="center" vertical="center" wrapText="1"/>
    </xf>
    <xf numFmtId="165" fontId="29" fillId="12" borderId="4" xfId="0" applyNumberFormat="1" applyFont="1" applyFill="1" applyBorder="1" applyAlignment="1">
      <alignment horizontal="center" vertical="center" wrapText="1"/>
    </xf>
    <xf numFmtId="10" fontId="29" fillId="12" borderId="4" xfId="1" applyNumberFormat="1" applyFont="1" applyFill="1" applyBorder="1" applyAlignment="1" applyProtection="1">
      <alignment horizontal="center" vertical="center" wrapText="1"/>
      <protection locked="0"/>
    </xf>
    <xf numFmtId="10" fontId="29" fillId="12" borderId="4" xfId="1" applyNumberFormat="1" applyFont="1" applyFill="1" applyBorder="1" applyAlignment="1" applyProtection="1">
      <alignment horizontal="center" vertical="center" wrapText="1"/>
    </xf>
    <xf numFmtId="9" fontId="29" fillId="12" borderId="4" xfId="1" applyFont="1" applyFill="1" applyBorder="1" applyAlignment="1" applyProtection="1">
      <alignment horizontal="center" vertical="center" wrapText="1"/>
    </xf>
    <xf numFmtId="0" fontId="68" fillId="13" borderId="3" xfId="0" applyFont="1" applyFill="1" applyBorder="1" applyAlignment="1">
      <alignment horizontal="center" vertical="center" wrapText="1"/>
    </xf>
    <xf numFmtId="0" fontId="67" fillId="12" borderId="19" xfId="8" applyFont="1" applyFill="1" applyBorder="1" applyAlignment="1" applyProtection="1">
      <alignment horizontal="center" vertical="center" wrapText="1"/>
    </xf>
    <xf numFmtId="170" fontId="29" fillId="12" borderId="4" xfId="7" applyNumberFormat="1" applyFont="1" applyFill="1" applyBorder="1" applyAlignment="1" applyProtection="1">
      <alignment horizontal="center" vertical="center" wrapText="1"/>
    </xf>
    <xf numFmtId="170" fontId="29" fillId="12" borderId="4" xfId="7" applyNumberFormat="1" applyFont="1" applyFill="1" applyBorder="1" applyAlignment="1" applyProtection="1">
      <alignment horizontal="center" vertical="center" wrapText="1"/>
      <protection locked="0"/>
    </xf>
    <xf numFmtId="0" fontId="29" fillId="12" borderId="4" xfId="7" applyNumberFormat="1" applyFont="1" applyFill="1" applyBorder="1" applyAlignment="1" applyProtection="1">
      <alignment horizontal="center" vertical="center" wrapText="1"/>
    </xf>
    <xf numFmtId="0" fontId="29" fillId="12" borderId="4" xfId="7" applyNumberFormat="1" applyFont="1" applyFill="1" applyBorder="1" applyAlignment="1" applyProtection="1">
      <alignment horizontal="center" vertical="center" wrapText="1"/>
      <protection locked="0"/>
    </xf>
    <xf numFmtId="202" fontId="29" fillId="13" borderId="4" xfId="7" applyNumberFormat="1" applyFont="1" applyFill="1" applyBorder="1" applyAlignment="1" applyProtection="1">
      <alignment horizontal="center" vertical="center" wrapText="1"/>
    </xf>
    <xf numFmtId="0" fontId="68" fillId="12" borderId="4" xfId="0" applyFont="1" applyFill="1" applyBorder="1" applyAlignment="1">
      <alignment horizontal="center" vertical="center" wrapText="1"/>
    </xf>
    <xf numFmtId="3" fontId="29" fillId="12" borderId="4" xfId="0" applyNumberFormat="1" applyFont="1" applyFill="1" applyBorder="1" applyAlignment="1">
      <alignment horizontal="center" vertical="center" wrapText="1"/>
    </xf>
    <xf numFmtId="1" fontId="29" fillId="12" borderId="4" xfId="7" applyNumberFormat="1" applyFont="1" applyFill="1" applyBorder="1" applyAlignment="1" applyProtection="1">
      <alignment horizontal="center" vertical="center" wrapText="1"/>
    </xf>
    <xf numFmtId="170" fontId="9" fillId="8" borderId="3" xfId="0" applyNumberFormat="1" applyFont="1" applyFill="1" applyBorder="1" applyAlignment="1">
      <alignment horizontal="center" vertical="center" wrapText="1"/>
    </xf>
    <xf numFmtId="170" fontId="9" fillId="8" borderId="3" xfId="0" applyNumberFormat="1" applyFont="1" applyFill="1" applyBorder="1" applyAlignment="1" applyProtection="1">
      <alignment horizontal="center" vertical="center" wrapText="1"/>
      <protection locked="0"/>
    </xf>
    <xf numFmtId="170" fontId="9" fillId="8" borderId="3" xfId="0" applyNumberFormat="1" applyFont="1" applyFill="1" applyBorder="1" applyAlignment="1">
      <alignment vertical="center" wrapText="1"/>
    </xf>
    <xf numFmtId="170" fontId="9" fillId="8" borderId="3" xfId="0" applyNumberFormat="1" applyFont="1" applyFill="1" applyBorder="1" applyAlignment="1" applyProtection="1">
      <alignment vertical="center" wrapText="1"/>
      <protection locked="0"/>
    </xf>
    <xf numFmtId="0" fontId="67" fillId="13" borderId="19" xfId="8" applyFont="1" applyFill="1" applyBorder="1" applyAlignment="1" applyProtection="1">
      <alignment horizontal="center" vertical="center" wrapText="1"/>
    </xf>
    <xf numFmtId="0" fontId="15" fillId="13" borderId="4" xfId="7" applyNumberFormat="1" applyFont="1" applyFill="1" applyBorder="1" applyAlignment="1" applyProtection="1">
      <alignment horizontal="center" vertical="center" wrapText="1"/>
    </xf>
    <xf numFmtId="0" fontId="15" fillId="13" borderId="4" xfId="7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applyFont="1"/>
    <xf numFmtId="4" fontId="70" fillId="13" borderId="26" xfId="0" applyNumberFormat="1" applyFont="1" applyFill="1" applyBorder="1" applyAlignment="1">
      <alignment wrapText="1"/>
    </xf>
    <xf numFmtId="9" fontId="71" fillId="31" borderId="26" xfId="0" applyNumberFormat="1" applyFont="1" applyFill="1" applyBorder="1" applyAlignment="1">
      <alignment wrapText="1"/>
    </xf>
    <xf numFmtId="9" fontId="71" fillId="29" borderId="26" xfId="0" applyNumberFormat="1" applyFont="1" applyFill="1" applyBorder="1" applyAlignment="1">
      <alignment wrapText="1"/>
    </xf>
    <xf numFmtId="9" fontId="71" fillId="30" borderId="26" xfId="0" applyNumberFormat="1" applyFont="1" applyFill="1" applyBorder="1" applyAlignment="1">
      <alignment wrapText="1"/>
    </xf>
    <xf numFmtId="0" fontId="70" fillId="13" borderId="52" xfId="0" applyFont="1" applyFill="1" applyBorder="1" applyAlignment="1">
      <alignment wrapText="1"/>
    </xf>
    <xf numFmtId="9" fontId="71" fillId="32" borderId="26" xfId="0" applyNumberFormat="1" applyFont="1" applyFill="1" applyBorder="1" applyAlignment="1">
      <alignment wrapText="1"/>
    </xf>
    <xf numFmtId="2" fontId="70" fillId="13" borderId="52" xfId="0" applyNumberFormat="1" applyFont="1" applyFill="1" applyBorder="1" applyAlignment="1">
      <alignment horizontal="center" vertical="center" wrapText="1"/>
    </xf>
    <xf numFmtId="9" fontId="71" fillId="32" borderId="26" xfId="0" applyNumberFormat="1" applyFont="1" applyFill="1" applyBorder="1" applyAlignment="1">
      <alignment horizontal="center" vertical="center" wrapText="1"/>
    </xf>
    <xf numFmtId="0" fontId="70" fillId="12" borderId="50" xfId="0" applyFont="1" applyFill="1" applyBorder="1" applyAlignment="1">
      <alignment wrapText="1"/>
    </xf>
    <xf numFmtId="0" fontId="70" fillId="12" borderId="49" xfId="0" applyFont="1" applyFill="1" applyBorder="1" applyAlignment="1">
      <alignment wrapText="1"/>
    </xf>
    <xf numFmtId="0" fontId="72" fillId="12" borderId="49" xfId="0" applyFont="1" applyFill="1" applyBorder="1" applyAlignment="1">
      <alignment wrapText="1"/>
    </xf>
    <xf numFmtId="4" fontId="70" fillId="12" borderId="49" xfId="0" applyNumberFormat="1" applyFont="1" applyFill="1" applyBorder="1" applyAlignment="1">
      <alignment wrapText="1"/>
    </xf>
    <xf numFmtId="0" fontId="70" fillId="12" borderId="49" xfId="0" applyFont="1" applyFill="1" applyBorder="1" applyAlignment="1">
      <alignment horizontal="center" vertical="center" wrapText="1"/>
    </xf>
    <xf numFmtId="0" fontId="70" fillId="13" borderId="50" xfId="0" applyFont="1" applyFill="1" applyBorder="1" applyAlignment="1">
      <alignment wrapText="1"/>
    </xf>
    <xf numFmtId="0" fontId="70" fillId="13" borderId="49" xfId="0" applyFont="1" applyFill="1" applyBorder="1" applyAlignment="1">
      <alignment wrapText="1"/>
    </xf>
    <xf numFmtId="4" fontId="70" fillId="13" borderId="49" xfId="0" applyNumberFormat="1" applyFont="1" applyFill="1" applyBorder="1" applyAlignment="1">
      <alignment horizontal="center" vertical="center" wrapText="1"/>
    </xf>
    <xf numFmtId="174" fontId="15" fillId="12" borderId="4" xfId="0" applyNumberFormat="1" applyFont="1" applyFill="1" applyBorder="1" applyAlignment="1">
      <alignment horizontal="center" vertical="center"/>
    </xf>
    <xf numFmtId="3" fontId="15" fillId="12" borderId="5" xfId="2" applyNumberFormat="1" applyFont="1" applyFill="1" applyBorder="1" applyAlignment="1" applyProtection="1">
      <alignment horizontal="center" vertical="center" wrapText="1"/>
    </xf>
    <xf numFmtId="4" fontId="70" fillId="12" borderId="26" xfId="0" applyNumberFormat="1" applyFont="1" applyFill="1" applyBorder="1" applyAlignment="1">
      <alignment wrapText="1"/>
    </xf>
    <xf numFmtId="4" fontId="70" fillId="28" borderId="52" xfId="0" applyNumberFormat="1" applyFont="1" applyFill="1" applyBorder="1" applyAlignment="1">
      <alignment wrapText="1"/>
    </xf>
    <xf numFmtId="4" fontId="70" fillId="12" borderId="52" xfId="0" applyNumberFormat="1" applyFont="1" applyFill="1" applyBorder="1" applyAlignment="1">
      <alignment wrapText="1"/>
    </xf>
    <xf numFmtId="0" fontId="70" fillId="12" borderId="52" xfId="0" applyFont="1" applyFill="1" applyBorder="1" applyAlignment="1">
      <alignment wrapText="1"/>
    </xf>
    <xf numFmtId="174" fontId="15" fillId="13" borderId="4" xfId="0" applyNumberFormat="1" applyFont="1" applyFill="1" applyBorder="1" applyAlignment="1">
      <alignment horizontal="center" vertical="center" wrapText="1"/>
    </xf>
    <xf numFmtId="4" fontId="70" fillId="13" borderId="50" xfId="0" applyNumberFormat="1" applyFont="1" applyFill="1" applyBorder="1" applyAlignment="1">
      <alignment wrapText="1"/>
    </xf>
    <xf numFmtId="4" fontId="70" fillId="13" borderId="49" xfId="0" applyNumberFormat="1" applyFont="1" applyFill="1" applyBorder="1" applyAlignment="1">
      <alignment wrapText="1"/>
    </xf>
    <xf numFmtId="0" fontId="70" fillId="12" borderId="47" xfId="0" applyFont="1" applyFill="1" applyBorder="1" applyAlignment="1">
      <alignment wrapText="1"/>
    </xf>
    <xf numFmtId="0" fontId="70" fillId="12" borderId="46" xfId="0" applyFont="1" applyFill="1" applyBorder="1" applyAlignment="1">
      <alignment wrapText="1"/>
    </xf>
    <xf numFmtId="0" fontId="70" fillId="13" borderId="49" xfId="0" applyFont="1" applyFill="1" applyBorder="1" applyAlignment="1">
      <alignment horizontal="center" vertical="center" wrapText="1"/>
    </xf>
    <xf numFmtId="9" fontId="71" fillId="31" borderId="26" xfId="0" applyNumberFormat="1" applyFont="1" applyFill="1" applyBorder="1" applyAlignment="1">
      <alignment horizontal="center" vertical="center" wrapText="1"/>
    </xf>
    <xf numFmtId="0" fontId="70" fillId="13" borderId="41" xfId="0" applyFont="1" applyFill="1" applyBorder="1" applyAlignment="1">
      <alignment wrapText="1"/>
    </xf>
    <xf numFmtId="0" fontId="70" fillId="13" borderId="44" xfId="0" applyFont="1" applyFill="1" applyBorder="1" applyAlignment="1">
      <alignment wrapText="1"/>
    </xf>
    <xf numFmtId="9" fontId="71" fillId="41" borderId="26" xfId="0" applyNumberFormat="1" applyFont="1" applyFill="1" applyBorder="1" applyAlignment="1">
      <alignment wrapText="1"/>
    </xf>
    <xf numFmtId="174" fontId="15" fillId="12" borderId="5" xfId="2" applyNumberFormat="1" applyFont="1" applyFill="1" applyBorder="1" applyAlignment="1" applyProtection="1">
      <alignment horizontal="center" vertical="center" wrapText="1"/>
    </xf>
    <xf numFmtId="0" fontId="15" fillId="12" borderId="5" xfId="2" applyFont="1" applyFill="1" applyBorder="1" applyAlignment="1" applyProtection="1">
      <alignment horizontal="left" vertical="center" wrapText="1"/>
    </xf>
    <xf numFmtId="0" fontId="70" fillId="12" borderId="41" xfId="0" applyFont="1" applyFill="1" applyBorder="1" applyAlignment="1">
      <alignment wrapText="1"/>
    </xf>
    <xf numFmtId="0" fontId="70" fillId="12" borderId="44" xfId="0" applyFont="1" applyFill="1" applyBorder="1" applyAlignment="1">
      <alignment wrapText="1"/>
    </xf>
    <xf numFmtId="4" fontId="70" fillId="12" borderId="44" xfId="0" applyNumberFormat="1" applyFont="1" applyFill="1" applyBorder="1" applyAlignment="1">
      <alignment wrapText="1"/>
    </xf>
    <xf numFmtId="4" fontId="70" fillId="12" borderId="46" xfId="0" applyNumberFormat="1" applyFont="1" applyFill="1" applyBorder="1" applyAlignment="1">
      <alignment horizontal="center" vertical="center" wrapText="1"/>
    </xf>
    <xf numFmtId="1" fontId="15" fillId="13" borderId="4" xfId="0" applyNumberFormat="1" applyFont="1" applyFill="1" applyBorder="1" applyAlignment="1">
      <alignment horizontal="center" vertical="center"/>
    </xf>
    <xf numFmtId="0" fontId="70" fillId="44" borderId="41" xfId="0" applyFont="1" applyFill="1" applyBorder="1" applyAlignment="1">
      <alignment wrapText="1"/>
    </xf>
    <xf numFmtId="0" fontId="70" fillId="44" borderId="44" xfId="0" applyFont="1" applyFill="1" applyBorder="1" applyAlignment="1">
      <alignment wrapText="1"/>
    </xf>
    <xf numFmtId="0" fontId="72" fillId="44" borderId="49" xfId="0" applyFont="1" applyFill="1" applyBorder="1" applyAlignment="1">
      <alignment wrapText="1"/>
    </xf>
    <xf numFmtId="0" fontId="70" fillId="44" borderId="52" xfId="0" applyFont="1" applyFill="1" applyBorder="1" applyAlignment="1">
      <alignment horizontal="center" vertical="center" wrapText="1"/>
    </xf>
    <xf numFmtId="9" fontId="71" fillId="30" borderId="26" xfId="0" applyNumberFormat="1" applyFont="1" applyFill="1" applyBorder="1" applyAlignment="1">
      <alignment horizontal="center" vertical="center" wrapText="1"/>
    </xf>
    <xf numFmtId="0" fontId="70" fillId="44" borderId="26" xfId="0" applyFont="1" applyFill="1" applyBorder="1" applyAlignment="1">
      <alignment wrapText="1"/>
    </xf>
    <xf numFmtId="0" fontId="70" fillId="44" borderId="52" xfId="0" applyFont="1" applyFill="1" applyBorder="1" applyAlignment="1">
      <alignment wrapText="1"/>
    </xf>
    <xf numFmtId="9" fontId="70" fillId="44" borderId="52" xfId="0" applyNumberFormat="1" applyFont="1" applyFill="1" applyBorder="1" applyAlignment="1">
      <alignment wrapText="1"/>
    </xf>
    <xf numFmtId="9" fontId="70" fillId="44" borderId="49" xfId="0" applyNumberFormat="1" applyFont="1" applyFill="1" applyBorder="1" applyAlignment="1">
      <alignment horizontal="center" vertical="center" wrapText="1"/>
    </xf>
    <xf numFmtId="0" fontId="15" fillId="13" borderId="5" xfId="2" applyFont="1" applyFill="1" applyBorder="1" applyAlignment="1" applyProtection="1">
      <alignment horizontal="left" vertical="center" wrapText="1"/>
    </xf>
    <xf numFmtId="3" fontId="15" fillId="13" borderId="5" xfId="2" applyNumberFormat="1" applyFont="1" applyFill="1" applyBorder="1" applyAlignment="1" applyProtection="1">
      <alignment horizontal="center" vertical="center" wrapText="1"/>
    </xf>
    <xf numFmtId="0" fontId="70" fillId="44" borderId="47" xfId="0" applyFont="1" applyFill="1" applyBorder="1" applyAlignment="1">
      <alignment wrapText="1"/>
    </xf>
    <xf numFmtId="0" fontId="70" fillId="44" borderId="46" xfId="0" applyFont="1" applyFill="1" applyBorder="1" applyAlignment="1">
      <alignment wrapText="1"/>
    </xf>
    <xf numFmtId="4" fontId="70" fillId="44" borderId="49" xfId="0" applyNumberFormat="1" applyFont="1" applyFill="1" applyBorder="1" applyAlignment="1">
      <alignment horizontal="center" vertical="center" wrapText="1"/>
    </xf>
    <xf numFmtId="9" fontId="71" fillId="29" borderId="26" xfId="0" applyNumberFormat="1" applyFont="1" applyFill="1" applyBorder="1" applyAlignment="1">
      <alignment horizontal="center" vertical="center" wrapText="1"/>
    </xf>
    <xf numFmtId="10" fontId="15" fillId="12" borderId="5" xfId="2" applyNumberFormat="1" applyFont="1" applyFill="1" applyBorder="1" applyAlignment="1" applyProtection="1">
      <alignment horizontal="center" vertical="center" wrapText="1"/>
    </xf>
    <xf numFmtId="0" fontId="70" fillId="12" borderId="26" xfId="0" applyFont="1" applyFill="1" applyBorder="1" applyAlignment="1">
      <alignment wrapText="1"/>
    </xf>
    <xf numFmtId="0" fontId="72" fillId="12" borderId="52" xfId="0" applyFont="1" applyFill="1" applyBorder="1" applyAlignment="1">
      <alignment wrapText="1"/>
    </xf>
    <xf numFmtId="9" fontId="70" fillId="13" borderId="52" xfId="0" applyNumberFormat="1" applyFont="1" applyFill="1" applyBorder="1" applyAlignment="1">
      <alignment horizontal="center" vertical="center" wrapText="1"/>
    </xf>
    <xf numFmtId="9" fontId="71" fillId="41" borderId="26" xfId="0" applyNumberFormat="1" applyFont="1" applyFill="1" applyBorder="1" applyAlignment="1">
      <alignment horizontal="center" vertical="center" wrapText="1"/>
    </xf>
    <xf numFmtId="9" fontId="15" fillId="13" borderId="4" xfId="1" applyFont="1" applyFill="1" applyBorder="1" applyAlignment="1" applyProtection="1">
      <alignment horizontal="center" vertical="center"/>
    </xf>
    <xf numFmtId="9" fontId="70" fillId="13" borderId="49" xfId="0" applyNumberFormat="1" applyFont="1" applyFill="1" applyBorder="1" applyAlignment="1">
      <alignment wrapText="1"/>
    </xf>
    <xf numFmtId="9" fontId="70" fillId="13" borderId="49" xfId="0" applyNumberFormat="1" applyFont="1" applyFill="1" applyBorder="1" applyAlignment="1">
      <alignment horizontal="center" vertical="center" wrapText="1"/>
    </xf>
    <xf numFmtId="9" fontId="15" fillId="12" borderId="5" xfId="1" applyFont="1" applyFill="1" applyBorder="1" applyAlignment="1" applyProtection="1">
      <alignment horizontal="center" vertical="center" wrapText="1"/>
    </xf>
    <xf numFmtId="9" fontId="70" fillId="12" borderId="49" xfId="0" applyNumberFormat="1" applyFont="1" applyFill="1" applyBorder="1" applyAlignment="1">
      <alignment wrapText="1"/>
    </xf>
    <xf numFmtId="0" fontId="70" fillId="13" borderId="46" xfId="0" applyFont="1" applyFill="1" applyBorder="1" applyAlignment="1">
      <alignment wrapText="1"/>
    </xf>
    <xf numFmtId="3" fontId="70" fillId="13" borderId="49" xfId="0" applyNumberFormat="1" applyFont="1" applyFill="1" applyBorder="1" applyAlignment="1">
      <alignment horizontal="center" vertical="center" wrapText="1"/>
    </xf>
    <xf numFmtId="0" fontId="73" fillId="7" borderId="44" xfId="0" applyFont="1" applyFill="1" applyBorder="1" applyAlignment="1">
      <alignment wrapText="1"/>
    </xf>
    <xf numFmtId="0" fontId="70" fillId="7" borderId="49" xfId="0" applyFont="1" applyFill="1" applyBorder="1" applyAlignment="1">
      <alignment wrapText="1"/>
    </xf>
    <xf numFmtId="0" fontId="70" fillId="7" borderId="49" xfId="0" applyFont="1" applyFill="1" applyBorder="1" applyAlignment="1">
      <alignment horizontal="center" vertical="center" wrapText="1"/>
    </xf>
    <xf numFmtId="203" fontId="15" fillId="13" borderId="4" xfId="7" applyNumberFormat="1" applyFont="1" applyFill="1" applyBorder="1" applyAlignment="1" applyProtection="1">
      <alignment horizontal="center" vertical="center"/>
    </xf>
    <xf numFmtId="0" fontId="70" fillId="13" borderId="26" xfId="0" applyFont="1" applyFill="1" applyBorder="1" applyAlignment="1">
      <alignment wrapText="1"/>
    </xf>
    <xf numFmtId="0" fontId="70" fillId="13" borderId="52" xfId="0" applyFont="1" applyFill="1" applyBorder="1" applyAlignment="1">
      <alignment horizontal="center" vertical="center" wrapText="1"/>
    </xf>
    <xf numFmtId="0" fontId="73" fillId="8" borderId="46" xfId="0" applyFont="1" applyFill="1" applyBorder="1" applyAlignment="1">
      <alignment wrapText="1"/>
    </xf>
    <xf numFmtId="0" fontId="70" fillId="8" borderId="49" xfId="0" applyFont="1" applyFill="1" applyBorder="1" applyAlignment="1">
      <alignment wrapText="1"/>
    </xf>
    <xf numFmtId="0" fontId="70" fillId="8" borderId="49" xfId="0" applyFont="1" applyFill="1" applyBorder="1" applyAlignment="1">
      <alignment horizontal="center" vertical="center" wrapText="1"/>
    </xf>
    <xf numFmtId="0" fontId="14" fillId="0" borderId="0" xfId="8" applyAlignment="1" applyProtection="1">
      <alignment horizontal="center" vertical="center"/>
    </xf>
    <xf numFmtId="4" fontId="15" fillId="13" borderId="4" xfId="0" applyNumberFormat="1" applyFont="1" applyFill="1" applyBorder="1" applyAlignment="1">
      <alignment horizontal="center" vertical="center"/>
    </xf>
    <xf numFmtId="4" fontId="15" fillId="12" borderId="4" xfId="0" applyNumberFormat="1" applyFont="1" applyFill="1" applyBorder="1" applyAlignment="1">
      <alignment horizontal="center" vertical="center"/>
    </xf>
    <xf numFmtId="10" fontId="15" fillId="13" borderId="4" xfId="11" applyNumberFormat="1" applyFont="1" applyFill="1" applyBorder="1" applyAlignment="1" applyProtection="1">
      <alignment horizontal="center" vertical="center" wrapText="1"/>
    </xf>
    <xf numFmtId="185" fontId="15" fillId="12" borderId="4" xfId="0" applyNumberFormat="1" applyFont="1" applyFill="1" applyBorder="1" applyAlignment="1">
      <alignment horizontal="center" vertical="center"/>
    </xf>
    <xf numFmtId="173" fontId="15" fillId="12" borderId="3" xfId="11" applyNumberFormat="1" applyFont="1" applyFill="1" applyBorder="1" applyAlignment="1" applyProtection="1">
      <alignment horizontal="center" vertical="center" wrapText="1"/>
    </xf>
    <xf numFmtId="173" fontId="15" fillId="12" borderId="3" xfId="11" applyNumberFormat="1" applyFont="1" applyFill="1" applyBorder="1" applyAlignment="1" applyProtection="1">
      <alignment horizontal="center" vertical="center" wrapText="1"/>
      <protection locked="0"/>
    </xf>
    <xf numFmtId="184" fontId="15" fillId="12" borderId="3" xfId="11" applyFont="1" applyFill="1" applyBorder="1" applyAlignment="1" applyProtection="1">
      <alignment horizontal="center" vertical="center" wrapText="1"/>
    </xf>
    <xf numFmtId="184" fontId="15" fillId="7" borderId="4" xfId="11" applyFont="1" applyFill="1" applyBorder="1" applyAlignment="1" applyProtection="1">
      <alignment horizontal="center" vertical="center" wrapText="1"/>
    </xf>
    <xf numFmtId="41" fontId="15" fillId="13" borderId="8" xfId="7" applyFont="1" applyFill="1" applyBorder="1" applyAlignment="1" applyProtection="1">
      <alignment horizontal="center" vertical="center"/>
    </xf>
    <xf numFmtId="2" fontId="15" fillId="12" borderId="8" xfId="0" applyNumberFormat="1" applyFont="1" applyFill="1" applyBorder="1" applyAlignment="1">
      <alignment horizontal="center" vertical="center"/>
    </xf>
    <xf numFmtId="2" fontId="15" fillId="13" borderId="8" xfId="0" applyNumberFormat="1" applyFont="1" applyFill="1" applyBorder="1" applyAlignment="1">
      <alignment horizontal="center" vertical="center"/>
    </xf>
    <xf numFmtId="184" fontId="15" fillId="8" borderId="4" xfId="11" applyFont="1" applyFill="1" applyBorder="1" applyAlignment="1" applyProtection="1">
      <alignment horizontal="center" vertical="center" wrapText="1"/>
    </xf>
    <xf numFmtId="0" fontId="15" fillId="13" borderId="19" xfId="0" applyFont="1" applyFill="1" applyBorder="1" applyAlignment="1">
      <alignment horizontal="center" vertical="center" wrapText="1"/>
    </xf>
    <xf numFmtId="0" fontId="25" fillId="12" borderId="4" xfId="0" applyFont="1" applyFill="1" applyBorder="1" applyAlignment="1">
      <alignment horizontal="center" vertical="center" wrapText="1"/>
    </xf>
    <xf numFmtId="0" fontId="22" fillId="13" borderId="19" xfId="0" applyFont="1" applyFill="1" applyBorder="1" applyAlignment="1">
      <alignment horizontal="center" vertical="center" wrapText="1"/>
    </xf>
    <xf numFmtId="0" fontId="15" fillId="12" borderId="67" xfId="0" applyFont="1" applyFill="1" applyBorder="1" applyAlignment="1">
      <alignment horizontal="center" vertical="center" wrapText="1"/>
    </xf>
    <xf numFmtId="0" fontId="14" fillId="12" borderId="24" xfId="8" applyFill="1" applyBorder="1" applyAlignment="1" applyProtection="1">
      <alignment horizontal="center" vertical="center" wrapText="1"/>
    </xf>
    <xf numFmtId="0" fontId="14" fillId="13" borderId="24" xfId="8" applyFill="1" applyBorder="1" applyAlignment="1" applyProtection="1">
      <alignment horizontal="center" vertical="center" wrapText="1"/>
    </xf>
    <xf numFmtId="0" fontId="14" fillId="12" borderId="68" xfId="8" applyFill="1" applyBorder="1" applyAlignment="1" applyProtection="1">
      <alignment horizontal="center" vertical="center" wrapText="1"/>
    </xf>
    <xf numFmtId="0" fontId="15" fillId="13" borderId="70" xfId="0" applyFont="1" applyFill="1" applyBorder="1" applyAlignment="1">
      <alignment horizontal="center" vertical="center" wrapText="1"/>
    </xf>
    <xf numFmtId="0" fontId="15" fillId="12" borderId="70" xfId="0" applyFont="1" applyFill="1" applyBorder="1" applyAlignment="1">
      <alignment horizontal="center" vertical="center" wrapText="1"/>
    </xf>
    <xf numFmtId="0" fontId="21" fillId="13" borderId="70" xfId="16" applyFont="1" applyFill="1" applyBorder="1" applyAlignment="1">
      <alignment horizontal="center" vertical="center" wrapText="1"/>
    </xf>
    <xf numFmtId="0" fontId="15" fillId="13" borderId="75" xfId="0" applyFont="1" applyFill="1" applyBorder="1" applyAlignment="1">
      <alignment horizontal="center" vertical="center" wrapText="1"/>
    </xf>
    <xf numFmtId="0" fontId="15" fillId="13" borderId="67" xfId="0" applyFont="1" applyFill="1" applyBorder="1" applyAlignment="1">
      <alignment horizontal="center" vertical="center" wrapText="1"/>
    </xf>
    <xf numFmtId="0" fontId="15" fillId="13" borderId="68" xfId="0" applyFont="1" applyFill="1" applyBorder="1" applyAlignment="1">
      <alignment horizontal="center" vertical="center" wrapText="1"/>
    </xf>
    <xf numFmtId="0" fontId="14" fillId="12" borderId="35" xfId="8" applyFill="1" applyBorder="1" applyAlignment="1" applyProtection="1">
      <alignment horizontal="center" vertical="center" wrapText="1"/>
    </xf>
    <xf numFmtId="0" fontId="15" fillId="12" borderId="23" xfId="0" applyFont="1" applyFill="1" applyBorder="1" applyAlignment="1">
      <alignment horizontal="center" vertical="center" wrapText="1"/>
    </xf>
    <xf numFmtId="0" fontId="29" fillId="13" borderId="24" xfId="0" applyFont="1" applyFill="1" applyBorder="1" applyAlignment="1">
      <alignment horizontal="center" vertical="center" wrapText="1"/>
    </xf>
    <xf numFmtId="0" fontId="15" fillId="12" borderId="24" xfId="0" applyFont="1" applyFill="1" applyBorder="1" applyAlignment="1">
      <alignment horizontal="center" vertical="center" wrapText="1"/>
    </xf>
    <xf numFmtId="0" fontId="15" fillId="12" borderId="24" xfId="0" applyFont="1" applyFill="1" applyBorder="1" applyAlignment="1">
      <alignment horizontal="center" vertical="center"/>
    </xf>
    <xf numFmtId="165" fontId="15" fillId="12" borderId="24" xfId="0" applyNumberFormat="1" applyFont="1" applyFill="1" applyBorder="1" applyAlignment="1">
      <alignment horizontal="center" vertical="center"/>
    </xf>
    <xf numFmtId="0" fontId="15" fillId="13" borderId="24" xfId="0" applyFont="1" applyFill="1" applyBorder="1" applyAlignment="1">
      <alignment horizontal="center" vertical="center" wrapText="1"/>
    </xf>
    <xf numFmtId="0" fontId="15" fillId="13" borderId="24" xfId="0" applyFont="1" applyFill="1" applyBorder="1" applyAlignment="1">
      <alignment horizontal="center" vertical="center"/>
    </xf>
    <xf numFmtId="0" fontId="15" fillId="13" borderId="24" xfId="0" applyFont="1" applyFill="1" applyBorder="1" applyAlignment="1">
      <alignment horizontal="center" wrapText="1"/>
    </xf>
    <xf numFmtId="164" fontId="15" fillId="13" borderId="24" xfId="0" applyNumberFormat="1" applyFont="1" applyFill="1" applyBorder="1" applyAlignment="1">
      <alignment horizontal="center" vertical="center"/>
    </xf>
    <xf numFmtId="165" fontId="15" fillId="13" borderId="24" xfId="0" applyNumberFormat="1" applyFont="1" applyFill="1" applyBorder="1" applyAlignment="1">
      <alignment horizontal="center" vertical="center"/>
    </xf>
    <xf numFmtId="0" fontId="21" fillId="13" borderId="24" xfId="16" applyFont="1" applyFill="1" applyBorder="1" applyAlignment="1">
      <alignment horizontal="center" vertical="center" wrapText="1"/>
    </xf>
    <xf numFmtId="165" fontId="21" fillId="13" borderId="24" xfId="0" applyNumberFormat="1" applyFont="1" applyFill="1" applyBorder="1" applyAlignment="1">
      <alignment horizontal="center" vertical="center"/>
    </xf>
    <xf numFmtId="165" fontId="21" fillId="13" borderId="24" xfId="0" applyNumberFormat="1" applyFont="1" applyFill="1" applyBorder="1" applyAlignment="1">
      <alignment horizontal="center" vertical="center" wrapText="1"/>
    </xf>
    <xf numFmtId="41" fontId="15" fillId="12" borderId="24" xfId="0" applyNumberFormat="1" applyFont="1" applyFill="1" applyBorder="1" applyAlignment="1">
      <alignment horizontal="center" vertical="center"/>
    </xf>
    <xf numFmtId="0" fontId="15" fillId="12" borderId="24" xfId="0" applyFont="1" applyFill="1" applyBorder="1" applyAlignment="1">
      <alignment horizontal="center" wrapText="1"/>
    </xf>
    <xf numFmtId="164" fontId="15" fillId="12" borderId="24" xfId="0" applyNumberFormat="1" applyFont="1" applyFill="1" applyBorder="1" applyAlignment="1">
      <alignment horizontal="center" vertical="center"/>
    </xf>
    <xf numFmtId="2" fontId="15" fillId="12" borderId="24" xfId="0" applyNumberFormat="1" applyFont="1" applyFill="1" applyBorder="1" applyAlignment="1">
      <alignment horizontal="center" vertical="center" wrapText="1"/>
    </xf>
    <xf numFmtId="0" fontId="54" fillId="13" borderId="24" xfId="0" applyFont="1" applyFill="1" applyBorder="1" applyAlignment="1">
      <alignment horizontal="center" vertical="center" wrapText="1"/>
    </xf>
    <xf numFmtId="0" fontId="54" fillId="12" borderId="24" xfId="0" applyFont="1" applyFill="1" applyBorder="1" applyAlignment="1">
      <alignment horizontal="center" vertical="center" wrapText="1"/>
    </xf>
    <xf numFmtId="4" fontId="15" fillId="13" borderId="24" xfId="0" applyNumberFormat="1" applyFont="1" applyFill="1" applyBorder="1" applyAlignment="1">
      <alignment horizontal="center" vertical="center" wrapText="1"/>
    </xf>
    <xf numFmtId="4" fontId="15" fillId="12" borderId="24" xfId="0" applyNumberFormat="1" applyFont="1" applyFill="1" applyBorder="1" applyAlignment="1">
      <alignment horizontal="center" vertical="center" wrapText="1"/>
    </xf>
    <xf numFmtId="4" fontId="15" fillId="12" borderId="24" xfId="0" applyNumberFormat="1" applyFont="1" applyFill="1" applyBorder="1" applyAlignment="1">
      <alignment horizontal="center" vertical="center"/>
    </xf>
    <xf numFmtId="10" fontId="15" fillId="13" borderId="24" xfId="1" applyNumberFormat="1" applyFont="1" applyFill="1" applyBorder="1" applyAlignment="1" applyProtection="1">
      <alignment horizontal="center" vertical="center"/>
    </xf>
    <xf numFmtId="4" fontId="15" fillId="13" borderId="24" xfId="0" applyNumberFormat="1" applyFont="1" applyFill="1" applyBorder="1" applyAlignment="1">
      <alignment horizontal="center" vertical="center"/>
    </xf>
    <xf numFmtId="10" fontId="24" fillId="12" borderId="4" xfId="1" applyNumberFormat="1" applyFont="1" applyFill="1" applyBorder="1" applyAlignment="1" applyProtection="1">
      <alignment horizontal="center" vertical="center"/>
    </xf>
    <xf numFmtId="10" fontId="24" fillId="13" borderId="4" xfId="1" applyNumberFormat="1" applyFont="1" applyFill="1" applyBorder="1" applyAlignment="1" applyProtection="1">
      <alignment horizontal="center" vertical="center"/>
    </xf>
    <xf numFmtId="10" fontId="15" fillId="13" borderId="24" xfId="0" applyNumberFormat="1" applyFont="1" applyFill="1" applyBorder="1" applyAlignment="1">
      <alignment horizontal="center" vertical="center" wrapText="1"/>
    </xf>
    <xf numFmtId="0" fontId="15" fillId="12" borderId="35" xfId="0" applyFont="1" applyFill="1" applyBorder="1" applyAlignment="1">
      <alignment horizontal="center" vertical="center" wrapText="1"/>
    </xf>
    <xf numFmtId="187" fontId="15" fillId="12" borderId="24" xfId="0" applyNumberFormat="1" applyFont="1" applyFill="1" applyBorder="1" applyAlignment="1">
      <alignment horizontal="center" vertical="center"/>
    </xf>
    <xf numFmtId="9" fontId="15" fillId="12" borderId="24" xfId="1" applyFont="1" applyFill="1" applyBorder="1" applyAlignment="1" applyProtection="1">
      <alignment horizontal="center" vertical="center" wrapText="1"/>
      <protection locked="0"/>
    </xf>
    <xf numFmtId="9" fontId="15" fillId="13" borderId="24" xfId="1" applyFont="1" applyFill="1" applyBorder="1" applyAlignment="1" applyProtection="1">
      <alignment horizontal="center" vertical="center" wrapText="1"/>
      <protection locked="0"/>
    </xf>
    <xf numFmtId="0" fontId="11" fillId="4" borderId="38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vertical="center" wrapText="1"/>
    </xf>
    <xf numFmtId="167" fontId="15" fillId="12" borderId="24" xfId="1" applyNumberFormat="1" applyFont="1" applyFill="1" applyBorder="1" applyAlignment="1" applyProtection="1">
      <alignment horizontal="center" vertical="center" wrapText="1"/>
      <protection locked="0"/>
    </xf>
    <xf numFmtId="9" fontId="21" fillId="13" borderId="24" xfId="1" applyFont="1" applyFill="1" applyBorder="1" applyAlignment="1" applyProtection="1">
      <alignment horizontal="center" vertical="center" wrapText="1"/>
      <protection locked="0"/>
    </xf>
    <xf numFmtId="0" fontId="9" fillId="7" borderId="24" xfId="0" applyFont="1" applyFill="1" applyBorder="1" applyAlignment="1" applyProtection="1">
      <alignment vertical="center" wrapText="1"/>
      <protection locked="0"/>
    </xf>
    <xf numFmtId="10" fontId="15" fillId="13" borderId="24" xfId="1" applyNumberFormat="1" applyFont="1" applyFill="1" applyBorder="1" applyAlignment="1" applyProtection="1">
      <alignment horizontal="center" vertical="center" wrapText="1"/>
    </xf>
    <xf numFmtId="10" fontId="15" fillId="13" borderId="24" xfId="1" applyNumberFormat="1" applyFont="1" applyFill="1" applyBorder="1" applyAlignment="1" applyProtection="1">
      <alignment horizontal="center" vertical="center" wrapText="1"/>
      <protection locked="0"/>
    </xf>
    <xf numFmtId="10" fontId="15" fillId="12" borderId="24" xfId="1" applyNumberFormat="1" applyFont="1" applyFill="1" applyBorder="1" applyAlignment="1" applyProtection="1">
      <alignment horizontal="center" vertical="center" wrapText="1"/>
    </xf>
    <xf numFmtId="10" fontId="15" fillId="12" borderId="24" xfId="1" applyNumberFormat="1" applyFont="1" applyFill="1" applyBorder="1" applyAlignment="1" applyProtection="1">
      <alignment horizontal="center" vertical="center" wrapText="1"/>
      <protection locked="0"/>
    </xf>
    <xf numFmtId="10" fontId="21" fillId="13" borderId="24" xfId="1" applyNumberFormat="1" applyFont="1" applyFill="1" applyBorder="1" applyAlignment="1" applyProtection="1">
      <alignment horizontal="center" vertical="center" wrapText="1"/>
    </xf>
    <xf numFmtId="10" fontId="21" fillId="13" borderId="24" xfId="1" applyNumberFormat="1" applyFont="1" applyFill="1" applyBorder="1" applyAlignment="1" applyProtection="1">
      <alignment horizontal="center" vertical="center" wrapText="1"/>
      <protection locked="0"/>
    </xf>
    <xf numFmtId="170" fontId="15" fillId="12" borderId="24" xfId="0" applyNumberFormat="1" applyFont="1" applyFill="1" applyBorder="1" applyAlignment="1">
      <alignment horizontal="center" vertical="center" wrapText="1"/>
    </xf>
    <xf numFmtId="170" fontId="15" fillId="12" borderId="24" xfId="0" applyNumberFormat="1" applyFont="1" applyFill="1" applyBorder="1" applyAlignment="1" applyProtection="1">
      <alignment horizontal="center" vertical="center" wrapText="1"/>
      <protection locked="0"/>
    </xf>
    <xf numFmtId="0" fontId="9" fillId="8" borderId="24" xfId="0" applyFont="1" applyFill="1" applyBorder="1" applyAlignment="1">
      <alignment vertical="center" wrapText="1"/>
    </xf>
    <xf numFmtId="0" fontId="9" fillId="8" borderId="24" xfId="0" applyFont="1" applyFill="1" applyBorder="1" applyAlignment="1" applyProtection="1">
      <alignment vertical="center" wrapText="1"/>
      <protection locked="0"/>
    </xf>
    <xf numFmtId="43" fontId="15" fillId="12" borderId="24" xfId="0" applyNumberFormat="1" applyFont="1" applyFill="1" applyBorder="1" applyAlignment="1" applyProtection="1">
      <alignment horizontal="center" vertical="center" wrapText="1"/>
      <protection locked="0"/>
    </xf>
    <xf numFmtId="2" fontId="3" fillId="6" borderId="4" xfId="1" applyNumberFormat="1" applyFont="1" applyFill="1" applyBorder="1" applyAlignment="1" applyProtection="1">
      <alignment horizontal="right" vertical="center"/>
    </xf>
    <xf numFmtId="9" fontId="24" fillId="12" borderId="4" xfId="1" applyFont="1" applyFill="1" applyBorder="1" applyAlignment="1" applyProtection="1">
      <alignment horizontal="center" vertical="center" wrapText="1"/>
      <protection locked="0"/>
    </xf>
    <xf numFmtId="0" fontId="11" fillId="4" borderId="66" xfId="0" applyFont="1" applyFill="1" applyBorder="1" applyAlignment="1">
      <alignment horizontal="center" vertical="center" wrapText="1"/>
    </xf>
    <xf numFmtId="9" fontId="15" fillId="12" borderId="24" xfId="1" applyFont="1" applyFill="1" applyBorder="1" applyAlignment="1" applyProtection="1">
      <alignment horizontal="center" vertical="center" wrapText="1"/>
    </xf>
    <xf numFmtId="9" fontId="15" fillId="13" borderId="24" xfId="1" applyFont="1" applyFill="1" applyBorder="1" applyAlignment="1" applyProtection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25" fillId="16" borderId="5" xfId="0" applyFont="1" applyFill="1" applyBorder="1" applyAlignment="1">
      <alignment horizontal="center" vertical="center" wrapText="1"/>
    </xf>
    <xf numFmtId="0" fontId="24" fillId="9" borderId="8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42" fontId="15" fillId="12" borderId="24" xfId="4" applyFont="1" applyFill="1" applyBorder="1" applyAlignment="1" applyProtection="1">
      <alignment horizontal="center" vertical="center" wrapText="1"/>
    </xf>
    <xf numFmtId="41" fontId="15" fillId="13" borderId="24" xfId="7" applyFont="1" applyFill="1" applyBorder="1" applyAlignment="1" applyProtection="1">
      <alignment horizontal="center" vertical="center" wrapText="1"/>
    </xf>
    <xf numFmtId="168" fontId="15" fillId="12" borderId="24" xfId="4" applyNumberFormat="1" applyFont="1" applyFill="1" applyBorder="1" applyAlignment="1" applyProtection="1">
      <alignment horizontal="center" vertical="center" wrapText="1"/>
    </xf>
    <xf numFmtId="42" fontId="15" fillId="13" borderId="24" xfId="4" applyFont="1" applyFill="1" applyBorder="1" applyAlignment="1" applyProtection="1">
      <alignment horizontal="center" vertical="center" wrapText="1"/>
    </xf>
    <xf numFmtId="41" fontId="15" fillId="12" borderId="24" xfId="7" applyFont="1" applyFill="1" applyBorder="1" applyAlignment="1" applyProtection="1">
      <alignment horizontal="center" vertical="center" wrapText="1"/>
    </xf>
    <xf numFmtId="176" fontId="21" fillId="13" borderId="24" xfId="4" applyNumberFormat="1" applyFont="1" applyFill="1" applyBorder="1" applyAlignment="1" applyProtection="1">
      <alignment horizontal="center" vertical="center" wrapText="1"/>
      <protection locked="0"/>
    </xf>
    <xf numFmtId="42" fontId="15" fillId="7" borderId="24" xfId="4" applyFont="1" applyFill="1" applyBorder="1" applyAlignment="1" applyProtection="1">
      <alignment horizontal="center" vertical="center" wrapText="1"/>
    </xf>
    <xf numFmtId="42" fontId="15" fillId="8" borderId="24" xfId="4" applyFont="1" applyFill="1" applyBorder="1" applyAlignment="1" applyProtection="1">
      <alignment horizontal="center" vertical="center" wrapText="1"/>
    </xf>
    <xf numFmtId="42" fontId="15" fillId="12" borderId="35" xfId="4" applyFont="1" applyFill="1" applyBorder="1" applyAlignment="1" applyProtection="1">
      <alignment horizontal="center" vertical="center"/>
    </xf>
    <xf numFmtId="0" fontId="15" fillId="12" borderId="35" xfId="0" applyFont="1" applyFill="1" applyBorder="1" applyAlignment="1">
      <alignment horizontal="center" vertical="center"/>
    </xf>
    <xf numFmtId="165" fontId="15" fillId="12" borderId="35" xfId="0" applyNumberFormat="1" applyFont="1" applyFill="1" applyBorder="1" applyAlignment="1">
      <alignment horizontal="center" vertical="center"/>
    </xf>
    <xf numFmtId="168" fontId="15" fillId="13" borderId="24" xfId="4" applyNumberFormat="1" applyFont="1" applyFill="1" applyBorder="1" applyAlignment="1" applyProtection="1">
      <alignment horizontal="center" vertical="center" wrapText="1"/>
    </xf>
    <xf numFmtId="168" fontId="15" fillId="13" borderId="24" xfId="4" applyNumberFormat="1" applyFont="1" applyFill="1" applyBorder="1" applyAlignment="1" applyProtection="1">
      <alignment horizontal="center" vertical="center"/>
    </xf>
    <xf numFmtId="168" fontId="15" fillId="12" borderId="24" xfId="4" applyNumberFormat="1" applyFont="1" applyFill="1" applyBorder="1" applyAlignment="1" applyProtection="1">
      <alignment horizontal="center" vertical="center"/>
    </xf>
    <xf numFmtId="168" fontId="15" fillId="12" borderId="24" xfId="4" applyNumberFormat="1" applyFont="1" applyFill="1" applyBorder="1" applyAlignment="1" applyProtection="1">
      <alignment horizontal="center" vertical="center" wrapText="1"/>
      <protection locked="0"/>
    </xf>
    <xf numFmtId="170" fontId="15" fillId="13" borderId="24" xfId="7" applyNumberFormat="1" applyFont="1" applyFill="1" applyBorder="1" applyAlignment="1" applyProtection="1">
      <alignment horizontal="center" vertical="center" wrapText="1"/>
    </xf>
    <xf numFmtId="42" fontId="15" fillId="12" borderId="24" xfId="4" applyFont="1" applyFill="1" applyBorder="1" applyAlignment="1" applyProtection="1">
      <alignment horizontal="center" vertical="center" wrapText="1"/>
      <protection locked="0"/>
    </xf>
    <xf numFmtId="170" fontId="15" fillId="13" borderId="24" xfId="7" applyNumberFormat="1" applyFont="1" applyFill="1" applyBorder="1" applyAlignment="1" applyProtection="1">
      <alignment horizontal="center" vertical="center" wrapText="1"/>
      <protection locked="0"/>
    </xf>
    <xf numFmtId="41" fontId="15" fillId="13" borderId="24" xfId="7" applyFont="1" applyFill="1" applyBorder="1" applyAlignment="1" applyProtection="1">
      <alignment horizontal="center" vertical="center" wrapText="1"/>
      <protection locked="0"/>
    </xf>
    <xf numFmtId="168" fontId="15" fillId="13" borderId="24" xfId="4" applyNumberFormat="1" applyFont="1" applyFill="1" applyBorder="1" applyAlignment="1" applyProtection="1">
      <alignment horizontal="center" vertical="center" wrapText="1"/>
      <protection locked="0"/>
    </xf>
    <xf numFmtId="42" fontId="15" fillId="13" borderId="24" xfId="4" applyFont="1" applyFill="1" applyBorder="1" applyAlignment="1" applyProtection="1">
      <alignment horizontal="center" vertical="center" wrapText="1"/>
      <protection locked="0"/>
    </xf>
    <xf numFmtId="170" fontId="15" fillId="12" borderId="24" xfId="7" applyNumberFormat="1" applyFont="1" applyFill="1" applyBorder="1" applyAlignment="1" applyProtection="1">
      <alignment horizontal="center" vertical="center" wrapText="1"/>
    </xf>
    <xf numFmtId="170" fontId="15" fillId="12" borderId="24" xfId="7" applyNumberFormat="1" applyFont="1" applyFill="1" applyBorder="1" applyAlignment="1" applyProtection="1">
      <alignment horizontal="center" vertical="center" wrapText="1"/>
      <protection locked="0"/>
    </xf>
    <xf numFmtId="41" fontId="15" fillId="12" borderId="24" xfId="7" applyFont="1" applyFill="1" applyBorder="1" applyAlignment="1" applyProtection="1">
      <alignment horizontal="center" vertical="center" wrapText="1"/>
      <protection locked="0"/>
    </xf>
    <xf numFmtId="172" fontId="15" fillId="12" borderId="24" xfId="7" applyNumberFormat="1" applyFont="1" applyFill="1" applyBorder="1" applyAlignment="1" applyProtection="1">
      <alignment horizontal="center" vertical="center" wrapText="1"/>
    </xf>
    <xf numFmtId="172" fontId="15" fillId="13" borderId="24" xfId="7" applyNumberFormat="1" applyFont="1" applyFill="1" applyBorder="1" applyAlignment="1" applyProtection="1">
      <alignment horizontal="center" vertical="center" wrapText="1"/>
    </xf>
    <xf numFmtId="168" fontId="21" fillId="13" borderId="24" xfId="4" applyNumberFormat="1" applyFont="1" applyFill="1" applyBorder="1" applyAlignment="1" applyProtection="1">
      <alignment horizontal="center" vertical="center" wrapText="1"/>
    </xf>
    <xf numFmtId="168" fontId="21" fillId="13" borderId="24" xfId="4" applyNumberFormat="1" applyFont="1" applyFill="1" applyBorder="1" applyAlignment="1" applyProtection="1">
      <alignment horizontal="center" vertical="center" wrapText="1"/>
      <protection locked="0"/>
    </xf>
    <xf numFmtId="170" fontId="21" fillId="12" borderId="24" xfId="7" applyNumberFormat="1" applyFont="1" applyFill="1" applyBorder="1" applyAlignment="1" applyProtection="1">
      <alignment horizontal="center" vertical="center" wrapText="1"/>
    </xf>
    <xf numFmtId="170" fontId="21" fillId="12" borderId="24" xfId="7" applyNumberFormat="1" applyFont="1" applyFill="1" applyBorder="1" applyAlignment="1" applyProtection="1">
      <alignment horizontal="center" vertical="center" wrapText="1"/>
      <protection locked="0"/>
    </xf>
    <xf numFmtId="41" fontId="21" fillId="12" borderId="24" xfId="7" applyFont="1" applyFill="1" applyBorder="1" applyAlignment="1" applyProtection="1">
      <alignment horizontal="center" vertical="center" wrapText="1"/>
      <protection locked="0"/>
    </xf>
    <xf numFmtId="170" fontId="21" fillId="13" borderId="24" xfId="7" applyNumberFormat="1" applyFont="1" applyFill="1" applyBorder="1" applyAlignment="1" applyProtection="1">
      <alignment horizontal="center" vertical="center" wrapText="1"/>
    </xf>
    <xf numFmtId="170" fontId="21" fillId="13" borderId="24" xfId="7" applyNumberFormat="1" applyFont="1" applyFill="1" applyBorder="1" applyAlignment="1" applyProtection="1">
      <alignment horizontal="center" vertical="center" wrapText="1"/>
      <protection locked="0"/>
    </xf>
    <xf numFmtId="41" fontId="21" fillId="13" borderId="24" xfId="7" applyFont="1" applyFill="1" applyBorder="1" applyAlignment="1" applyProtection="1">
      <alignment horizontal="center" vertical="center" wrapText="1"/>
      <protection locked="0"/>
    </xf>
    <xf numFmtId="0" fontId="5" fillId="10" borderId="0" xfId="0" applyFont="1" applyFill="1"/>
    <xf numFmtId="0" fontId="11" fillId="4" borderId="4" xfId="0" applyFont="1" applyFill="1" applyBorder="1" applyAlignment="1">
      <alignment horizontal="right" vertical="center" wrapText="1"/>
    </xf>
    <xf numFmtId="0" fontId="11" fillId="4" borderId="2" xfId="0" applyFont="1" applyFill="1" applyBorder="1" applyAlignment="1">
      <alignment horizontal="right" vertical="center" wrapText="1"/>
    </xf>
    <xf numFmtId="0" fontId="11" fillId="4" borderId="10" xfId="0" applyFont="1" applyFill="1" applyBorder="1" applyAlignment="1">
      <alignment horizontal="right" vertical="center" wrapText="1"/>
    </xf>
    <xf numFmtId="0" fontId="11" fillId="4" borderId="4" xfId="0" applyFont="1" applyFill="1" applyBorder="1" applyAlignment="1">
      <alignment vertical="center" wrapText="1"/>
    </xf>
    <xf numFmtId="168" fontId="24" fillId="5" borderId="4" xfId="4" applyNumberFormat="1" applyFont="1" applyFill="1" applyBorder="1" applyAlignment="1">
      <alignment horizontal="left" vertical="center" wrapText="1"/>
    </xf>
    <xf numFmtId="42" fontId="15" fillId="9" borderId="4" xfId="4" applyFont="1" applyFill="1" applyBorder="1" applyAlignment="1" applyProtection="1">
      <alignment horizontal="center" vertical="center" wrapText="1"/>
      <protection locked="0"/>
    </xf>
    <xf numFmtId="168" fontId="15" fillId="9" borderId="4" xfId="4" applyNumberFormat="1" applyFont="1" applyFill="1" applyBorder="1" applyAlignment="1">
      <alignment horizontal="right" vertical="center" wrapText="1"/>
    </xf>
    <xf numFmtId="168" fontId="15" fillId="9" borderId="4" xfId="4" applyNumberFormat="1" applyFont="1" applyFill="1" applyBorder="1" applyAlignment="1" applyProtection="1">
      <alignment horizontal="right" vertical="center" wrapText="1"/>
      <protection locked="0"/>
    </xf>
    <xf numFmtId="168" fontId="15" fillId="12" borderId="4" xfId="4" applyNumberFormat="1" applyFont="1" applyFill="1" applyBorder="1" applyAlignment="1" applyProtection="1">
      <alignment horizontal="right" vertical="center" wrapText="1"/>
      <protection locked="0"/>
    </xf>
    <xf numFmtId="168" fontId="15" fillId="9" borderId="4" xfId="4" applyNumberFormat="1" applyFont="1" applyFill="1" applyBorder="1" applyAlignment="1">
      <alignment vertical="center" wrapText="1"/>
    </xf>
    <xf numFmtId="168" fontId="15" fillId="13" borderId="4" xfId="4" applyNumberFormat="1" applyFont="1" applyFill="1" applyBorder="1" applyAlignment="1">
      <alignment vertical="center" wrapText="1"/>
    </xf>
    <xf numFmtId="41" fontId="15" fillId="9" borderId="4" xfId="7" applyFont="1" applyFill="1" applyBorder="1" applyAlignment="1">
      <alignment horizontal="right" vertical="center" wrapText="1"/>
    </xf>
    <xf numFmtId="41" fontId="15" fillId="9" borderId="4" xfId="7" applyFont="1" applyFill="1" applyBorder="1" applyAlignment="1" applyProtection="1">
      <alignment horizontal="right" vertical="center" wrapText="1"/>
      <protection locked="0"/>
    </xf>
    <xf numFmtId="41" fontId="15" fillId="12" borderId="4" xfId="7" applyFont="1" applyFill="1" applyBorder="1" applyAlignment="1" applyProtection="1">
      <alignment horizontal="right" vertical="center" wrapText="1"/>
      <protection locked="0"/>
    </xf>
    <xf numFmtId="41" fontId="15" fillId="9" borderId="4" xfId="7" applyFont="1" applyFill="1" applyBorder="1" applyAlignment="1">
      <alignment vertical="center" wrapText="1"/>
    </xf>
    <xf numFmtId="41" fontId="15" fillId="13" borderId="4" xfId="7" applyFont="1" applyFill="1" applyBorder="1" applyAlignment="1">
      <alignment vertical="center" wrapText="1"/>
    </xf>
    <xf numFmtId="168" fontId="15" fillId="12" borderId="4" xfId="4" applyNumberFormat="1" applyFont="1" applyFill="1" applyBorder="1" applyAlignment="1">
      <alignment horizontal="right" vertical="center" wrapText="1"/>
    </xf>
    <xf numFmtId="168" fontId="15" fillId="12" borderId="4" xfId="4" applyNumberFormat="1" applyFont="1" applyFill="1" applyBorder="1" applyAlignment="1">
      <alignment vertical="center" wrapText="1"/>
    </xf>
    <xf numFmtId="9" fontId="3" fillId="45" borderId="4" xfId="1" applyFont="1" applyFill="1" applyBorder="1" applyAlignment="1" applyProtection="1">
      <alignment horizontal="center" vertical="center"/>
    </xf>
    <xf numFmtId="42" fontId="15" fillId="13" borderId="4" xfId="4" applyFont="1" applyFill="1" applyBorder="1" applyAlignment="1">
      <alignment horizontal="center" vertical="center"/>
    </xf>
    <xf numFmtId="168" fontId="15" fillId="13" borderId="4" xfId="4" applyNumberFormat="1" applyFont="1" applyFill="1" applyBorder="1" applyAlignment="1">
      <alignment horizontal="right" vertical="center" wrapText="1"/>
    </xf>
    <xf numFmtId="168" fontId="15" fillId="13" borderId="4" xfId="4" applyNumberFormat="1" applyFont="1" applyFill="1" applyBorder="1" applyAlignment="1" applyProtection="1">
      <alignment horizontal="right" vertical="center" wrapText="1"/>
      <protection locked="0"/>
    </xf>
    <xf numFmtId="170" fontId="15" fillId="13" borderId="5" xfId="7" applyNumberFormat="1" applyFont="1" applyFill="1" applyBorder="1" applyAlignment="1">
      <alignment horizontal="right" vertical="center" wrapText="1"/>
    </xf>
    <xf numFmtId="170" fontId="15" fillId="13" borderId="5" xfId="7" applyNumberFormat="1" applyFont="1" applyFill="1" applyBorder="1" applyAlignment="1" applyProtection="1">
      <alignment horizontal="right" vertical="center" wrapText="1"/>
      <protection locked="0"/>
    </xf>
    <xf numFmtId="170" fontId="15" fillId="12" borderId="4" xfId="7" applyNumberFormat="1" applyFont="1" applyFill="1" applyBorder="1" applyAlignment="1" applyProtection="1">
      <alignment horizontal="right" vertical="center" wrapText="1"/>
      <protection locked="0"/>
    </xf>
    <xf numFmtId="170" fontId="15" fillId="13" borderId="5" xfId="7" applyNumberFormat="1" applyFont="1" applyFill="1" applyBorder="1" applyAlignment="1">
      <alignment vertical="center" wrapText="1"/>
    </xf>
    <xf numFmtId="170" fontId="15" fillId="12" borderId="5" xfId="7" applyNumberFormat="1" applyFont="1" applyFill="1" applyBorder="1" applyAlignment="1">
      <alignment horizontal="right" vertical="center" wrapText="1"/>
    </xf>
    <xf numFmtId="170" fontId="15" fillId="12" borderId="5" xfId="7" applyNumberFormat="1" applyFont="1" applyFill="1" applyBorder="1" applyAlignment="1" applyProtection="1">
      <alignment horizontal="right" vertical="center" wrapText="1"/>
      <protection locked="0"/>
    </xf>
    <xf numFmtId="170" fontId="15" fillId="12" borderId="5" xfId="7" applyNumberFormat="1" applyFont="1" applyFill="1" applyBorder="1" applyAlignment="1">
      <alignment vertical="center" wrapText="1"/>
    </xf>
    <xf numFmtId="42" fontId="15" fillId="13" borderId="4" xfId="4" applyFont="1" applyFill="1" applyBorder="1" applyAlignment="1">
      <alignment vertical="center"/>
    </xf>
    <xf numFmtId="168" fontId="15" fillId="13" borderId="5" xfId="4" applyNumberFormat="1" applyFont="1" applyFill="1" applyBorder="1" applyAlignment="1">
      <alignment horizontal="left" vertical="center" wrapText="1"/>
    </xf>
    <xf numFmtId="168" fontId="15" fillId="13" borderId="5" xfId="4" applyNumberFormat="1" applyFont="1" applyFill="1" applyBorder="1" applyAlignment="1" applyProtection="1">
      <alignment horizontal="left" vertical="center" wrapText="1"/>
      <protection locked="0"/>
    </xf>
    <xf numFmtId="168" fontId="15" fillId="13" borderId="5" xfId="4" applyNumberFormat="1" applyFont="1" applyFill="1" applyBorder="1" applyAlignment="1">
      <alignment horizontal="right" vertical="center" wrapText="1"/>
    </xf>
    <xf numFmtId="168" fontId="15" fillId="13" borderId="5" xfId="4" applyNumberFormat="1" applyFont="1" applyFill="1" applyBorder="1" applyAlignment="1" applyProtection="1">
      <alignment horizontal="right" vertical="center" wrapText="1"/>
      <protection locked="0"/>
    </xf>
    <xf numFmtId="168" fontId="15" fillId="13" borderId="5" xfId="4" applyNumberFormat="1" applyFont="1" applyFill="1" applyBorder="1" applyAlignment="1">
      <alignment vertical="center" wrapText="1"/>
    </xf>
    <xf numFmtId="10" fontId="15" fillId="13" borderId="4" xfId="1" applyNumberFormat="1" applyFont="1" applyFill="1" applyBorder="1" applyAlignment="1" applyProtection="1">
      <alignment horizontal="right" vertical="center" wrapText="1"/>
      <protection locked="0"/>
    </xf>
    <xf numFmtId="10" fontId="15" fillId="13" borderId="4" xfId="1" applyNumberFormat="1" applyFont="1" applyFill="1" applyBorder="1" applyAlignment="1">
      <alignment vertical="center" wrapText="1"/>
    </xf>
    <xf numFmtId="41" fontId="15" fillId="12" borderId="4" xfId="7" applyFont="1" applyFill="1" applyBorder="1" applyAlignment="1">
      <alignment vertical="center" wrapText="1"/>
    </xf>
    <xf numFmtId="167" fontId="15" fillId="13" borderId="4" xfId="1" applyNumberFormat="1" applyFont="1" applyFill="1" applyBorder="1" applyAlignment="1">
      <alignment horizontal="center" vertical="center"/>
    </xf>
    <xf numFmtId="10" fontId="15" fillId="12" borderId="4" xfId="1" applyNumberFormat="1" applyFont="1" applyFill="1" applyBorder="1" applyAlignment="1">
      <alignment vertical="center" wrapText="1"/>
    </xf>
    <xf numFmtId="10" fontId="15" fillId="10" borderId="4" xfId="1" applyNumberFormat="1" applyFont="1" applyFill="1" applyBorder="1" applyAlignment="1" applyProtection="1">
      <alignment horizontal="right" vertical="center" wrapText="1"/>
      <protection locked="0"/>
    </xf>
    <xf numFmtId="10" fontId="62" fillId="13" borderId="3" xfId="1" applyNumberFormat="1" applyFont="1" applyFill="1" applyBorder="1" applyAlignment="1">
      <alignment horizontal="center" vertical="center" wrapText="1"/>
    </xf>
    <xf numFmtId="10" fontId="37" fillId="13" borderId="3" xfId="1" applyNumberFormat="1" applyFont="1" applyFill="1" applyBorder="1" applyAlignment="1" applyProtection="1">
      <alignment horizontal="center" vertical="center" wrapText="1"/>
      <protection locked="0"/>
    </xf>
    <xf numFmtId="10" fontId="62" fillId="13" borderId="3" xfId="1" applyNumberFormat="1" applyFont="1" applyFill="1" applyBorder="1" applyAlignment="1">
      <alignment horizontal="right" vertical="center" wrapText="1"/>
    </xf>
    <xf numFmtId="10" fontId="37" fillId="13" borderId="3" xfId="1" applyNumberFormat="1" applyFont="1" applyFill="1" applyBorder="1" applyAlignment="1" applyProtection="1">
      <alignment horizontal="right" vertical="center" wrapText="1"/>
      <protection locked="0"/>
    </xf>
    <xf numFmtId="10" fontId="64" fillId="13" borderId="3" xfId="1" applyNumberFormat="1" applyFont="1" applyFill="1" applyBorder="1" applyAlignment="1" applyProtection="1">
      <alignment horizontal="right" vertical="center" wrapText="1"/>
      <protection locked="0"/>
    </xf>
    <xf numFmtId="10" fontId="62" fillId="13" borderId="3" xfId="1" applyNumberFormat="1" applyFont="1" applyFill="1" applyBorder="1" applyAlignment="1">
      <alignment vertical="center" wrapText="1"/>
    </xf>
    <xf numFmtId="42" fontId="15" fillId="12" borderId="4" xfId="4" applyFont="1" applyFill="1" applyBorder="1" applyAlignment="1">
      <alignment vertical="center"/>
    </xf>
    <xf numFmtId="168" fontId="62" fillId="12" borderId="3" xfId="4" applyNumberFormat="1" applyFont="1" applyFill="1" applyBorder="1" applyAlignment="1">
      <alignment vertical="center" wrapText="1"/>
    </xf>
    <xf numFmtId="168" fontId="75" fillId="12" borderId="3" xfId="4" applyNumberFormat="1" applyFont="1" applyFill="1" applyBorder="1" applyAlignment="1" applyProtection="1">
      <alignment vertical="center" wrapText="1"/>
      <protection locked="0"/>
    </xf>
    <xf numFmtId="168" fontId="62" fillId="12" borderId="3" xfId="4" applyNumberFormat="1" applyFont="1" applyFill="1" applyBorder="1" applyAlignment="1">
      <alignment horizontal="right" vertical="center" wrapText="1"/>
    </xf>
    <xf numFmtId="168" fontId="75" fillId="12" borderId="3" xfId="4" applyNumberFormat="1" applyFont="1" applyFill="1" applyBorder="1" applyAlignment="1" applyProtection="1">
      <alignment horizontal="right" vertical="center" wrapText="1"/>
      <protection locked="0"/>
    </xf>
    <xf numFmtId="168" fontId="62" fillId="12" borderId="3" xfId="4" applyNumberFormat="1" applyFont="1" applyFill="1" applyBorder="1" applyAlignment="1" applyProtection="1">
      <alignment horizontal="right" vertical="center" wrapText="1"/>
      <protection locked="0"/>
    </xf>
    <xf numFmtId="168" fontId="61" fillId="12" borderId="3" xfId="4" applyNumberFormat="1" applyFont="1" applyFill="1" applyBorder="1" applyAlignment="1" applyProtection="1">
      <alignment horizontal="right" vertical="center" wrapText="1"/>
      <protection locked="0"/>
    </xf>
    <xf numFmtId="0" fontId="9" fillId="7" borderId="9" xfId="0" applyFont="1" applyFill="1" applyBorder="1" applyAlignment="1">
      <alignment horizontal="right" vertical="center" wrapText="1"/>
    </xf>
    <xf numFmtId="170" fontId="15" fillId="12" borderId="4" xfId="7" applyNumberFormat="1" applyFont="1" applyFill="1" applyBorder="1" applyAlignment="1">
      <alignment horizontal="right" vertical="center" wrapText="1"/>
    </xf>
    <xf numFmtId="170" fontId="15" fillId="13" borderId="4" xfId="7" applyNumberFormat="1" applyFont="1" applyFill="1" applyBorder="1" applyAlignment="1">
      <alignment horizontal="right" vertical="center" wrapText="1"/>
    </xf>
    <xf numFmtId="170" fontId="15" fillId="13" borderId="4" xfId="7" applyNumberFormat="1" applyFont="1" applyFill="1" applyBorder="1" applyAlignment="1" applyProtection="1">
      <alignment horizontal="right" vertical="center" wrapText="1"/>
      <protection locked="0"/>
    </xf>
    <xf numFmtId="170" fontId="15" fillId="12" borderId="4" xfId="1" applyNumberFormat="1" applyFont="1" applyFill="1" applyBorder="1" applyAlignment="1" applyProtection="1">
      <alignment horizontal="right" vertical="center" wrapText="1"/>
      <protection locked="0"/>
    </xf>
    <xf numFmtId="170" fontId="15" fillId="13" borderId="4" xfId="7" applyNumberFormat="1" applyFont="1" applyFill="1" applyBorder="1" applyAlignment="1">
      <alignment vertical="center" wrapText="1"/>
    </xf>
    <xf numFmtId="43" fontId="3" fillId="6" borderId="4" xfId="1" applyNumberFormat="1" applyFont="1" applyFill="1" applyBorder="1" applyAlignment="1" applyProtection="1">
      <alignment horizontal="center" vertical="center"/>
    </xf>
    <xf numFmtId="0" fontId="9" fillId="8" borderId="9" xfId="0" applyFont="1" applyFill="1" applyBorder="1" applyAlignment="1">
      <alignment horizontal="right" vertical="center" wrapText="1"/>
    </xf>
    <xf numFmtId="170" fontId="15" fillId="9" borderId="4" xfId="7" applyNumberFormat="1" applyFont="1" applyFill="1" applyBorder="1" applyAlignment="1">
      <alignment vertical="center" wrapText="1"/>
    </xf>
    <xf numFmtId="0" fontId="76" fillId="13" borderId="4" xfId="8" applyFont="1" applyFill="1" applyBorder="1" applyAlignment="1">
      <alignment horizontal="center" vertical="center" wrapText="1"/>
    </xf>
    <xf numFmtId="9" fontId="3" fillId="13" borderId="4" xfId="1" applyFont="1" applyFill="1" applyBorder="1" applyAlignment="1" applyProtection="1">
      <alignment horizontal="center" vertical="center"/>
    </xf>
    <xf numFmtId="0" fontId="10" fillId="13" borderId="0" xfId="0" applyFont="1" applyFill="1" applyAlignment="1">
      <alignment wrapText="1"/>
    </xf>
    <xf numFmtId="41" fontId="76" fillId="13" borderId="4" xfId="7" applyFont="1" applyFill="1" applyBorder="1" applyAlignment="1">
      <alignment horizontal="center" vertical="center" wrapText="1"/>
    </xf>
    <xf numFmtId="41" fontId="24" fillId="13" borderId="4" xfId="7" applyFont="1" applyFill="1" applyBorder="1" applyAlignment="1">
      <alignment horizontal="center" vertical="center" wrapText="1"/>
    </xf>
    <xf numFmtId="41" fontId="24" fillId="13" borderId="4" xfId="7" applyFont="1" applyFill="1" applyBorder="1" applyAlignment="1">
      <alignment horizontal="center" vertical="center"/>
    </xf>
    <xf numFmtId="41" fontId="10" fillId="13" borderId="0" xfId="7" applyFont="1" applyFill="1" applyAlignment="1">
      <alignment wrapText="1"/>
    </xf>
    <xf numFmtId="0" fontId="21" fillId="12" borderId="4" xfId="0" applyFont="1" applyFill="1" applyBorder="1" applyAlignment="1">
      <alignment horizontal="center" vertical="center" wrapText="1"/>
    </xf>
    <xf numFmtId="3" fontId="21" fillId="12" borderId="4" xfId="0" applyNumberFormat="1" applyFont="1" applyFill="1" applyBorder="1" applyAlignment="1">
      <alignment horizontal="center" vertical="center"/>
    </xf>
    <xf numFmtId="0" fontId="21" fillId="12" borderId="4" xfId="0" applyFont="1" applyFill="1" applyBorder="1" applyAlignment="1">
      <alignment horizontal="center" vertical="center"/>
    </xf>
    <xf numFmtId="165" fontId="21" fillId="12" borderId="4" xfId="0" applyNumberFormat="1" applyFont="1" applyFill="1" applyBorder="1" applyAlignment="1">
      <alignment horizontal="center" vertical="center"/>
    </xf>
    <xf numFmtId="0" fontId="21" fillId="13" borderId="4" xfId="0" applyFont="1" applyFill="1" applyBorder="1" applyAlignment="1">
      <alignment horizontal="center" vertical="center" wrapText="1"/>
    </xf>
    <xf numFmtId="175" fontId="21" fillId="13" borderId="4" xfId="0" applyNumberFormat="1" applyFont="1" applyFill="1" applyBorder="1" applyAlignment="1">
      <alignment horizontal="center" vertical="center"/>
    </xf>
    <xf numFmtId="0" fontId="21" fillId="13" borderId="4" xfId="0" applyFont="1" applyFill="1" applyBorder="1" applyAlignment="1">
      <alignment horizontal="center" wrapText="1"/>
    </xf>
    <xf numFmtId="165" fontId="21" fillId="13" borderId="4" xfId="0" applyNumberFormat="1" applyFont="1" applyFill="1" applyBorder="1" applyAlignment="1">
      <alignment horizontal="center" vertical="center"/>
    </xf>
    <xf numFmtId="175" fontId="62" fillId="13" borderId="4" xfId="0" applyNumberFormat="1" applyFont="1" applyFill="1" applyBorder="1" applyAlignment="1">
      <alignment horizontal="center" vertical="center"/>
    </xf>
    <xf numFmtId="0" fontId="21" fillId="13" borderId="4" xfId="0" applyFont="1" applyFill="1" applyBorder="1" applyAlignment="1">
      <alignment horizontal="center" vertical="center"/>
    </xf>
    <xf numFmtId="0" fontId="10" fillId="13" borderId="0" xfId="0" applyFont="1" applyFill="1"/>
    <xf numFmtId="3" fontId="21" fillId="13" borderId="4" xfId="0" applyNumberFormat="1" applyFont="1" applyFill="1" applyBorder="1" applyAlignment="1">
      <alignment horizontal="center" vertical="center"/>
    </xf>
    <xf numFmtId="1" fontId="21" fillId="13" borderId="4" xfId="0" applyNumberFormat="1" applyFont="1" applyFill="1" applyBorder="1" applyAlignment="1">
      <alignment horizontal="center" vertical="center"/>
    </xf>
    <xf numFmtId="166" fontId="21" fillId="13" borderId="4" xfId="0" applyNumberFormat="1" applyFont="1" applyFill="1" applyBorder="1" applyAlignment="1">
      <alignment horizontal="center" vertical="center"/>
    </xf>
    <xf numFmtId="0" fontId="21" fillId="13" borderId="4" xfId="2" applyFont="1" applyFill="1" applyBorder="1" applyAlignment="1">
      <alignment horizontal="center" vertical="center" wrapText="1"/>
    </xf>
    <xf numFmtId="164" fontId="21" fillId="13" borderId="4" xfId="0" applyNumberFormat="1" applyFont="1" applyFill="1" applyBorder="1" applyAlignment="1">
      <alignment horizontal="center" vertical="center"/>
    </xf>
    <xf numFmtId="170" fontId="15" fillId="13" borderId="4" xfId="7" applyNumberFormat="1" applyFont="1" applyFill="1" applyBorder="1" applyAlignment="1">
      <alignment horizontal="left" vertical="center" wrapText="1"/>
    </xf>
    <xf numFmtId="170" fontId="15" fillId="13" borderId="4" xfId="7" applyNumberFormat="1" applyFont="1" applyFill="1" applyBorder="1" applyAlignment="1" applyProtection="1">
      <alignment horizontal="left" vertical="center" wrapText="1"/>
      <protection locked="0"/>
    </xf>
    <xf numFmtId="9" fontId="21" fillId="13" borderId="4" xfId="0" applyNumberFormat="1" applyFont="1" applyFill="1" applyBorder="1" applyAlignment="1">
      <alignment horizontal="center" vertical="center"/>
    </xf>
    <xf numFmtId="0" fontId="62" fillId="13" borderId="4" xfId="2" applyFont="1" applyFill="1" applyBorder="1" applyAlignment="1">
      <alignment horizontal="center" vertical="center" wrapText="1"/>
    </xf>
    <xf numFmtId="0" fontId="62" fillId="13" borderId="4" xfId="0" applyFont="1" applyFill="1" applyBorder="1" applyAlignment="1">
      <alignment horizontal="center" vertical="center" wrapText="1"/>
    </xf>
    <xf numFmtId="3" fontId="62" fillId="13" borderId="4" xfId="0" applyNumberFormat="1" applyFont="1" applyFill="1" applyBorder="1" applyAlignment="1">
      <alignment horizontal="center" vertical="center"/>
    </xf>
    <xf numFmtId="0" fontId="62" fillId="13" borderId="4" xfId="0" applyFont="1" applyFill="1" applyBorder="1" applyAlignment="1">
      <alignment horizontal="center" wrapText="1"/>
    </xf>
    <xf numFmtId="164" fontId="62" fillId="13" borderId="4" xfId="0" applyNumberFormat="1" applyFont="1" applyFill="1" applyBorder="1" applyAlignment="1">
      <alignment horizontal="center" vertical="center"/>
    </xf>
    <xf numFmtId="170" fontId="24" fillId="13" borderId="4" xfId="7" applyNumberFormat="1" applyFont="1" applyFill="1" applyBorder="1" applyAlignment="1">
      <alignment horizontal="left" vertical="center" wrapText="1"/>
    </xf>
    <xf numFmtId="170" fontId="24" fillId="13" borderId="4" xfId="7" applyNumberFormat="1" applyFont="1" applyFill="1" applyBorder="1" applyAlignment="1" applyProtection="1">
      <alignment horizontal="left" vertical="center" wrapText="1"/>
      <protection locked="0"/>
    </xf>
    <xf numFmtId="0" fontId="21" fillId="9" borderId="4" xfId="0" applyFont="1" applyFill="1" applyBorder="1" applyAlignment="1">
      <alignment horizontal="center" vertical="center" wrapText="1"/>
    </xf>
    <xf numFmtId="167" fontId="21" fillId="9" borderId="4" xfId="1" applyNumberFormat="1" applyFont="1" applyFill="1" applyBorder="1" applyAlignment="1">
      <alignment horizontal="center" vertical="center"/>
    </xf>
    <xf numFmtId="0" fontId="21" fillId="9" borderId="4" xfId="0" applyFont="1" applyFill="1" applyBorder="1" applyAlignment="1">
      <alignment horizontal="center" wrapText="1"/>
    </xf>
    <xf numFmtId="164" fontId="21" fillId="9" borderId="4" xfId="0" applyNumberFormat="1" applyFont="1" applyFill="1" applyBorder="1" applyAlignment="1">
      <alignment horizontal="center" vertical="center"/>
    </xf>
    <xf numFmtId="9" fontId="3" fillId="9" borderId="4" xfId="1" applyFont="1" applyFill="1" applyBorder="1" applyAlignment="1" applyProtection="1">
      <alignment horizontal="center" vertical="center"/>
    </xf>
    <xf numFmtId="9" fontId="21" fillId="9" borderId="4" xfId="0" applyNumberFormat="1" applyFont="1" applyFill="1" applyBorder="1" applyAlignment="1">
      <alignment horizontal="center" vertical="center"/>
    </xf>
    <xf numFmtId="9" fontId="21" fillId="12" borderId="4" xfId="0" applyNumberFormat="1" applyFont="1" applyFill="1" applyBorder="1" applyAlignment="1">
      <alignment horizontal="center" vertical="center"/>
    </xf>
    <xf numFmtId="0" fontId="21" fillId="12" borderId="4" xfId="0" applyFont="1" applyFill="1" applyBorder="1" applyAlignment="1">
      <alignment horizontal="center" wrapText="1"/>
    </xf>
    <xf numFmtId="164" fontId="21" fillId="12" borderId="4" xfId="0" applyNumberFormat="1" applyFont="1" applyFill="1" applyBorder="1" applyAlignment="1">
      <alignment horizontal="center" vertical="center"/>
    </xf>
    <xf numFmtId="9" fontId="3" fillId="12" borderId="4" xfId="1" applyFont="1" applyFill="1" applyBorder="1" applyAlignment="1" applyProtection="1">
      <alignment horizontal="center" vertical="center"/>
    </xf>
    <xf numFmtId="0" fontId="10" fillId="12" borderId="0" xfId="0" applyFont="1" applyFill="1"/>
    <xf numFmtId="0" fontId="5" fillId="7" borderId="10" xfId="0" applyFont="1" applyFill="1" applyBorder="1"/>
    <xf numFmtId="0" fontId="5" fillId="7" borderId="9" xfId="0" applyFont="1" applyFill="1" applyBorder="1"/>
    <xf numFmtId="0" fontId="5" fillId="7" borderId="11" xfId="0" applyFont="1" applyFill="1" applyBorder="1"/>
    <xf numFmtId="0" fontId="25" fillId="13" borderId="5" xfId="0" applyFont="1" applyFill="1" applyBorder="1" applyAlignment="1">
      <alignment horizontal="center" vertical="center" wrapText="1"/>
    </xf>
    <xf numFmtId="164" fontId="24" fillId="13" borderId="4" xfId="0" applyNumberFormat="1" applyFont="1" applyFill="1" applyBorder="1" applyAlignment="1">
      <alignment horizontal="center" vertical="center"/>
    </xf>
    <xf numFmtId="170" fontId="24" fillId="13" borderId="4" xfId="7" applyNumberFormat="1" applyFont="1" applyFill="1" applyBorder="1" applyAlignment="1">
      <alignment horizontal="center" vertical="center"/>
    </xf>
    <xf numFmtId="170" fontId="24" fillId="13" borderId="4" xfId="7" applyNumberFormat="1" applyFont="1" applyFill="1" applyBorder="1" applyProtection="1">
      <protection locked="0"/>
    </xf>
    <xf numFmtId="170" fontId="24" fillId="13" borderId="4" xfId="7" applyNumberFormat="1" applyFont="1" applyFill="1" applyBorder="1"/>
    <xf numFmtId="0" fontId="24" fillId="13" borderId="0" xfId="0" applyFont="1" applyFill="1"/>
    <xf numFmtId="0" fontId="24" fillId="0" borderId="0" xfId="0" applyFont="1"/>
    <xf numFmtId="3" fontId="24" fillId="13" borderId="4" xfId="0" applyNumberFormat="1" applyFont="1" applyFill="1" applyBorder="1" applyAlignment="1" applyProtection="1">
      <alignment horizontal="center" vertical="center"/>
      <protection locked="0"/>
    </xf>
    <xf numFmtId="0" fontId="26" fillId="13" borderId="4" xfId="0" applyFont="1" applyFill="1" applyBorder="1" applyAlignment="1">
      <alignment horizontal="center" vertical="center" wrapText="1"/>
    </xf>
    <xf numFmtId="0" fontId="24" fillId="13" borderId="4" xfId="0" applyFont="1" applyFill="1" applyBorder="1" applyAlignment="1" applyProtection="1">
      <alignment horizontal="center" vertical="center" wrapText="1"/>
      <protection locked="0"/>
    </xf>
    <xf numFmtId="170" fontId="24" fillId="13" borderId="4" xfId="7" applyNumberFormat="1" applyFont="1" applyFill="1" applyBorder="1" applyAlignment="1" applyProtection="1">
      <alignment horizontal="center" vertical="center"/>
      <protection locked="0"/>
    </xf>
    <xf numFmtId="174" fontId="24" fillId="13" borderId="4" xfId="7" applyNumberFormat="1" applyFont="1" applyFill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170" fontId="24" fillId="12" borderId="4" xfId="7" applyNumberFormat="1" applyFont="1" applyFill="1" applyBorder="1" applyAlignment="1">
      <alignment horizontal="center" vertical="center"/>
    </xf>
    <xf numFmtId="170" fontId="24" fillId="12" borderId="4" xfId="7" applyNumberFormat="1" applyFont="1" applyFill="1" applyBorder="1" applyAlignment="1" applyProtection="1">
      <alignment vertical="center"/>
      <protection locked="0"/>
    </xf>
    <xf numFmtId="170" fontId="24" fillId="12" borderId="4" xfId="7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4" fillId="3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7" fillId="4" borderId="9" xfId="0" applyFont="1" applyFill="1" applyBorder="1" applyAlignment="1">
      <alignment vertical="center" wrapText="1"/>
    </xf>
    <xf numFmtId="0" fontId="14" fillId="9" borderId="39" xfId="8" applyFill="1" applyBorder="1" applyAlignment="1" applyProtection="1">
      <alignment horizontal="center" vertical="center" wrapText="1"/>
    </xf>
    <xf numFmtId="168" fontId="15" fillId="9" borderId="39" xfId="4" applyNumberFormat="1" applyFont="1" applyFill="1" applyBorder="1" applyAlignment="1" applyProtection="1">
      <alignment horizontal="center" vertical="center"/>
    </xf>
    <xf numFmtId="168" fontId="15" fillId="13" borderId="5" xfId="4" applyNumberFormat="1" applyFont="1" applyFill="1" applyBorder="1" applyAlignment="1" applyProtection="1">
      <alignment horizontal="center" vertical="center" wrapText="1"/>
    </xf>
    <xf numFmtId="41" fontId="14" fillId="13" borderId="4" xfId="7" applyFont="1" applyFill="1" applyBorder="1" applyAlignment="1" applyProtection="1">
      <alignment horizontal="center" vertical="center" wrapText="1"/>
    </xf>
    <xf numFmtId="41" fontId="24" fillId="0" borderId="0" xfId="7" applyFont="1" applyAlignment="1" applyProtection="1">
      <alignment vertical="center"/>
    </xf>
    <xf numFmtId="0" fontId="15" fillId="12" borderId="81" xfId="0" applyFont="1" applyFill="1" applyBorder="1" applyAlignment="1">
      <alignment horizontal="center" vertical="center" wrapText="1"/>
    </xf>
    <xf numFmtId="0" fontId="14" fillId="12" borderId="39" xfId="8" applyFill="1" applyBorder="1" applyAlignment="1" applyProtection="1">
      <alignment horizontal="center" vertical="center" wrapText="1"/>
    </xf>
    <xf numFmtId="0" fontId="15" fillId="12" borderId="39" xfId="0" applyFont="1" applyFill="1" applyBorder="1" applyAlignment="1">
      <alignment horizontal="center" vertical="center" wrapText="1"/>
    </xf>
    <xf numFmtId="165" fontId="15" fillId="12" borderId="39" xfId="0" applyNumberFormat="1" applyFont="1" applyFill="1" applyBorder="1" applyAlignment="1">
      <alignment horizontal="center" vertical="center"/>
    </xf>
    <xf numFmtId="0" fontId="15" fillId="12" borderId="82" xfId="0" applyFont="1" applyFill="1" applyBorder="1" applyAlignment="1">
      <alignment horizontal="center" vertical="center" wrapText="1"/>
    </xf>
    <xf numFmtId="185" fontId="15" fillId="13" borderId="5" xfId="0" applyNumberFormat="1" applyFont="1" applyFill="1" applyBorder="1" applyAlignment="1">
      <alignment horizontal="center" vertical="center"/>
    </xf>
    <xf numFmtId="0" fontId="15" fillId="13" borderId="83" xfId="0" applyFont="1" applyFill="1" applyBorder="1" applyAlignment="1">
      <alignment horizontal="center" vertical="center" wrapText="1"/>
    </xf>
    <xf numFmtId="168" fontId="15" fillId="13" borderId="5" xfId="4" applyNumberFormat="1" applyFont="1" applyFill="1" applyBorder="1" applyAlignment="1" applyProtection="1">
      <alignment horizontal="center" vertical="center" wrapText="1"/>
      <protection locked="0"/>
    </xf>
    <xf numFmtId="0" fontId="15" fillId="12" borderId="84" xfId="0" applyFont="1" applyFill="1" applyBorder="1" applyAlignment="1">
      <alignment horizontal="center" vertical="center" wrapText="1"/>
    </xf>
    <xf numFmtId="185" fontId="15" fillId="12" borderId="11" xfId="0" applyNumberFormat="1" applyFont="1" applyFill="1" applyBorder="1" applyAlignment="1">
      <alignment horizontal="center" vertical="center"/>
    </xf>
    <xf numFmtId="0" fontId="15" fillId="12" borderId="25" xfId="0" applyFont="1" applyFill="1" applyBorder="1" applyAlignment="1">
      <alignment horizontal="center" vertical="center" wrapText="1"/>
    </xf>
    <xf numFmtId="0" fontId="14" fillId="13" borderId="85" xfId="8" applyFill="1" applyBorder="1" applyAlignment="1" applyProtection="1">
      <alignment horizontal="center" vertical="center" wrapText="1"/>
    </xf>
    <xf numFmtId="0" fontId="15" fillId="13" borderId="86" xfId="0" applyFont="1" applyFill="1" applyBorder="1" applyAlignment="1">
      <alignment horizontal="center" vertical="center" wrapText="1"/>
    </xf>
    <xf numFmtId="185" fontId="15" fillId="13" borderId="4" xfId="0" applyNumberFormat="1" applyFont="1" applyFill="1" applyBorder="1" applyAlignment="1">
      <alignment horizontal="center" vertical="center"/>
    </xf>
    <xf numFmtId="166" fontId="24" fillId="13" borderId="4" xfId="0" applyNumberFormat="1" applyFont="1" applyFill="1" applyBorder="1" applyAlignment="1">
      <alignment horizontal="center" vertical="center"/>
    </xf>
    <xf numFmtId="0" fontId="14" fillId="12" borderId="87" xfId="8" applyFill="1" applyBorder="1" applyAlignment="1" applyProtection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185" fontId="15" fillId="12" borderId="7" xfId="0" applyNumberFormat="1" applyFont="1" applyFill="1" applyBorder="1" applyAlignment="1">
      <alignment horizontal="center" vertical="center"/>
    </xf>
    <xf numFmtId="164" fontId="24" fillId="12" borderId="4" xfId="0" applyNumberFormat="1" applyFont="1" applyFill="1" applyBorder="1" applyAlignment="1">
      <alignment horizontal="center" vertical="center"/>
    </xf>
    <xf numFmtId="0" fontId="15" fillId="13" borderId="13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/>
    </xf>
    <xf numFmtId="0" fontId="15" fillId="13" borderId="25" xfId="0" applyFont="1" applyFill="1" applyBorder="1" applyAlignment="1">
      <alignment horizontal="center" vertical="center" wrapText="1"/>
    </xf>
    <xf numFmtId="2" fontId="15" fillId="12" borderId="4" xfId="2" applyNumberFormat="1" applyFont="1" applyFill="1" applyBorder="1" applyAlignment="1" applyProtection="1">
      <alignment horizontal="center" vertical="center" wrapText="1"/>
    </xf>
    <xf numFmtId="0" fontId="15" fillId="13" borderId="19" xfId="0" applyFont="1" applyFill="1" applyBorder="1" applyAlignment="1">
      <alignment horizontal="center" vertical="center"/>
    </xf>
    <xf numFmtId="2" fontId="15" fillId="13" borderId="4" xfId="0" applyNumberFormat="1" applyFont="1" applyFill="1" applyBorder="1" applyAlignment="1">
      <alignment horizontal="center" vertical="center"/>
    </xf>
    <xf numFmtId="0" fontId="24" fillId="9" borderId="0" xfId="0" applyFont="1" applyFill="1" applyAlignment="1">
      <alignment vertical="center"/>
    </xf>
    <xf numFmtId="0" fontId="24" fillId="16" borderId="0" xfId="0" applyFont="1" applyFill="1" applyAlignment="1">
      <alignment vertical="center"/>
    </xf>
    <xf numFmtId="10" fontId="15" fillId="12" borderId="4" xfId="2" applyNumberFormat="1" applyFont="1" applyFill="1" applyBorder="1" applyAlignment="1" applyProtection="1">
      <alignment horizontal="center" vertical="center" wrapText="1"/>
    </xf>
    <xf numFmtId="2" fontId="15" fillId="13" borderId="4" xfId="2" applyNumberFormat="1" applyFont="1" applyFill="1" applyBorder="1" applyAlignment="1" applyProtection="1">
      <alignment horizontal="center" vertical="center" wrapText="1"/>
    </xf>
    <xf numFmtId="10" fontId="15" fillId="12" borderId="9" xfId="1" applyNumberFormat="1" applyFont="1" applyFill="1" applyBorder="1" applyAlignment="1" applyProtection="1">
      <alignment horizontal="center" vertical="center" wrapText="1"/>
    </xf>
    <xf numFmtId="0" fontId="14" fillId="13" borderId="11" xfId="8" applyFill="1" applyBorder="1" applyAlignment="1" applyProtection="1">
      <alignment horizontal="center" vertical="center" wrapText="1"/>
    </xf>
    <xf numFmtId="10" fontId="15" fillId="13" borderId="25" xfId="2" applyNumberFormat="1" applyFont="1" applyFill="1" applyBorder="1" applyAlignment="1" applyProtection="1">
      <alignment horizontal="center" vertical="center" wrapText="1"/>
    </xf>
    <xf numFmtId="0" fontId="15" fillId="12" borderId="9" xfId="0" applyFont="1" applyFill="1" applyBorder="1" applyAlignment="1">
      <alignment horizontal="center" vertical="center" wrapText="1"/>
    </xf>
    <xf numFmtId="10" fontId="15" fillId="12" borderId="10" xfId="0" applyNumberFormat="1" applyFont="1" applyFill="1" applyBorder="1" applyAlignment="1">
      <alignment horizontal="center" vertical="center" wrapText="1"/>
    </xf>
    <xf numFmtId="0" fontId="15" fillId="13" borderId="11" xfId="2" applyFont="1" applyFill="1" applyBorder="1" applyAlignment="1" applyProtection="1">
      <alignment horizontal="center" vertical="center" wrapText="1"/>
    </xf>
    <xf numFmtId="0" fontId="15" fillId="12" borderId="88" xfId="0" applyFont="1" applyFill="1" applyBorder="1" applyAlignment="1">
      <alignment horizontal="center" vertical="center" wrapText="1"/>
    </xf>
    <xf numFmtId="0" fontId="9" fillId="12" borderId="4" xfId="0" applyFont="1" applyFill="1" applyBorder="1" applyAlignment="1">
      <alignment vertical="center" wrapText="1"/>
    </xf>
    <xf numFmtId="0" fontId="15" fillId="13" borderId="9" xfId="2" applyFont="1" applyFill="1" applyBorder="1" applyAlignment="1" applyProtection="1">
      <alignment horizontal="center" vertical="center" wrapText="1"/>
    </xf>
    <xf numFmtId="10" fontId="15" fillId="12" borderId="19" xfId="0" applyNumberFormat="1" applyFont="1" applyFill="1" applyBorder="1" applyAlignment="1">
      <alignment horizontal="center" vertical="center" wrapText="1"/>
    </xf>
    <xf numFmtId="0" fontId="15" fillId="12" borderId="5" xfId="0" applyFont="1" applyFill="1" applyBorder="1" applyAlignment="1">
      <alignment horizontal="center" wrapText="1"/>
    </xf>
    <xf numFmtId="164" fontId="15" fillId="12" borderId="5" xfId="0" applyNumberFormat="1" applyFont="1" applyFill="1" applyBorder="1" applyAlignment="1">
      <alignment horizontal="center" vertical="center"/>
    </xf>
    <xf numFmtId="0" fontId="15" fillId="13" borderId="10" xfId="2" applyFont="1" applyFill="1" applyBorder="1" applyAlignment="1" applyProtection="1">
      <alignment horizontal="center" vertical="center" wrapText="1"/>
    </xf>
    <xf numFmtId="0" fontId="15" fillId="13" borderId="16" xfId="2" applyFont="1" applyFill="1" applyBorder="1" applyAlignment="1" applyProtection="1">
      <alignment horizontal="center" vertical="center" wrapText="1"/>
    </xf>
    <xf numFmtId="0" fontId="27" fillId="13" borderId="0" xfId="0" applyFont="1" applyFill="1" applyAlignment="1">
      <alignment horizontal="center" vertical="center" wrapText="1"/>
    </xf>
    <xf numFmtId="168" fontId="15" fillId="13" borderId="11" xfId="4" applyNumberFormat="1" applyFont="1" applyFill="1" applyBorder="1" applyAlignment="1" applyProtection="1">
      <alignment horizontal="center" vertical="center" wrapText="1"/>
    </xf>
    <xf numFmtId="168" fontId="15" fillId="13" borderId="2" xfId="4" applyNumberFormat="1" applyFont="1" applyFill="1" applyBorder="1" applyAlignment="1" applyProtection="1">
      <alignment horizontal="center" vertical="center" wrapText="1"/>
      <protection locked="0"/>
    </xf>
    <xf numFmtId="168" fontId="15" fillId="13" borderId="13" xfId="4" applyNumberFormat="1" applyFont="1" applyFill="1" applyBorder="1" applyAlignment="1" applyProtection="1">
      <alignment horizontal="center" vertical="center" wrapText="1"/>
    </xf>
    <xf numFmtId="168" fontId="15" fillId="13" borderId="4" xfId="4" applyNumberFormat="1" applyFont="1" applyFill="1" applyBorder="1" applyAlignment="1" applyProtection="1">
      <alignment horizontal="center" vertical="center" wrapText="1"/>
    </xf>
    <xf numFmtId="168" fontId="15" fillId="13" borderId="19" xfId="4" applyNumberFormat="1" applyFont="1" applyFill="1" applyBorder="1" applyAlignment="1" applyProtection="1">
      <alignment horizontal="center" vertical="center" wrapText="1"/>
    </xf>
    <xf numFmtId="168" fontId="15" fillId="13" borderId="16" xfId="4" applyNumberFormat="1" applyFont="1" applyFill="1" applyBorder="1" applyAlignment="1" applyProtection="1">
      <alignment horizontal="center" vertical="center" wrapText="1"/>
    </xf>
    <xf numFmtId="168" fontId="15" fillId="13" borderId="19" xfId="4" applyNumberFormat="1" applyFont="1" applyFill="1" applyBorder="1" applyAlignment="1" applyProtection="1">
      <alignment horizontal="center" vertical="center" wrapText="1"/>
      <protection locked="0"/>
    </xf>
    <xf numFmtId="168" fontId="15" fillId="13" borderId="10" xfId="4" applyNumberFormat="1" applyFont="1" applyFill="1" applyBorder="1" applyAlignment="1" applyProtection="1">
      <alignment horizontal="center" vertical="center" wrapText="1"/>
    </xf>
    <xf numFmtId="185" fontId="15" fillId="12" borderId="13" xfId="0" applyNumberFormat="1" applyFont="1" applyFill="1" applyBorder="1" applyAlignment="1">
      <alignment horizontal="center" vertical="center" wrapText="1"/>
    </xf>
    <xf numFmtId="2" fontId="15" fillId="12" borderId="88" xfId="0" applyNumberFormat="1" applyFont="1" applyFill="1" applyBorder="1" applyAlignment="1">
      <alignment horizontal="center" vertical="center" wrapText="1"/>
    </xf>
    <xf numFmtId="168" fontId="15" fillId="12" borderId="8" xfId="4" applyNumberFormat="1" applyFont="1" applyFill="1" applyBorder="1" applyAlignment="1" applyProtection="1">
      <alignment horizontal="center" vertical="center" wrapText="1"/>
    </xf>
    <xf numFmtId="0" fontId="15" fillId="13" borderId="6" xfId="0" applyFont="1" applyFill="1" applyBorder="1" applyAlignment="1">
      <alignment horizontal="center" vertical="center"/>
    </xf>
    <xf numFmtId="2" fontId="15" fillId="13" borderId="25" xfId="0" applyNumberFormat="1" applyFont="1" applyFill="1" applyBorder="1" applyAlignment="1">
      <alignment horizontal="center" vertical="center" wrapText="1"/>
    </xf>
    <xf numFmtId="0" fontId="15" fillId="13" borderId="0" xfId="0" applyFont="1" applyFill="1" applyAlignment="1">
      <alignment horizontal="center" vertical="center" wrapText="1"/>
    </xf>
    <xf numFmtId="2" fontId="15" fillId="13" borderId="13" xfId="0" applyNumberFormat="1" applyFont="1" applyFill="1" applyBorder="1" applyAlignment="1">
      <alignment horizontal="center" vertical="center" wrapText="1"/>
    </xf>
    <xf numFmtId="0" fontId="15" fillId="13" borderId="89" xfId="0" applyFont="1" applyFill="1" applyBorder="1" applyAlignment="1">
      <alignment horizontal="center" vertical="center" wrapText="1"/>
    </xf>
    <xf numFmtId="2" fontId="15" fillId="12" borderId="0" xfId="0" applyNumberFormat="1" applyFont="1" applyFill="1" applyAlignment="1">
      <alignment horizontal="center" vertical="center" wrapText="1"/>
    </xf>
    <xf numFmtId="10" fontId="15" fillId="13" borderId="10" xfId="0" applyNumberFormat="1" applyFont="1" applyFill="1" applyBorder="1" applyAlignment="1">
      <alignment horizontal="center" vertical="center" wrapText="1"/>
    </xf>
    <xf numFmtId="0" fontId="15" fillId="13" borderId="88" xfId="0" applyFont="1" applyFill="1" applyBorder="1" applyAlignment="1">
      <alignment horizontal="center" vertical="center" wrapText="1"/>
    </xf>
    <xf numFmtId="168" fontId="9" fillId="7" borderId="10" xfId="0" applyNumberFormat="1" applyFont="1" applyFill="1" applyBorder="1" applyAlignment="1">
      <alignment vertical="center" wrapText="1"/>
    </xf>
    <xf numFmtId="168" fontId="9" fillId="7" borderId="9" xfId="0" applyNumberFormat="1" applyFont="1" applyFill="1" applyBorder="1" applyAlignment="1">
      <alignment vertical="center" wrapText="1"/>
    </xf>
    <xf numFmtId="168" fontId="9" fillId="7" borderId="9" xfId="0" applyNumberFormat="1" applyFont="1" applyFill="1" applyBorder="1" applyAlignment="1">
      <alignment horizontal="center" vertical="center" wrapText="1"/>
    </xf>
    <xf numFmtId="9" fontId="9" fillId="7" borderId="11" xfId="1" applyFont="1" applyFill="1" applyBorder="1" applyAlignment="1" applyProtection="1">
      <alignment vertical="center" wrapText="1"/>
    </xf>
    <xf numFmtId="0" fontId="15" fillId="12" borderId="11" xfId="2" applyFont="1" applyFill="1" applyBorder="1" applyAlignment="1" applyProtection="1">
      <alignment horizontal="center" vertical="center" wrapText="1"/>
    </xf>
    <xf numFmtId="0" fontId="14" fillId="13" borderId="59" xfId="8" applyFill="1" applyBorder="1" applyAlignment="1" applyProtection="1">
      <alignment horizontal="center" vertical="center" wrapText="1"/>
    </xf>
    <xf numFmtId="170" fontId="15" fillId="13" borderId="59" xfId="7" applyNumberFormat="1" applyFont="1" applyFill="1" applyBorder="1" applyAlignment="1" applyProtection="1">
      <alignment horizontal="center" vertical="center" wrapText="1"/>
    </xf>
    <xf numFmtId="10" fontId="15" fillId="13" borderId="5" xfId="0" applyNumberFormat="1" applyFont="1" applyFill="1" applyBorder="1" applyAlignment="1">
      <alignment horizontal="center" vertical="center" wrapText="1"/>
    </xf>
    <xf numFmtId="0" fontId="25" fillId="12" borderId="83" xfId="0" applyFont="1" applyFill="1" applyBorder="1" applyAlignment="1">
      <alignment horizontal="center" vertical="center" wrapText="1"/>
    </xf>
    <xf numFmtId="0" fontId="15" fillId="12" borderId="95" xfId="2" applyFont="1" applyFill="1" applyBorder="1" applyAlignment="1" applyProtection="1">
      <alignment horizontal="center" vertical="center" wrapText="1"/>
    </xf>
    <xf numFmtId="0" fontId="14" fillId="12" borderId="96" xfId="8" applyFill="1" applyBorder="1" applyAlignment="1" applyProtection="1">
      <alignment horizontal="center" vertical="center" wrapText="1"/>
    </xf>
    <xf numFmtId="0" fontId="15" fillId="12" borderId="96" xfId="0" applyFont="1" applyFill="1" applyBorder="1" applyAlignment="1">
      <alignment horizontal="center" vertical="center" wrapText="1"/>
    </xf>
    <xf numFmtId="2" fontId="15" fillId="12" borderId="96" xfId="0" applyNumberFormat="1" applyFont="1" applyFill="1" applyBorder="1" applyAlignment="1">
      <alignment horizontal="center" vertical="center"/>
    </xf>
    <xf numFmtId="0" fontId="15" fillId="12" borderId="97" xfId="0" applyFont="1" applyFill="1" applyBorder="1" applyAlignment="1">
      <alignment horizontal="center" vertical="center" wrapText="1"/>
    </xf>
    <xf numFmtId="41" fontId="9" fillId="8" borderId="10" xfId="7" applyFont="1" applyFill="1" applyBorder="1" applyAlignment="1">
      <alignment vertical="center" wrapText="1"/>
    </xf>
    <xf numFmtId="41" fontId="9" fillId="8" borderId="9" xfId="7" applyFont="1" applyFill="1" applyBorder="1" applyAlignment="1">
      <alignment vertical="center" wrapText="1"/>
    </xf>
    <xf numFmtId="41" fontId="9" fillId="8" borderId="9" xfId="7" applyFont="1" applyFill="1" applyBorder="1" applyAlignment="1">
      <alignment horizontal="center" vertical="center" wrapText="1"/>
    </xf>
    <xf numFmtId="41" fontId="19" fillId="9" borderId="4" xfId="7" applyFont="1" applyFill="1" applyBorder="1" applyAlignment="1">
      <alignment horizontal="center" vertical="center" wrapText="1"/>
    </xf>
    <xf numFmtId="41" fontId="14" fillId="13" borderId="5" xfId="7" applyFont="1" applyFill="1" applyBorder="1" applyAlignment="1" applyProtection="1">
      <alignment horizontal="center" vertical="center" wrapText="1"/>
    </xf>
    <xf numFmtId="41" fontId="24" fillId="9" borderId="0" xfId="7" applyFont="1" applyFill="1" applyAlignment="1" applyProtection="1">
      <alignment vertical="center"/>
    </xf>
    <xf numFmtId="0" fontId="30" fillId="23" borderId="0" xfId="0" applyFont="1" applyFill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9" fontId="14" fillId="0" borderId="0" xfId="8" applyNumberFormat="1" applyAlignment="1" applyProtection="1">
      <alignment horizont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41" fontId="0" fillId="0" borderId="0" xfId="7" applyFont="1" applyAlignment="1" applyProtection="1">
      <alignment vertical="center"/>
    </xf>
    <xf numFmtId="0" fontId="0" fillId="9" borderId="0" xfId="0" applyFill="1" applyAlignment="1">
      <alignment vertical="center"/>
    </xf>
    <xf numFmtId="0" fontId="0" fillId="16" borderId="0" xfId="0" applyFill="1" applyAlignment="1">
      <alignment vertical="center"/>
    </xf>
    <xf numFmtId="41" fontId="0" fillId="9" borderId="0" xfId="7" applyFont="1" applyFill="1" applyAlignment="1" applyProtection="1">
      <alignment vertical="center"/>
    </xf>
    <xf numFmtId="9" fontId="5" fillId="0" borderId="0" xfId="1" applyFont="1" applyAlignment="1" applyProtection="1">
      <alignment vertical="center"/>
    </xf>
    <xf numFmtId="0" fontId="0" fillId="0" borderId="16" xfId="0" applyBorder="1"/>
    <xf numFmtId="41" fontId="15" fillId="9" borderId="8" xfId="7" applyFont="1" applyFill="1" applyBorder="1" applyAlignment="1">
      <alignment horizontal="center" vertical="center" wrapText="1"/>
    </xf>
    <xf numFmtId="41" fontId="15" fillId="9" borderId="5" xfId="7" applyFont="1" applyFill="1" applyBorder="1" applyAlignment="1">
      <alignment horizontal="right" vertical="center" wrapText="1"/>
    </xf>
    <xf numFmtId="187" fontId="15" fillId="12" borderId="4" xfId="0" applyNumberFormat="1" applyFont="1" applyFill="1" applyBorder="1" applyAlignment="1" applyProtection="1">
      <alignment horizontal="center" vertical="center"/>
      <protection locked="0"/>
    </xf>
    <xf numFmtId="168" fontId="15" fillId="13" borderId="4" xfId="9" applyNumberFormat="1" applyFont="1" applyFill="1" applyBorder="1" applyAlignment="1" applyProtection="1">
      <alignment horizontal="center" vertical="center" wrapText="1"/>
      <protection locked="0"/>
    </xf>
    <xf numFmtId="168" fontId="15" fillId="12" borderId="4" xfId="9" applyNumberFormat="1" applyFont="1" applyFill="1" applyBorder="1" applyAlignment="1" applyProtection="1">
      <alignment horizontal="center" vertical="center" wrapText="1"/>
      <protection locked="0"/>
    </xf>
    <xf numFmtId="168" fontId="15" fillId="9" borderId="5" xfId="4" applyNumberFormat="1" applyFont="1" applyFill="1" applyBorder="1" applyAlignment="1" applyProtection="1">
      <alignment horizontal="left" vertical="center" wrapText="1"/>
      <protection locked="0"/>
    </xf>
    <xf numFmtId="170" fontId="15" fillId="5" borderId="4" xfId="7" applyNumberFormat="1" applyFont="1" applyFill="1" applyBorder="1" applyAlignment="1">
      <alignment horizontal="right" vertical="center" wrapText="1"/>
    </xf>
    <xf numFmtId="4" fontId="15" fillId="13" borderId="4" xfId="0" applyNumberFormat="1" applyFont="1" applyFill="1" applyBorder="1" applyAlignment="1" applyProtection="1">
      <alignment horizontal="center" vertical="center"/>
      <protection locked="0"/>
    </xf>
    <xf numFmtId="42" fontId="15" fillId="13" borderId="4" xfId="9" applyFont="1" applyFill="1" applyBorder="1" applyAlignment="1">
      <alignment vertical="center"/>
    </xf>
    <xf numFmtId="10" fontId="15" fillId="12" borderId="4" xfId="1" applyNumberFormat="1" applyFont="1" applyFill="1" applyBorder="1" applyAlignment="1" applyProtection="1">
      <alignment horizontal="center" vertical="center"/>
      <protection locked="0"/>
    </xf>
    <xf numFmtId="0" fontId="15" fillId="13" borderId="4" xfId="3" applyFont="1" applyFill="1" applyBorder="1" applyAlignment="1">
      <alignment horizontal="center" vertical="center" wrapText="1"/>
    </xf>
    <xf numFmtId="9" fontId="15" fillId="13" borderId="4" xfId="1" applyFont="1" applyFill="1" applyBorder="1" applyAlignment="1" applyProtection="1">
      <alignment horizontal="center" vertical="center"/>
      <protection locked="0"/>
    </xf>
    <xf numFmtId="0" fontId="15" fillId="12" borderId="4" xfId="3" applyFont="1" applyFill="1" applyBorder="1" applyAlignment="1">
      <alignment horizontal="center" vertical="center" wrapText="1"/>
    </xf>
    <xf numFmtId="10" fontId="15" fillId="12" borderId="4" xfId="3" applyNumberFormat="1" applyFont="1" applyFill="1" applyBorder="1" applyAlignment="1">
      <alignment horizontal="center" vertical="center" wrapText="1"/>
    </xf>
    <xf numFmtId="170" fontId="15" fillId="9" borderId="2" xfId="7" applyNumberFormat="1" applyFont="1" applyFill="1" applyBorder="1" applyAlignment="1" applyProtection="1">
      <alignment horizontal="center" vertical="center" wrapText="1"/>
      <protection locked="0"/>
    </xf>
    <xf numFmtId="170" fontId="15" fillId="9" borderId="19" xfId="7" applyNumberFormat="1" applyFont="1" applyFill="1" applyBorder="1" applyAlignment="1" applyProtection="1">
      <alignment horizontal="center" vertical="center" wrapText="1"/>
      <protection locked="0"/>
    </xf>
    <xf numFmtId="10" fontId="15" fillId="13" borderId="4" xfId="3" applyNumberFormat="1" applyFont="1" applyFill="1" applyBorder="1" applyAlignment="1">
      <alignment horizontal="center" vertical="center" wrapText="1"/>
    </xf>
    <xf numFmtId="0" fontId="17" fillId="13" borderId="4" xfId="0" applyFont="1" applyFill="1" applyBorder="1"/>
    <xf numFmtId="2" fontId="15" fillId="13" borderId="4" xfId="3" applyNumberFormat="1" applyFont="1" applyFill="1" applyBorder="1" applyAlignment="1">
      <alignment horizontal="center" vertical="center" wrapText="1"/>
    </xf>
    <xf numFmtId="10" fontId="15" fillId="9" borderId="2" xfId="1" applyNumberFormat="1" applyFont="1" applyFill="1" applyBorder="1" applyAlignment="1" applyProtection="1">
      <alignment horizontal="center" vertical="center" wrapText="1"/>
      <protection locked="0"/>
    </xf>
    <xf numFmtId="10" fontId="15" fillId="9" borderId="19" xfId="1" applyNumberFormat="1" applyFont="1" applyFill="1" applyBorder="1" applyAlignment="1" applyProtection="1">
      <alignment horizontal="center" vertical="center" wrapText="1"/>
      <protection locked="0"/>
    </xf>
    <xf numFmtId="0" fontId="17" fillId="12" borderId="4" xfId="0" applyFont="1" applyFill="1" applyBorder="1"/>
    <xf numFmtId="41" fontId="9" fillId="8" borderId="9" xfId="7" applyFont="1" applyFill="1" applyBorder="1" applyAlignment="1" applyProtection="1">
      <alignment vertical="center" wrapText="1"/>
    </xf>
    <xf numFmtId="41" fontId="14" fillId="12" borderId="4" xfId="7" applyFont="1" applyFill="1" applyBorder="1" applyAlignment="1">
      <alignment horizontal="center" vertical="center" wrapText="1"/>
    </xf>
    <xf numFmtId="41" fontId="17" fillId="12" borderId="4" xfId="7" applyFont="1" applyFill="1" applyBorder="1"/>
    <xf numFmtId="9" fontId="5" fillId="0" borderId="0" xfId="1" applyFont="1" applyProtection="1">
      <protection locked="0"/>
    </xf>
    <xf numFmtId="0" fontId="0" fillId="0" borderId="0" xfId="0" applyAlignment="1">
      <alignment horizontal="center" vertical="center"/>
    </xf>
    <xf numFmtId="41" fontId="14" fillId="5" borderId="4" xfId="7" applyFont="1" applyFill="1" applyBorder="1" applyAlignment="1">
      <alignment horizontal="center" vertical="center" wrapText="1"/>
    </xf>
    <xf numFmtId="41" fontId="24" fillId="5" borderId="4" xfId="7" applyFont="1" applyFill="1" applyBorder="1" applyAlignment="1">
      <alignment horizontal="center" vertical="center" wrapText="1"/>
    </xf>
    <xf numFmtId="206" fontId="15" fillId="12" borderId="4" xfId="11" applyNumberFormat="1" applyFont="1" applyFill="1" applyBorder="1" applyAlignment="1" applyProtection="1">
      <alignment horizontal="center" vertical="center" wrapText="1"/>
      <protection locked="0"/>
    </xf>
    <xf numFmtId="174" fontId="15" fillId="13" borderId="4" xfId="11" applyNumberFormat="1" applyFont="1" applyFill="1" applyBorder="1" applyAlignment="1">
      <alignment horizontal="center" vertical="center" wrapText="1"/>
    </xf>
    <xf numFmtId="184" fontId="24" fillId="13" borderId="4" xfId="11" applyFont="1" applyFill="1" applyBorder="1" applyAlignment="1">
      <alignment horizontal="center" vertical="center" wrapText="1"/>
    </xf>
    <xf numFmtId="184" fontId="24" fillId="12" borderId="4" xfId="11" applyFont="1" applyFill="1" applyBorder="1" applyAlignment="1">
      <alignment horizontal="center" vertical="center"/>
    </xf>
    <xf numFmtId="184" fontId="24" fillId="13" borderId="4" xfId="11" applyFont="1" applyFill="1" applyBorder="1" applyAlignment="1">
      <alignment horizontal="center" vertical="center"/>
    </xf>
    <xf numFmtId="173" fontId="15" fillId="13" borderId="5" xfId="11" applyNumberFormat="1" applyFont="1" applyFill="1" applyBorder="1" applyAlignment="1">
      <alignment horizontal="center" vertical="center" wrapText="1"/>
    </xf>
    <xf numFmtId="173" fontId="15" fillId="13" borderId="5" xfId="11" applyNumberFormat="1" applyFont="1" applyFill="1" applyBorder="1" applyAlignment="1" applyProtection="1">
      <alignment horizontal="center" vertical="center" wrapText="1"/>
      <protection locked="0"/>
    </xf>
    <xf numFmtId="173" fontId="15" fillId="12" borderId="5" xfId="11" applyNumberFormat="1" applyFont="1" applyFill="1" applyBorder="1" applyAlignment="1">
      <alignment horizontal="center" vertical="center" wrapText="1"/>
    </xf>
    <xf numFmtId="173" fontId="15" fillId="12" borderId="5" xfId="11" applyNumberFormat="1" applyFont="1" applyFill="1" applyBorder="1" applyAlignment="1" applyProtection="1">
      <alignment horizontal="center" vertical="center" wrapText="1"/>
      <protection locked="0"/>
    </xf>
    <xf numFmtId="184" fontId="24" fillId="12" borderId="0" xfId="11" applyFont="1" applyFill="1" applyBorder="1" applyAlignment="1">
      <alignment horizontal="center" vertical="center"/>
    </xf>
    <xf numFmtId="173" fontId="15" fillId="12" borderId="4" xfId="9" applyNumberFormat="1" applyFont="1" applyFill="1" applyBorder="1" applyAlignment="1" applyProtection="1">
      <alignment horizontal="center" vertical="center" wrapText="1"/>
      <protection locked="0"/>
    </xf>
    <xf numFmtId="173" fontId="15" fillId="13" borderId="5" xfId="9" applyNumberFormat="1" applyFont="1" applyFill="1" applyBorder="1" applyAlignment="1" applyProtection="1">
      <alignment horizontal="center" vertical="center" wrapText="1"/>
      <protection locked="0"/>
    </xf>
    <xf numFmtId="165" fontId="24" fillId="15" borderId="4" xfId="0" applyNumberFormat="1" applyFont="1" applyFill="1" applyBorder="1" applyAlignment="1">
      <alignment horizontal="center" vertical="center" wrapText="1"/>
    </xf>
    <xf numFmtId="170" fontId="15" fillId="15" borderId="4" xfId="7" applyNumberFormat="1" applyFont="1" applyFill="1" applyBorder="1" applyAlignment="1">
      <alignment horizontal="center" vertical="center" wrapText="1"/>
    </xf>
    <xf numFmtId="170" fontId="15" fillId="15" borderId="4" xfId="7" applyNumberFormat="1" applyFont="1" applyFill="1" applyBorder="1" applyAlignment="1" applyProtection="1">
      <alignment horizontal="center" vertical="center" wrapText="1"/>
      <protection locked="0"/>
    </xf>
    <xf numFmtId="9" fontId="3" fillId="15" borderId="4" xfId="1" applyFont="1" applyFill="1" applyBorder="1" applyAlignment="1" applyProtection="1">
      <alignment horizontal="center" vertical="center"/>
    </xf>
    <xf numFmtId="9" fontId="3" fillId="14" borderId="4" xfId="1" applyFont="1" applyFill="1" applyBorder="1" applyAlignment="1" applyProtection="1">
      <alignment horizontal="center" vertical="center"/>
    </xf>
    <xf numFmtId="0" fontId="10" fillId="14" borderId="0" xfId="0" applyFont="1" applyFill="1"/>
    <xf numFmtId="0" fontId="14" fillId="13" borderId="5" xfId="8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170" fontId="24" fillId="12" borderId="4" xfId="7" applyNumberFormat="1" applyFont="1" applyFill="1" applyBorder="1" applyAlignment="1" applyProtection="1">
      <alignment horizontal="center" vertical="center"/>
      <protection locked="0"/>
    </xf>
    <xf numFmtId="10" fontId="24" fillId="12" borderId="4" xfId="1" applyNumberFormat="1" applyFont="1" applyFill="1" applyBorder="1" applyAlignment="1">
      <alignment horizontal="center" vertical="center"/>
    </xf>
    <xf numFmtId="10" fontId="24" fillId="12" borderId="4" xfId="1" applyNumberFormat="1" applyFont="1" applyFill="1" applyBorder="1" applyAlignment="1" applyProtection="1">
      <alignment horizontal="center" vertical="center"/>
      <protection locked="0"/>
    </xf>
    <xf numFmtId="10" fontId="24" fillId="13" borderId="4" xfId="1" applyNumberFormat="1" applyFont="1" applyFill="1" applyBorder="1" applyAlignment="1">
      <alignment horizontal="center" vertical="center"/>
    </xf>
    <xf numFmtId="10" fontId="24" fillId="13" borderId="4" xfId="1" applyNumberFormat="1" applyFont="1" applyFill="1" applyBorder="1" applyAlignment="1" applyProtection="1">
      <alignment horizontal="center" vertical="center"/>
      <protection locked="0"/>
    </xf>
    <xf numFmtId="10" fontId="24" fillId="13" borderId="4" xfId="0" applyNumberFormat="1" applyFont="1" applyFill="1" applyBorder="1" applyAlignment="1">
      <alignment horizontal="center" vertical="center" wrapText="1"/>
    </xf>
    <xf numFmtId="173" fontId="24" fillId="13" borderId="4" xfId="11" applyNumberFormat="1" applyFont="1" applyFill="1" applyBorder="1" applyAlignment="1">
      <alignment horizontal="center" vertical="center"/>
    </xf>
    <xf numFmtId="173" fontId="24" fillId="13" borderId="4" xfId="11" applyNumberFormat="1" applyFont="1" applyFill="1" applyBorder="1" applyAlignment="1" applyProtection="1">
      <alignment horizontal="center" vertical="center"/>
      <protection locked="0"/>
    </xf>
    <xf numFmtId="173" fontId="24" fillId="12" borderId="4" xfId="11" applyNumberFormat="1" applyFont="1" applyFill="1" applyBorder="1" applyAlignment="1">
      <alignment horizontal="center" vertical="center"/>
    </xf>
    <xf numFmtId="173" fontId="24" fillId="12" borderId="4" xfId="11" applyNumberFormat="1" applyFont="1" applyFill="1" applyBorder="1" applyAlignment="1" applyProtection="1">
      <alignment horizontal="center" vertical="center"/>
      <protection locked="0"/>
    </xf>
    <xf numFmtId="166" fontId="14" fillId="13" borderId="4" xfId="8" applyNumberFormat="1" applyFill="1" applyBorder="1" applyAlignment="1">
      <alignment horizontal="center" vertical="center" wrapText="1"/>
    </xf>
    <xf numFmtId="166" fontId="24" fillId="13" borderId="4" xfId="0" applyNumberFormat="1" applyFont="1" applyFill="1" applyBorder="1" applyAlignment="1">
      <alignment horizontal="center" vertical="center" wrapText="1"/>
    </xf>
    <xf numFmtId="166" fontId="14" fillId="12" borderId="4" xfId="8" applyNumberFormat="1" applyFill="1" applyBorder="1" applyAlignment="1">
      <alignment horizontal="center" vertical="center" wrapText="1"/>
    </xf>
    <xf numFmtId="166" fontId="24" fillId="12" borderId="4" xfId="0" applyNumberFormat="1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vertical="center" wrapText="1"/>
    </xf>
    <xf numFmtId="0" fontId="11" fillId="7" borderId="9" xfId="0" applyFont="1" applyFill="1" applyBorder="1" applyAlignment="1">
      <alignment vertical="center" wrapText="1"/>
    </xf>
    <xf numFmtId="9" fontId="11" fillId="7" borderId="9" xfId="1" applyFont="1" applyFill="1" applyBorder="1" applyAlignment="1">
      <alignment vertical="center" wrapText="1"/>
    </xf>
    <xf numFmtId="9" fontId="11" fillId="7" borderId="11" xfId="1" applyFont="1" applyFill="1" applyBorder="1" applyAlignment="1">
      <alignment vertical="center" wrapText="1"/>
    </xf>
    <xf numFmtId="164" fontId="24" fillId="13" borderId="4" xfId="0" applyNumberFormat="1" applyFont="1" applyFill="1" applyBorder="1" applyAlignment="1">
      <alignment horizontal="center" vertical="center" wrapText="1"/>
    </xf>
    <xf numFmtId="164" fontId="14" fillId="13" borderId="4" xfId="8" applyNumberFormat="1" applyFill="1" applyBorder="1" applyAlignment="1">
      <alignment horizontal="center" vertical="center" wrapText="1"/>
    </xf>
    <xf numFmtId="196" fontId="14" fillId="12" borderId="4" xfId="8" applyNumberFormat="1" applyFill="1" applyBorder="1" applyAlignment="1">
      <alignment horizontal="center" vertical="center" wrapText="1"/>
    </xf>
    <xf numFmtId="44" fontId="5" fillId="0" borderId="0" xfId="0" applyNumberFormat="1" applyFont="1"/>
    <xf numFmtId="9" fontId="14" fillId="0" borderId="0" xfId="8" applyNumberFormat="1" applyAlignment="1">
      <alignment horizontal="center"/>
    </xf>
    <xf numFmtId="9" fontId="5" fillId="0" borderId="0" xfId="1" applyFont="1" applyAlignment="1" applyProtection="1">
      <alignment horizontal="right"/>
    </xf>
    <xf numFmtId="0" fontId="11" fillId="4" borderId="11" xfId="0" applyFont="1" applyFill="1" applyBorder="1" applyAlignment="1">
      <alignment horizontal="center" vertical="center" wrapText="1"/>
    </xf>
    <xf numFmtId="173" fontId="15" fillId="15" borderId="4" xfId="11" applyNumberFormat="1" applyFont="1" applyFill="1" applyBorder="1" applyAlignment="1">
      <alignment horizontal="center" vertical="center" wrapText="1"/>
    </xf>
    <xf numFmtId="173" fontId="15" fillId="13" borderId="4" xfId="11" applyNumberFormat="1" applyFont="1" applyFill="1" applyBorder="1" applyAlignment="1" applyProtection="1">
      <alignment horizontal="right" vertical="center" wrapText="1"/>
    </xf>
    <xf numFmtId="173" fontId="15" fillId="13" borderId="4" xfId="11" applyNumberFormat="1" applyFont="1" applyFill="1" applyBorder="1" applyAlignment="1" applyProtection="1">
      <alignment horizontal="right" vertical="center" wrapText="1"/>
      <protection locked="0"/>
    </xf>
    <xf numFmtId="173" fontId="15" fillId="12" borderId="4" xfId="11" applyNumberFormat="1" applyFont="1" applyFill="1" applyBorder="1" applyAlignment="1" applyProtection="1">
      <alignment horizontal="right" vertical="center" wrapText="1"/>
      <protection locked="0"/>
    </xf>
    <xf numFmtId="41" fontId="15" fillId="13" borderId="4" xfId="7" applyFont="1" applyFill="1" applyBorder="1" applyAlignment="1" applyProtection="1">
      <alignment horizontal="right" vertical="center" wrapText="1"/>
    </xf>
    <xf numFmtId="41" fontId="15" fillId="13" borderId="4" xfId="7" applyFont="1" applyFill="1" applyBorder="1" applyAlignment="1" applyProtection="1">
      <alignment horizontal="right" vertical="center" wrapText="1"/>
      <protection locked="0"/>
    </xf>
    <xf numFmtId="41" fontId="10" fillId="0" borderId="0" xfId="7" applyFont="1" applyAlignment="1" applyProtection="1">
      <alignment wrapText="1"/>
    </xf>
    <xf numFmtId="184" fontId="24" fillId="12" borderId="4" xfId="11" applyFont="1" applyFill="1" applyBorder="1" applyAlignment="1" applyProtection="1">
      <alignment horizontal="center" vertical="center"/>
    </xf>
    <xf numFmtId="184" fontId="24" fillId="13" borderId="4" xfId="11" applyFont="1" applyFill="1" applyBorder="1" applyAlignment="1" applyProtection="1">
      <alignment horizontal="center" vertical="center"/>
    </xf>
    <xf numFmtId="4" fontId="15" fillId="12" borderId="5" xfId="0" applyNumberFormat="1" applyFont="1" applyFill="1" applyBorder="1" applyAlignment="1">
      <alignment horizontal="right" vertical="center" wrapText="1"/>
    </xf>
    <xf numFmtId="4" fontId="15" fillId="12" borderId="5" xfId="0" applyNumberFormat="1" applyFont="1" applyFill="1" applyBorder="1" applyAlignment="1" applyProtection="1">
      <alignment horizontal="right" vertical="center" wrapText="1"/>
      <protection locked="0"/>
    </xf>
    <xf numFmtId="4" fontId="15" fillId="13" borderId="5" xfId="0" applyNumberFormat="1" applyFont="1" applyFill="1" applyBorder="1" applyAlignment="1" applyProtection="1">
      <alignment horizontal="right" vertical="center" wrapText="1"/>
      <protection locked="0"/>
    </xf>
    <xf numFmtId="1" fontId="24" fillId="13" borderId="4" xfId="0" applyNumberFormat="1" applyFont="1" applyFill="1" applyBorder="1" applyAlignment="1">
      <alignment horizontal="center" vertical="center"/>
    </xf>
    <xf numFmtId="4" fontId="15" fillId="13" borderId="5" xfId="0" applyNumberFormat="1" applyFont="1" applyFill="1" applyBorder="1" applyAlignment="1">
      <alignment horizontal="right" vertical="center" wrapText="1"/>
    </xf>
    <xf numFmtId="0" fontId="24" fillId="12" borderId="4" xfId="2" applyFont="1" applyFill="1" applyBorder="1" applyAlignment="1" applyProtection="1">
      <alignment horizontal="center" vertical="center" wrapText="1"/>
    </xf>
    <xf numFmtId="173" fontId="15" fillId="12" borderId="5" xfId="11" applyNumberFormat="1" applyFont="1" applyFill="1" applyBorder="1" applyAlignment="1" applyProtection="1">
      <alignment horizontal="right" vertical="center" wrapText="1"/>
    </xf>
    <xf numFmtId="173" fontId="15" fillId="12" borderId="5" xfId="11" applyNumberFormat="1" applyFont="1" applyFill="1" applyBorder="1" applyAlignment="1" applyProtection="1">
      <alignment horizontal="right" vertical="center" wrapText="1"/>
      <protection locked="0"/>
    </xf>
    <xf numFmtId="0" fontId="24" fillId="13" borderId="4" xfId="2" applyFont="1" applyFill="1" applyBorder="1" applyAlignment="1" applyProtection="1">
      <alignment horizontal="center" vertical="center" wrapText="1"/>
    </xf>
    <xf numFmtId="4" fontId="15" fillId="13" borderId="5" xfId="2" applyNumberFormat="1" applyFont="1" applyFill="1" applyBorder="1" applyAlignment="1" applyProtection="1">
      <alignment horizontal="right" vertical="center" wrapText="1"/>
    </xf>
    <xf numFmtId="4" fontId="15" fillId="13" borderId="5" xfId="2" applyNumberFormat="1" applyFont="1" applyFill="1" applyBorder="1" applyAlignment="1" applyProtection="1">
      <alignment horizontal="right" vertical="center" wrapText="1"/>
      <protection locked="0"/>
    </xf>
    <xf numFmtId="9" fontId="24" fillId="12" borderId="4" xfId="0" applyNumberFormat="1" applyFont="1" applyFill="1" applyBorder="1" applyAlignment="1">
      <alignment horizontal="center" vertical="center"/>
    </xf>
    <xf numFmtId="0" fontId="14" fillId="13" borderId="20" xfId="8" applyFill="1" applyBorder="1" applyAlignment="1" applyProtection="1">
      <alignment horizontal="center" vertical="center" wrapText="1"/>
    </xf>
    <xf numFmtId="4" fontId="15" fillId="13" borderId="4" xfId="0" applyNumberFormat="1" applyFont="1" applyFill="1" applyBorder="1" applyAlignment="1">
      <alignment horizontal="right" vertical="center" wrapText="1"/>
    </xf>
    <xf numFmtId="4" fontId="15" fillId="13" borderId="4" xfId="0" applyNumberFormat="1" applyFont="1" applyFill="1" applyBorder="1" applyAlignment="1" applyProtection="1">
      <alignment horizontal="right" vertical="center" wrapText="1"/>
      <protection locked="0"/>
    </xf>
    <xf numFmtId="10" fontId="15" fillId="13" borderId="4" xfId="1" applyNumberFormat="1" applyFont="1" applyFill="1" applyBorder="1" applyAlignment="1" applyProtection="1">
      <alignment horizontal="right" vertical="center"/>
    </xf>
    <xf numFmtId="10" fontId="15" fillId="13" borderId="4" xfId="1" applyNumberFormat="1" applyFont="1" applyFill="1" applyBorder="1" applyAlignment="1" applyProtection="1">
      <alignment horizontal="right" vertical="center"/>
      <protection locked="0"/>
    </xf>
    <xf numFmtId="0" fontId="27" fillId="7" borderId="10" xfId="0" applyFont="1" applyFill="1" applyBorder="1" applyAlignment="1">
      <alignment vertical="center" wrapText="1"/>
    </xf>
    <xf numFmtId="0" fontId="27" fillId="7" borderId="9" xfId="0" applyFont="1" applyFill="1" applyBorder="1" applyAlignment="1">
      <alignment vertical="center" wrapText="1"/>
    </xf>
    <xf numFmtId="4" fontId="17" fillId="13" borderId="4" xfId="0" applyNumberFormat="1" applyFont="1" applyFill="1" applyBorder="1" applyAlignment="1">
      <alignment horizontal="right" vertical="center"/>
    </xf>
    <xf numFmtId="4" fontId="17" fillId="13" borderId="4" xfId="0" applyNumberFormat="1" applyFont="1" applyFill="1" applyBorder="1" applyAlignment="1" applyProtection="1">
      <alignment horizontal="right" vertical="center"/>
      <protection locked="0"/>
    </xf>
    <xf numFmtId="4" fontId="17" fillId="12" borderId="4" xfId="0" applyNumberFormat="1" applyFont="1" applyFill="1" applyBorder="1" applyAlignment="1">
      <alignment horizontal="right" vertical="center"/>
    </xf>
    <xf numFmtId="4" fontId="17" fillId="12" borderId="4" xfId="0" applyNumberFormat="1" applyFont="1" applyFill="1" applyBorder="1" applyAlignment="1" applyProtection="1">
      <alignment horizontal="right" vertical="center"/>
      <protection locked="0"/>
    </xf>
    <xf numFmtId="165" fontId="17" fillId="12" borderId="4" xfId="0" applyNumberFormat="1" applyFont="1" applyFill="1" applyBorder="1" applyAlignment="1" applyProtection="1">
      <alignment horizontal="right" vertical="center"/>
      <protection locked="0"/>
    </xf>
    <xf numFmtId="4" fontId="15" fillId="12" borderId="4" xfId="0" applyNumberFormat="1" applyFont="1" applyFill="1" applyBorder="1" applyAlignment="1">
      <alignment horizontal="right" vertical="center" wrapText="1"/>
    </xf>
    <xf numFmtId="0" fontId="27" fillId="13" borderId="4" xfId="0" applyFont="1" applyFill="1" applyBorder="1" applyAlignment="1">
      <alignment horizontal="center" vertical="center" wrapText="1"/>
    </xf>
    <xf numFmtId="9" fontId="14" fillId="0" borderId="0" xfId="8" applyNumberFormat="1" applyAlignment="1" applyProtection="1">
      <alignment horizontal="right"/>
    </xf>
    <xf numFmtId="2" fontId="15" fillId="9" borderId="4" xfId="0" applyNumberFormat="1" applyFont="1" applyFill="1" applyBorder="1" applyAlignment="1">
      <alignment horizontal="center" vertical="center" wrapText="1"/>
    </xf>
    <xf numFmtId="170" fontId="24" fillId="13" borderId="4" xfId="7" applyNumberFormat="1" applyFont="1" applyFill="1" applyBorder="1" applyAlignment="1">
      <alignment vertical="center"/>
    </xf>
    <xf numFmtId="187" fontId="15" fillId="12" borderId="8" xfId="0" applyNumberFormat="1" applyFont="1" applyFill="1" applyBorder="1" applyAlignment="1" applyProtection="1">
      <alignment horizontal="center" vertical="center"/>
      <protection locked="0"/>
    </xf>
    <xf numFmtId="0" fontId="15" fillId="12" borderId="8" xfId="0" applyFont="1" applyFill="1" applyBorder="1" applyAlignment="1" applyProtection="1">
      <alignment horizontal="center" vertical="center" wrapText="1"/>
      <protection locked="0"/>
    </xf>
    <xf numFmtId="207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207" fontId="15" fillId="12" borderId="4" xfId="0" applyNumberFormat="1" applyFont="1" applyFill="1" applyBorder="1" applyAlignment="1" applyProtection="1">
      <alignment horizontal="center" vertical="center" wrapText="1"/>
      <protection locked="0"/>
    </xf>
    <xf numFmtId="170" fontId="15" fillId="6" borderId="5" xfId="7" applyNumberFormat="1" applyFont="1" applyFill="1" applyBorder="1" applyAlignment="1">
      <alignment horizontal="right" vertical="center" wrapText="1"/>
    </xf>
    <xf numFmtId="170" fontId="15" fillId="6" borderId="5" xfId="7" applyNumberFormat="1" applyFont="1" applyFill="1" applyBorder="1" applyAlignment="1" applyProtection="1">
      <alignment horizontal="center" vertical="center" wrapText="1"/>
      <protection locked="0"/>
    </xf>
    <xf numFmtId="3" fontId="15" fillId="12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13" borderId="6" xfId="0" applyFont="1" applyFill="1" applyBorder="1" applyAlignment="1">
      <alignment horizontal="center" vertical="center" wrapText="1"/>
    </xf>
    <xf numFmtId="0" fontId="14" fillId="13" borderId="35" xfId="8" applyFill="1" applyBorder="1" applyAlignment="1">
      <alignment horizontal="center" vertical="center" wrapText="1"/>
    </xf>
    <xf numFmtId="0" fontId="24" fillId="13" borderId="35" xfId="0" applyFont="1" applyFill="1" applyBorder="1" applyAlignment="1">
      <alignment horizontal="center" vertical="center" wrapText="1"/>
    </xf>
    <xf numFmtId="0" fontId="15" fillId="13" borderId="14" xfId="0" applyFont="1" applyFill="1" applyBorder="1" applyAlignment="1">
      <alignment horizontal="center" vertical="center" wrapText="1"/>
    </xf>
    <xf numFmtId="207" fontId="15" fillId="13" borderId="8" xfId="0" applyNumberFormat="1" applyFont="1" applyFill="1" applyBorder="1" applyAlignment="1" applyProtection="1">
      <alignment horizontal="center" vertical="center"/>
      <protection locked="0"/>
    </xf>
    <xf numFmtId="165" fontId="15" fillId="13" borderId="8" xfId="0" applyNumberFormat="1" applyFont="1" applyFill="1" applyBorder="1" applyAlignment="1">
      <alignment horizontal="center" vertical="center"/>
    </xf>
    <xf numFmtId="0" fontId="15" fillId="13" borderId="8" xfId="0" applyFont="1" applyFill="1" applyBorder="1" applyAlignment="1" applyProtection="1">
      <alignment horizontal="center" vertical="center" wrapText="1"/>
      <protection locked="0"/>
    </xf>
    <xf numFmtId="0" fontId="14" fillId="12" borderId="36" xfId="8" applyFill="1" applyBorder="1" applyAlignment="1">
      <alignment horizontal="center" vertical="center" wrapText="1"/>
    </xf>
    <xf numFmtId="0" fontId="14" fillId="12" borderId="20" xfId="8" applyFill="1" applyBorder="1" applyAlignment="1">
      <alignment horizontal="center" vertical="center" wrapText="1"/>
    </xf>
    <xf numFmtId="10" fontId="15" fillId="9" borderId="5" xfId="1" applyNumberFormat="1" applyFont="1" applyFill="1" applyBorder="1" applyAlignment="1" applyProtection="1">
      <alignment horizontal="center" vertical="center" wrapText="1"/>
      <protection locked="0"/>
    </xf>
    <xf numFmtId="0" fontId="14" fillId="12" borderId="24" xfId="8" applyFill="1" applyBorder="1" applyAlignment="1">
      <alignment horizontal="center" vertical="center" wrapText="1"/>
    </xf>
    <xf numFmtId="0" fontId="15" fillId="12" borderId="11" xfId="0" applyFont="1" applyFill="1" applyBorder="1" applyAlignment="1">
      <alignment horizontal="center" vertical="center"/>
    </xf>
    <xf numFmtId="0" fontId="15" fillId="12" borderId="98" xfId="0" applyFont="1" applyFill="1" applyBorder="1" applyAlignment="1">
      <alignment horizontal="center" vertical="center" wrapText="1"/>
    </xf>
    <xf numFmtId="0" fontId="14" fillId="13" borderId="70" xfId="8" applyFill="1" applyBorder="1" applyAlignment="1">
      <alignment horizontal="center" vertical="center" wrapText="1"/>
    </xf>
    <xf numFmtId="169" fontId="15" fillId="6" borderId="4" xfId="0" applyNumberFormat="1" applyFont="1" applyFill="1" applyBorder="1" applyAlignment="1">
      <alignment horizontal="center" vertical="center" wrapText="1"/>
    </xf>
    <xf numFmtId="169" fontId="15" fillId="6" borderId="4" xfId="0" applyNumberFormat="1" applyFont="1" applyFill="1" applyBorder="1" applyAlignment="1" applyProtection="1">
      <alignment horizontal="center" vertical="center" wrapText="1"/>
      <protection locked="0"/>
    </xf>
    <xf numFmtId="169" fontId="15" fillId="5" borderId="4" xfId="0" applyNumberFormat="1" applyFont="1" applyFill="1" applyBorder="1" applyAlignment="1" applyProtection="1">
      <alignment horizontal="center" vertical="center" wrapText="1"/>
      <protection locked="0"/>
    </xf>
    <xf numFmtId="169" fontId="15" fillId="6" borderId="4" xfId="0" applyNumberFormat="1" applyFont="1" applyFill="1" applyBorder="1" applyAlignment="1">
      <alignment horizontal="right" vertical="center" wrapText="1"/>
    </xf>
    <xf numFmtId="169" fontId="15" fillId="6" borderId="4" xfId="0" applyNumberFormat="1" applyFont="1" applyFill="1" applyBorder="1" applyAlignment="1" applyProtection="1">
      <alignment horizontal="right" vertical="center" wrapText="1"/>
      <protection locked="0"/>
    </xf>
    <xf numFmtId="169" fontId="15" fillId="6" borderId="4" xfId="0" applyNumberFormat="1" applyFont="1" applyFill="1" applyBorder="1" applyAlignment="1">
      <alignment vertical="center" wrapText="1"/>
    </xf>
    <xf numFmtId="41" fontId="24" fillId="5" borderId="4" xfId="7" applyFont="1" applyFill="1" applyBorder="1" applyAlignment="1">
      <alignment vertical="center" wrapText="1"/>
    </xf>
    <xf numFmtId="169" fontId="15" fillId="5" borderId="4" xfId="0" applyNumberFormat="1" applyFont="1" applyFill="1" applyBorder="1" applyAlignment="1">
      <alignment vertical="center" wrapText="1"/>
    </xf>
    <xf numFmtId="3" fontId="15" fillId="12" borderId="4" xfId="0" applyNumberFormat="1" applyFont="1" applyFill="1" applyBorder="1" applyAlignment="1">
      <alignment vertical="center" wrapText="1"/>
    </xf>
    <xf numFmtId="42" fontId="15" fillId="13" borderId="4" xfId="4" applyFont="1" applyFill="1" applyBorder="1" applyAlignment="1">
      <alignment vertical="center" wrapText="1"/>
    </xf>
    <xf numFmtId="169" fontId="15" fillId="5" borderId="4" xfId="0" applyNumberFormat="1" applyFont="1" applyFill="1" applyBorder="1" applyAlignment="1">
      <alignment horizontal="center" vertical="center" wrapText="1"/>
    </xf>
    <xf numFmtId="169" fontId="15" fillId="5" borderId="4" xfId="0" applyNumberFormat="1" applyFont="1" applyFill="1" applyBorder="1" applyAlignment="1">
      <alignment horizontal="right" vertical="center" wrapText="1"/>
    </xf>
    <xf numFmtId="169" fontId="15" fillId="5" borderId="4" xfId="0" applyNumberFormat="1" applyFont="1" applyFill="1" applyBorder="1" applyAlignment="1" applyProtection="1">
      <alignment horizontal="right" vertical="center" wrapText="1"/>
      <protection locked="0"/>
    </xf>
    <xf numFmtId="42" fontId="15" fillId="12" borderId="4" xfId="4" applyFont="1" applyFill="1" applyBorder="1" applyAlignment="1">
      <alignment vertical="center" wrapText="1"/>
    </xf>
    <xf numFmtId="1" fontId="15" fillId="12" borderId="4" xfId="4" applyNumberFormat="1" applyFont="1" applyFill="1" applyBorder="1" applyAlignment="1">
      <alignment horizontal="center" vertical="center"/>
    </xf>
    <xf numFmtId="170" fontId="15" fillId="6" borderId="5" xfId="7" applyNumberFormat="1" applyFont="1" applyFill="1" applyBorder="1" applyAlignment="1">
      <alignment horizontal="center" vertical="center" wrapText="1"/>
    </xf>
    <xf numFmtId="41" fontId="15" fillId="6" borderId="5" xfId="7" applyFont="1" applyFill="1" applyBorder="1" applyAlignment="1" applyProtection="1">
      <alignment horizontal="center" vertical="center" wrapText="1"/>
      <protection locked="0"/>
    </xf>
    <xf numFmtId="170" fontId="15" fillId="6" borderId="5" xfId="7" applyNumberFormat="1" applyFont="1" applyFill="1" applyBorder="1" applyAlignment="1" applyProtection="1">
      <alignment horizontal="right" vertical="center" wrapText="1"/>
      <protection locked="0"/>
    </xf>
    <xf numFmtId="41" fontId="15" fillId="6" borderId="5" xfId="7" applyFont="1" applyFill="1" applyBorder="1" applyAlignment="1">
      <alignment vertical="center" wrapText="1"/>
    </xf>
    <xf numFmtId="0" fontId="15" fillId="13" borderId="4" xfId="0" applyFont="1" applyFill="1" applyBorder="1" applyAlignment="1">
      <alignment vertical="center" wrapText="1"/>
    </xf>
    <xf numFmtId="169" fontId="15" fillId="9" borderId="5" xfId="2" applyNumberFormat="1" applyFont="1" applyFill="1" applyBorder="1" applyAlignment="1">
      <alignment horizontal="center" vertical="center" wrapText="1"/>
    </xf>
    <xf numFmtId="169" fontId="15" fillId="9" borderId="5" xfId="2" applyNumberFormat="1" applyFont="1" applyFill="1" applyBorder="1" applyAlignment="1" applyProtection="1">
      <alignment horizontal="left" vertical="center" wrapText="1"/>
      <protection locked="0"/>
    </xf>
    <xf numFmtId="169" fontId="15" fillId="9" borderId="5" xfId="2" applyNumberFormat="1" applyFont="1" applyFill="1" applyBorder="1" applyAlignment="1">
      <alignment horizontal="right" vertical="center" wrapText="1"/>
    </xf>
    <xf numFmtId="169" fontId="15" fillId="9" borderId="5" xfId="2" applyNumberFormat="1" applyFont="1" applyFill="1" applyBorder="1" applyAlignment="1" applyProtection="1">
      <alignment horizontal="right" vertical="center" wrapText="1"/>
      <protection locked="0"/>
    </xf>
    <xf numFmtId="169" fontId="15" fillId="9" borderId="5" xfId="2" applyNumberFormat="1" applyFont="1" applyFill="1" applyBorder="1" applyAlignment="1">
      <alignment vertical="center" wrapText="1"/>
    </xf>
    <xf numFmtId="170" fontId="15" fillId="9" borderId="5" xfId="7" applyNumberFormat="1" applyFont="1" applyFill="1" applyBorder="1" applyAlignment="1" applyProtection="1">
      <alignment horizontal="center" vertical="center" wrapText="1"/>
      <protection locked="0"/>
    </xf>
    <xf numFmtId="170" fontId="15" fillId="34" borderId="5" xfId="7" applyNumberFormat="1" applyFont="1" applyFill="1" applyBorder="1" applyAlignment="1" applyProtection="1">
      <alignment horizontal="right" vertical="center" wrapText="1"/>
      <protection locked="0"/>
    </xf>
    <xf numFmtId="41" fontId="15" fillId="9" borderId="5" xfId="7" applyFont="1" applyFill="1" applyBorder="1" applyAlignment="1">
      <alignment vertical="center" wrapText="1"/>
    </xf>
    <xf numFmtId="9" fontId="15" fillId="12" borderId="4" xfId="1" applyFont="1" applyFill="1" applyBorder="1" applyAlignment="1">
      <alignment vertical="center"/>
    </xf>
    <xf numFmtId="9" fontId="15" fillId="6" borderId="4" xfId="1" applyFont="1" applyFill="1" applyBorder="1" applyAlignment="1">
      <alignment vertical="center" wrapText="1"/>
    </xf>
    <xf numFmtId="170" fontId="15" fillId="9" borderId="5" xfId="7" applyNumberFormat="1" applyFont="1" applyFill="1" applyBorder="1" applyAlignment="1" applyProtection="1">
      <alignment horizontal="right" vertical="center" wrapText="1"/>
      <protection locked="0"/>
    </xf>
    <xf numFmtId="167" fontId="15" fillId="12" borderId="4" xfId="1" applyNumberFormat="1" applyFont="1" applyFill="1" applyBorder="1" applyAlignment="1">
      <alignment vertical="center"/>
    </xf>
    <xf numFmtId="9" fontId="15" fillId="13" borderId="4" xfId="1" applyFont="1" applyFill="1" applyBorder="1" applyAlignment="1">
      <alignment vertical="center"/>
    </xf>
    <xf numFmtId="9" fontId="15" fillId="9" borderId="4" xfId="1" applyFont="1" applyFill="1" applyBorder="1" applyAlignment="1" applyProtection="1">
      <alignment horizontal="center" vertical="center" wrapText="1"/>
      <protection locked="0"/>
    </xf>
    <xf numFmtId="9" fontId="15" fillId="9" borderId="4" xfId="1" applyFont="1" applyFill="1" applyBorder="1" applyAlignment="1">
      <alignment vertical="center" wrapText="1"/>
    </xf>
    <xf numFmtId="169" fontId="15" fillId="6" borderId="3" xfId="0" applyNumberFormat="1" applyFont="1" applyFill="1" applyBorder="1" applyAlignment="1">
      <alignment horizontal="center" vertical="center" wrapText="1"/>
    </xf>
    <xf numFmtId="169" fontId="15" fillId="6" borderId="3" xfId="0" applyNumberFormat="1" applyFont="1" applyFill="1" applyBorder="1" applyAlignment="1" applyProtection="1">
      <alignment horizontal="center" vertical="center" wrapText="1"/>
      <protection locked="0"/>
    </xf>
    <xf numFmtId="169" fontId="15" fillId="6" borderId="3" xfId="0" applyNumberFormat="1" applyFont="1" applyFill="1" applyBorder="1" applyAlignment="1">
      <alignment horizontal="right" vertical="center" wrapText="1"/>
    </xf>
    <xf numFmtId="169" fontId="15" fillId="6" borderId="3" xfId="0" applyNumberFormat="1" applyFont="1" applyFill="1" applyBorder="1" applyAlignment="1" applyProtection="1">
      <alignment horizontal="right" vertical="center" wrapText="1"/>
      <protection locked="0"/>
    </xf>
    <xf numFmtId="169" fontId="15" fillId="6" borderId="3" xfId="0" applyNumberFormat="1" applyFont="1" applyFill="1" applyBorder="1" applyAlignment="1">
      <alignment vertical="center" wrapText="1"/>
    </xf>
    <xf numFmtId="165" fontId="15" fillId="13" borderId="4" xfId="0" applyNumberFormat="1" applyFont="1" applyFill="1" applyBorder="1" applyAlignment="1">
      <alignment vertical="center" wrapText="1"/>
    </xf>
    <xf numFmtId="172" fontId="15" fillId="6" borderId="4" xfId="7" applyNumberFormat="1" applyFont="1" applyFill="1" applyBorder="1" applyAlignment="1" applyProtection="1">
      <alignment horizontal="center" vertical="center" wrapText="1"/>
      <protection locked="0"/>
    </xf>
    <xf numFmtId="172" fontId="15" fillId="6" borderId="4" xfId="7" applyNumberFormat="1" applyFont="1" applyFill="1" applyBorder="1" applyAlignment="1">
      <alignment vertical="center" wrapText="1"/>
    </xf>
    <xf numFmtId="3" fontId="15" fillId="13" borderId="4" xfId="0" applyNumberFormat="1" applyFont="1" applyFill="1" applyBorder="1" applyAlignment="1">
      <alignment vertical="center" wrapText="1"/>
    </xf>
    <xf numFmtId="9" fontId="9" fillId="8" borderId="9" xfId="1" applyFont="1" applyFill="1" applyBorder="1" applyAlignment="1" applyProtection="1">
      <alignment vertical="center" wrapText="1"/>
      <protection locked="0"/>
    </xf>
    <xf numFmtId="0" fontId="9" fillId="8" borderId="9" xfId="0" applyFont="1" applyFill="1" applyBorder="1" applyAlignment="1" applyProtection="1">
      <alignment vertical="center" wrapText="1"/>
      <protection locked="0"/>
    </xf>
    <xf numFmtId="0" fontId="9" fillId="8" borderId="9" xfId="0" applyFont="1" applyFill="1" applyBorder="1" applyAlignment="1" applyProtection="1">
      <alignment horizontal="right" vertical="center" wrapText="1"/>
      <protection locked="0"/>
    </xf>
    <xf numFmtId="3" fontId="15" fillId="9" borderId="4" xfId="0" applyNumberFormat="1" applyFont="1" applyFill="1" applyBorder="1" applyAlignment="1">
      <alignment vertical="center" wrapText="1"/>
    </xf>
    <xf numFmtId="0" fontId="14" fillId="3" borderId="0" xfId="8" quotePrefix="1" applyFill="1" applyAlignment="1">
      <alignment horizontal="center"/>
    </xf>
    <xf numFmtId="0" fontId="76" fillId="9" borderId="4" xfId="8" applyFont="1" applyFill="1" applyBorder="1" applyAlignment="1">
      <alignment horizontal="center" vertical="center" wrapText="1"/>
    </xf>
    <xf numFmtId="41" fontId="76" fillId="5" borderId="4" xfId="7" applyFont="1" applyFill="1" applyBorder="1" applyAlignment="1">
      <alignment horizontal="center" vertical="center" wrapText="1"/>
    </xf>
    <xf numFmtId="174" fontId="15" fillId="13" borderId="4" xfId="4" applyNumberFormat="1" applyFont="1" applyFill="1" applyBorder="1" applyAlignment="1">
      <alignment horizontal="center" vertical="center" wrapText="1"/>
    </xf>
    <xf numFmtId="0" fontId="76" fillId="12" borderId="4" xfId="8" applyFont="1" applyFill="1" applyBorder="1" applyAlignment="1">
      <alignment horizontal="center" vertical="center" wrapText="1"/>
    </xf>
    <xf numFmtId="174" fontId="15" fillId="12" borderId="4" xfId="4" applyNumberFormat="1" applyFont="1" applyFill="1" applyBorder="1" applyAlignment="1">
      <alignment horizontal="center" vertical="center"/>
    </xf>
    <xf numFmtId="176" fontId="15" fillId="12" borderId="4" xfId="4" applyNumberFormat="1" applyFont="1" applyFill="1" applyBorder="1" applyAlignment="1">
      <alignment horizontal="center" vertical="center"/>
    </xf>
    <xf numFmtId="176" fontId="15" fillId="12" borderId="4" xfId="4" applyNumberFormat="1" applyFont="1" applyFill="1" applyBorder="1" applyAlignment="1" applyProtection="1">
      <alignment horizontal="center" vertical="center" wrapText="1"/>
      <protection locked="0"/>
    </xf>
    <xf numFmtId="176" fontId="15" fillId="12" borderId="4" xfId="4" applyNumberFormat="1" applyFont="1" applyFill="1" applyBorder="1" applyAlignment="1">
      <alignment horizontal="center" vertical="center" wrapText="1"/>
    </xf>
    <xf numFmtId="174" fontId="15" fillId="12" borderId="4" xfId="4" applyNumberFormat="1" applyFont="1" applyFill="1" applyBorder="1" applyAlignment="1">
      <alignment horizontal="center" vertical="center" wrapText="1"/>
    </xf>
    <xf numFmtId="42" fontId="15" fillId="12" borderId="4" xfId="4" applyFont="1" applyFill="1" applyBorder="1" applyAlignment="1">
      <alignment horizontal="center" vertical="center"/>
    </xf>
    <xf numFmtId="168" fontId="15" fillId="13" borderId="5" xfId="4" applyNumberFormat="1" applyFont="1" applyFill="1" applyBorder="1" applyAlignment="1">
      <alignment horizontal="center" vertical="center" wrapText="1"/>
    </xf>
    <xf numFmtId="0" fontId="15" fillId="7" borderId="10" xfId="0" applyFont="1" applyFill="1" applyBorder="1" applyAlignment="1">
      <alignment vertical="center" wrapText="1"/>
    </xf>
    <xf numFmtId="0" fontId="15" fillId="7" borderId="9" xfId="0" applyFont="1" applyFill="1" applyBorder="1" applyAlignment="1">
      <alignment vertical="center" wrapText="1"/>
    </xf>
    <xf numFmtId="9" fontId="15" fillId="7" borderId="9" xfId="1" applyFont="1" applyFill="1" applyBorder="1" applyAlignment="1">
      <alignment vertical="center" wrapText="1"/>
    </xf>
    <xf numFmtId="9" fontId="15" fillId="7" borderId="11" xfId="1" applyFont="1" applyFill="1" applyBorder="1" applyAlignment="1">
      <alignment vertical="center" wrapText="1"/>
    </xf>
    <xf numFmtId="0" fontId="15" fillId="13" borderId="11" xfId="2" applyFont="1" applyFill="1" applyBorder="1" applyAlignment="1">
      <alignment horizontal="center" vertical="center" wrapText="1"/>
    </xf>
    <xf numFmtId="0" fontId="76" fillId="13" borderId="8" xfId="8" applyFont="1" applyFill="1" applyBorder="1" applyAlignment="1">
      <alignment horizontal="center" vertical="center" wrapText="1"/>
    </xf>
    <xf numFmtId="41" fontId="15" fillId="13" borderId="8" xfId="7" applyFont="1" applyFill="1" applyBorder="1" applyAlignment="1">
      <alignment horizontal="center" vertical="center"/>
    </xf>
    <xf numFmtId="0" fontId="19" fillId="12" borderId="11" xfId="2" applyFont="1" applyFill="1" applyBorder="1" applyAlignment="1">
      <alignment horizontal="center" vertical="center" wrapText="1"/>
    </xf>
    <xf numFmtId="0" fontId="15" fillId="12" borderId="11" xfId="2" applyFont="1" applyFill="1" applyBorder="1" applyAlignment="1">
      <alignment horizontal="center" vertical="center" wrapText="1"/>
    </xf>
    <xf numFmtId="0" fontId="76" fillId="12" borderId="11" xfId="8" applyFont="1" applyFill="1" applyBorder="1" applyAlignment="1">
      <alignment horizontal="center" vertical="center" wrapText="1"/>
    </xf>
    <xf numFmtId="170" fontId="15" fillId="12" borderId="4" xfId="7" applyNumberFormat="1" applyFont="1" applyFill="1" applyBorder="1" applyAlignment="1" applyProtection="1">
      <alignment horizontal="left" vertical="center" wrapText="1"/>
      <protection locked="0"/>
    </xf>
    <xf numFmtId="170" fontId="15" fillId="12" borderId="4" xfId="7" applyNumberFormat="1" applyFont="1" applyFill="1" applyBorder="1" applyAlignment="1">
      <alignment horizontal="left" vertical="center" wrapText="1"/>
    </xf>
    <xf numFmtId="9" fontId="9" fillId="8" borderId="11" xfId="1" applyFont="1" applyFill="1" applyBorder="1" applyAlignment="1" applyProtection="1">
      <alignment vertical="center" wrapText="1"/>
      <protection locked="0"/>
    </xf>
    <xf numFmtId="0" fontId="11" fillId="3" borderId="4" xfId="0" applyFont="1" applyFill="1" applyBorder="1" applyAlignment="1">
      <alignment horizontal="center"/>
    </xf>
    <xf numFmtId="0" fontId="77" fillId="0" borderId="0" xfId="0" applyFont="1" applyAlignment="1">
      <alignment wrapText="1"/>
    </xf>
    <xf numFmtId="4" fontId="21" fillId="17" borderId="26" xfId="0" applyNumberFormat="1" applyFont="1" applyFill="1" applyBorder="1" applyAlignment="1">
      <alignment horizontal="center" vertical="center" wrapText="1"/>
    </xf>
    <xf numFmtId="4" fontId="21" fillId="17" borderId="26" xfId="0" applyNumberFormat="1" applyFont="1" applyFill="1" applyBorder="1" applyAlignment="1">
      <alignment vertical="center" wrapText="1"/>
    </xf>
    <xf numFmtId="0" fontId="21" fillId="37" borderId="26" xfId="0" applyFont="1" applyFill="1" applyBorder="1" applyAlignment="1">
      <alignment horizontal="right" vertical="center" wrapText="1"/>
    </xf>
    <xf numFmtId="184" fontId="15" fillId="16" borderId="4" xfId="11" applyFont="1" applyFill="1" applyBorder="1" applyAlignment="1">
      <alignment horizontal="center" vertical="center" wrapText="1"/>
    </xf>
    <xf numFmtId="165" fontId="15" fillId="16" borderId="4" xfId="0" applyNumberFormat="1" applyFont="1" applyFill="1" applyBorder="1" applyAlignment="1">
      <alignment horizontal="center" vertical="center"/>
    </xf>
    <xf numFmtId="184" fontId="15" fillId="16" borderId="4" xfId="11" applyFont="1" applyFill="1" applyBorder="1" applyAlignment="1" applyProtection="1">
      <alignment horizontal="center" vertical="center" wrapText="1"/>
      <protection locked="0"/>
    </xf>
    <xf numFmtId="173" fontId="15" fillId="9" borderId="4" xfId="11" applyNumberFormat="1" applyFont="1" applyFill="1" applyBorder="1" applyAlignment="1">
      <alignment vertical="center" wrapText="1"/>
    </xf>
    <xf numFmtId="0" fontId="15" fillId="9" borderId="4" xfId="2" applyFont="1" applyFill="1" applyBorder="1" applyAlignment="1">
      <alignment vertical="center" wrapText="1"/>
    </xf>
    <xf numFmtId="173" fontId="15" fillId="9" borderId="4" xfId="11" applyNumberFormat="1" applyFont="1" applyFill="1" applyBorder="1" applyAlignment="1" applyProtection="1">
      <alignment vertical="center" wrapText="1"/>
      <protection locked="0"/>
    </xf>
    <xf numFmtId="4" fontId="21" fillId="37" borderId="26" xfId="0" applyNumberFormat="1" applyFont="1" applyFill="1" applyBorder="1" applyAlignment="1">
      <alignment vertical="center" wrapText="1"/>
    </xf>
    <xf numFmtId="9" fontId="43" fillId="31" borderId="26" xfId="0" applyNumberFormat="1" applyFont="1" applyFill="1" applyBorder="1" applyAlignment="1">
      <alignment horizontal="center" vertical="center"/>
    </xf>
    <xf numFmtId="4" fontId="21" fillId="37" borderId="26" xfId="0" applyNumberFormat="1" applyFont="1" applyFill="1" applyBorder="1" applyAlignment="1">
      <alignment horizontal="center" vertical="center" wrapText="1"/>
    </xf>
    <xf numFmtId="9" fontId="43" fillId="30" borderId="26" xfId="0" applyNumberFormat="1" applyFont="1" applyFill="1" applyBorder="1" applyAlignment="1">
      <alignment horizontal="center" vertical="center"/>
    </xf>
    <xf numFmtId="9" fontId="43" fillId="29" borderId="26" xfId="0" applyNumberFormat="1" applyFont="1" applyFill="1" applyBorder="1" applyAlignment="1">
      <alignment horizontal="center" vertical="center"/>
    </xf>
    <xf numFmtId="0" fontId="15" fillId="16" borderId="4" xfId="0" applyFont="1" applyFill="1" applyBorder="1" applyAlignment="1">
      <alignment vertical="center" wrapText="1"/>
    </xf>
    <xf numFmtId="173" fontId="15" fillId="16" borderId="4" xfId="11" applyNumberFormat="1" applyFont="1" applyFill="1" applyBorder="1" applyAlignment="1">
      <alignment vertical="center" wrapText="1"/>
    </xf>
    <xf numFmtId="173" fontId="15" fillId="16" borderId="4" xfId="11" applyNumberFormat="1" applyFont="1" applyFill="1" applyBorder="1" applyAlignment="1" applyProtection="1">
      <alignment vertical="center" wrapText="1"/>
      <protection locked="0"/>
    </xf>
    <xf numFmtId="9" fontId="5" fillId="16" borderId="0" xfId="1" applyFont="1" applyFill="1"/>
    <xf numFmtId="0" fontId="5" fillId="9" borderId="0" xfId="0" applyFont="1" applyFill="1"/>
    <xf numFmtId="2" fontId="15" fillId="16" borderId="4" xfId="0" applyNumberFormat="1" applyFont="1" applyFill="1" applyBorder="1" applyAlignment="1">
      <alignment horizontal="center" vertical="center" wrapText="1"/>
    </xf>
    <xf numFmtId="170" fontId="15" fillId="16" borderId="4" xfId="7" applyNumberFormat="1" applyFont="1" applyFill="1" applyBorder="1" applyAlignment="1">
      <alignment vertical="center" wrapText="1"/>
    </xf>
    <xf numFmtId="170" fontId="15" fillId="16" borderId="4" xfId="7" applyNumberFormat="1" applyFont="1" applyFill="1" applyBorder="1" applyAlignment="1" applyProtection="1">
      <alignment vertical="center" wrapText="1"/>
      <protection locked="0"/>
    </xf>
    <xf numFmtId="10" fontId="15" fillId="9" borderId="4" xfId="0" applyNumberFormat="1" applyFont="1" applyFill="1" applyBorder="1" applyAlignment="1">
      <alignment horizontal="center" vertical="center"/>
    </xf>
    <xf numFmtId="10" fontId="15" fillId="9" borderId="4" xfId="2" applyNumberFormat="1" applyFont="1" applyFill="1" applyBorder="1" applyAlignment="1">
      <alignment vertical="center" wrapText="1"/>
    </xf>
    <xf numFmtId="10" fontId="15" fillId="9" borderId="4" xfId="2" applyNumberFormat="1" applyFont="1" applyFill="1" applyBorder="1" applyAlignment="1" applyProtection="1">
      <alignment vertical="center" wrapText="1"/>
      <protection locked="0"/>
    </xf>
    <xf numFmtId="184" fontId="15" fillId="16" borderId="4" xfId="11" applyFont="1" applyFill="1" applyBorder="1" applyAlignment="1">
      <alignment vertical="center" wrapText="1"/>
    </xf>
    <xf numFmtId="184" fontId="15" fillId="16" borderId="4" xfId="11" applyFont="1" applyFill="1" applyBorder="1" applyAlignment="1" applyProtection="1">
      <alignment vertical="center" wrapText="1"/>
      <protection locked="0"/>
    </xf>
    <xf numFmtId="173" fontId="15" fillId="9" borderId="4" xfId="0" applyNumberFormat="1" applyFont="1" applyFill="1" applyBorder="1" applyAlignment="1">
      <alignment horizontal="center" vertical="center" wrapText="1"/>
    </xf>
    <xf numFmtId="170" fontId="15" fillId="16" borderId="4" xfId="0" applyNumberFormat="1" applyFont="1" applyFill="1" applyBorder="1" applyAlignment="1">
      <alignment horizontal="center" vertical="center" wrapText="1"/>
    </xf>
    <xf numFmtId="9" fontId="3" fillId="6" borderId="4" xfId="1" applyFont="1" applyFill="1" applyBorder="1" applyAlignment="1" applyProtection="1">
      <alignment horizontal="center" vertical="center" wrapText="1"/>
    </xf>
    <xf numFmtId="10" fontId="21" fillId="17" borderId="26" xfId="0" applyNumberFormat="1" applyFont="1" applyFill="1" applyBorder="1" applyAlignment="1">
      <alignment horizontal="center" vertical="center" wrapText="1"/>
    </xf>
    <xf numFmtId="0" fontId="9" fillId="7" borderId="0" xfId="0" applyFont="1" applyFill="1" applyAlignment="1">
      <alignment vertical="center" wrapText="1"/>
    </xf>
    <xf numFmtId="0" fontId="9" fillId="7" borderId="0" xfId="0" applyFont="1" applyFill="1" applyAlignment="1" applyProtection="1">
      <alignment vertical="center" wrapText="1"/>
      <protection locked="0"/>
    </xf>
    <xf numFmtId="9" fontId="9" fillId="7" borderId="0" xfId="1" applyFont="1" applyFill="1" applyBorder="1" applyAlignment="1" applyProtection="1">
      <alignment vertical="center" wrapText="1"/>
      <protection locked="0"/>
    </xf>
    <xf numFmtId="4" fontId="21" fillId="46" borderId="26" xfId="0" applyNumberFormat="1" applyFont="1" applyFill="1" applyBorder="1" applyAlignment="1">
      <alignment horizontal="center" vertical="center" wrapText="1"/>
    </xf>
    <xf numFmtId="9" fontId="59" fillId="16" borderId="0" xfId="1" applyFont="1" applyFill="1" applyBorder="1"/>
    <xf numFmtId="9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68" fontId="15" fillId="15" borderId="4" xfId="4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5" fillId="15" borderId="8" xfId="2" applyFont="1" applyFill="1" applyBorder="1" applyAlignment="1">
      <alignment horizontal="center" vertical="center" wrapText="1"/>
    </xf>
    <xf numFmtId="41" fontId="24" fillId="0" borderId="0" xfId="7" applyFont="1" applyAlignment="1">
      <alignment horizontal="center" vertical="center"/>
    </xf>
    <xf numFmtId="168" fontId="29" fillId="6" borderId="99" xfId="9" applyNumberFormat="1" applyFont="1" applyFill="1" applyBorder="1" applyAlignment="1" applyProtection="1">
      <alignment horizontal="left" vertical="center" wrapText="1"/>
    </xf>
    <xf numFmtId="168" fontId="15" fillId="12" borderId="5" xfId="4" applyNumberFormat="1" applyFont="1" applyFill="1" applyBorder="1" applyAlignment="1">
      <alignment horizontal="center" vertical="center" wrapText="1"/>
    </xf>
    <xf numFmtId="168" fontId="15" fillId="12" borderId="5" xfId="4" applyNumberFormat="1" applyFont="1" applyFill="1" applyBorder="1" applyAlignment="1" applyProtection="1">
      <alignment horizontal="center" vertical="center" wrapText="1"/>
      <protection locked="0"/>
    </xf>
    <xf numFmtId="175" fontId="15" fillId="13" borderId="5" xfId="0" applyNumberFormat="1" applyFont="1" applyFill="1" applyBorder="1" applyAlignment="1">
      <alignment horizontal="center" vertical="center" wrapText="1"/>
    </xf>
    <xf numFmtId="168" fontId="29" fillId="6" borderId="99" xfId="9" applyNumberFormat="1" applyFont="1" applyFill="1" applyBorder="1" applyAlignment="1" applyProtection="1">
      <alignment vertical="center" wrapText="1"/>
    </xf>
    <xf numFmtId="2" fontId="15" fillId="12" borderId="5" xfId="0" applyNumberFormat="1" applyFont="1" applyFill="1" applyBorder="1" applyAlignment="1">
      <alignment horizontal="center" vertical="center" wrapText="1"/>
    </xf>
    <xf numFmtId="2" fontId="15" fillId="12" borderId="5" xfId="0" applyNumberFormat="1" applyFont="1" applyFill="1" applyBorder="1" applyAlignment="1" applyProtection="1">
      <alignment horizontal="center" vertical="center" wrapText="1"/>
      <protection locked="0"/>
    </xf>
    <xf numFmtId="170" fontId="29" fillId="6" borderId="99" xfId="7" applyNumberFormat="1" applyFont="1" applyFill="1" applyBorder="1" applyAlignment="1" applyProtection="1">
      <alignment vertical="center" wrapText="1"/>
    </xf>
    <xf numFmtId="2" fontId="15" fillId="13" borderId="5" xfId="0" applyNumberFormat="1" applyFont="1" applyFill="1" applyBorder="1" applyAlignment="1">
      <alignment horizontal="center" vertical="center" wrapText="1"/>
    </xf>
    <xf numFmtId="2" fontId="15" fillId="13" borderId="5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3" xfId="2" applyFont="1" applyFill="1" applyBorder="1" applyAlignment="1">
      <alignment horizontal="center" vertical="center" wrapText="1"/>
    </xf>
    <xf numFmtId="175" fontId="15" fillId="12" borderId="5" xfId="2" applyNumberFormat="1" applyFont="1" applyFill="1" applyBorder="1" applyAlignment="1">
      <alignment horizontal="center" vertical="center" wrapText="1"/>
    </xf>
    <xf numFmtId="168" fontId="29" fillId="6" borderId="99" xfId="4" applyNumberFormat="1" applyFont="1" applyFill="1" applyBorder="1" applyAlignment="1" applyProtection="1">
      <alignment vertical="center" wrapText="1"/>
    </xf>
    <xf numFmtId="2" fontId="15" fillId="12" borderId="4" xfId="0" applyNumberFormat="1" applyFont="1" applyFill="1" applyBorder="1" applyAlignment="1">
      <alignment horizontal="center" vertical="center"/>
    </xf>
    <xf numFmtId="2" fontId="15" fillId="12" borderId="4" xfId="0" applyNumberFormat="1" applyFont="1" applyFill="1" applyBorder="1" applyAlignment="1" applyProtection="1">
      <alignment horizontal="center" vertical="center"/>
      <protection locked="0"/>
    </xf>
    <xf numFmtId="2" fontId="29" fillId="6" borderId="99" xfId="1" applyNumberFormat="1" applyFont="1" applyFill="1" applyBorder="1" applyAlignment="1" applyProtection="1">
      <alignment vertical="center" wrapText="1"/>
    </xf>
    <xf numFmtId="10" fontId="15" fillId="10" borderId="4" xfId="1" applyNumberFormat="1" applyFont="1" applyFill="1" applyBorder="1" applyAlignment="1" applyProtection="1">
      <alignment horizontal="center" vertical="center" wrapText="1"/>
      <protection locked="0"/>
    </xf>
    <xf numFmtId="0" fontId="1" fillId="12" borderId="60" xfId="2" applyFont="1" applyFill="1" applyBorder="1" applyAlignment="1">
      <alignment horizontal="center" vertical="center" wrapText="1"/>
    </xf>
    <xf numFmtId="0" fontId="78" fillId="12" borderId="86" xfId="8" applyFont="1" applyFill="1" applyBorder="1" applyAlignment="1">
      <alignment horizontal="center" vertical="center" wrapText="1"/>
    </xf>
    <xf numFmtId="0" fontId="1" fillId="12" borderId="86" xfId="2" applyFont="1" applyFill="1" applyBorder="1" applyAlignment="1">
      <alignment horizontal="center" vertical="center" wrapText="1"/>
    </xf>
    <xf numFmtId="168" fontId="1" fillId="12" borderId="4" xfId="4" applyNumberFormat="1" applyFont="1" applyFill="1" applyBorder="1" applyAlignment="1">
      <alignment horizontal="center" vertical="center" wrapText="1"/>
    </xf>
    <xf numFmtId="168" fontId="1" fillId="12" borderId="4" xfId="4" applyNumberFormat="1" applyFont="1" applyFill="1" applyBorder="1" applyAlignment="1" applyProtection="1">
      <alignment horizontal="center" vertical="center" wrapText="1"/>
      <protection locked="0"/>
    </xf>
    <xf numFmtId="9" fontId="1" fillId="6" borderId="4" xfId="1" applyFont="1" applyFill="1" applyBorder="1" applyAlignment="1" applyProtection="1">
      <alignment horizontal="center" vertical="center"/>
    </xf>
    <xf numFmtId="168" fontId="1" fillId="16" borderId="4" xfId="4" applyNumberFormat="1" applyFont="1" applyFill="1" applyBorder="1" applyAlignment="1" applyProtection="1">
      <alignment horizontal="center" vertical="center" wrapText="1"/>
      <protection locked="0"/>
    </xf>
    <xf numFmtId="175" fontId="1" fillId="6" borderId="99" xfId="4" applyNumberFormat="1" applyFont="1" applyFill="1" applyBorder="1" applyAlignment="1" applyProtection="1">
      <alignment vertical="center" wrapText="1"/>
    </xf>
    <xf numFmtId="0" fontId="42" fillId="0" borderId="0" xfId="0" applyFont="1" applyAlignment="1">
      <alignment horizontal="center" vertical="center"/>
    </xf>
    <xf numFmtId="168" fontId="15" fillId="13" borderId="0" xfId="4" applyNumberFormat="1" applyFont="1" applyFill="1" applyAlignment="1" applyProtection="1">
      <alignment horizontal="center" vertical="center" wrapText="1"/>
      <protection locked="0"/>
    </xf>
    <xf numFmtId="168" fontId="15" fillId="13" borderId="10" xfId="4" applyNumberFormat="1" applyFont="1" applyFill="1" applyBorder="1" applyAlignment="1" applyProtection="1">
      <alignment horizontal="center" vertical="center" wrapText="1"/>
      <protection locked="0"/>
    </xf>
    <xf numFmtId="199" fontId="24" fillId="0" borderId="0" xfId="0" applyNumberFormat="1" applyFont="1" applyAlignment="1">
      <alignment horizontal="center" vertical="center"/>
    </xf>
    <xf numFmtId="2" fontId="15" fillId="12" borderId="4" xfId="2" applyNumberFormat="1" applyFont="1" applyFill="1" applyBorder="1" applyAlignment="1">
      <alignment horizontal="center" vertical="center" wrapText="1"/>
    </xf>
    <xf numFmtId="2" fontId="15" fillId="12" borderId="19" xfId="0" applyNumberFormat="1" applyFont="1" applyFill="1" applyBorder="1" applyAlignment="1" applyProtection="1">
      <alignment horizontal="center" vertical="center" wrapText="1"/>
      <protection locked="0"/>
    </xf>
    <xf numFmtId="2" fontId="15" fillId="12" borderId="11" xfId="0" applyNumberFormat="1" applyFont="1" applyFill="1" applyBorder="1" applyAlignment="1" applyProtection="1">
      <alignment horizontal="center" vertical="center" wrapText="1"/>
      <protection locked="0"/>
    </xf>
    <xf numFmtId="2" fontId="15" fillId="12" borderId="10" xfId="0" applyNumberFormat="1" applyFont="1" applyFill="1" applyBorder="1" applyAlignment="1" applyProtection="1">
      <alignment horizontal="center" vertical="center" wrapText="1"/>
      <protection locked="0"/>
    </xf>
    <xf numFmtId="2" fontId="15" fillId="10" borderId="0" xfId="0" applyNumberFormat="1" applyFont="1" applyFill="1" applyAlignment="1" applyProtection="1">
      <alignment horizontal="center" vertical="center" wrapText="1"/>
      <protection locked="0"/>
    </xf>
    <xf numFmtId="10" fontId="29" fillId="6" borderId="99" xfId="1" applyNumberFormat="1" applyFont="1" applyFill="1" applyBorder="1" applyAlignment="1" applyProtection="1">
      <alignment vertical="center" wrapText="1"/>
    </xf>
    <xf numFmtId="2" fontId="15" fillId="13" borderId="25" xfId="2" applyNumberFormat="1" applyFont="1" applyFill="1" applyBorder="1" applyAlignment="1" applyProtection="1">
      <alignment horizontal="center" vertical="center" wrapText="1"/>
      <protection locked="0"/>
    </xf>
    <xf numFmtId="2" fontId="15" fillId="13" borderId="0" xfId="2" applyNumberFormat="1" applyFont="1" applyFill="1" applyBorder="1" applyAlignment="1" applyProtection="1">
      <alignment horizontal="center" vertical="center" wrapText="1"/>
      <protection locked="0"/>
    </xf>
    <xf numFmtId="2" fontId="15" fillId="13" borderId="100" xfId="2" applyNumberFormat="1" applyFont="1" applyFill="1" applyBorder="1" applyAlignment="1" applyProtection="1">
      <alignment horizontal="center" vertical="center" wrapText="1"/>
      <protection locked="0"/>
    </xf>
    <xf numFmtId="2" fontId="15" fillId="13" borderId="100" xfId="2" applyNumberFormat="1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11" fillId="7" borderId="9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41" fontId="15" fillId="12" borderId="4" xfId="7" applyFont="1" applyFill="1" applyBorder="1" applyAlignment="1">
      <alignment horizontal="center" vertical="center"/>
    </xf>
    <xf numFmtId="2" fontId="15" fillId="10" borderId="4" xfId="0" applyNumberFormat="1" applyFont="1" applyFill="1" applyBorder="1" applyAlignment="1" applyProtection="1">
      <alignment horizontal="center" vertical="center" wrapText="1"/>
      <protection locked="0"/>
    </xf>
    <xf numFmtId="0" fontId="20" fillId="13" borderId="4" xfId="0" applyFont="1" applyFill="1" applyBorder="1" applyAlignment="1">
      <alignment horizontal="center" vertical="center" wrapText="1"/>
    </xf>
    <xf numFmtId="166" fontId="15" fillId="13" borderId="4" xfId="0" applyNumberFormat="1" applyFont="1" applyFill="1" applyBorder="1" applyAlignment="1">
      <alignment horizontal="center" vertical="center"/>
    </xf>
    <xf numFmtId="1" fontId="15" fillId="13" borderId="4" xfId="0" applyNumberFormat="1" applyFont="1" applyFill="1" applyBorder="1" applyAlignment="1" applyProtection="1">
      <alignment horizontal="center" vertical="center" wrapText="1"/>
      <protection locked="0"/>
    </xf>
    <xf numFmtId="42" fontId="29" fillId="6" borderId="99" xfId="4" applyFont="1" applyFill="1" applyBorder="1" applyAlignment="1" applyProtection="1">
      <alignment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 vertical="center" wrapText="1"/>
    </xf>
    <xf numFmtId="9" fontId="11" fillId="8" borderId="9" xfId="1" applyFont="1" applyFill="1" applyBorder="1" applyAlignment="1">
      <alignment horizontal="center" vertical="center" wrapText="1"/>
    </xf>
    <xf numFmtId="9" fontId="11" fillId="8" borderId="11" xfId="1" applyFont="1" applyFill="1" applyBorder="1" applyAlignment="1">
      <alignment horizontal="center" vertical="center" wrapText="1"/>
    </xf>
    <xf numFmtId="41" fontId="11" fillId="8" borderId="4" xfId="7" applyFont="1" applyFill="1" applyBorder="1" applyAlignment="1">
      <alignment horizontal="center" vertical="center" wrapText="1"/>
    </xf>
    <xf numFmtId="41" fontId="20" fillId="12" borderId="4" xfId="7" applyFont="1" applyFill="1" applyBorder="1" applyAlignment="1">
      <alignment horizontal="center" vertical="center" wrapText="1"/>
    </xf>
    <xf numFmtId="173" fontId="15" fillId="15" borderId="5" xfId="11" applyNumberFormat="1" applyFont="1" applyFill="1" applyBorder="1" applyAlignment="1" applyProtection="1">
      <alignment horizontal="right" vertical="center" wrapText="1"/>
    </xf>
    <xf numFmtId="173" fontId="15" fillId="15" borderId="5" xfId="11" applyNumberFormat="1" applyFont="1" applyFill="1" applyBorder="1" applyAlignment="1" applyProtection="1">
      <alignment horizontal="right" vertical="center" wrapText="1"/>
      <protection locked="0"/>
    </xf>
    <xf numFmtId="41" fontId="15" fillId="15" borderId="5" xfId="7" applyFont="1" applyFill="1" applyBorder="1" applyAlignment="1" applyProtection="1">
      <alignment horizontal="right" vertical="center" wrapText="1"/>
    </xf>
    <xf numFmtId="41" fontId="15" fillId="15" borderId="5" xfId="7" applyFont="1" applyFill="1" applyBorder="1" applyAlignment="1" applyProtection="1">
      <alignment horizontal="right" vertical="center" wrapText="1"/>
      <protection locked="0"/>
    </xf>
    <xf numFmtId="41" fontId="15" fillId="12" borderId="4" xfId="7" applyFont="1" applyFill="1" applyBorder="1" applyAlignment="1" applyProtection="1">
      <alignment horizontal="right" vertical="center" wrapText="1"/>
    </xf>
    <xf numFmtId="41" fontId="10" fillId="15" borderId="0" xfId="7" applyFont="1" applyFill="1" applyProtection="1"/>
    <xf numFmtId="177" fontId="15" fillId="13" borderId="4" xfId="11" applyNumberFormat="1" applyFont="1" applyFill="1" applyBorder="1" applyAlignment="1" applyProtection="1">
      <alignment horizontal="right" vertical="center" wrapText="1"/>
    </xf>
    <xf numFmtId="0" fontId="24" fillId="12" borderId="10" xfId="0" applyFont="1" applyFill="1" applyBorder="1" applyAlignment="1">
      <alignment horizontal="center" vertical="center" wrapText="1"/>
    </xf>
    <xf numFmtId="10" fontId="15" fillId="12" borderId="11" xfId="1" applyNumberFormat="1" applyFont="1" applyFill="1" applyBorder="1" applyAlignment="1" applyProtection="1">
      <alignment horizontal="right" vertical="center" wrapText="1"/>
    </xf>
    <xf numFmtId="0" fontId="24" fillId="13" borderId="10" xfId="0" applyFont="1" applyFill="1" applyBorder="1" applyAlignment="1">
      <alignment horizontal="center" vertical="center"/>
    </xf>
    <xf numFmtId="173" fontId="15" fillId="13" borderId="11" xfId="11" applyNumberFormat="1" applyFont="1" applyFill="1" applyBorder="1" applyAlignment="1" applyProtection="1">
      <alignment horizontal="right" vertical="center" wrapText="1"/>
    </xf>
    <xf numFmtId="0" fontId="27" fillId="12" borderId="13" xfId="0" applyFont="1" applyFill="1" applyBorder="1" applyAlignment="1">
      <alignment horizontal="center" vertical="center" wrapText="1"/>
    </xf>
    <xf numFmtId="41" fontId="15" fillId="12" borderId="11" xfId="7" applyFont="1" applyFill="1" applyBorder="1" applyAlignment="1" applyProtection="1">
      <alignment horizontal="right" vertical="center" wrapText="1"/>
    </xf>
    <xf numFmtId="4" fontId="5" fillId="12" borderId="4" xfId="0" applyNumberFormat="1" applyFont="1" applyFill="1" applyBorder="1" applyAlignment="1" applyProtection="1">
      <alignment horizontal="right"/>
      <protection locked="0"/>
    </xf>
    <xf numFmtId="2" fontId="15" fillId="12" borderId="11" xfId="1" applyNumberFormat="1" applyFont="1" applyFill="1" applyBorder="1" applyAlignment="1" applyProtection="1">
      <alignment horizontal="right" vertical="center" wrapText="1"/>
    </xf>
    <xf numFmtId="4" fontId="5" fillId="12" borderId="4" xfId="0" applyNumberFormat="1" applyFont="1" applyFill="1" applyBorder="1" applyAlignment="1" applyProtection="1">
      <alignment horizontal="center" vertical="center"/>
      <protection locked="0"/>
    </xf>
    <xf numFmtId="0" fontId="15" fillId="13" borderId="10" xfId="0" applyFont="1" applyFill="1" applyBorder="1" applyAlignment="1">
      <alignment horizontal="center" wrapText="1"/>
    </xf>
    <xf numFmtId="170" fontId="15" fillId="13" borderId="11" xfId="7" applyNumberFormat="1" applyFont="1" applyFill="1" applyBorder="1" applyAlignment="1" applyProtection="1">
      <alignment horizontal="center" vertical="center" wrapText="1"/>
    </xf>
    <xf numFmtId="4" fontId="5" fillId="13" borderId="4" xfId="0" applyNumberFormat="1" applyFont="1" applyFill="1" applyBorder="1" applyAlignment="1" applyProtection="1">
      <alignment horizontal="center" vertical="center"/>
      <protection locked="0"/>
    </xf>
    <xf numFmtId="0" fontId="14" fillId="12" borderId="20" xfId="8" applyFill="1" applyBorder="1" applyAlignment="1" applyProtection="1">
      <alignment horizontal="center" vertical="center" wrapText="1"/>
    </xf>
    <xf numFmtId="0" fontId="79" fillId="12" borderId="4" xfId="0" applyFont="1" applyFill="1" applyBorder="1" applyAlignment="1">
      <alignment horizontal="center" vertical="center" wrapText="1"/>
    </xf>
    <xf numFmtId="0" fontId="79" fillId="12" borderId="10" xfId="0" applyFont="1" applyFill="1" applyBorder="1" applyAlignment="1">
      <alignment horizontal="center" vertical="center" wrapText="1"/>
    </xf>
    <xf numFmtId="4" fontId="15" fillId="12" borderId="11" xfId="0" applyNumberFormat="1" applyFont="1" applyFill="1" applyBorder="1" applyAlignment="1">
      <alignment horizontal="center" vertical="center"/>
    </xf>
    <xf numFmtId="4" fontId="15" fillId="12" borderId="4" xfId="0" applyNumberFormat="1" applyFont="1" applyFill="1" applyBorder="1" applyAlignment="1" applyProtection="1">
      <alignment horizontal="center" vertical="center"/>
      <protection locked="0"/>
    </xf>
    <xf numFmtId="4" fontId="0" fillId="12" borderId="4" xfId="0" applyNumberFormat="1" applyFill="1" applyBorder="1" applyAlignment="1" applyProtection="1">
      <alignment horizontal="center" vertical="center"/>
      <protection locked="0"/>
    </xf>
    <xf numFmtId="0" fontId="9" fillId="8" borderId="10" xfId="0" applyFont="1" applyFill="1" applyBorder="1" applyAlignment="1" applyProtection="1">
      <alignment vertical="center" wrapText="1"/>
      <protection locked="0"/>
    </xf>
    <xf numFmtId="4" fontId="15" fillId="12" borderId="11" xfId="0" applyNumberFormat="1" applyFont="1" applyFill="1" applyBorder="1" applyAlignment="1">
      <alignment horizontal="right" vertical="center"/>
    </xf>
    <xf numFmtId="4" fontId="15" fillId="12" borderId="4" xfId="0" applyNumberFormat="1" applyFont="1" applyFill="1" applyBorder="1" applyAlignment="1" applyProtection="1">
      <alignment horizontal="right" vertical="center"/>
      <protection locked="0"/>
    </xf>
    <xf numFmtId="170" fontId="15" fillId="13" borderId="11" xfId="7" applyNumberFormat="1" applyFont="1" applyFill="1" applyBorder="1" applyAlignment="1" applyProtection="1">
      <alignment horizontal="right" vertical="center" wrapText="1"/>
    </xf>
    <xf numFmtId="4" fontId="5" fillId="13" borderId="4" xfId="0" applyNumberFormat="1" applyFont="1" applyFill="1" applyBorder="1" applyAlignment="1" applyProtection="1">
      <alignment horizontal="right" vertical="center"/>
      <protection locked="0"/>
    </xf>
    <xf numFmtId="9" fontId="15" fillId="6" borderId="4" xfId="1" applyFont="1" applyFill="1" applyBorder="1" applyAlignment="1" applyProtection="1">
      <alignment horizontal="center" vertical="center"/>
    </xf>
    <xf numFmtId="0" fontId="13" fillId="3" borderId="0" xfId="0" applyFont="1" applyFill="1" applyAlignment="1">
      <alignment vertical="center"/>
    </xf>
    <xf numFmtId="0" fontId="5" fillId="0" borderId="4" xfId="0" applyFont="1" applyBorder="1" applyAlignment="1">
      <alignment wrapText="1"/>
    </xf>
    <xf numFmtId="0" fontId="0" fillId="0" borderId="4" xfId="0" applyBorder="1"/>
    <xf numFmtId="3" fontId="24" fillId="16" borderId="4" xfId="0" applyNumberFormat="1" applyFont="1" applyFill="1" applyBorder="1" applyAlignment="1">
      <alignment horizontal="center" vertical="center" wrapText="1"/>
    </xf>
    <xf numFmtId="173" fontId="15" fillId="16" borderId="4" xfId="11" applyNumberFormat="1" applyFont="1" applyFill="1" applyBorder="1" applyAlignment="1">
      <alignment horizontal="right" vertical="center" wrapText="1"/>
    </xf>
    <xf numFmtId="173" fontId="0" fillId="16" borderId="4" xfId="11" applyNumberFormat="1" applyFont="1" applyFill="1" applyBorder="1" applyAlignment="1" applyProtection="1">
      <alignment horizontal="right" vertical="center" wrapText="1"/>
      <protection locked="0"/>
    </xf>
    <xf numFmtId="173" fontId="0" fillId="16" borderId="4" xfId="11" applyNumberFormat="1" applyFont="1" applyFill="1" applyBorder="1" applyAlignment="1">
      <alignment horizontal="right" vertical="center" wrapText="1"/>
    </xf>
    <xf numFmtId="184" fontId="15" fillId="16" borderId="4" xfId="11" applyFont="1" applyFill="1" applyBorder="1" applyAlignment="1">
      <alignment horizontal="right" vertical="center" wrapText="1"/>
    </xf>
    <xf numFmtId="208" fontId="0" fillId="16" borderId="4" xfId="11" applyNumberFormat="1" applyFont="1" applyFill="1" applyBorder="1" applyAlignment="1">
      <alignment horizontal="right" vertical="center" wrapText="1"/>
    </xf>
    <xf numFmtId="174" fontId="0" fillId="15" borderId="4" xfId="11" applyNumberFormat="1" applyFont="1" applyFill="1" applyBorder="1" applyAlignment="1">
      <alignment horizontal="right" vertical="center" wrapText="1"/>
    </xf>
    <xf numFmtId="9" fontId="3" fillId="23" borderId="4" xfId="1" applyFont="1" applyFill="1" applyBorder="1" applyAlignment="1" applyProtection="1">
      <alignment horizontal="center" vertical="center"/>
    </xf>
    <xf numFmtId="0" fontId="10" fillId="16" borderId="4" xfId="0" applyFont="1" applyFill="1" applyBorder="1"/>
    <xf numFmtId="164" fontId="24" fillId="9" borderId="4" xfId="0" applyNumberFormat="1" applyFont="1" applyFill="1" applyBorder="1" applyAlignment="1">
      <alignment horizontal="center" vertical="center"/>
    </xf>
    <xf numFmtId="173" fontId="0" fillId="9" borderId="4" xfId="11" applyNumberFormat="1" applyFont="1" applyFill="1" applyBorder="1" applyAlignment="1" applyProtection="1">
      <alignment horizontal="right" vertical="center" wrapText="1"/>
      <protection locked="0"/>
    </xf>
    <xf numFmtId="173" fontId="0" fillId="9" borderId="4" xfId="11" applyNumberFormat="1" applyFont="1" applyFill="1" applyBorder="1" applyAlignment="1">
      <alignment horizontal="right" vertical="center" wrapText="1"/>
    </xf>
    <xf numFmtId="0" fontId="10" fillId="9" borderId="4" xfId="0" applyFont="1" applyFill="1" applyBorder="1"/>
    <xf numFmtId="184" fontId="24" fillId="9" borderId="4" xfId="11" applyFont="1" applyFill="1" applyBorder="1" applyAlignment="1">
      <alignment horizontal="center" vertical="center"/>
    </xf>
    <xf numFmtId="172" fontId="15" fillId="16" borderId="4" xfId="7" applyNumberFormat="1" applyFont="1" applyFill="1" applyBorder="1" applyAlignment="1">
      <alignment horizontal="left" vertical="center" wrapText="1"/>
    </xf>
    <xf numFmtId="172" fontId="0" fillId="16" borderId="4" xfId="7" applyNumberFormat="1" applyFont="1" applyFill="1" applyBorder="1" applyAlignment="1" applyProtection="1">
      <alignment horizontal="left" vertical="center" wrapText="1"/>
      <protection locked="0"/>
    </xf>
    <xf numFmtId="172" fontId="0" fillId="16" borderId="4" xfId="7" applyNumberFormat="1" applyFont="1" applyFill="1" applyBorder="1" applyAlignment="1">
      <alignment horizontal="left" vertical="center" wrapText="1"/>
    </xf>
    <xf numFmtId="172" fontId="0" fillId="16" borderId="4" xfId="7" applyNumberFormat="1" applyFont="1" applyFill="1" applyBorder="1" applyAlignment="1">
      <alignment horizontal="right" vertical="center" wrapText="1"/>
    </xf>
    <xf numFmtId="172" fontId="15" fillId="9" borderId="4" xfId="7" applyNumberFormat="1" applyFont="1" applyFill="1" applyBorder="1" applyAlignment="1">
      <alignment horizontal="left" vertical="center" wrapText="1"/>
    </xf>
    <xf numFmtId="172" fontId="0" fillId="9" borderId="4" xfId="7" applyNumberFormat="1" applyFont="1" applyFill="1" applyBorder="1" applyAlignment="1" applyProtection="1">
      <alignment horizontal="left" vertical="center" wrapText="1"/>
      <protection locked="0"/>
    </xf>
    <xf numFmtId="172" fontId="0" fillId="9" borderId="4" xfId="7" applyNumberFormat="1" applyFont="1" applyFill="1" applyBorder="1" applyAlignment="1">
      <alignment horizontal="left" vertical="center" wrapText="1"/>
    </xf>
    <xf numFmtId="172" fontId="0" fillId="9" borderId="4" xfId="7" applyNumberFormat="1" applyFont="1" applyFill="1" applyBorder="1" applyAlignment="1">
      <alignment horizontal="right" vertical="center" wrapText="1"/>
    </xf>
    <xf numFmtId="184" fontId="24" fillId="16" borderId="4" xfId="11" applyFont="1" applyFill="1" applyBorder="1" applyAlignment="1">
      <alignment horizontal="left" vertical="center" wrapText="1"/>
    </xf>
    <xf numFmtId="173" fontId="0" fillId="16" borderId="4" xfId="11" applyNumberFormat="1" applyFont="1" applyFill="1" applyBorder="1" applyAlignment="1" applyProtection="1">
      <alignment horizontal="center" vertical="center" wrapText="1"/>
      <protection locked="0"/>
    </xf>
    <xf numFmtId="173" fontId="0" fillId="16" borderId="4" xfId="11" applyNumberFormat="1" applyFont="1" applyFill="1" applyBorder="1" applyAlignment="1">
      <alignment horizontal="center" vertical="center" wrapText="1"/>
    </xf>
    <xf numFmtId="41" fontId="0" fillId="9" borderId="4" xfId="7" applyFont="1" applyFill="1" applyBorder="1" applyAlignment="1" applyProtection="1">
      <alignment horizontal="center" vertical="center" wrapText="1"/>
      <protection locked="0"/>
    </xf>
    <xf numFmtId="41" fontId="0" fillId="9" borderId="4" xfId="7" applyFont="1" applyFill="1" applyBorder="1" applyAlignment="1">
      <alignment horizontal="center" vertical="center" wrapText="1"/>
    </xf>
    <xf numFmtId="41" fontId="0" fillId="9" borderId="4" xfId="7" applyFont="1" applyFill="1" applyBorder="1" applyAlignment="1">
      <alignment horizontal="right" vertical="center" wrapText="1"/>
    </xf>
    <xf numFmtId="164" fontId="24" fillId="16" borderId="4" xfId="0" applyNumberFormat="1" applyFont="1" applyFill="1" applyBorder="1" applyAlignment="1">
      <alignment horizontal="center" vertical="center"/>
    </xf>
    <xf numFmtId="9" fontId="24" fillId="16" borderId="4" xfId="0" applyNumberFormat="1" applyFont="1" applyFill="1" applyBorder="1" applyAlignment="1">
      <alignment horizontal="center" vertical="center"/>
    </xf>
    <xf numFmtId="164" fontId="24" fillId="16" borderId="4" xfId="0" applyNumberFormat="1" applyFont="1" applyFill="1" applyBorder="1" applyAlignment="1">
      <alignment horizontal="center" vertical="center" wrapText="1"/>
    </xf>
    <xf numFmtId="10" fontId="0" fillId="16" borderId="4" xfId="0" applyNumberFormat="1" applyFill="1" applyBorder="1" applyAlignment="1" applyProtection="1">
      <alignment horizontal="center" vertical="center" wrapText="1"/>
      <protection locked="0"/>
    </xf>
    <xf numFmtId="10" fontId="0" fillId="16" borderId="4" xfId="0" applyNumberFormat="1" applyFill="1" applyBorder="1" applyAlignment="1">
      <alignment horizontal="center" vertical="center" wrapText="1"/>
    </xf>
    <xf numFmtId="10" fontId="0" fillId="16" borderId="4" xfId="1" applyNumberFormat="1" applyFont="1" applyFill="1" applyBorder="1" applyAlignment="1">
      <alignment horizontal="center" vertical="center" wrapText="1"/>
    </xf>
    <xf numFmtId="10" fontId="0" fillId="16" borderId="4" xfId="1" applyNumberFormat="1" applyFont="1" applyFill="1" applyBorder="1" applyAlignment="1">
      <alignment horizontal="right" vertical="center" wrapText="1"/>
    </xf>
    <xf numFmtId="170" fontId="0" fillId="9" borderId="4" xfId="7" applyNumberFormat="1" applyFont="1" applyFill="1" applyBorder="1" applyAlignment="1" applyProtection="1">
      <alignment horizontal="center" vertical="center" wrapText="1"/>
      <protection locked="0"/>
    </xf>
    <xf numFmtId="170" fontId="0" fillId="9" borderId="4" xfId="7" applyNumberFormat="1" applyFont="1" applyFill="1" applyBorder="1" applyAlignment="1">
      <alignment horizontal="center" vertical="center" wrapText="1"/>
    </xf>
    <xf numFmtId="170" fontId="0" fillId="9" borderId="4" xfId="7" applyNumberFormat="1" applyFont="1" applyFill="1" applyBorder="1" applyAlignment="1">
      <alignment horizontal="right" vertical="center" wrapText="1"/>
    </xf>
    <xf numFmtId="1" fontId="24" fillId="16" borderId="4" xfId="0" applyNumberFormat="1" applyFont="1" applyFill="1" applyBorder="1" applyAlignment="1">
      <alignment horizontal="center" vertical="center"/>
    </xf>
    <xf numFmtId="1" fontId="24" fillId="16" borderId="4" xfId="1" applyNumberFormat="1" applyFont="1" applyFill="1" applyBorder="1" applyAlignment="1">
      <alignment horizontal="center" vertical="center"/>
    </xf>
    <xf numFmtId="170" fontId="0" fillId="16" borderId="4" xfId="7" applyNumberFormat="1" applyFont="1" applyFill="1" applyBorder="1" applyAlignment="1" applyProtection="1">
      <alignment horizontal="center" vertical="center" wrapText="1"/>
      <protection locked="0"/>
    </xf>
    <xf numFmtId="170" fontId="0" fillId="16" borderId="4" xfId="7" applyNumberFormat="1" applyFont="1" applyFill="1" applyBorder="1" applyAlignment="1">
      <alignment horizontal="center" vertical="center" wrapText="1"/>
    </xf>
    <xf numFmtId="170" fontId="0" fillId="16" borderId="4" xfId="7" applyNumberFormat="1" applyFont="1" applyFill="1" applyBorder="1" applyAlignment="1">
      <alignment horizontal="right" vertical="center" wrapText="1"/>
    </xf>
    <xf numFmtId="10" fontId="0" fillId="9" borderId="4" xfId="0" applyNumberFormat="1" applyFill="1" applyBorder="1" applyAlignment="1" applyProtection="1">
      <alignment horizontal="center" vertical="center" wrapText="1"/>
      <protection locked="0"/>
    </xf>
    <xf numFmtId="10" fontId="0" fillId="9" borderId="4" xfId="0" applyNumberFormat="1" applyFill="1" applyBorder="1" applyAlignment="1">
      <alignment horizontal="center" vertical="center" wrapText="1"/>
    </xf>
    <xf numFmtId="10" fontId="0" fillId="9" borderId="4" xfId="1" applyNumberFormat="1" applyFont="1" applyFill="1" applyBorder="1" applyAlignment="1">
      <alignment horizontal="right" vertical="center" wrapText="1"/>
    </xf>
    <xf numFmtId="166" fontId="24" fillId="16" borderId="4" xfId="0" applyNumberFormat="1" applyFont="1" applyFill="1" applyBorder="1" applyAlignment="1">
      <alignment horizontal="center" vertical="center"/>
    </xf>
    <xf numFmtId="172" fontId="15" fillId="16" borderId="4" xfId="7" applyNumberFormat="1" applyFont="1" applyFill="1" applyBorder="1" applyAlignment="1">
      <alignment horizontal="center" vertical="center"/>
    </xf>
    <xf numFmtId="172" fontId="0" fillId="16" borderId="4" xfId="7" applyNumberFormat="1" applyFont="1" applyFill="1" applyBorder="1" applyAlignment="1" applyProtection="1">
      <alignment horizontal="center" vertical="center"/>
      <protection locked="0"/>
    </xf>
    <xf numFmtId="172" fontId="0" fillId="16" borderId="4" xfId="7" applyNumberFormat="1" applyFont="1" applyFill="1" applyBorder="1" applyAlignment="1">
      <alignment horizontal="center" vertical="center"/>
    </xf>
    <xf numFmtId="172" fontId="0" fillId="16" borderId="4" xfId="7" applyNumberFormat="1" applyFont="1" applyFill="1" applyBorder="1" applyAlignment="1">
      <alignment horizontal="right" vertical="center"/>
    </xf>
    <xf numFmtId="167" fontId="24" fillId="9" borderId="4" xfId="1" applyNumberFormat="1" applyFont="1" applyFill="1" applyBorder="1" applyAlignment="1">
      <alignment horizontal="center" vertical="center" wrapText="1"/>
    </xf>
    <xf numFmtId="10" fontId="0" fillId="16" borderId="4" xfId="1" applyNumberFormat="1" applyFont="1" applyFill="1" applyBorder="1" applyAlignment="1" applyProtection="1">
      <alignment horizontal="center" vertical="center" wrapText="1"/>
      <protection locked="0"/>
    </xf>
    <xf numFmtId="165" fontId="14" fillId="16" borderId="4" xfId="8" applyNumberFormat="1" applyFill="1" applyBorder="1" applyAlignment="1">
      <alignment horizontal="center" vertical="center" wrapText="1"/>
    </xf>
    <xf numFmtId="10" fontId="0" fillId="9" borderId="4" xfId="1" applyNumberFormat="1" applyFont="1" applyFill="1" applyBorder="1" applyAlignment="1" applyProtection="1">
      <alignment horizontal="center" vertical="center" wrapText="1"/>
      <protection locked="0"/>
    </xf>
    <xf numFmtId="10" fontId="0" fillId="9" borderId="4" xfId="1" applyNumberFormat="1" applyFont="1" applyFill="1" applyBorder="1" applyAlignment="1">
      <alignment horizontal="center" vertical="center" wrapText="1"/>
    </xf>
    <xf numFmtId="173" fontId="0" fillId="9" borderId="4" xfId="11" applyNumberFormat="1" applyFont="1" applyFill="1" applyBorder="1" applyAlignment="1" applyProtection="1">
      <alignment horizontal="center" vertical="center" wrapText="1"/>
      <protection locked="0"/>
    </xf>
    <xf numFmtId="173" fontId="0" fillId="9" borderId="4" xfId="11" applyNumberFormat="1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vertical="center" wrapText="1"/>
    </xf>
    <xf numFmtId="0" fontId="12" fillId="7" borderId="4" xfId="0" applyFont="1" applyFill="1" applyBorder="1" applyAlignment="1">
      <alignment horizontal="right" vertical="center" wrapText="1"/>
    </xf>
    <xf numFmtId="0" fontId="10" fillId="0" borderId="101" xfId="0" applyFont="1" applyBorder="1"/>
    <xf numFmtId="41" fontId="24" fillId="16" borderId="4" xfId="7" applyFont="1" applyFill="1" applyBorder="1" applyAlignment="1">
      <alignment horizontal="center" vertical="center"/>
    </xf>
    <xf numFmtId="170" fontId="0" fillId="16" borderId="4" xfId="7" applyNumberFormat="1" applyFont="1" applyFill="1" applyBorder="1" applyAlignment="1" applyProtection="1">
      <alignment vertical="center" wrapText="1"/>
      <protection locked="0"/>
    </xf>
    <xf numFmtId="170" fontId="0" fillId="16" borderId="4" xfId="7" applyNumberFormat="1" applyFont="1" applyFill="1" applyBorder="1" applyAlignment="1">
      <alignment vertical="center" wrapText="1"/>
    </xf>
    <xf numFmtId="0" fontId="24" fillId="9" borderId="4" xfId="0" applyFont="1" applyFill="1" applyBorder="1" applyAlignment="1">
      <alignment horizontal="center" wrapText="1"/>
    </xf>
    <xf numFmtId="9" fontId="5" fillId="0" borderId="0" xfId="1" applyFont="1" applyBorder="1"/>
    <xf numFmtId="174" fontId="15" fillId="12" borderId="4" xfId="11" applyNumberFormat="1" applyFont="1" applyFill="1" applyBorder="1" applyAlignment="1">
      <alignment horizontal="center" vertical="center" wrapText="1"/>
    </xf>
    <xf numFmtId="173" fontId="15" fillId="16" borderId="4" xfId="11" applyNumberFormat="1" applyFont="1" applyFill="1" applyBorder="1" applyAlignment="1">
      <alignment horizontal="center" vertical="center"/>
    </xf>
    <xf numFmtId="173" fontId="15" fillId="16" borderId="11" xfId="11" applyNumberFormat="1" applyFont="1" applyFill="1" applyBorder="1" applyAlignment="1">
      <alignment horizontal="center" vertical="center" wrapText="1"/>
    </xf>
    <xf numFmtId="173" fontId="15" fillId="16" borderId="11" xfId="11" applyNumberFormat="1" applyFont="1" applyFill="1" applyBorder="1" applyAlignment="1" applyProtection="1">
      <alignment horizontal="center" vertical="center" wrapText="1"/>
      <protection locked="0"/>
    </xf>
    <xf numFmtId="173" fontId="15" fillId="16" borderId="11" xfId="11" applyNumberFormat="1" applyFont="1" applyFill="1" applyBorder="1" applyAlignment="1" applyProtection="1">
      <alignment horizontal="center" vertical="center" wrapText="1"/>
    </xf>
    <xf numFmtId="170" fontId="24" fillId="9" borderId="8" xfId="7" applyNumberFormat="1" applyFont="1" applyFill="1" applyBorder="1" applyAlignment="1">
      <alignment horizontal="center" vertical="center"/>
    </xf>
    <xf numFmtId="0" fontId="24" fillId="9" borderId="8" xfId="0" applyFont="1" applyFill="1" applyBorder="1" applyAlignment="1">
      <alignment horizontal="center" wrapText="1"/>
    </xf>
    <xf numFmtId="164" fontId="24" fillId="9" borderId="8" xfId="0" applyNumberFormat="1" applyFont="1" applyFill="1" applyBorder="1" applyAlignment="1">
      <alignment horizontal="center" vertical="center"/>
    </xf>
    <xf numFmtId="170" fontId="24" fillId="9" borderId="8" xfId="7" applyNumberFormat="1" applyFont="1" applyFill="1" applyBorder="1" applyAlignment="1">
      <alignment horizontal="center" vertical="center" wrapText="1"/>
    </xf>
    <xf numFmtId="170" fontId="24" fillId="9" borderId="8" xfId="7" applyNumberFormat="1" applyFont="1" applyFill="1" applyBorder="1" applyAlignment="1" applyProtection="1">
      <alignment horizontal="center" vertical="center" wrapText="1"/>
      <protection locked="0"/>
    </xf>
    <xf numFmtId="170" fontId="24" fillId="9" borderId="8" xfId="7" applyNumberFormat="1" applyFont="1" applyFill="1" applyBorder="1" applyAlignment="1" applyProtection="1">
      <alignment horizontal="center" vertical="center" wrapText="1"/>
    </xf>
    <xf numFmtId="165" fontId="24" fillId="16" borderId="4" xfId="0" applyNumberFormat="1" applyFont="1" applyFill="1" applyBorder="1" applyAlignment="1">
      <alignment horizontal="center" vertical="center"/>
    </xf>
    <xf numFmtId="170" fontId="24" fillId="16" borderId="4" xfId="7" applyNumberFormat="1" applyFont="1" applyFill="1" applyBorder="1" applyAlignment="1">
      <alignment horizontal="center" vertical="center" wrapText="1"/>
    </xf>
    <xf numFmtId="170" fontId="24" fillId="16" borderId="4" xfId="7" applyNumberFormat="1" applyFont="1" applyFill="1" applyBorder="1" applyAlignment="1" applyProtection="1">
      <alignment horizontal="center" vertical="center" wrapText="1"/>
    </xf>
    <xf numFmtId="0" fontId="21" fillId="17" borderId="52" xfId="0" applyFont="1" applyFill="1" applyBorder="1" applyAlignment="1">
      <alignment horizontal="center" vertical="center" wrapText="1"/>
    </xf>
    <xf numFmtId="0" fontId="43" fillId="29" borderId="26" xfId="0" applyFont="1" applyFill="1" applyBorder="1" applyAlignment="1">
      <alignment horizontal="center" vertical="center" wrapText="1"/>
    </xf>
    <xf numFmtId="3" fontId="43" fillId="29" borderId="26" xfId="0" applyNumberFormat="1" applyFont="1" applyFill="1" applyBorder="1" applyAlignment="1">
      <alignment horizontal="center" vertical="center" wrapText="1"/>
    </xf>
    <xf numFmtId="3" fontId="21" fillId="17" borderId="52" xfId="0" applyNumberFormat="1" applyFont="1" applyFill="1" applyBorder="1" applyAlignment="1">
      <alignment horizontal="center" vertical="center" wrapText="1"/>
    </xf>
    <xf numFmtId="184" fontId="15" fillId="12" borderId="4" xfId="0" applyNumberFormat="1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vertical="center" wrapText="1"/>
    </xf>
    <xf numFmtId="0" fontId="25" fillId="16" borderId="2" xfId="0" applyFont="1" applyFill="1" applyBorder="1" applyAlignment="1">
      <alignment vertical="center" wrapText="1"/>
    </xf>
    <xf numFmtId="0" fontId="19" fillId="12" borderId="4" xfId="2" applyFont="1" applyFill="1" applyBorder="1" applyAlignment="1">
      <alignment horizontal="center" vertical="center" wrapText="1"/>
    </xf>
    <xf numFmtId="209" fontId="15" fillId="12" borderId="4" xfId="0" applyNumberFormat="1" applyFont="1" applyFill="1" applyBorder="1" applyAlignment="1">
      <alignment horizontal="center" vertical="center" wrapText="1"/>
    </xf>
    <xf numFmtId="184" fontId="15" fillId="12" borderId="4" xfId="11" applyFont="1" applyFill="1" applyBorder="1" applyAlignment="1" applyProtection="1">
      <alignment horizontal="center" vertical="center" wrapText="1"/>
      <protection locked="0"/>
    </xf>
    <xf numFmtId="0" fontId="19" fillId="13" borderId="4" xfId="2" applyFont="1" applyFill="1" applyBorder="1" applyAlignment="1">
      <alignment horizontal="center" vertical="center" wrapText="1"/>
    </xf>
    <xf numFmtId="42" fontId="64" fillId="13" borderId="99" xfId="0" applyNumberFormat="1" applyFont="1" applyFill="1" applyBorder="1" applyAlignment="1">
      <alignment horizontal="center" vertical="center" wrapText="1"/>
    </xf>
    <xf numFmtId="0" fontId="25" fillId="16" borderId="3" xfId="0" applyFont="1" applyFill="1" applyBorder="1" applyAlignment="1">
      <alignment vertical="center" wrapText="1"/>
    </xf>
    <xf numFmtId="0" fontId="11" fillId="4" borderId="102" xfId="0" applyFont="1" applyFill="1" applyBorder="1" applyAlignment="1">
      <alignment horizontal="center" vertical="center" wrapText="1"/>
    </xf>
    <xf numFmtId="0" fontId="11" fillId="4" borderId="103" xfId="0" applyFont="1" applyFill="1" applyBorder="1" applyAlignment="1">
      <alignment horizontal="center" vertical="center" wrapText="1"/>
    </xf>
    <xf numFmtId="10" fontId="24" fillId="13" borderId="4" xfId="1" applyNumberFormat="1" applyFont="1" applyFill="1" applyBorder="1" applyAlignment="1">
      <alignment horizontal="center" vertical="center" wrapText="1"/>
    </xf>
    <xf numFmtId="10" fontId="24" fillId="13" borderId="4" xfId="1" applyNumberFormat="1" applyFont="1" applyFill="1" applyBorder="1" applyAlignment="1">
      <alignment horizontal="right" vertical="center" wrapText="1"/>
    </xf>
    <xf numFmtId="170" fontId="24" fillId="12" borderId="4" xfId="7" applyNumberFormat="1" applyFont="1" applyFill="1" applyBorder="1" applyAlignment="1">
      <alignment horizontal="center" vertical="center" wrapText="1"/>
    </xf>
    <xf numFmtId="170" fontId="24" fillId="12" borderId="4" xfId="7" applyNumberFormat="1" applyFont="1" applyFill="1" applyBorder="1" applyAlignment="1">
      <alignment horizontal="right" vertical="center" wrapText="1"/>
    </xf>
    <xf numFmtId="173" fontId="24" fillId="13" borderId="4" xfId="11" applyNumberFormat="1" applyFont="1" applyFill="1" applyBorder="1" applyAlignment="1">
      <alignment horizontal="center" vertical="center" wrapText="1"/>
    </xf>
    <xf numFmtId="0" fontId="24" fillId="13" borderId="4" xfId="2" applyFont="1" applyFill="1" applyBorder="1" applyAlignment="1">
      <alignment vertical="center" wrapText="1"/>
    </xf>
    <xf numFmtId="3" fontId="24" fillId="13" borderId="4" xfId="2" applyNumberFormat="1" applyFont="1" applyFill="1" applyBorder="1" applyAlignment="1">
      <alignment vertical="center" wrapText="1"/>
    </xf>
    <xf numFmtId="173" fontId="24" fillId="13" borderId="10" xfId="11" applyNumberFormat="1" applyFont="1" applyFill="1" applyBorder="1" applyAlignment="1">
      <alignment horizontal="center" vertical="center" wrapText="1"/>
    </xf>
    <xf numFmtId="173" fontId="24" fillId="13" borderId="10" xfId="11" applyNumberFormat="1" applyFont="1" applyFill="1" applyBorder="1" applyAlignment="1" applyProtection="1">
      <alignment horizontal="center" vertical="center" wrapText="1"/>
      <protection locked="0"/>
    </xf>
    <xf numFmtId="173" fontId="24" fillId="13" borderId="10" xfId="11" applyNumberFormat="1" applyFont="1" applyFill="1" applyBorder="1" applyAlignment="1">
      <alignment horizontal="right" vertical="center" wrapText="1"/>
    </xf>
    <xf numFmtId="0" fontId="24" fillId="12" borderId="4" xfId="2" applyFont="1" applyFill="1" applyBorder="1" applyAlignment="1">
      <alignment vertical="center" wrapText="1"/>
    </xf>
    <xf numFmtId="170" fontId="24" fillId="12" borderId="4" xfId="7" applyNumberFormat="1" applyFont="1" applyFill="1" applyBorder="1" applyAlignment="1">
      <alignment vertical="center" wrapText="1"/>
    </xf>
    <xf numFmtId="170" fontId="24" fillId="12" borderId="4" xfId="7" applyNumberFormat="1" applyFont="1" applyFill="1" applyBorder="1" applyAlignment="1" applyProtection="1">
      <alignment vertical="center" wrapText="1"/>
      <protection locked="0"/>
    </xf>
    <xf numFmtId="0" fontId="4" fillId="3" borderId="0" xfId="0" applyFont="1" applyFill="1" applyAlignment="1">
      <alignment horizontal="right" vertical="center"/>
    </xf>
    <xf numFmtId="0" fontId="18" fillId="0" borderId="0" xfId="0" applyFont="1" applyAlignment="1">
      <alignment horizontal="right" vertical="center"/>
    </xf>
    <xf numFmtId="9" fontId="18" fillId="0" borderId="0" xfId="1" applyFont="1" applyAlignment="1">
      <alignment horizontal="right" vertical="center"/>
    </xf>
    <xf numFmtId="3" fontId="24" fillId="5" borderId="4" xfId="0" applyNumberFormat="1" applyFont="1" applyFill="1" applyBorder="1" applyAlignment="1">
      <alignment horizontal="center" vertical="center"/>
    </xf>
    <xf numFmtId="168" fontId="15" fillId="6" borderId="11" xfId="4" applyNumberFormat="1" applyFont="1" applyFill="1" applyBorder="1" applyAlignment="1">
      <alignment horizontal="center" vertical="center" wrapText="1"/>
    </xf>
    <xf numFmtId="168" fontId="15" fillId="6" borderId="11" xfId="4" applyNumberFormat="1" applyFont="1" applyFill="1" applyBorder="1" applyAlignment="1" applyProtection="1">
      <alignment horizontal="center" vertical="center" wrapText="1"/>
    </xf>
    <xf numFmtId="174" fontId="15" fillId="6" borderId="4" xfId="4" applyNumberFormat="1" applyFont="1" applyFill="1" applyBorder="1" applyAlignment="1">
      <alignment horizontal="center" vertical="center" wrapText="1"/>
    </xf>
    <xf numFmtId="10" fontId="15" fillId="6" borderId="11" xfId="1" applyNumberFormat="1" applyFont="1" applyFill="1" applyBorder="1" applyAlignment="1">
      <alignment horizontal="center" vertical="center" wrapText="1"/>
    </xf>
    <xf numFmtId="10" fontId="15" fillId="6" borderId="11" xfId="1" applyNumberFormat="1" applyFont="1" applyFill="1" applyBorder="1" applyAlignment="1" applyProtection="1">
      <alignment horizontal="center" vertical="center" wrapText="1"/>
    </xf>
    <xf numFmtId="9" fontId="15" fillId="6" borderId="11" xfId="1" applyFont="1" applyFill="1" applyBorder="1" applyAlignment="1">
      <alignment horizontal="center" vertical="center" wrapText="1"/>
    </xf>
    <xf numFmtId="170" fontId="15" fillId="5" borderId="3" xfId="7" applyNumberFormat="1" applyFont="1" applyFill="1" applyBorder="1" applyAlignment="1">
      <alignment horizontal="center" vertical="center" wrapText="1"/>
    </xf>
    <xf numFmtId="170" fontId="15" fillId="5" borderId="5" xfId="7" applyNumberFormat="1" applyFont="1" applyFill="1" applyBorder="1" applyAlignment="1" applyProtection="1">
      <alignment horizontal="center" vertical="center" wrapText="1"/>
      <protection locked="0"/>
    </xf>
    <xf numFmtId="170" fontId="15" fillId="5" borderId="3" xfId="7" applyNumberFormat="1" applyFont="1" applyFill="1" applyBorder="1" applyAlignment="1" applyProtection="1">
      <alignment horizontal="center" vertical="center" wrapText="1"/>
    </xf>
    <xf numFmtId="170" fontId="15" fillId="5" borderId="5" xfId="7" applyNumberFormat="1" applyFont="1" applyFill="1" applyBorder="1" applyAlignment="1">
      <alignment horizontal="center" vertical="center" wrapText="1"/>
    </xf>
    <xf numFmtId="170" fontId="15" fillId="6" borderId="11" xfId="7" applyNumberFormat="1" applyFont="1" applyFill="1" applyBorder="1" applyAlignment="1">
      <alignment horizontal="center" vertical="center" wrapText="1"/>
    </xf>
    <xf numFmtId="170" fontId="15" fillId="6" borderId="11" xfId="7" applyNumberFormat="1" applyFont="1" applyFill="1" applyBorder="1" applyAlignment="1" applyProtection="1">
      <alignment horizontal="center" vertical="center" wrapText="1"/>
    </xf>
    <xf numFmtId="210" fontId="3" fillId="6" borderId="4" xfId="1" applyNumberFormat="1" applyFont="1" applyFill="1" applyBorder="1" applyAlignment="1" applyProtection="1">
      <alignment horizontal="center" vertical="center"/>
    </xf>
    <xf numFmtId="0" fontId="24" fillId="6" borderId="14" xfId="0" applyFont="1" applyFill="1" applyBorder="1" applyAlignment="1">
      <alignment horizontal="center" vertical="center" wrapText="1"/>
    </xf>
    <xf numFmtId="0" fontId="14" fillId="6" borderId="8" xfId="8" applyFill="1" applyBorder="1" applyAlignment="1">
      <alignment horizontal="center" vertical="center" wrapText="1"/>
    </xf>
    <xf numFmtId="0" fontId="24" fillId="6" borderId="8" xfId="0" applyFont="1" applyFill="1" applyBorder="1" applyAlignment="1">
      <alignment horizontal="center" vertical="center" wrapText="1"/>
    </xf>
    <xf numFmtId="3" fontId="24" fillId="6" borderId="8" xfId="0" applyNumberFormat="1" applyFont="1" applyFill="1" applyBorder="1" applyAlignment="1">
      <alignment horizontal="center" vertical="center"/>
    </xf>
    <xf numFmtId="174" fontId="15" fillId="6" borderId="4" xfId="7" applyNumberFormat="1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center" vertical="center" wrapText="1"/>
    </xf>
    <xf numFmtId="174" fontId="24" fillId="5" borderId="4" xfId="7" applyNumberFormat="1" applyFont="1" applyFill="1" applyBorder="1" applyAlignment="1">
      <alignment horizontal="center" vertical="center" wrapText="1"/>
    </xf>
    <xf numFmtId="174" fontId="15" fillId="16" borderId="4" xfId="7" applyNumberFormat="1" applyFont="1" applyFill="1" applyBorder="1" applyAlignment="1">
      <alignment horizontal="right" vertical="center" wrapText="1"/>
    </xf>
    <xf numFmtId="0" fontId="81" fillId="23" borderId="0" xfId="0" applyFont="1" applyFill="1" applyAlignment="1">
      <alignment vertical="center"/>
    </xf>
    <xf numFmtId="9" fontId="10" fillId="0" borderId="0" xfId="1" applyFont="1" applyAlignment="1">
      <alignment horizontal="center" vertical="center"/>
    </xf>
    <xf numFmtId="9" fontId="10" fillId="0" borderId="0" xfId="1" applyFont="1" applyAlignment="1">
      <alignment vertical="center"/>
    </xf>
    <xf numFmtId="9" fontId="5" fillId="0" borderId="0" xfId="1" applyFont="1" applyAlignment="1">
      <alignment horizontal="right" vertical="center"/>
    </xf>
    <xf numFmtId="9" fontId="5" fillId="0" borderId="0" xfId="1" applyFont="1" applyAlignment="1">
      <alignment vertical="center"/>
    </xf>
    <xf numFmtId="9" fontId="14" fillId="0" borderId="0" xfId="8" applyNumberFormat="1" applyAlignment="1">
      <alignment vertical="center"/>
    </xf>
    <xf numFmtId="9" fontId="5" fillId="0" borderId="0" xfId="0" applyNumberFormat="1" applyFont="1" applyAlignment="1">
      <alignment vertical="center"/>
    </xf>
    <xf numFmtId="173" fontId="15" fillId="6" borderId="4" xfId="1" applyNumberFormat="1" applyFont="1" applyFill="1" applyBorder="1" applyAlignment="1" applyProtection="1">
      <alignment vertical="center" wrapText="1"/>
    </xf>
    <xf numFmtId="177" fontId="15" fillId="6" borderId="4" xfId="11" applyNumberFormat="1" applyFont="1" applyFill="1" applyBorder="1" applyAlignment="1">
      <alignment horizontal="center" vertical="center" wrapText="1"/>
    </xf>
    <xf numFmtId="177" fontId="15" fillId="6" borderId="4" xfId="11" applyNumberFormat="1" applyFont="1" applyFill="1" applyBorder="1" applyAlignment="1" applyProtection="1">
      <alignment horizontal="center" vertical="center" wrapText="1"/>
      <protection locked="0"/>
    </xf>
    <xf numFmtId="174" fontId="15" fillId="6" borderId="4" xfId="11" applyNumberFormat="1" applyFont="1" applyFill="1" applyBorder="1" applyAlignment="1">
      <alignment horizontal="center" vertical="center" wrapText="1"/>
    </xf>
    <xf numFmtId="0" fontId="19" fillId="5" borderId="4" xfId="2" applyFont="1" applyFill="1" applyBorder="1" applyAlignment="1">
      <alignment horizontal="center" vertical="center" wrapText="1"/>
    </xf>
    <xf numFmtId="0" fontId="15" fillId="5" borderId="4" xfId="2" applyFont="1" applyFill="1" applyBorder="1" applyAlignment="1">
      <alignment horizontal="center" vertical="center" wrapText="1"/>
    </xf>
    <xf numFmtId="211" fontId="15" fillId="5" borderId="4" xfId="0" applyNumberFormat="1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center" wrapText="1"/>
    </xf>
    <xf numFmtId="164" fontId="29" fillId="5" borderId="4" xfId="0" applyNumberFormat="1" applyFont="1" applyFill="1" applyBorder="1" applyAlignment="1">
      <alignment horizontal="center" vertical="center"/>
    </xf>
    <xf numFmtId="169" fontId="15" fillId="5" borderId="4" xfId="11" applyNumberFormat="1" applyFont="1" applyFill="1" applyBorder="1" applyAlignment="1" applyProtection="1">
      <alignment horizontal="center" vertical="center" wrapText="1"/>
      <protection locked="0"/>
    </xf>
    <xf numFmtId="173" fontId="15" fillId="5" borderId="4" xfId="1" applyNumberFormat="1" applyFont="1" applyFill="1" applyBorder="1" applyAlignment="1" applyProtection="1">
      <alignment vertical="center" wrapText="1"/>
    </xf>
    <xf numFmtId="0" fontId="14" fillId="0" borderId="15" xfId="8" applyBorder="1" applyAlignment="1">
      <alignment wrapText="1"/>
    </xf>
    <xf numFmtId="0" fontId="14" fillId="0" borderId="15" xfId="8" applyFill="1" applyBorder="1" applyAlignment="1">
      <alignment wrapText="1"/>
    </xf>
    <xf numFmtId="0" fontId="14" fillId="23" borderId="15" xfId="8" applyFill="1" applyBorder="1" applyAlignment="1">
      <alignment horizontal="left" vertical="center" wrapText="1"/>
    </xf>
    <xf numFmtId="0" fontId="14" fillId="0" borderId="15" xfId="8" applyFill="1" applyBorder="1" applyAlignment="1">
      <alignment horizontal="left" vertical="center" wrapText="1"/>
    </xf>
    <xf numFmtId="0" fontId="15" fillId="13" borderId="8" xfId="2" applyFont="1" applyFill="1" applyBorder="1" applyAlignment="1">
      <alignment horizontal="center" vertical="center" wrapText="1"/>
    </xf>
    <xf numFmtId="0" fontId="15" fillId="12" borderId="8" xfId="2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19" fillId="12" borderId="0" xfId="0" applyFont="1" applyFill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15" fillId="12" borderId="14" xfId="0" applyFont="1" applyFill="1" applyBorder="1" applyAlignment="1">
      <alignment horizontal="center" vertical="center" wrapText="1"/>
    </xf>
    <xf numFmtId="9" fontId="82" fillId="29" borderId="26" xfId="0" applyNumberFormat="1" applyFont="1" applyFill="1" applyBorder="1" applyAlignment="1">
      <alignment horizontal="center" vertical="center" wrapText="1"/>
    </xf>
    <xf numFmtId="184" fontId="14" fillId="16" borderId="4" xfId="28" applyNumberFormat="1" applyFill="1" applyBorder="1" applyAlignment="1">
      <alignment vertical="center" wrapText="1"/>
    </xf>
    <xf numFmtId="0" fontId="11" fillId="3" borderId="12" xfId="0" applyFont="1" applyFill="1" applyBorder="1" applyAlignment="1">
      <alignment horizontal="center" wrapText="1"/>
    </xf>
    <xf numFmtId="0" fontId="11" fillId="3" borderId="0" xfId="0" applyFont="1" applyFill="1" applyAlignment="1">
      <alignment horizontal="center" wrapText="1"/>
    </xf>
    <xf numFmtId="0" fontId="9" fillId="7" borderId="3" xfId="0" applyFont="1" applyFill="1" applyBorder="1" applyAlignment="1" applyProtection="1">
      <alignment horizontal="center" vertical="center" wrapText="1"/>
      <protection locked="0"/>
    </xf>
    <xf numFmtId="212" fontId="24" fillId="13" borderId="8" xfId="11" applyNumberFormat="1" applyFont="1" applyFill="1" applyBorder="1" applyAlignment="1" applyProtection="1">
      <alignment horizontal="center" vertical="center" wrapText="1"/>
      <protection locked="0"/>
    </xf>
    <xf numFmtId="213" fontId="24" fillId="13" borderId="4" xfId="11" applyNumberFormat="1" applyFont="1" applyFill="1" applyBorder="1" applyAlignment="1" applyProtection="1">
      <alignment horizontal="center" vertical="center" wrapText="1"/>
      <protection locked="0"/>
    </xf>
    <xf numFmtId="213" fontId="24" fillId="13" borderId="4" xfId="11" applyNumberFormat="1" applyFont="1" applyFill="1" applyBorder="1" applyAlignment="1">
      <alignment horizontal="right" vertical="center" wrapText="1"/>
    </xf>
    <xf numFmtId="0" fontId="25" fillId="10" borderId="4" xfId="0" applyFont="1" applyFill="1" applyBorder="1" applyAlignment="1">
      <alignment horizontal="center" vertical="center" wrapText="1"/>
    </xf>
    <xf numFmtId="0" fontId="24" fillId="10" borderId="4" xfId="0" applyFont="1" applyFill="1" applyBorder="1" applyAlignment="1">
      <alignment horizontal="center" vertical="center" wrapText="1"/>
    </xf>
    <xf numFmtId="0" fontId="14" fillId="10" borderId="4" xfId="8" applyFill="1" applyBorder="1" applyAlignment="1">
      <alignment horizontal="center" vertical="center" wrapText="1"/>
    </xf>
    <xf numFmtId="170" fontId="24" fillId="10" borderId="4" xfId="7" applyNumberFormat="1" applyFont="1" applyFill="1" applyBorder="1" applyAlignment="1">
      <alignment horizontal="center" vertical="center" wrapText="1"/>
    </xf>
    <xf numFmtId="170" fontId="24" fillId="10" borderId="4" xfId="7" applyNumberFormat="1" applyFont="1" applyFill="1" applyBorder="1" applyAlignment="1" applyProtection="1">
      <alignment horizontal="center" vertical="center" wrapText="1"/>
      <protection locked="0"/>
    </xf>
    <xf numFmtId="0" fontId="3" fillId="10" borderId="4" xfId="1" applyNumberFormat="1" applyFont="1" applyFill="1" applyBorder="1" applyAlignment="1" applyProtection="1">
      <alignment horizontal="center" vertical="center"/>
    </xf>
    <xf numFmtId="170" fontId="24" fillId="10" borderId="4" xfId="7" applyNumberFormat="1" applyFont="1" applyFill="1" applyBorder="1" applyAlignment="1">
      <alignment horizontal="right" vertical="center" wrapText="1"/>
    </xf>
    <xf numFmtId="0" fontId="14" fillId="0" borderId="15" xfId="8" applyBorder="1"/>
    <xf numFmtId="0" fontId="9" fillId="7" borderId="10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165" fontId="25" fillId="6" borderId="8" xfId="0" applyNumberFormat="1" applyFont="1" applyFill="1" applyBorder="1" applyAlignment="1">
      <alignment horizontal="center" vertical="center" wrapText="1"/>
    </xf>
    <xf numFmtId="0" fontId="14" fillId="0" borderId="0" xfId="8" applyAlignment="1" applyProtection="1">
      <alignment horizontal="center"/>
    </xf>
    <xf numFmtId="9" fontId="3" fillId="27" borderId="4" xfId="1" applyFont="1" applyFill="1" applyBorder="1" applyAlignment="1" applyProtection="1">
      <alignment horizontal="center" vertical="center"/>
    </xf>
    <xf numFmtId="9" fontId="3" fillId="27" borderId="4" xfId="1" applyFont="1" applyFill="1" applyBorder="1" applyAlignment="1" applyProtection="1">
      <alignment horizontal="center" vertical="center" wrapText="1"/>
    </xf>
    <xf numFmtId="9" fontId="29" fillId="16" borderId="4" xfId="1" applyFont="1" applyFill="1" applyBorder="1" applyAlignment="1" applyProtection="1">
      <alignment horizontal="center" vertical="center" wrapText="1"/>
    </xf>
    <xf numFmtId="42" fontId="15" fillId="5" borderId="4" xfId="4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13" fillId="3" borderId="0" xfId="0" applyFont="1" applyFill="1" applyAlignment="1">
      <alignment horizontal="center" wrapText="1"/>
    </xf>
    <xf numFmtId="0" fontId="11" fillId="3" borderId="12" xfId="0" applyFont="1" applyFill="1" applyBorder="1" applyAlignment="1">
      <alignment horizontal="center" wrapText="1"/>
    </xf>
    <xf numFmtId="0" fontId="11" fillId="3" borderId="0" xfId="0" applyFont="1" applyFill="1" applyAlignment="1">
      <alignment horizontal="center" wrapText="1"/>
    </xf>
    <xf numFmtId="0" fontId="11" fillId="3" borderId="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9" fillId="8" borderId="10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25" fillId="12" borderId="7" xfId="0" applyFont="1" applyFill="1" applyBorder="1" applyAlignment="1">
      <alignment horizontal="center" vertical="center" wrapText="1"/>
    </xf>
    <xf numFmtId="0" fontId="25" fillId="12" borderId="8" xfId="0" applyFont="1" applyFill="1" applyBorder="1" applyAlignment="1">
      <alignment horizontal="center" vertical="center" wrapText="1"/>
    </xf>
    <xf numFmtId="0" fontId="15" fillId="13" borderId="5" xfId="2" applyFont="1" applyFill="1" applyBorder="1" applyAlignment="1" applyProtection="1">
      <alignment horizontal="center" vertical="center" wrapText="1"/>
    </xf>
    <xf numFmtId="0" fontId="15" fillId="13" borderId="7" xfId="2" applyFont="1" applyFill="1" applyBorder="1" applyAlignment="1" applyProtection="1">
      <alignment horizontal="center" vertical="center" wrapText="1"/>
    </xf>
    <xf numFmtId="0" fontId="15" fillId="13" borderId="8" xfId="2" applyFont="1" applyFill="1" applyBorder="1" applyAlignment="1" applyProtection="1">
      <alignment horizontal="center" vertical="center" wrapText="1"/>
    </xf>
    <xf numFmtId="0" fontId="15" fillId="12" borderId="5" xfId="0" applyFont="1" applyFill="1" applyBorder="1" applyAlignment="1">
      <alignment horizontal="center" vertical="center" wrapText="1"/>
    </xf>
    <xf numFmtId="0" fontId="15" fillId="12" borderId="7" xfId="0" applyFont="1" applyFill="1" applyBorder="1" applyAlignment="1">
      <alignment horizontal="center" vertical="center" wrapText="1"/>
    </xf>
    <xf numFmtId="0" fontId="15" fillId="12" borderId="8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19" fillId="13" borderId="5" xfId="0" applyFont="1" applyFill="1" applyBorder="1" applyAlignment="1">
      <alignment horizontal="center" vertical="center" wrapText="1"/>
    </xf>
    <xf numFmtId="0" fontId="19" fillId="13" borderId="8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/>
    </xf>
    <xf numFmtId="0" fontId="11" fillId="3" borderId="12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19" fillId="15" borderId="4" xfId="2" applyFont="1" applyFill="1" applyBorder="1" applyAlignment="1">
      <alignment horizontal="center" vertical="center" wrapText="1"/>
    </xf>
    <xf numFmtId="0" fontId="25" fillId="15" borderId="4" xfId="0" applyFont="1" applyFill="1" applyBorder="1" applyAlignment="1">
      <alignment horizontal="center" vertical="center" wrapText="1"/>
    </xf>
    <xf numFmtId="0" fontId="24" fillId="15" borderId="4" xfId="2" applyFont="1" applyFill="1" applyBorder="1" applyAlignment="1">
      <alignment horizontal="center" vertical="center" wrapText="1"/>
    </xf>
    <xf numFmtId="0" fontId="24" fillId="15" borderId="4" xfId="0" applyFont="1" applyFill="1" applyBorder="1" applyAlignment="1">
      <alignment horizontal="center" vertical="center" wrapText="1"/>
    </xf>
    <xf numFmtId="10" fontId="6" fillId="3" borderId="8" xfId="1" applyNumberFormat="1" applyFont="1" applyFill="1" applyBorder="1" applyAlignment="1">
      <alignment horizontal="center" vertical="center" wrapText="1"/>
    </xf>
    <xf numFmtId="10" fontId="6" fillId="3" borderId="4" xfId="1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0" fontId="9" fillId="7" borderId="3" xfId="0" applyFont="1" applyFill="1" applyBorder="1" applyAlignment="1" applyProtection="1">
      <alignment horizontal="center" vertical="center" wrapText="1"/>
      <protection locked="0"/>
    </xf>
    <xf numFmtId="0" fontId="9" fillId="7" borderId="1" xfId="0" applyFont="1" applyFill="1" applyBorder="1" applyAlignment="1" applyProtection="1">
      <alignment horizontal="center" vertical="center" wrapText="1"/>
      <protection locked="0"/>
    </xf>
    <xf numFmtId="0" fontId="9" fillId="7" borderId="14" xfId="0" applyFont="1" applyFill="1" applyBorder="1" applyAlignment="1" applyProtection="1">
      <alignment horizontal="center" vertical="center" wrapText="1"/>
      <protection locked="0"/>
    </xf>
    <xf numFmtId="0" fontId="9" fillId="8" borderId="9" xfId="0" applyFont="1" applyFill="1" applyBorder="1" applyAlignment="1" applyProtection="1">
      <alignment horizontal="center" vertical="center"/>
      <protection locked="0"/>
    </xf>
    <xf numFmtId="0" fontId="9" fillId="8" borderId="11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34" fillId="3" borderId="12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/>
    </xf>
    <xf numFmtId="0" fontId="6" fillId="3" borderId="27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30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19" borderId="16" xfId="0" applyFont="1" applyFill="1" applyBorder="1" applyAlignment="1">
      <alignment horizontal="center" vertical="center" wrapText="1"/>
    </xf>
    <xf numFmtId="0" fontId="6" fillId="19" borderId="0" xfId="0" applyFont="1" applyFill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0" fontId="6" fillId="19" borderId="13" xfId="0" applyFont="1" applyFill="1" applyBorder="1" applyAlignment="1">
      <alignment horizontal="center" vertical="center" wrapText="1"/>
    </xf>
    <xf numFmtId="0" fontId="6" fillId="19" borderId="6" xfId="0" applyFont="1" applyFill="1" applyBorder="1" applyAlignment="1">
      <alignment horizontal="center" vertical="center" wrapText="1"/>
    </xf>
    <xf numFmtId="0" fontId="6" fillId="19" borderId="14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19" fillId="12" borderId="2" xfId="0" applyFont="1" applyFill="1" applyBorder="1" applyAlignment="1">
      <alignment horizontal="center" vertical="center" wrapText="1"/>
    </xf>
    <xf numFmtId="0" fontId="19" fillId="12" borderId="0" xfId="0" applyFont="1" applyFill="1" applyAlignment="1">
      <alignment horizontal="center" vertical="center" wrapText="1"/>
    </xf>
    <xf numFmtId="0" fontId="15" fillId="13" borderId="4" xfId="0" applyFont="1" applyFill="1" applyBorder="1" applyAlignment="1">
      <alignment horizontal="center" vertical="center" wrapText="1"/>
    </xf>
    <xf numFmtId="0" fontId="15" fillId="12" borderId="21" xfId="0" applyFont="1" applyFill="1" applyBorder="1" applyAlignment="1">
      <alignment horizontal="center" vertical="center" wrapText="1"/>
    </xf>
    <xf numFmtId="0" fontId="15" fillId="12" borderId="22" xfId="0" applyFont="1" applyFill="1" applyBorder="1" applyAlignment="1">
      <alignment horizontal="center" vertical="center" wrapText="1"/>
    </xf>
    <xf numFmtId="0" fontId="15" fillId="12" borderId="23" xfId="0" applyFont="1" applyFill="1" applyBorder="1" applyAlignment="1">
      <alignment horizontal="center" vertical="center" wrapText="1"/>
    </xf>
    <xf numFmtId="0" fontId="19" fillId="12" borderId="19" xfId="0" applyFont="1" applyFill="1" applyBorder="1" applyAlignment="1">
      <alignment horizontal="center" vertical="center" wrapText="1"/>
    </xf>
    <xf numFmtId="0" fontId="19" fillId="12" borderId="16" xfId="0" applyFont="1" applyFill="1" applyBorder="1" applyAlignment="1">
      <alignment horizontal="center" vertical="center" wrapText="1"/>
    </xf>
    <xf numFmtId="0" fontId="19" fillId="12" borderId="13" xfId="0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 wrapText="1"/>
    </xf>
    <xf numFmtId="0" fontId="24" fillId="12" borderId="7" xfId="0" applyFont="1" applyFill="1" applyBorder="1" applyAlignment="1">
      <alignment horizontal="center" vertical="center" wrapText="1"/>
    </xf>
    <xf numFmtId="0" fontId="24" fillId="12" borderId="8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19" fillId="13" borderId="19" xfId="0" applyFont="1" applyFill="1" applyBorder="1" applyAlignment="1">
      <alignment horizontal="center" vertical="center" wrapText="1"/>
    </xf>
    <xf numFmtId="0" fontId="19" fillId="13" borderId="16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 vertical="center" wrapText="1"/>
    </xf>
    <xf numFmtId="0" fontId="15" fillId="13" borderId="5" xfId="2" applyFont="1" applyFill="1" applyBorder="1" applyAlignment="1">
      <alignment horizontal="center" vertical="center" wrapText="1"/>
    </xf>
    <xf numFmtId="0" fontId="15" fillId="13" borderId="7" xfId="2" applyFont="1" applyFill="1" applyBorder="1" applyAlignment="1">
      <alignment horizontal="center" vertical="center" wrapText="1"/>
    </xf>
    <xf numFmtId="0" fontId="15" fillId="13" borderId="8" xfId="2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0" fontId="15" fillId="13" borderId="7" xfId="0" applyFont="1" applyFill="1" applyBorder="1" applyAlignment="1">
      <alignment horizontal="center" vertical="center" wrapText="1"/>
    </xf>
    <xf numFmtId="0" fontId="15" fillId="13" borderId="8" xfId="0" applyFont="1" applyFill="1" applyBorder="1" applyAlignment="1">
      <alignment horizontal="center" vertical="center" wrapText="1"/>
    </xf>
    <xf numFmtId="10" fontId="6" fillId="3" borderId="1" xfId="1" applyNumberFormat="1" applyFont="1" applyFill="1" applyBorder="1" applyAlignment="1">
      <alignment horizontal="center" vertical="center" wrapText="1"/>
    </xf>
    <xf numFmtId="10" fontId="6" fillId="3" borderId="14" xfId="1" applyNumberFormat="1" applyFont="1" applyFill="1" applyBorder="1" applyAlignment="1">
      <alignment horizontal="center" vertical="center" wrapText="1"/>
    </xf>
    <xf numFmtId="0" fontId="24" fillId="12" borderId="5" xfId="2" applyFont="1" applyFill="1" applyBorder="1" applyAlignment="1">
      <alignment horizontal="center" vertical="center" wrapText="1"/>
    </xf>
    <xf numFmtId="0" fontId="24" fillId="12" borderId="7" xfId="2" applyFont="1" applyFill="1" applyBorder="1" applyAlignment="1">
      <alignment horizontal="center" vertical="center" wrapText="1"/>
    </xf>
    <xf numFmtId="0" fontId="24" fillId="12" borderId="8" xfId="2" applyFont="1" applyFill="1" applyBorder="1" applyAlignment="1">
      <alignment horizontal="center" vertical="center" wrapText="1"/>
    </xf>
    <xf numFmtId="0" fontId="24" fillId="13" borderId="5" xfId="0" applyFont="1" applyFill="1" applyBorder="1" applyAlignment="1">
      <alignment horizontal="center" vertical="center" wrapText="1"/>
    </xf>
    <xf numFmtId="0" fontId="24" fillId="13" borderId="7" xfId="0" applyFont="1" applyFill="1" applyBorder="1" applyAlignment="1">
      <alignment horizontal="center" vertical="center" wrapText="1"/>
    </xf>
    <xf numFmtId="0" fontId="24" fillId="13" borderId="8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19" fillId="13" borderId="7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19" fillId="9" borderId="5" xfId="2" applyFont="1" applyFill="1" applyBorder="1" applyAlignment="1">
      <alignment horizontal="center" vertical="center" wrapText="1"/>
    </xf>
    <xf numFmtId="0" fontId="19" fillId="9" borderId="8" xfId="2" applyFont="1" applyFill="1" applyBorder="1" applyAlignment="1">
      <alignment horizontal="center" vertical="center" wrapText="1"/>
    </xf>
    <xf numFmtId="0" fontId="25" fillId="16" borderId="5" xfId="0" applyFont="1" applyFill="1" applyBorder="1" applyAlignment="1">
      <alignment horizontal="center" vertical="center" wrapText="1"/>
    </xf>
    <xf numFmtId="0" fontId="25" fillId="16" borderId="7" xfId="0" applyFont="1" applyFill="1" applyBorder="1" applyAlignment="1">
      <alignment horizontal="center" vertical="center" wrapText="1"/>
    </xf>
    <xf numFmtId="0" fontId="25" fillId="16" borderId="8" xfId="0" applyFont="1" applyFill="1" applyBorder="1" applyAlignment="1">
      <alignment horizontal="center" vertical="center" wrapText="1"/>
    </xf>
    <xf numFmtId="0" fontId="24" fillId="13" borderId="5" xfId="2" applyFont="1" applyFill="1" applyBorder="1" applyAlignment="1">
      <alignment horizontal="center" vertical="center" wrapText="1"/>
    </xf>
    <xf numFmtId="0" fontId="24" fillId="13" borderId="7" xfId="2" applyFont="1" applyFill="1" applyBorder="1" applyAlignment="1">
      <alignment horizontal="center" vertical="center" wrapText="1"/>
    </xf>
    <xf numFmtId="0" fontId="24" fillId="13" borderId="8" xfId="2" applyFont="1" applyFill="1" applyBorder="1" applyAlignment="1">
      <alignment horizontal="center" vertical="center" wrapText="1"/>
    </xf>
    <xf numFmtId="0" fontId="25" fillId="15" borderId="5" xfId="0" applyFont="1" applyFill="1" applyBorder="1" applyAlignment="1">
      <alignment horizontal="center" vertical="center" wrapText="1"/>
    </xf>
    <xf numFmtId="0" fontId="25" fillId="15" borderId="8" xfId="0" applyFont="1" applyFill="1" applyBorder="1" applyAlignment="1">
      <alignment horizontal="center" vertical="center" wrapText="1"/>
    </xf>
    <xf numFmtId="0" fontId="25" fillId="16" borderId="4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0" fontId="24" fillId="16" borderId="5" xfId="0" applyFont="1" applyFill="1" applyBorder="1" applyAlignment="1">
      <alignment horizontal="center" vertical="center" wrapText="1"/>
    </xf>
    <xf numFmtId="0" fontId="24" fillId="16" borderId="7" xfId="0" applyFont="1" applyFill="1" applyBorder="1" applyAlignment="1">
      <alignment horizontal="center" vertical="center" wrapText="1"/>
    </xf>
    <xf numFmtId="0" fontId="24" fillId="16" borderId="8" xfId="0" applyFont="1" applyFill="1" applyBorder="1" applyAlignment="1">
      <alignment horizontal="center" vertical="center" wrapText="1"/>
    </xf>
    <xf numFmtId="0" fontId="25" fillId="9" borderId="5" xfId="0" applyFont="1" applyFill="1" applyBorder="1" applyAlignment="1">
      <alignment horizontal="center" vertical="center" wrapText="1"/>
    </xf>
    <xf numFmtId="0" fontId="25" fillId="9" borderId="7" xfId="0" applyFont="1" applyFill="1" applyBorder="1" applyAlignment="1">
      <alignment horizontal="center" vertical="center" wrapText="1"/>
    </xf>
    <xf numFmtId="0" fontId="25" fillId="9" borderId="8" xfId="0" applyFont="1" applyFill="1" applyBorder="1" applyAlignment="1">
      <alignment horizontal="center" vertical="center" wrapText="1"/>
    </xf>
    <xf numFmtId="0" fontId="24" fillId="9" borderId="5" xfId="0" applyFont="1" applyFill="1" applyBorder="1" applyAlignment="1">
      <alignment horizontal="center" vertical="center" wrapText="1"/>
    </xf>
    <xf numFmtId="0" fontId="24" fillId="9" borderId="7" xfId="0" applyFont="1" applyFill="1" applyBorder="1" applyAlignment="1">
      <alignment horizontal="center" vertical="center" wrapText="1"/>
    </xf>
    <xf numFmtId="0" fontId="24" fillId="9" borderId="8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19" fillId="16" borderId="4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5" fillId="9" borderId="3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14" xfId="0" applyFont="1" applyFill="1" applyBorder="1" applyAlignment="1">
      <alignment horizontal="center" vertical="center" wrapText="1"/>
    </xf>
    <xf numFmtId="0" fontId="19" fillId="12" borderId="4" xfId="0" applyFont="1" applyFill="1" applyBorder="1" applyAlignment="1">
      <alignment horizontal="center" vertical="center" wrapText="1"/>
    </xf>
    <xf numFmtId="0" fontId="15" fillId="13" borderId="4" xfId="2" applyFont="1" applyFill="1" applyBorder="1" applyAlignment="1" applyProtection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9" fillId="12" borderId="5" xfId="0" applyFont="1" applyFill="1" applyBorder="1" applyAlignment="1">
      <alignment horizontal="center" vertical="center" wrapText="1"/>
    </xf>
    <xf numFmtId="0" fontId="19" fillId="12" borderId="7" xfId="0" applyFont="1" applyFill="1" applyBorder="1" applyAlignment="1">
      <alignment horizontal="center" vertical="center" wrapText="1"/>
    </xf>
    <xf numFmtId="0" fontId="15" fillId="13" borderId="3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 wrapText="1"/>
    </xf>
    <xf numFmtId="0" fontId="15" fillId="13" borderId="14" xfId="0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15" fillId="12" borderId="14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19" fillId="16" borderId="5" xfId="0" applyFont="1" applyFill="1" applyBorder="1" applyAlignment="1">
      <alignment horizontal="center" vertical="center" wrapText="1"/>
    </xf>
    <xf numFmtId="0" fontId="19" fillId="16" borderId="7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5" borderId="5" xfId="2" applyFont="1" applyFill="1" applyBorder="1" applyAlignment="1">
      <alignment horizontal="center" vertical="center" wrapText="1"/>
    </xf>
    <xf numFmtId="0" fontId="15" fillId="5" borderId="7" xfId="2" applyFont="1" applyFill="1" applyBorder="1" applyAlignment="1">
      <alignment horizontal="center" vertical="center" wrapText="1"/>
    </xf>
    <xf numFmtId="0" fontId="15" fillId="5" borderId="8" xfId="2" applyFont="1" applyFill="1" applyBorder="1" applyAlignment="1">
      <alignment horizontal="center" vertical="center" wrapText="1"/>
    </xf>
    <xf numFmtId="0" fontId="15" fillId="24" borderId="5" xfId="2" applyFont="1" applyFill="1" applyBorder="1" applyAlignment="1">
      <alignment horizontal="center" vertical="center" wrapText="1"/>
    </xf>
    <xf numFmtId="0" fontId="15" fillId="24" borderId="7" xfId="2" applyFont="1" applyFill="1" applyBorder="1" applyAlignment="1">
      <alignment horizontal="center" vertical="center" wrapText="1"/>
    </xf>
    <xf numFmtId="0" fontId="40" fillId="7" borderId="10" xfId="0" applyFont="1" applyFill="1" applyBorder="1" applyAlignment="1">
      <alignment horizontal="center" vertical="center" wrapText="1"/>
    </xf>
    <xf numFmtId="0" fontId="40" fillId="7" borderId="9" xfId="0" applyFont="1" applyFill="1" applyBorder="1" applyAlignment="1">
      <alignment horizontal="center" vertical="center" wrapText="1"/>
    </xf>
    <xf numFmtId="0" fontId="40" fillId="7" borderId="1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9" fontId="6" fillId="3" borderId="1" xfId="1" applyFont="1" applyFill="1" applyBorder="1" applyAlignment="1">
      <alignment horizontal="center" vertical="center" wrapText="1"/>
    </xf>
    <xf numFmtId="9" fontId="6" fillId="3" borderId="14" xfId="1" applyFont="1" applyFill="1" applyBorder="1" applyAlignment="1">
      <alignment horizontal="center" vertical="center" wrapText="1"/>
    </xf>
    <xf numFmtId="0" fontId="19" fillId="15" borderId="5" xfId="0" applyFont="1" applyFill="1" applyBorder="1" applyAlignment="1">
      <alignment horizontal="center" vertical="center" wrapText="1"/>
    </xf>
    <xf numFmtId="0" fontId="19" fillId="15" borderId="7" xfId="0" applyFont="1" applyFill="1" applyBorder="1" applyAlignment="1">
      <alignment horizontal="center" vertical="center" wrapText="1"/>
    </xf>
    <xf numFmtId="0" fontId="15" fillId="12" borderId="4" xfId="2" applyFont="1" applyFill="1" applyBorder="1" applyAlignment="1">
      <alignment horizontal="center" vertical="center" wrapText="1"/>
    </xf>
    <xf numFmtId="0" fontId="19" fillId="15" borderId="5" xfId="2" applyFont="1" applyFill="1" applyBorder="1" applyAlignment="1">
      <alignment horizontal="center" vertical="center" wrapText="1"/>
    </xf>
    <xf numFmtId="0" fontId="19" fillId="15" borderId="8" xfId="2" applyFont="1" applyFill="1" applyBorder="1" applyAlignment="1">
      <alignment horizontal="center" vertical="center" wrapText="1"/>
    </xf>
    <xf numFmtId="0" fontId="19" fillId="15" borderId="8" xfId="0" applyFont="1" applyFill="1" applyBorder="1" applyAlignment="1">
      <alignment horizontal="center" vertical="center" wrapText="1"/>
    </xf>
    <xf numFmtId="0" fontId="15" fillId="16" borderId="5" xfId="0" applyFont="1" applyFill="1" applyBorder="1" applyAlignment="1">
      <alignment horizontal="center" vertical="center" wrapText="1"/>
    </xf>
    <xf numFmtId="0" fontId="15" fillId="16" borderId="7" xfId="0" applyFont="1" applyFill="1" applyBorder="1" applyAlignment="1">
      <alignment horizontal="center" vertical="center" wrapText="1"/>
    </xf>
    <xf numFmtId="0" fontId="15" fillId="16" borderId="8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9" fillId="5" borderId="5" xfId="0" applyFont="1" applyFill="1" applyBorder="1" applyAlignment="1">
      <alignment horizontal="center" vertical="center" wrapText="1"/>
    </xf>
    <xf numFmtId="0" fontId="19" fillId="5" borderId="7" xfId="0" applyFont="1" applyFill="1" applyBorder="1" applyAlignment="1">
      <alignment horizontal="center" vertical="center" wrapText="1"/>
    </xf>
    <xf numFmtId="0" fontId="19" fillId="5" borderId="8" xfId="0" applyFont="1" applyFill="1" applyBorder="1" applyAlignment="1">
      <alignment horizontal="center" vertical="center" wrapText="1"/>
    </xf>
    <xf numFmtId="0" fontId="20" fillId="16" borderId="5" xfId="0" applyFont="1" applyFill="1" applyBorder="1" applyAlignment="1">
      <alignment horizontal="center" vertical="center" wrapText="1"/>
    </xf>
    <xf numFmtId="0" fontId="20" fillId="16" borderId="7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5" fillId="9" borderId="8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 vertical="center" wrapText="1"/>
    </xf>
    <xf numFmtId="0" fontId="25" fillId="6" borderId="7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34" fillId="3" borderId="12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/>
    </xf>
    <xf numFmtId="0" fontId="24" fillId="13" borderId="5" xfId="2" applyFont="1" applyFill="1" applyBorder="1" applyAlignment="1" applyProtection="1">
      <alignment horizontal="center" vertical="center" wrapText="1"/>
    </xf>
    <xf numFmtId="0" fontId="24" fillId="13" borderId="7" xfId="2" applyFont="1" applyFill="1" applyBorder="1" applyAlignment="1" applyProtection="1">
      <alignment horizontal="center" vertical="center" wrapText="1"/>
    </xf>
    <xf numFmtId="0" fontId="24" fillId="13" borderId="8" xfId="2" applyFont="1" applyFill="1" applyBorder="1" applyAlignment="1" applyProtection="1">
      <alignment horizontal="center" vertical="center" wrapText="1"/>
    </xf>
    <xf numFmtId="0" fontId="24" fillId="6" borderId="5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6" borderId="8" xfId="0" applyFont="1" applyFill="1" applyBorder="1" applyAlignment="1">
      <alignment horizontal="center" vertical="center" wrapText="1"/>
    </xf>
    <xf numFmtId="0" fontId="25" fillId="13" borderId="5" xfId="0" applyFont="1" applyFill="1" applyBorder="1" applyAlignment="1">
      <alignment horizontal="center" vertical="center" wrapText="1"/>
    </xf>
    <xf numFmtId="0" fontId="25" fillId="13" borderId="7" xfId="0" applyFont="1" applyFill="1" applyBorder="1" applyAlignment="1">
      <alignment horizontal="center" vertical="center" wrapText="1"/>
    </xf>
    <xf numFmtId="0" fontId="25" fillId="13" borderId="8" xfId="0" applyFont="1" applyFill="1" applyBorder="1" applyAlignment="1">
      <alignment horizontal="center" vertical="center" wrapText="1"/>
    </xf>
    <xf numFmtId="165" fontId="24" fillId="12" borderId="5" xfId="0" applyNumberFormat="1" applyFont="1" applyFill="1" applyBorder="1" applyAlignment="1">
      <alignment horizontal="center" vertical="center" wrapText="1"/>
    </xf>
    <xf numFmtId="165" fontId="24" fillId="12" borderId="7" xfId="0" applyNumberFormat="1" applyFont="1" applyFill="1" applyBorder="1" applyAlignment="1">
      <alignment horizontal="center" vertical="center" wrapText="1"/>
    </xf>
    <xf numFmtId="165" fontId="24" fillId="12" borderId="8" xfId="0" applyNumberFormat="1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9" fillId="16" borderId="8" xfId="0" applyFont="1" applyFill="1" applyBorder="1" applyAlignment="1">
      <alignment horizontal="center" vertical="center" wrapText="1"/>
    </xf>
    <xf numFmtId="0" fontId="25" fillId="15" borderId="7" xfId="0" applyFont="1" applyFill="1" applyBorder="1" applyAlignment="1">
      <alignment horizontal="center" vertical="center" wrapText="1"/>
    </xf>
    <xf numFmtId="0" fontId="26" fillId="9" borderId="5" xfId="0" applyFont="1" applyFill="1" applyBorder="1" applyAlignment="1">
      <alignment horizontal="center" vertical="center" wrapText="1"/>
    </xf>
    <xf numFmtId="0" fontId="26" fillId="9" borderId="7" xfId="0" applyFont="1" applyFill="1" applyBorder="1" applyAlignment="1">
      <alignment horizontal="center" vertical="center" wrapText="1"/>
    </xf>
    <xf numFmtId="0" fontId="26" fillId="9" borderId="8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right" vertical="center" wrapText="1"/>
    </xf>
    <xf numFmtId="0" fontId="52" fillId="39" borderId="45" xfId="0" applyFont="1" applyFill="1" applyBorder="1" applyAlignment="1">
      <alignment horizontal="center" vertical="center" wrapText="1"/>
    </xf>
    <xf numFmtId="0" fontId="52" fillId="39" borderId="0" xfId="0" applyFont="1" applyFill="1" applyAlignment="1">
      <alignment horizontal="center" vertical="center" wrapText="1"/>
    </xf>
    <xf numFmtId="0" fontId="52" fillId="39" borderId="46" xfId="0" applyFont="1" applyFill="1" applyBorder="1" applyAlignment="1">
      <alignment horizontal="center" vertical="center" wrapText="1"/>
    </xf>
    <xf numFmtId="0" fontId="52" fillId="39" borderId="26" xfId="0" applyFont="1" applyFill="1" applyBorder="1" applyAlignment="1">
      <alignment horizontal="center" vertical="center" wrapText="1"/>
    </xf>
    <xf numFmtId="0" fontId="22" fillId="17" borderId="26" xfId="0" applyFont="1" applyFill="1" applyBorder="1" applyAlignment="1">
      <alignment horizontal="center" vertical="center" wrapText="1"/>
    </xf>
    <xf numFmtId="0" fontId="21" fillId="37" borderId="41" xfId="0" applyFont="1" applyFill="1" applyBorder="1" applyAlignment="1">
      <alignment horizontal="center" vertical="center" wrapText="1"/>
    </xf>
    <xf numFmtId="0" fontId="21" fillId="37" borderId="50" xfId="0" applyFont="1" applyFill="1" applyBorder="1" applyAlignment="1">
      <alignment horizontal="center" vertical="center" wrapText="1"/>
    </xf>
    <xf numFmtId="0" fontId="52" fillId="40" borderId="45" xfId="0" applyFont="1" applyFill="1" applyBorder="1" applyAlignment="1">
      <alignment horizontal="center" vertical="center" wrapText="1"/>
    </xf>
    <xf numFmtId="0" fontId="52" fillId="40" borderId="0" xfId="0" applyFont="1" applyFill="1" applyAlignment="1">
      <alignment horizontal="center" vertical="center" wrapText="1"/>
    </xf>
    <xf numFmtId="0" fontId="52" fillId="40" borderId="46" xfId="0" applyFont="1" applyFill="1" applyBorder="1" applyAlignment="1">
      <alignment horizontal="center" vertical="center" wrapText="1"/>
    </xf>
    <xf numFmtId="0" fontId="52" fillId="36" borderId="46" xfId="0" applyFont="1" applyFill="1" applyBorder="1" applyAlignment="1">
      <alignment horizontal="center" vertical="center" wrapText="1"/>
    </xf>
    <xf numFmtId="0" fontId="52" fillId="36" borderId="49" xfId="0" applyFont="1" applyFill="1" applyBorder="1" applyAlignment="1">
      <alignment horizontal="center" vertical="center" wrapText="1"/>
    </xf>
    <xf numFmtId="0" fontId="22" fillId="37" borderId="46" xfId="0" applyFont="1" applyFill="1" applyBorder="1" applyAlignment="1">
      <alignment horizontal="center" vertical="center" wrapText="1"/>
    </xf>
    <xf numFmtId="0" fontId="22" fillId="37" borderId="49" xfId="0" applyFont="1" applyFill="1" applyBorder="1" applyAlignment="1">
      <alignment horizontal="center" vertical="center" wrapText="1"/>
    </xf>
    <xf numFmtId="0" fontId="22" fillId="17" borderId="44" xfId="0" applyFont="1" applyFill="1" applyBorder="1" applyAlignment="1">
      <alignment horizontal="center" vertical="center" wrapText="1"/>
    </xf>
    <xf numFmtId="0" fontId="22" fillId="17" borderId="46" xfId="0" applyFont="1" applyFill="1" applyBorder="1" applyAlignment="1">
      <alignment horizontal="center" vertical="center" wrapText="1"/>
    </xf>
    <xf numFmtId="0" fontId="22" fillId="17" borderId="49" xfId="0" applyFont="1" applyFill="1" applyBorder="1" applyAlignment="1">
      <alignment horizontal="center" vertical="center" wrapText="1"/>
    </xf>
    <xf numFmtId="0" fontId="21" fillId="17" borderId="41" xfId="0" applyFont="1" applyFill="1" applyBorder="1" applyAlignment="1">
      <alignment horizontal="center" vertical="center" wrapText="1"/>
    </xf>
    <xf numFmtId="0" fontId="21" fillId="17" borderId="47" xfId="0" applyFont="1" applyFill="1" applyBorder="1" applyAlignment="1">
      <alignment horizontal="center" vertical="center" wrapText="1"/>
    </xf>
    <xf numFmtId="0" fontId="21" fillId="17" borderId="50" xfId="0" applyFont="1" applyFill="1" applyBorder="1" applyAlignment="1">
      <alignment horizontal="center" vertical="center" wrapText="1"/>
    </xf>
    <xf numFmtId="0" fontId="21" fillId="37" borderId="56" xfId="0" applyFont="1" applyFill="1" applyBorder="1" applyAlignment="1">
      <alignment horizontal="center" vertical="center" wrapText="1"/>
    </xf>
    <xf numFmtId="0" fontId="21" fillId="37" borderId="46" xfId="0" applyFont="1" applyFill="1" applyBorder="1" applyAlignment="1">
      <alignment horizontal="center" vertical="center" wrapText="1"/>
    </xf>
    <xf numFmtId="0" fontId="21" fillId="37" borderId="49" xfId="0" applyFont="1" applyFill="1" applyBorder="1" applyAlignment="1">
      <alignment horizontal="center" vertical="center" wrapText="1"/>
    </xf>
    <xf numFmtId="0" fontId="22" fillId="37" borderId="52" xfId="0" applyFont="1" applyFill="1" applyBorder="1" applyAlignment="1">
      <alignment horizontal="center" vertical="center" wrapText="1"/>
    </xf>
    <xf numFmtId="0" fontId="21" fillId="37" borderId="47" xfId="0" applyFont="1" applyFill="1" applyBorder="1" applyAlignment="1">
      <alignment horizontal="center" vertical="center" wrapText="1"/>
    </xf>
    <xf numFmtId="0" fontId="51" fillId="35" borderId="45" xfId="0" applyFont="1" applyFill="1" applyBorder="1" applyAlignment="1">
      <alignment horizontal="center" vertical="center" wrapText="1"/>
    </xf>
    <xf numFmtId="0" fontId="51" fillId="35" borderId="0" xfId="0" applyFont="1" applyFill="1" applyAlignment="1">
      <alignment horizontal="center" vertical="center" wrapText="1"/>
    </xf>
    <xf numFmtId="0" fontId="51" fillId="35" borderId="46" xfId="0" applyFont="1" applyFill="1" applyBorder="1" applyAlignment="1">
      <alignment horizontal="center" vertical="center" wrapText="1"/>
    </xf>
    <xf numFmtId="0" fontId="51" fillId="35" borderId="48" xfId="0" applyFont="1" applyFill="1" applyBorder="1" applyAlignment="1">
      <alignment horizontal="center" vertical="center" wrapText="1"/>
    </xf>
    <xf numFmtId="0" fontId="51" fillId="35" borderId="40" xfId="0" applyFont="1" applyFill="1" applyBorder="1" applyAlignment="1">
      <alignment horizontal="center" vertical="center" wrapText="1"/>
    </xf>
    <xf numFmtId="0" fontId="51" fillId="35" borderId="49" xfId="0" applyFont="1" applyFill="1" applyBorder="1" applyAlignment="1">
      <alignment horizontal="center" vertical="center" wrapText="1"/>
    </xf>
    <xf numFmtId="0" fontId="52" fillId="36" borderId="51" xfId="0" applyFont="1" applyFill="1" applyBorder="1" applyAlignment="1">
      <alignment horizontal="center" vertical="center" wrapText="1"/>
    </xf>
    <xf numFmtId="0" fontId="52" fillId="36" borderId="52" xfId="0" applyFont="1" applyFill="1" applyBorder="1" applyAlignment="1">
      <alignment horizontal="center" vertical="center" wrapText="1"/>
    </xf>
    <xf numFmtId="0" fontId="51" fillId="35" borderId="41" xfId="0" applyFont="1" applyFill="1" applyBorder="1" applyAlignment="1">
      <alignment horizontal="center" vertical="center" wrapText="1"/>
    </xf>
    <xf numFmtId="0" fontId="51" fillId="35" borderId="47" xfId="0" applyFont="1" applyFill="1" applyBorder="1" applyAlignment="1">
      <alignment horizontal="center" vertical="center" wrapText="1"/>
    </xf>
    <xf numFmtId="0" fontId="51" fillId="35" borderId="50" xfId="0" applyFont="1" applyFill="1" applyBorder="1" applyAlignment="1">
      <alignment horizontal="center" vertical="center" wrapText="1"/>
    </xf>
    <xf numFmtId="0" fontId="51" fillId="35" borderId="42" xfId="0" applyFont="1" applyFill="1" applyBorder="1" applyAlignment="1">
      <alignment horizontal="center" vertical="center" wrapText="1"/>
    </xf>
    <xf numFmtId="0" fontId="51" fillId="35" borderId="43" xfId="0" applyFont="1" applyFill="1" applyBorder="1" applyAlignment="1">
      <alignment horizontal="center" vertical="center" wrapText="1"/>
    </xf>
    <xf numFmtId="0" fontId="51" fillId="35" borderId="44" xfId="0" applyFont="1" applyFill="1" applyBorder="1" applyAlignment="1">
      <alignment horizontal="center" vertical="center" wrapText="1"/>
    </xf>
    <xf numFmtId="0" fontId="47" fillId="35" borderId="0" xfId="0" applyFont="1" applyFill="1" applyAlignment="1">
      <alignment horizontal="center"/>
    </xf>
    <xf numFmtId="0" fontId="49" fillId="35" borderId="0" xfId="0" applyFont="1" applyFill="1" applyAlignment="1">
      <alignment horizontal="center" vertical="center"/>
    </xf>
    <xf numFmtId="0" fontId="50" fillId="35" borderId="12" xfId="0" applyFont="1" applyFill="1" applyBorder="1" applyAlignment="1">
      <alignment horizontal="center"/>
    </xf>
    <xf numFmtId="0" fontId="50" fillId="35" borderId="0" xfId="0" applyFont="1" applyFill="1" applyAlignment="1">
      <alignment horizontal="center"/>
    </xf>
    <xf numFmtId="0" fontId="50" fillId="35" borderId="40" xfId="0" applyFont="1" applyFill="1" applyBorder="1" applyAlignment="1">
      <alignment horizontal="center"/>
    </xf>
    <xf numFmtId="0" fontId="51" fillId="35" borderId="26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/>
    </xf>
    <xf numFmtId="9" fontId="6" fillId="3" borderId="16" xfId="1" applyFont="1" applyFill="1" applyBorder="1" applyAlignment="1">
      <alignment horizontal="center" vertical="center" wrapText="1"/>
    </xf>
    <xf numFmtId="9" fontId="6" fillId="3" borderId="0" xfId="1" applyFont="1" applyFill="1" applyBorder="1" applyAlignment="1">
      <alignment horizontal="center" vertical="center" wrapText="1"/>
    </xf>
    <xf numFmtId="9" fontId="6" fillId="3" borderId="13" xfId="1" applyFont="1" applyFill="1" applyBorder="1" applyAlignment="1">
      <alignment horizontal="center" vertical="center" wrapText="1"/>
    </xf>
    <xf numFmtId="9" fontId="6" fillId="3" borderId="6" xfId="1" applyFont="1" applyFill="1" applyBorder="1" applyAlignment="1">
      <alignment horizontal="center" vertical="center" wrapText="1"/>
    </xf>
    <xf numFmtId="0" fontId="24" fillId="16" borderId="4" xfId="0" applyFont="1" applyFill="1" applyBorder="1" applyAlignment="1">
      <alignment horizontal="center" vertical="center" wrapText="1"/>
    </xf>
    <xf numFmtId="0" fontId="19" fillId="9" borderId="5" xfId="0" applyFont="1" applyFill="1" applyBorder="1" applyAlignment="1">
      <alignment horizontal="center" vertical="center" wrapText="1"/>
    </xf>
    <xf numFmtId="0" fontId="19" fillId="9" borderId="7" xfId="0" applyFont="1" applyFill="1" applyBorder="1" applyAlignment="1">
      <alignment horizontal="center" vertical="center" wrapText="1"/>
    </xf>
    <xf numFmtId="0" fontId="19" fillId="9" borderId="8" xfId="0" applyFont="1" applyFill="1" applyBorder="1" applyAlignment="1">
      <alignment horizontal="center" vertical="center" wrapText="1"/>
    </xf>
    <xf numFmtId="0" fontId="25" fillId="15" borderId="5" xfId="2" applyFont="1" applyFill="1" applyBorder="1" applyAlignment="1">
      <alignment horizontal="center" vertical="center" wrapText="1"/>
    </xf>
    <xf numFmtId="0" fontId="25" fillId="15" borderId="7" xfId="2" applyFont="1" applyFill="1" applyBorder="1" applyAlignment="1">
      <alignment horizontal="center" vertical="center" wrapText="1"/>
    </xf>
    <xf numFmtId="0" fontId="25" fillId="15" borderId="8" xfId="2" applyFont="1" applyFill="1" applyBorder="1" applyAlignment="1">
      <alignment horizontal="center" vertical="center" wrapText="1"/>
    </xf>
    <xf numFmtId="0" fontId="15" fillId="12" borderId="5" xfId="2" applyFont="1" applyFill="1" applyBorder="1" applyAlignment="1">
      <alignment horizontal="center" vertical="center" wrapText="1"/>
    </xf>
    <xf numFmtId="0" fontId="15" fillId="12" borderId="7" xfId="2" applyFont="1" applyFill="1" applyBorder="1" applyAlignment="1">
      <alignment horizontal="center" vertical="center" wrapText="1"/>
    </xf>
    <xf numFmtId="0" fontId="15" fillId="12" borderId="8" xfId="2" applyFont="1" applyFill="1" applyBorder="1" applyAlignment="1">
      <alignment horizontal="center" vertical="center" wrapText="1"/>
    </xf>
    <xf numFmtId="0" fontId="19" fillId="15" borderId="3" xfId="0" applyFont="1" applyFill="1" applyBorder="1" applyAlignment="1">
      <alignment horizontal="center" vertical="center" wrapText="1"/>
    </xf>
    <xf numFmtId="0" fontId="19" fillId="15" borderId="14" xfId="0" applyFont="1" applyFill="1" applyBorder="1" applyAlignment="1">
      <alignment horizontal="center" vertical="center" wrapText="1"/>
    </xf>
    <xf numFmtId="0" fontId="19" fillId="13" borderId="3" xfId="0" applyFont="1" applyFill="1" applyBorder="1" applyAlignment="1">
      <alignment horizontal="center" vertical="center" wrapText="1"/>
    </xf>
    <xf numFmtId="0" fontId="13" fillId="13" borderId="14" xfId="0" applyFont="1" applyFill="1" applyBorder="1" applyAlignment="1">
      <alignment horizontal="center" vertical="center" wrapText="1"/>
    </xf>
    <xf numFmtId="0" fontId="25" fillId="12" borderId="3" xfId="0" applyFont="1" applyFill="1" applyBorder="1" applyAlignment="1">
      <alignment horizontal="center" vertical="center" wrapText="1"/>
    </xf>
    <xf numFmtId="0" fontId="25" fillId="12" borderId="1" xfId="0" applyFont="1" applyFill="1" applyBorder="1" applyAlignment="1">
      <alignment horizontal="center" vertical="center" wrapText="1"/>
    </xf>
    <xf numFmtId="0" fontId="25" fillId="12" borderId="14" xfId="0" applyFont="1" applyFill="1" applyBorder="1" applyAlignment="1">
      <alignment horizontal="center" vertical="center" wrapText="1"/>
    </xf>
    <xf numFmtId="0" fontId="24" fillId="13" borderId="4" xfId="2" applyFont="1" applyFill="1" applyBorder="1" applyAlignment="1">
      <alignment horizontal="center" vertical="center" wrapText="1"/>
    </xf>
    <xf numFmtId="0" fontId="9" fillId="7" borderId="61" xfId="0" applyFont="1" applyFill="1" applyBorder="1" applyAlignment="1">
      <alignment horizontal="center" vertical="center" wrapText="1"/>
    </xf>
    <xf numFmtId="0" fontId="9" fillId="7" borderId="62" xfId="0" applyFont="1" applyFill="1" applyBorder="1" applyAlignment="1">
      <alignment horizontal="center" vertical="center" wrapText="1"/>
    </xf>
    <xf numFmtId="0" fontId="25" fillId="16" borderId="61" xfId="0" applyFont="1" applyFill="1" applyBorder="1" applyAlignment="1">
      <alignment horizontal="center" vertical="center" wrapText="1"/>
    </xf>
    <xf numFmtId="0" fontId="25" fillId="16" borderId="62" xfId="0" applyFont="1" applyFill="1" applyBorder="1" applyAlignment="1">
      <alignment horizontal="center" vertical="center" wrapText="1"/>
    </xf>
    <xf numFmtId="0" fontId="15" fillId="6" borderId="61" xfId="2" applyFont="1" applyFill="1" applyBorder="1" applyAlignment="1">
      <alignment horizontal="center" vertical="center" wrapText="1"/>
    </xf>
    <xf numFmtId="0" fontId="15" fillId="6" borderId="62" xfId="2" applyFont="1" applyFill="1" applyBorder="1" applyAlignment="1">
      <alignment horizontal="center" vertical="center" wrapText="1"/>
    </xf>
    <xf numFmtId="0" fontId="15" fillId="42" borderId="5" xfId="0" applyFont="1" applyFill="1" applyBorder="1" applyAlignment="1">
      <alignment horizontal="center" vertical="center" wrapText="1"/>
    </xf>
    <xf numFmtId="0" fontId="15" fillId="42" borderId="7" xfId="0" applyFont="1" applyFill="1" applyBorder="1" applyAlignment="1">
      <alignment horizontal="center" vertical="center" wrapText="1"/>
    </xf>
    <xf numFmtId="0" fontId="15" fillId="42" borderId="8" xfId="0" applyFont="1" applyFill="1" applyBorder="1" applyAlignment="1">
      <alignment horizontal="center" vertical="center" wrapText="1"/>
    </xf>
    <xf numFmtId="0" fontId="19" fillId="42" borderId="5" xfId="0" applyFont="1" applyFill="1" applyBorder="1" applyAlignment="1">
      <alignment horizontal="center" vertical="center" wrapText="1"/>
    </xf>
    <xf numFmtId="0" fontId="19" fillId="42" borderId="7" xfId="0" applyFont="1" applyFill="1" applyBorder="1" applyAlignment="1">
      <alignment horizontal="center" vertical="center" wrapText="1"/>
    </xf>
    <xf numFmtId="0" fontId="19" fillId="42" borderId="8" xfId="0" applyFont="1" applyFill="1" applyBorder="1" applyAlignment="1">
      <alignment horizontal="center" vertical="center" wrapText="1"/>
    </xf>
    <xf numFmtId="0" fontId="15" fillId="24" borderId="5" xfId="0" applyFont="1" applyFill="1" applyBorder="1" applyAlignment="1">
      <alignment horizontal="center" vertical="center" wrapText="1"/>
    </xf>
    <xf numFmtId="0" fontId="15" fillId="24" borderId="7" xfId="0" applyFont="1" applyFill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vertical="center" wrapText="1"/>
    </xf>
    <xf numFmtId="9" fontId="6" fillId="3" borderId="1" xfId="1" applyFont="1" applyFill="1" applyBorder="1" applyAlignment="1">
      <alignment horizontal="right" vertical="center" wrapText="1"/>
    </xf>
    <xf numFmtId="9" fontId="6" fillId="3" borderId="14" xfId="1" applyFont="1" applyFill="1" applyBorder="1" applyAlignment="1">
      <alignment horizontal="right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62" fillId="11" borderId="5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8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25" fillId="16" borderId="3" xfId="0" applyFont="1" applyFill="1" applyBorder="1" applyAlignment="1">
      <alignment horizontal="center" vertical="center" wrapText="1"/>
    </xf>
    <xf numFmtId="0" fontId="25" fillId="16" borderId="14" xfId="0" applyFont="1" applyFill="1" applyBorder="1" applyAlignment="1">
      <alignment horizontal="center" vertical="center" wrapText="1"/>
    </xf>
    <xf numFmtId="0" fontId="24" fillId="5" borderId="5" xfId="2" applyFont="1" applyFill="1" applyBorder="1" applyAlignment="1">
      <alignment horizontal="center" vertical="center" wrapText="1"/>
    </xf>
    <xf numFmtId="0" fontId="24" fillId="5" borderId="7" xfId="2" applyFont="1" applyFill="1" applyBorder="1" applyAlignment="1">
      <alignment horizontal="center" vertical="center" wrapText="1"/>
    </xf>
    <xf numFmtId="0" fontId="24" fillId="5" borderId="8" xfId="2" applyFont="1" applyFill="1" applyBorder="1" applyAlignment="1">
      <alignment horizontal="center" vertical="center" wrapText="1"/>
    </xf>
    <xf numFmtId="0" fontId="24" fillId="16" borderId="5" xfId="2" applyFont="1" applyFill="1" applyBorder="1" applyAlignment="1">
      <alignment horizontal="center" vertical="center" wrapText="1"/>
    </xf>
    <xf numFmtId="0" fontId="24" fillId="16" borderId="7" xfId="2" applyFont="1" applyFill="1" applyBorder="1" applyAlignment="1">
      <alignment horizontal="center" vertical="center" wrapText="1"/>
    </xf>
    <xf numFmtId="0" fontId="24" fillId="16" borderId="8" xfId="2" applyFont="1" applyFill="1" applyBorder="1" applyAlignment="1">
      <alignment horizontal="center" vertical="center" wrapText="1"/>
    </xf>
    <xf numFmtId="0" fontId="26" fillId="13" borderId="5" xfId="0" applyFont="1" applyFill="1" applyBorder="1" applyAlignment="1">
      <alignment horizontal="center" vertical="center" wrapText="1"/>
    </xf>
    <xf numFmtId="0" fontId="26" fillId="13" borderId="8" xfId="0" applyFont="1" applyFill="1" applyBorder="1" applyAlignment="1">
      <alignment horizontal="center" vertical="center" wrapText="1"/>
    </xf>
    <xf numFmtId="0" fontId="19" fillId="12" borderId="3" xfId="0" applyFont="1" applyFill="1" applyBorder="1" applyAlignment="1">
      <alignment horizontal="center" vertical="center" wrapText="1"/>
    </xf>
    <xf numFmtId="0" fontId="19" fillId="12" borderId="14" xfId="0" applyFont="1" applyFill="1" applyBorder="1" applyAlignment="1">
      <alignment horizontal="center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19" fillId="13" borderId="14" xfId="0" applyFont="1" applyFill="1" applyBorder="1" applyAlignment="1">
      <alignment horizontal="center" vertical="center" wrapText="1"/>
    </xf>
    <xf numFmtId="0" fontId="19" fillId="12" borderId="8" xfId="0" applyFont="1" applyFill="1" applyBorder="1" applyAlignment="1">
      <alignment horizontal="center" vertical="center" wrapText="1"/>
    </xf>
    <xf numFmtId="0" fontId="15" fillId="12" borderId="5" xfId="2" applyFont="1" applyFill="1" applyBorder="1" applyAlignment="1" applyProtection="1">
      <alignment horizontal="center" vertical="center" wrapText="1"/>
    </xf>
    <xf numFmtId="0" fontId="15" fillId="12" borderId="7" xfId="2" applyFont="1" applyFill="1" applyBorder="1" applyAlignment="1" applyProtection="1">
      <alignment horizontal="center" vertical="center" wrapText="1"/>
    </xf>
    <xf numFmtId="0" fontId="15" fillId="12" borderId="8" xfId="2" applyFont="1" applyFill="1" applyBorder="1" applyAlignment="1" applyProtection="1">
      <alignment horizontal="center" vertical="center" wrapText="1"/>
    </xf>
    <xf numFmtId="0" fontId="29" fillId="12" borderId="5" xfId="2" applyFont="1" applyFill="1" applyBorder="1" applyAlignment="1" applyProtection="1">
      <alignment horizontal="center" vertical="center" wrapText="1"/>
    </xf>
    <xf numFmtId="0" fontId="29" fillId="12" borderId="7" xfId="2" applyFont="1" applyFill="1" applyBorder="1" applyAlignment="1" applyProtection="1">
      <alignment horizontal="center" vertical="center" wrapText="1"/>
    </xf>
    <xf numFmtId="0" fontId="29" fillId="12" borderId="8" xfId="2" applyFont="1" applyFill="1" applyBorder="1" applyAlignment="1" applyProtection="1">
      <alignment horizontal="center" vertical="center" wrapText="1"/>
    </xf>
    <xf numFmtId="0" fontId="74" fillId="12" borderId="1" xfId="0" applyFont="1" applyFill="1" applyBorder="1" applyAlignment="1">
      <alignment horizontal="center" vertical="center" wrapText="1"/>
    </xf>
    <xf numFmtId="0" fontId="74" fillId="12" borderId="14" xfId="0" applyFont="1" applyFill="1" applyBorder="1" applyAlignment="1">
      <alignment horizontal="center" vertical="center" wrapText="1"/>
    </xf>
    <xf numFmtId="0" fontId="7" fillId="4" borderId="65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 vertical="center" wrapText="1"/>
    </xf>
    <xf numFmtId="0" fontId="9" fillId="7" borderId="74" xfId="0" applyFont="1" applyFill="1" applyBorder="1" applyAlignment="1">
      <alignment horizontal="center" vertical="center" wrapText="1"/>
    </xf>
    <xf numFmtId="0" fontId="7" fillId="4" borderId="76" xfId="0" applyFont="1" applyFill="1" applyBorder="1" applyAlignment="1">
      <alignment horizontal="center" vertical="center" wrapText="1"/>
    </xf>
    <xf numFmtId="0" fontId="19" fillId="13" borderId="78" xfId="0" applyFont="1" applyFill="1" applyBorder="1" applyAlignment="1">
      <alignment horizontal="center" vertical="center" wrapText="1"/>
    </xf>
    <xf numFmtId="0" fontId="19" fillId="12" borderId="77" xfId="0" applyFont="1" applyFill="1" applyBorder="1" applyAlignment="1">
      <alignment horizontal="center" vertical="center" wrapText="1"/>
    </xf>
    <xf numFmtId="0" fontId="19" fillId="13" borderId="70" xfId="0" applyFont="1" applyFill="1" applyBorder="1" applyAlignment="1">
      <alignment horizontal="center" vertical="center" wrapText="1"/>
    </xf>
    <xf numFmtId="0" fontId="21" fillId="12" borderId="33" xfId="16" applyFont="1" applyFill="1" applyBorder="1" applyAlignment="1">
      <alignment horizontal="center" vertical="center" wrapText="1"/>
    </xf>
    <xf numFmtId="0" fontId="21" fillId="12" borderId="73" xfId="16" applyFont="1" applyFill="1" applyBorder="1" applyAlignment="1">
      <alignment horizontal="center" vertical="center" wrapText="1"/>
    </xf>
    <xf numFmtId="0" fontId="21" fillId="12" borderId="35" xfId="16" applyFont="1" applyFill="1" applyBorder="1" applyAlignment="1">
      <alignment horizontal="center" vertical="center" wrapText="1"/>
    </xf>
    <xf numFmtId="0" fontId="15" fillId="13" borderId="19" xfId="0" applyFont="1" applyFill="1" applyBorder="1" applyAlignment="1">
      <alignment horizontal="center" vertical="center" wrapText="1"/>
    </xf>
    <xf numFmtId="0" fontId="15" fillId="13" borderId="16" xfId="0" applyFont="1" applyFill="1" applyBorder="1" applyAlignment="1">
      <alignment horizontal="center" vertical="center" wrapText="1"/>
    </xf>
    <xf numFmtId="0" fontId="15" fillId="13" borderId="69" xfId="0" applyFont="1" applyFill="1" applyBorder="1" applyAlignment="1">
      <alignment horizontal="center" vertical="center" wrapText="1"/>
    </xf>
    <xf numFmtId="0" fontId="15" fillId="12" borderId="71" xfId="0" applyFont="1" applyFill="1" applyBorder="1" applyAlignment="1">
      <alignment horizontal="center" vertical="center" wrapText="1"/>
    </xf>
    <xf numFmtId="0" fontId="15" fillId="12" borderId="72" xfId="0" applyFont="1" applyFill="1" applyBorder="1" applyAlignment="1">
      <alignment horizontal="center" vertical="center" wrapText="1"/>
    </xf>
    <xf numFmtId="0" fontId="19" fillId="13" borderId="5" xfId="2" applyFont="1" applyFill="1" applyBorder="1" applyAlignment="1">
      <alignment horizontal="center" vertical="center" wrapText="1"/>
    </xf>
    <xf numFmtId="0" fontId="19" fillId="13" borderId="8" xfId="2" applyFont="1" applyFill="1" applyBorder="1" applyAlignment="1">
      <alignment horizontal="center" vertical="center" wrapText="1"/>
    </xf>
    <xf numFmtId="0" fontId="21" fillId="13" borderId="4" xfId="2" applyFont="1" applyFill="1" applyBorder="1" applyAlignment="1">
      <alignment horizontal="center" vertical="center" wrapText="1"/>
    </xf>
    <xf numFmtId="0" fontId="21" fillId="13" borderId="4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5" fillId="13" borderId="13" xfId="0" applyFont="1" applyFill="1" applyBorder="1" applyAlignment="1">
      <alignment horizontal="center" vertical="center" wrapText="1"/>
    </xf>
    <xf numFmtId="0" fontId="6" fillId="7" borderId="90" xfId="0" applyFont="1" applyFill="1" applyBorder="1" applyAlignment="1">
      <alignment horizontal="center" vertical="center" wrapText="1"/>
    </xf>
    <xf numFmtId="0" fontId="11" fillId="7" borderId="9" xfId="0" applyFont="1" applyFill="1" applyBorder="1" applyAlignment="1">
      <alignment horizontal="center" vertical="center" wrapText="1"/>
    </xf>
    <xf numFmtId="0" fontId="11" fillId="7" borderId="91" xfId="0" applyFont="1" applyFill="1" applyBorder="1" applyAlignment="1">
      <alignment horizontal="center" vertical="center" wrapText="1"/>
    </xf>
    <xf numFmtId="0" fontId="7" fillId="7" borderId="92" xfId="0" applyFont="1" applyFill="1" applyBorder="1" applyAlignment="1">
      <alignment horizontal="center" vertical="center" wrapText="1"/>
    </xf>
    <xf numFmtId="0" fontId="7" fillId="7" borderId="93" xfId="0" applyFont="1" applyFill="1" applyBorder="1" applyAlignment="1">
      <alignment horizontal="center" vertical="center" wrapText="1"/>
    </xf>
    <xf numFmtId="0" fontId="7" fillId="7" borderId="94" xfId="0" applyFont="1" applyFill="1" applyBorder="1" applyAlignment="1">
      <alignment horizontal="center" vertical="center" wrapText="1"/>
    </xf>
    <xf numFmtId="0" fontId="20" fillId="12" borderId="4" xfId="0" applyFont="1" applyFill="1" applyBorder="1" applyAlignment="1">
      <alignment horizontal="center" vertical="center" wrapText="1"/>
    </xf>
    <xf numFmtId="0" fontId="19" fillId="9" borderId="79" xfId="2" applyFont="1" applyFill="1" applyBorder="1" applyAlignment="1">
      <alignment horizontal="center" vertical="center" wrapText="1"/>
    </xf>
    <xf numFmtId="0" fontId="19" fillId="12" borderId="80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0" fontId="26" fillId="13" borderId="19" xfId="2" applyFont="1" applyFill="1" applyBorder="1" applyAlignment="1" applyProtection="1">
      <alignment horizontal="center" vertical="center" wrapText="1"/>
    </xf>
    <xf numFmtId="0" fontId="26" fillId="13" borderId="16" xfId="2" applyFont="1" applyFill="1" applyBorder="1" applyAlignment="1" applyProtection="1">
      <alignment horizontal="center" vertical="center" wrapText="1"/>
    </xf>
    <xf numFmtId="0" fontId="26" fillId="13" borderId="13" xfId="2" applyFont="1" applyFill="1" applyBorder="1" applyAlignment="1" applyProtection="1">
      <alignment horizontal="center" vertical="center" wrapText="1"/>
    </xf>
    <xf numFmtId="0" fontId="15" fillId="12" borderId="4" xfId="0" applyFont="1" applyFill="1" applyBorder="1" applyAlignment="1">
      <alignment horizontal="center" vertical="center" wrapText="1"/>
    </xf>
    <xf numFmtId="165" fontId="25" fillId="6" borderId="5" xfId="0" applyNumberFormat="1" applyFont="1" applyFill="1" applyBorder="1" applyAlignment="1">
      <alignment horizontal="center" vertical="center" wrapText="1"/>
    </xf>
    <xf numFmtId="165" fontId="25" fillId="6" borderId="7" xfId="0" applyNumberFormat="1" applyFont="1" applyFill="1" applyBorder="1" applyAlignment="1">
      <alignment horizontal="center" vertical="center" wrapText="1"/>
    </xf>
    <xf numFmtId="165" fontId="25" fillId="6" borderId="8" xfId="0" applyNumberFormat="1" applyFont="1" applyFill="1" applyBorder="1" applyAlignment="1">
      <alignment horizontal="center" vertical="center" wrapText="1"/>
    </xf>
    <xf numFmtId="0" fontId="15" fillId="16" borderId="4" xfId="0" applyFont="1" applyFill="1" applyBorder="1" applyAlignment="1">
      <alignment horizontal="center" vertical="center" wrapText="1"/>
    </xf>
    <xf numFmtId="9" fontId="6" fillId="3" borderId="0" xfId="1" applyFont="1" applyFill="1" applyAlignment="1">
      <alignment horizontal="center" vertical="center" wrapText="1"/>
    </xf>
    <xf numFmtId="0" fontId="24" fillId="12" borderId="21" xfId="0" applyFont="1" applyFill="1" applyBorder="1" applyAlignment="1">
      <alignment horizontal="center" vertical="center" wrapText="1"/>
    </xf>
    <xf numFmtId="0" fontId="24" fillId="12" borderId="22" xfId="0" applyFont="1" applyFill="1" applyBorder="1" applyAlignment="1">
      <alignment horizontal="center" vertical="center" wrapText="1"/>
    </xf>
    <xf numFmtId="0" fontId="24" fillId="12" borderId="23" xfId="0" applyFont="1" applyFill="1" applyBorder="1" applyAlignment="1">
      <alignment horizontal="center" vertical="center" wrapText="1"/>
    </xf>
    <xf numFmtId="0" fontId="15" fillId="13" borderId="4" xfId="2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19" fillId="12" borderId="5" xfId="2" applyFont="1" applyFill="1" applyBorder="1" applyAlignment="1">
      <alignment horizontal="center" vertical="center" wrapText="1"/>
    </xf>
    <xf numFmtId="0" fontId="19" fillId="12" borderId="8" xfId="2" applyFont="1" applyFill="1" applyBorder="1" applyAlignment="1">
      <alignment horizontal="center" vertical="center" wrapText="1"/>
    </xf>
    <xf numFmtId="0" fontId="25" fillId="14" borderId="7" xfId="0" applyFont="1" applyFill="1" applyBorder="1" applyAlignment="1">
      <alignment horizontal="center" vertical="center" wrapText="1"/>
    </xf>
    <xf numFmtId="0" fontId="24" fillId="14" borderId="8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12" borderId="5" xfId="2" applyFont="1" applyFill="1" applyBorder="1" applyAlignment="1" applyProtection="1">
      <alignment horizontal="center" vertical="center" wrapText="1"/>
    </xf>
    <xf numFmtId="0" fontId="24" fillId="12" borderId="7" xfId="2" applyFont="1" applyFill="1" applyBorder="1" applyAlignment="1" applyProtection="1">
      <alignment horizontal="center" vertical="center" wrapText="1"/>
    </xf>
    <xf numFmtId="0" fontId="24" fillId="12" borderId="8" xfId="2" applyFont="1" applyFill="1" applyBorder="1" applyAlignment="1" applyProtection="1">
      <alignment horizontal="center" vertical="center" wrapText="1"/>
    </xf>
    <xf numFmtId="0" fontId="26" fillId="12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vertical="center" wrapText="1"/>
    </xf>
    <xf numFmtId="0" fontId="6" fillId="3" borderId="8" xfId="0" applyFont="1" applyFill="1" applyBorder="1" applyAlignment="1">
      <alignment vertical="center" wrapText="1"/>
    </xf>
    <xf numFmtId="0" fontId="20" fillId="13" borderId="5" xfId="2" applyFont="1" applyFill="1" applyBorder="1" applyAlignment="1">
      <alignment horizontal="center" vertical="center" wrapText="1"/>
    </xf>
    <xf numFmtId="0" fontId="20" fillId="13" borderId="7" xfId="2" applyFont="1" applyFill="1" applyBorder="1" applyAlignment="1">
      <alignment horizontal="center" vertical="center" wrapText="1"/>
    </xf>
    <xf numFmtId="0" fontId="20" fillId="13" borderId="8" xfId="2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9" fontId="6" fillId="3" borderId="0" xfId="1" applyFont="1" applyFill="1" applyBorder="1" applyAlignment="1" applyProtection="1">
      <alignment horizontal="center" vertical="center" wrapText="1"/>
    </xf>
    <xf numFmtId="9" fontId="6" fillId="3" borderId="6" xfId="1" applyFont="1" applyFill="1" applyBorder="1" applyAlignment="1" applyProtection="1">
      <alignment horizontal="center" vertical="center" wrapText="1"/>
    </xf>
    <xf numFmtId="0" fontId="15" fillId="9" borderId="5" xfId="2" applyFont="1" applyFill="1" applyBorder="1" applyAlignment="1">
      <alignment horizontal="center" vertical="center" wrapText="1"/>
    </xf>
    <xf numFmtId="0" fontId="15" fillId="9" borderId="8" xfId="2" applyFont="1" applyFill="1" applyBorder="1" applyAlignment="1">
      <alignment horizontal="center" vertical="center" wrapText="1"/>
    </xf>
    <xf numFmtId="3" fontId="24" fillId="16" borderId="10" xfId="0" applyNumberFormat="1" applyFont="1" applyFill="1" applyBorder="1" applyAlignment="1">
      <alignment horizontal="center" vertical="center" wrapText="1"/>
    </xf>
    <xf numFmtId="3" fontId="24" fillId="16" borderId="9" xfId="0" applyNumberFormat="1" applyFont="1" applyFill="1" applyBorder="1" applyAlignment="1">
      <alignment horizontal="center" vertical="center" wrapText="1"/>
    </xf>
    <xf numFmtId="3" fontId="24" fillId="16" borderId="11" xfId="0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20" fillId="15" borderId="5" xfId="2" applyFont="1" applyFill="1" applyBorder="1" applyAlignment="1">
      <alignment horizontal="center" vertical="center" wrapText="1"/>
    </xf>
    <xf numFmtId="0" fontId="20" fillId="15" borderId="8" xfId="2" applyFont="1" applyFill="1" applyBorder="1" applyAlignment="1">
      <alignment horizontal="center" vertical="center" wrapText="1"/>
    </xf>
    <xf numFmtId="0" fontId="20" fillId="12" borderId="5" xfId="0" applyFont="1" applyFill="1" applyBorder="1" applyAlignment="1">
      <alignment horizontal="center" vertical="center" wrapText="1"/>
    </xf>
    <xf numFmtId="0" fontId="20" fillId="12" borderId="7" xfId="0" applyFont="1" applyFill="1" applyBorder="1" applyAlignment="1">
      <alignment horizontal="center" vertical="center" wrapText="1"/>
    </xf>
    <xf numFmtId="0" fontId="20" fillId="12" borderId="8" xfId="0" applyFont="1" applyFill="1" applyBorder="1" applyAlignment="1">
      <alignment horizontal="center" vertical="center" wrapText="1"/>
    </xf>
    <xf numFmtId="0" fontId="15" fillId="13" borderId="21" xfId="0" applyFont="1" applyFill="1" applyBorder="1" applyAlignment="1">
      <alignment horizontal="center" vertical="center" wrapText="1"/>
    </xf>
    <xf numFmtId="0" fontId="15" fillId="13" borderId="22" xfId="0" applyFont="1" applyFill="1" applyBorder="1" applyAlignment="1">
      <alignment horizontal="center" vertical="center" wrapText="1"/>
    </xf>
    <xf numFmtId="0" fontId="15" fillId="13" borderId="23" xfId="0" applyFont="1" applyFill="1" applyBorder="1" applyAlignment="1">
      <alignment horizontal="center" vertical="center" wrapText="1"/>
    </xf>
    <xf numFmtId="0" fontId="20" fillId="13" borderId="5" xfId="0" applyFont="1" applyFill="1" applyBorder="1" applyAlignment="1">
      <alignment horizontal="center" vertical="center" wrapText="1"/>
    </xf>
    <xf numFmtId="0" fontId="20" fillId="13" borderId="7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25" fillId="12" borderId="4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24" fillId="12" borderId="4" xfId="0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horizontal="center" vertical="center" wrapText="1"/>
    </xf>
    <xf numFmtId="0" fontId="80" fillId="3" borderId="0" xfId="0" applyFont="1" applyFill="1" applyAlignment="1">
      <alignment horizontal="left"/>
    </xf>
    <xf numFmtId="0" fontId="7" fillId="7" borderId="5" xfId="0" applyFont="1" applyFill="1" applyBorder="1" applyAlignment="1">
      <alignment horizontal="center" vertical="center" wrapText="1"/>
    </xf>
    <xf numFmtId="0" fontId="7" fillId="7" borderId="86" xfId="0" applyFont="1" applyFill="1" applyBorder="1" applyAlignment="1">
      <alignment horizontal="center" vertical="center" wrapText="1"/>
    </xf>
    <xf numFmtId="0" fontId="7" fillId="7" borderId="10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</cellXfs>
  <cellStyles count="29">
    <cellStyle name="Hipervínculo" xfId="8" builtinId="8"/>
    <cellStyle name="Hyperlink" xfId="28" xr:uid="{00000000-0005-0000-0000-000001000000}"/>
    <cellStyle name="Incorrecto" xfId="2" builtinId="27"/>
    <cellStyle name="Incorrecto 2" xfId="6" xr:uid="{00000000-0005-0000-0000-000003000000}"/>
    <cellStyle name="Millares [0]" xfId="7" builtinId="6"/>
    <cellStyle name="Millares [0] 2" xfId="12" xr:uid="{00000000-0005-0000-0000-000005000000}"/>
    <cellStyle name="Millares [0] 2 2" xfId="25" xr:uid="{00000000-0005-0000-0000-000006000000}"/>
    <cellStyle name="Millares [0] 2 3" xfId="18" xr:uid="{00000000-0005-0000-0000-000007000000}"/>
    <cellStyle name="Millares [0] 3" xfId="14" xr:uid="{00000000-0005-0000-0000-000008000000}"/>
    <cellStyle name="Millares 19" xfId="19" xr:uid="{00000000-0005-0000-0000-000009000000}"/>
    <cellStyle name="Millares 20" xfId="20" xr:uid="{00000000-0005-0000-0000-00000A000000}"/>
    <cellStyle name="Millares 21" xfId="21" xr:uid="{00000000-0005-0000-0000-00000B000000}"/>
    <cellStyle name="Millares 22" xfId="22" xr:uid="{00000000-0005-0000-0000-00000C000000}"/>
    <cellStyle name="Millares 23" xfId="23" xr:uid="{00000000-0005-0000-0000-00000D000000}"/>
    <cellStyle name="Millares 24" xfId="24" xr:uid="{00000000-0005-0000-0000-00000E000000}"/>
    <cellStyle name="Millares 26" xfId="26" xr:uid="{00000000-0005-0000-0000-00000F000000}"/>
    <cellStyle name="Millares 27" xfId="27" xr:uid="{00000000-0005-0000-0000-000010000000}"/>
    <cellStyle name="Moneda" xfId="10" builtinId="4"/>
    <cellStyle name="Moneda [0]" xfId="4" builtinId="7"/>
    <cellStyle name="Moneda [0] 2" xfId="9" xr:uid="{00000000-0005-0000-0000-000013000000}"/>
    <cellStyle name="Moneda [0] 2 2" xfId="17" xr:uid="{00000000-0005-0000-0000-000014000000}"/>
    <cellStyle name="Moneda [0] 3" xfId="11" xr:uid="{00000000-0005-0000-0000-000015000000}"/>
    <cellStyle name="Moneda [0] 4" xfId="13" xr:uid="{00000000-0005-0000-0000-000016000000}"/>
    <cellStyle name="Normal" xfId="0" builtinId="0"/>
    <cellStyle name="Normal 2" xfId="15" xr:uid="{00000000-0005-0000-0000-000018000000}"/>
    <cellStyle name="Normal 2 2" xfId="3" xr:uid="{00000000-0005-0000-0000-000019000000}"/>
    <cellStyle name="Normal 2 2 2" xfId="16" xr:uid="{00000000-0005-0000-0000-00001A000000}"/>
    <cellStyle name="Normal 2 3" xfId="5" xr:uid="{00000000-0005-0000-0000-00001B000000}"/>
    <cellStyle name="Porcentaje" xfId="1" builtinId="5"/>
  </cellStyles>
  <dxfs count="11395"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99CC00"/>
        </patternFill>
      </fill>
    </dxf>
    <dxf>
      <fill>
        <patternFill>
          <bgColor rgb="FF00B05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3.xml"/><Relationship Id="rId68" Type="http://schemas.openxmlformats.org/officeDocument/2006/relationships/externalLink" Target="externalLinks/externalLink1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externalLink" Target="externalLinks/externalLink8.xml"/><Relationship Id="rId66" Type="http://schemas.openxmlformats.org/officeDocument/2006/relationships/externalLink" Target="externalLinks/externalLink1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64" Type="http://schemas.openxmlformats.org/officeDocument/2006/relationships/externalLink" Target="externalLinks/externalLink14.xml"/><Relationship Id="rId69" Type="http://schemas.openxmlformats.org/officeDocument/2006/relationships/externalLink" Target="externalLinks/externalLink1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72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9.xml"/><Relationship Id="rId67" Type="http://schemas.openxmlformats.org/officeDocument/2006/relationships/externalLink" Target="externalLinks/externalLink1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62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externalLink" Target="externalLinks/externalLink10.xml"/><Relationship Id="rId65" Type="http://schemas.openxmlformats.org/officeDocument/2006/relationships/externalLink" Target="externalLinks/externalLink1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266701</xdr:rowOff>
    </xdr:from>
    <xdr:to>
      <xdr:col>1</xdr:col>
      <xdr:colOff>1047750</xdr:colOff>
      <xdr:row>0</xdr:row>
      <xdr:rowOff>830813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66701"/>
          <a:ext cx="1847850" cy="5641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575457</xdr:colOff>
      <xdr:row>0</xdr:row>
      <xdr:rowOff>0</xdr:rowOff>
    </xdr:from>
    <xdr:to>
      <xdr:col>1</xdr:col>
      <xdr:colOff>1631780</xdr:colOff>
      <xdr:row>3</xdr:row>
      <xdr:rowOff>19534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457" y="0"/>
          <a:ext cx="2618423" cy="8196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549274</xdr:colOff>
      <xdr:row>0</xdr:row>
      <xdr:rowOff>123825</xdr:rowOff>
    </xdr:from>
    <xdr:to>
      <xdr:col>4</xdr:col>
      <xdr:colOff>638969</xdr:colOff>
      <xdr:row>4</xdr:row>
      <xdr:rowOff>168124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610644" cy="806299"/>
        </a:xfrm>
        <a:prstGeom prst="rect">
          <a:avLst/>
        </a:prstGeom>
      </xdr:spPr>
    </xdr:pic>
    <xdr:clientData/>
  </xdr:twoCellAnchor>
  <xdr:twoCellAnchor editAs="oneCell">
    <xdr:from>
      <xdr:col>0</xdr:col>
      <xdr:colOff>549274</xdr:colOff>
      <xdr:row>0</xdr:row>
      <xdr:rowOff>123825</xdr:rowOff>
    </xdr:from>
    <xdr:to>
      <xdr:col>4</xdr:col>
      <xdr:colOff>638969</xdr:colOff>
      <xdr:row>3</xdr:row>
      <xdr:rowOff>110974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2610644" cy="8062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1528579</xdr:colOff>
      <xdr:row>4</xdr:row>
      <xdr:rowOff>123067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4903" cy="8255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0</xdr:row>
      <xdr:rowOff>59531</xdr:rowOff>
    </xdr:from>
    <xdr:to>
      <xdr:col>1</xdr:col>
      <xdr:colOff>1528579</xdr:colOff>
      <xdr:row>3</xdr:row>
      <xdr:rowOff>37342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4903" cy="8255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1315668</xdr:colOff>
      <xdr:row>4</xdr:row>
      <xdr:rowOff>119705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1542" cy="8221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684315</xdr:colOff>
      <xdr:row>0</xdr:row>
      <xdr:rowOff>35378</xdr:rowOff>
    </xdr:from>
    <xdr:to>
      <xdr:col>2</xdr:col>
      <xdr:colOff>1666819</xdr:colOff>
      <xdr:row>3</xdr:row>
      <xdr:rowOff>35862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15" y="35378"/>
          <a:ext cx="2611279" cy="8196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1730285</xdr:colOff>
      <xdr:row>4</xdr:row>
      <xdr:rowOff>923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6584" cy="82721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1</xdr:col>
      <xdr:colOff>1754300</xdr:colOff>
      <xdr:row>4</xdr:row>
      <xdr:rowOff>134106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07469" cy="8062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384505</xdr:rowOff>
    </xdr:from>
    <xdr:to>
      <xdr:col>1</xdr:col>
      <xdr:colOff>1550991</xdr:colOff>
      <xdr:row>5</xdr:row>
      <xdr:rowOff>124191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384505"/>
          <a:ext cx="2598740" cy="81601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1</xdr:col>
      <xdr:colOff>1538593</xdr:colOff>
      <xdr:row>4</xdr:row>
      <xdr:rowOff>140456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10837" cy="81264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435431</xdr:colOff>
      <xdr:row>0</xdr:row>
      <xdr:rowOff>59532</xdr:rowOff>
    </xdr:from>
    <xdr:to>
      <xdr:col>1</xdr:col>
      <xdr:colOff>870858</xdr:colOff>
      <xdr:row>2</xdr:row>
      <xdr:rowOff>219115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1" y="59532"/>
          <a:ext cx="1687284" cy="7446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533399</xdr:colOff>
      <xdr:row>0</xdr:row>
      <xdr:rowOff>123826</xdr:rowOff>
    </xdr:from>
    <xdr:to>
      <xdr:col>1</xdr:col>
      <xdr:colOff>1035843</xdr:colOff>
      <xdr:row>4</xdr:row>
      <xdr:rowOff>110975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" y="123826"/>
          <a:ext cx="2607469" cy="8062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628649</xdr:colOff>
      <xdr:row>0</xdr:row>
      <xdr:rowOff>33867</xdr:rowOff>
    </xdr:from>
    <xdr:to>
      <xdr:col>2</xdr:col>
      <xdr:colOff>64293</xdr:colOff>
      <xdr:row>4</xdr:row>
      <xdr:rowOff>21016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33867"/>
          <a:ext cx="2607469" cy="8062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1733839</xdr:colOff>
      <xdr:row>4</xdr:row>
      <xdr:rowOff>118543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10138" cy="82101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1733839</xdr:colOff>
      <xdr:row>4</xdr:row>
      <xdr:rowOff>61393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10138" cy="82101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1360491</xdr:colOff>
      <xdr:row>3</xdr:row>
      <xdr:rowOff>78804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8265" cy="81937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777785</xdr:colOff>
      <xdr:row>4</xdr:row>
      <xdr:rowOff>58073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6584" cy="81769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1438932</xdr:colOff>
      <xdr:row>4</xdr:row>
      <xdr:rowOff>32540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0981" cy="81937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0</xdr:row>
      <xdr:rowOff>59531</xdr:rowOff>
    </xdr:from>
    <xdr:to>
      <xdr:col>1</xdr:col>
      <xdr:colOff>1438932</xdr:colOff>
      <xdr:row>3</xdr:row>
      <xdr:rowOff>70639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0981" cy="81937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1</xdr:col>
      <xdr:colOff>1516175</xdr:colOff>
      <xdr:row>4</xdr:row>
      <xdr:rowOff>134106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07469" cy="8062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684315</xdr:colOff>
      <xdr:row>0</xdr:row>
      <xdr:rowOff>35378</xdr:rowOff>
    </xdr:from>
    <xdr:to>
      <xdr:col>1</xdr:col>
      <xdr:colOff>1895419</xdr:colOff>
      <xdr:row>4</xdr:row>
      <xdr:rowOff>93012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15" y="35378"/>
          <a:ext cx="2611279" cy="8196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1511589</xdr:colOff>
      <xdr:row>4</xdr:row>
      <xdr:rowOff>118543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6963" cy="82101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1</xdr:col>
      <xdr:colOff>1833675</xdr:colOff>
      <xdr:row>4</xdr:row>
      <xdr:rowOff>76956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10644" cy="806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490191</xdr:colOff>
      <xdr:row>0</xdr:row>
      <xdr:rowOff>73439</xdr:rowOff>
    </xdr:from>
    <xdr:to>
      <xdr:col>0</xdr:col>
      <xdr:colOff>490191</xdr:colOff>
      <xdr:row>4</xdr:row>
      <xdr:rowOff>52744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91" y="73439"/>
          <a:ext cx="2597793" cy="7984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1393735</xdr:colOff>
      <xdr:row>4</xdr:row>
      <xdr:rowOff>61393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3409" cy="82101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2</xdr:col>
      <xdr:colOff>1722550</xdr:colOff>
      <xdr:row>4</xdr:row>
      <xdr:rowOff>105531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04294" cy="80629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1</xdr:col>
      <xdr:colOff>1773543</xdr:colOff>
      <xdr:row>4</xdr:row>
      <xdr:rowOff>105531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07662" cy="8062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2</xdr:col>
      <xdr:colOff>1330228</xdr:colOff>
      <xdr:row>4</xdr:row>
      <xdr:rowOff>76956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02497" cy="8062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684315</xdr:colOff>
      <xdr:row>0</xdr:row>
      <xdr:rowOff>35378</xdr:rowOff>
    </xdr:from>
    <xdr:to>
      <xdr:col>1</xdr:col>
      <xdr:colOff>2038294</xdr:colOff>
      <xdr:row>4</xdr:row>
      <xdr:rowOff>93012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15" y="35378"/>
          <a:ext cx="2611279" cy="81963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1733839</xdr:colOff>
      <xdr:row>3</xdr:row>
      <xdr:rowOff>61393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10138" cy="82101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569117</xdr:colOff>
      <xdr:row>0</xdr:row>
      <xdr:rowOff>123825</xdr:rowOff>
    </xdr:from>
    <xdr:to>
      <xdr:col>1</xdr:col>
      <xdr:colOff>1717580</xdr:colOff>
      <xdr:row>4</xdr:row>
      <xdr:rowOff>160280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17" y="123825"/>
          <a:ext cx="2605788" cy="798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569117</xdr:colOff>
      <xdr:row>0</xdr:row>
      <xdr:rowOff>123825</xdr:rowOff>
    </xdr:from>
    <xdr:to>
      <xdr:col>1</xdr:col>
      <xdr:colOff>1717580</xdr:colOff>
      <xdr:row>3</xdr:row>
      <xdr:rowOff>103130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17" y="123825"/>
          <a:ext cx="2605788" cy="79845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1617680</xdr:colOff>
      <xdr:row>4</xdr:row>
      <xdr:rowOff>61393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8279" cy="82101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2010064</xdr:colOff>
      <xdr:row>4</xdr:row>
      <xdr:rowOff>119124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10138" cy="8215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642256</xdr:colOff>
      <xdr:row>0</xdr:row>
      <xdr:rowOff>89807</xdr:rowOff>
    </xdr:from>
    <xdr:to>
      <xdr:col>1</xdr:col>
      <xdr:colOff>1662418</xdr:colOff>
      <xdr:row>4</xdr:row>
      <xdr:rowOff>134106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6" y="89807"/>
          <a:ext cx="2610837" cy="8062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1443442</xdr:colOff>
      <xdr:row>3</xdr:row>
      <xdr:rowOff>38162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5491" cy="81683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766664</xdr:colOff>
      <xdr:row>0</xdr:row>
      <xdr:rowOff>89807</xdr:rowOff>
    </xdr:from>
    <xdr:to>
      <xdr:col>3</xdr:col>
      <xdr:colOff>1723326</xdr:colOff>
      <xdr:row>4</xdr:row>
      <xdr:rowOff>76956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664" y="89807"/>
          <a:ext cx="2423512" cy="80629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485776</xdr:colOff>
      <xdr:row>0</xdr:row>
      <xdr:rowOff>114721</xdr:rowOff>
    </xdr:from>
    <xdr:to>
      <xdr:col>1</xdr:col>
      <xdr:colOff>1835945</xdr:colOff>
      <xdr:row>4</xdr:row>
      <xdr:rowOff>99828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114721"/>
          <a:ext cx="2607469" cy="823307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0</xdr:row>
      <xdr:rowOff>114721</xdr:rowOff>
    </xdr:from>
    <xdr:to>
      <xdr:col>1</xdr:col>
      <xdr:colOff>1835945</xdr:colOff>
      <xdr:row>3</xdr:row>
      <xdr:rowOff>185553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114721"/>
          <a:ext cx="2607469" cy="82330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1083351</xdr:colOff>
      <xdr:row>4</xdr:row>
      <xdr:rowOff>113101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7350" cy="81557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1617680</xdr:colOff>
      <xdr:row>4</xdr:row>
      <xdr:rowOff>61393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8279" cy="82101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0</xdr:row>
      <xdr:rowOff>59531</xdr:rowOff>
    </xdr:from>
    <xdr:to>
      <xdr:col>1</xdr:col>
      <xdr:colOff>1619539</xdr:colOff>
      <xdr:row>4</xdr:row>
      <xdr:rowOff>61393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10138" cy="82101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276460</xdr:colOff>
      <xdr:row>0</xdr:row>
      <xdr:rowOff>59531</xdr:rowOff>
    </xdr:from>
    <xdr:to>
      <xdr:col>1</xdr:col>
      <xdr:colOff>1153048</xdr:colOff>
      <xdr:row>4</xdr:row>
      <xdr:rowOff>118543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460" y="59531"/>
          <a:ext cx="2610138" cy="82101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521493</xdr:colOff>
      <xdr:row>0</xdr:row>
      <xdr:rowOff>100013</xdr:rowOff>
    </xdr:from>
    <xdr:to>
      <xdr:col>1</xdr:col>
      <xdr:colOff>1601787</xdr:colOff>
      <xdr:row>4</xdr:row>
      <xdr:rowOff>87162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" y="100013"/>
          <a:ext cx="2613819" cy="80629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549274</xdr:colOff>
      <xdr:row>0</xdr:row>
      <xdr:rowOff>123825</xdr:rowOff>
    </xdr:from>
    <xdr:to>
      <xdr:col>1</xdr:col>
      <xdr:colOff>1883568</xdr:colOff>
      <xdr:row>4</xdr:row>
      <xdr:rowOff>115736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4" y="123825"/>
          <a:ext cx="2610644" cy="81106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664370</xdr:colOff>
      <xdr:row>0</xdr:row>
      <xdr:rowOff>79002</xdr:rowOff>
    </xdr:from>
    <xdr:to>
      <xdr:col>1</xdr:col>
      <xdr:colOff>1674020</xdr:colOff>
      <xdr:row>3</xdr:row>
      <xdr:rowOff>261413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70" y="79002"/>
          <a:ext cx="2600325" cy="81106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276460</xdr:colOff>
      <xdr:row>0</xdr:row>
      <xdr:rowOff>59531</xdr:rowOff>
    </xdr:from>
    <xdr:to>
      <xdr:col>1</xdr:col>
      <xdr:colOff>1629298</xdr:colOff>
      <xdr:row>4</xdr:row>
      <xdr:rowOff>70918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460" y="59531"/>
          <a:ext cx="2610138" cy="82101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684315</xdr:colOff>
      <xdr:row>0</xdr:row>
      <xdr:rowOff>35378</xdr:rowOff>
    </xdr:from>
    <xdr:to>
      <xdr:col>1</xdr:col>
      <xdr:colOff>2038294</xdr:colOff>
      <xdr:row>4</xdr:row>
      <xdr:rowOff>93012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15" y="35378"/>
          <a:ext cx="2611279" cy="8196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1559601</xdr:colOff>
      <xdr:row>4</xdr:row>
      <xdr:rowOff>61393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07350" cy="82101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549274</xdr:colOff>
      <xdr:row>0</xdr:row>
      <xdr:rowOff>123825</xdr:rowOff>
    </xdr:from>
    <xdr:to>
      <xdr:col>1</xdr:col>
      <xdr:colOff>1216818</xdr:colOff>
      <xdr:row>3</xdr:row>
      <xdr:rowOff>306236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4" y="123825"/>
          <a:ext cx="2610644" cy="8110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1432601</xdr:colOff>
      <xdr:row>4</xdr:row>
      <xdr:rowOff>70918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13700" cy="821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59531</xdr:rowOff>
    </xdr:from>
    <xdr:to>
      <xdr:col>1</xdr:col>
      <xdr:colOff>1495714</xdr:colOff>
      <xdr:row>4</xdr:row>
      <xdr:rowOff>35993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531"/>
          <a:ext cx="2610138" cy="8146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211930</xdr:colOff>
      <xdr:row>1</xdr:row>
      <xdr:rowOff>52388</xdr:rowOff>
    </xdr:from>
    <xdr:to>
      <xdr:col>1</xdr:col>
      <xdr:colOff>1294730</xdr:colOff>
      <xdr:row>4</xdr:row>
      <xdr:rowOff>191937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0" y="423863"/>
          <a:ext cx="2606800" cy="8062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549274</xdr:colOff>
      <xdr:row>0</xdr:row>
      <xdr:rowOff>123825</xdr:rowOff>
    </xdr:from>
    <xdr:to>
      <xdr:col>1</xdr:col>
      <xdr:colOff>1883568</xdr:colOff>
      <xdr:row>4</xdr:row>
      <xdr:rowOff>168124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4" y="123825"/>
          <a:ext cx="2610644" cy="806299"/>
        </a:xfrm>
        <a:prstGeom prst="rect">
          <a:avLst/>
        </a:prstGeom>
      </xdr:spPr>
    </xdr:pic>
    <xdr:clientData/>
  </xdr:twoCellAnchor>
  <xdr:twoCellAnchor editAs="oneCell">
    <xdr:from>
      <xdr:col>0</xdr:col>
      <xdr:colOff>549274</xdr:colOff>
      <xdr:row>0</xdr:row>
      <xdr:rowOff>123825</xdr:rowOff>
    </xdr:from>
    <xdr:to>
      <xdr:col>1</xdr:col>
      <xdr:colOff>1883568</xdr:colOff>
      <xdr:row>3</xdr:row>
      <xdr:rowOff>110974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4" y="123825"/>
          <a:ext cx="2610644" cy="806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VARGASM/14.SEGUIMIENTO%20SGFT/J.GESTION%20VARIABLES%20ESTAD&#205;STICAS/6.2020/4.ABRIL%20DE%202020/3.SEGUIMIENTO%20ENERO%20ABRIL%20DE%20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TABLEROS%20BALANCEADOS%20DE%20GESTI&#211;N\TRAZABILIDAD\30720\Metas%20y%20seguimiento%20DG_21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TABLEROS%20BALANCEADOS%20DE%20GESTI&#211;N\TRAZABILIDAD\30720\Metas%20y%20seguimiento%20DG_20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2020\TABLEROS%20BALANCEADOS%20DE%20GESTI&#211;N\TRAZABILIDAD\30720\Metas%20y%20seguimiento%20DG_210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TABLEROS%20BALANCEADOS%20DE%20GESTI&#211;N\TRAZABILIDAD\250820%20contrase&#241;a\Metas%20y%20seguimiento%20DG_21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2020\TABLEROS%20BALANCEADOS%20DE%20GESTI&#211;N\TRAZABILIDAD\240920%20tbg%20cambios\240920%20contrase&#241;a\Metas%20y%20seguimiento%20DG_212%20250920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TABLEROS%20BALANCEADOS%20DE%20GESTI&#211;N\TRAZABILIDAD\30720\Metas%20y%20seguimiento%20DG_21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2020\TABLEROS%20BALANCEADOS%20DE%20GESTI&#211;N\TRAZABILIDAD\191120\240920%20tbg%20cambios\240920%20contrase&#241;a\Metas%20y%20seguimiento%20DG_206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IANA%20GUTIERREZ/PLANEACION/2020/TABLEROS%20BALANCEADOS%20DE%20GESTI&#211;N/TRAZABILIDAD/30720/Metas%20y%20seguimiento%20DG_211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iancolombia.sharepoint.com/DIANA%20GUTIERREZ/PLANEACION/2020/TABLEROS%20BALANCEADOS%20DE%20GESTI&#211;N/TRAZABILIDAD/30720/Metas%20y%20seguimiento%20DG_211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TABLEROS%20BALANCEADOS%20DE%20GESTI&#211;N\TRAZABILIDAD\140720\Metas%20y%20seguimiento%20DG_20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VARGASM/14.SEGUIMIENTO%20SGFT/J.GESTION%20VARIABLES%20ESTAD&#205;STICAS/6.2020/4.ABRIL%20DE%202020/2.SEGUIMIENTO%20ENERO%20MARZO%20DE%202020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Metas%20y%20Seguimiento%2026062020\Metas%20y%20seguimiento%20DG_209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Metas%20y%20seguimiento%20DG_211%20(1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METAS%20DG\Metas%20y%20seguimiento%20DG_21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BERTO%20GRANADA%202018%20a%2031012020\Actividades%20de%20planeacion%20DSCali%202018\TBG%20a%20octubre%20-Planeaci&#243;n%20-OCI\Libro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2020\TABLEROS%20BALANCEADOS%20DE%20GESTI&#211;N\TRAZABILIDAD\30720\Metas%20y%20seguimiento%20DG_21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ANA%20GUTIERREZ/PLANEACION/2020/TABLEROS%20BALANCEADOS%20DE%20GESTI&#211;N/TRAZABILIDAD/30720/Metas%20y%20seguimiento%20DG_21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s%20Betzabeth%20Secretaria\2020\METAS%20PLAN%20OPERATIVO\REPORTE%20SEPTIEMBRE%20de%20278%20%20Modif%20%20Anexo%20Memo%20070%20de%202020%20-%20Rdos%20Metas%20-%20BUENAVENTUR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2020\TABLEROS%20BALANCEADOS%20DE%20GESTI&#211;N\TRAZABILIDAD\240920%20tbg%20cambios\240920%20contrase&#241;a\Metas%20y%20seguimiento%20DG_2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TABLEROS%20BALANCEADOS%20DE%20GESTI&#211;N\TRAZABILIDAD\30720\Metas%20y%20seguimiento%20DG_209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NA%20GUTIERREZ\PLANEACION\TABLEROS%20BALANCEADOS%20DE%20GESTI&#211;N\TRAZABILIDAD\30720\Metas%20y%20seguimiento%20DG_2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 ENE-ABR DE 2020"/>
      <sheetName val="GESTION POR CONCEPTO ENE-ABR"/>
      <sheetName val="RESULTADO VAR EST ENE ABR 2020"/>
      <sheetName val="CUMPL METAS MENSUAL"/>
      <sheetName val="EVACUACION DE EXPEDIENTES ENERO"/>
      <sheetName val=" RECLASIFICADO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ADUANAS"/>
      <sheetName val="ADU-1"/>
      <sheetName val="ADU-2"/>
      <sheetName val="ADU-3"/>
      <sheetName val="ADU4"/>
      <sheetName val="ADU-5"/>
      <sheetName val="ADU-6"/>
      <sheetName val="ADU-7"/>
      <sheetName val="ADU-8"/>
      <sheetName val="ADU-9"/>
      <sheetName val="ADU-10"/>
      <sheetName val="ADU-10.1"/>
      <sheetName val="ADU-11"/>
      <sheetName val="ADU-12"/>
      <sheetName val="ADU-13"/>
      <sheetName val="ADU-14"/>
      <sheetName val="ADU-15"/>
      <sheetName val="ADU-16"/>
      <sheetName val="ADU-17"/>
      <sheetName val="ADU-18"/>
      <sheetName val="ADU-19"/>
      <sheetName val="ADU-20"/>
      <sheetName val="ADU-21"/>
      <sheetName val="ADU-22"/>
      <sheetName val="ADU-23"/>
      <sheetName val="ADU-24"/>
      <sheetName val="ADU-25"/>
      <sheetName val="ADU-26"/>
      <sheetName val="ADU-27"/>
      <sheetName val="ADU-28"/>
      <sheetName val="ADU-29"/>
      <sheetName val="ADU-30"/>
      <sheetName val="ADU-31"/>
      <sheetName val="ADU-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G4">
            <v>0</v>
          </cell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</v>
          </cell>
        </row>
        <row r="8">
          <cell r="CY8">
            <v>0</v>
          </cell>
        </row>
        <row r="9">
          <cell r="CY9">
            <v>0</v>
          </cell>
        </row>
        <row r="10">
          <cell r="CY10">
            <v>0</v>
          </cell>
        </row>
        <row r="11">
          <cell r="CY11">
            <v>0</v>
          </cell>
        </row>
        <row r="12">
          <cell r="CY12">
            <v>0</v>
          </cell>
        </row>
        <row r="13">
          <cell r="CY13">
            <v>0</v>
          </cell>
        </row>
        <row r="14">
          <cell r="CY14">
            <v>0</v>
          </cell>
          <cell r="DE14">
            <v>0</v>
          </cell>
        </row>
        <row r="15">
          <cell r="CY1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G4">
            <v>0</v>
          </cell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0.02</v>
          </cell>
        </row>
        <row r="8">
          <cell r="CY8">
            <v>0.02</v>
          </cell>
        </row>
        <row r="9">
          <cell r="CY9">
            <v>0.02</v>
          </cell>
        </row>
        <row r="10">
          <cell r="CY10">
            <v>0.02</v>
          </cell>
        </row>
        <row r="11">
          <cell r="CY11">
            <v>0.02</v>
          </cell>
        </row>
        <row r="12">
          <cell r="CY12">
            <v>0.02</v>
          </cell>
        </row>
        <row r="13">
          <cell r="CY13">
            <v>0.02</v>
          </cell>
        </row>
        <row r="14">
          <cell r="CY14">
            <v>0.02</v>
          </cell>
        </row>
        <row r="15">
          <cell r="CY15">
            <v>0.02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G4">
            <v>0</v>
          </cell>
        </row>
        <row r="14">
          <cell r="DE14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G4">
            <v>0</v>
          </cell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</v>
          </cell>
        </row>
        <row r="8">
          <cell r="CY8">
            <v>5</v>
          </cell>
        </row>
        <row r="9">
          <cell r="CY9">
            <v>5</v>
          </cell>
        </row>
        <row r="10">
          <cell r="CY10">
            <v>5</v>
          </cell>
        </row>
        <row r="11">
          <cell r="CY11">
            <v>5</v>
          </cell>
        </row>
        <row r="12">
          <cell r="CY12">
            <v>5</v>
          </cell>
        </row>
        <row r="13">
          <cell r="CY13">
            <v>5</v>
          </cell>
        </row>
        <row r="14">
          <cell r="CY14">
            <v>5</v>
          </cell>
          <cell r="DE14">
            <v>2</v>
          </cell>
        </row>
        <row r="15">
          <cell r="CY15">
            <v>5</v>
          </cell>
        </row>
      </sheetData>
      <sheetData sheetId="35" refreshError="1"/>
      <sheetData sheetId="36" refreshError="1"/>
      <sheetData sheetId="3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JURIDICA"/>
      <sheetName val="JUR-1"/>
      <sheetName val="JUR-2"/>
      <sheetName val="JUR-3"/>
      <sheetName val="JUR-3.1"/>
      <sheetName val="JUR-3.2"/>
      <sheetName val="JUR-3.3"/>
      <sheetName val="JUR-3.4"/>
      <sheetName val="JUR-3.5"/>
      <sheetName val="JUR-3.6"/>
      <sheetName val="JUR-4"/>
      <sheetName val="JUR-5"/>
      <sheetName val="JUR-6"/>
      <sheetName val="JUR-7"/>
      <sheetName val="JUR-8"/>
      <sheetName val="JUR-9"/>
      <sheetName val="JUR-10"/>
      <sheetName val="JUR-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CG4">
            <v>1</v>
          </cell>
          <cell r="CY4">
            <v>1</v>
          </cell>
        </row>
        <row r="5">
          <cell r="CY5">
            <v>1</v>
          </cell>
        </row>
        <row r="6">
          <cell r="CY6">
            <v>1</v>
          </cell>
        </row>
        <row r="7">
          <cell r="CY7">
            <v>1</v>
          </cell>
        </row>
        <row r="8">
          <cell r="CY8">
            <v>1</v>
          </cell>
        </row>
        <row r="9">
          <cell r="CY9">
            <v>1</v>
          </cell>
        </row>
        <row r="10">
          <cell r="CY10">
            <v>1</v>
          </cell>
        </row>
        <row r="11">
          <cell r="CY11">
            <v>1</v>
          </cell>
        </row>
        <row r="12">
          <cell r="CY12">
            <v>1</v>
          </cell>
        </row>
        <row r="13">
          <cell r="CY13">
            <v>1</v>
          </cell>
        </row>
        <row r="14">
          <cell r="CY14">
            <v>1</v>
          </cell>
        </row>
        <row r="15">
          <cell r="CY15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ADUANAS"/>
      <sheetName val="ADU-1"/>
      <sheetName val="ADU-2"/>
      <sheetName val="ADU-3"/>
      <sheetName val="ADU4"/>
      <sheetName val="ADU-5"/>
      <sheetName val="ADU-6"/>
      <sheetName val="ADU-7"/>
      <sheetName val="ADU-8"/>
      <sheetName val="ADU-9"/>
      <sheetName val="ADU-9.1"/>
      <sheetName val="ADU-10"/>
      <sheetName val="ADU-10.1"/>
      <sheetName val="ADU-11"/>
      <sheetName val="ADU-12"/>
      <sheetName val="ADU-13"/>
      <sheetName val="ADU-14"/>
      <sheetName val="ADU-15"/>
      <sheetName val="ADU-16"/>
      <sheetName val="ADU-17"/>
      <sheetName val="ADU-18"/>
      <sheetName val="ADU-19"/>
      <sheetName val="ADU-20"/>
      <sheetName val="ADU-21"/>
      <sheetName val="ADU-22"/>
      <sheetName val="ADU-23"/>
      <sheetName val="ADU-24"/>
      <sheetName val="ADU-25"/>
      <sheetName val="ADU-26"/>
      <sheetName val="ADU-27"/>
      <sheetName val="ADU-28"/>
      <sheetName val="ADU-29"/>
      <sheetName val="ADU-30"/>
      <sheetName val="ADU-31"/>
      <sheetName val="ADU-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0.03</v>
          </cell>
        </row>
        <row r="9">
          <cell r="CY9">
            <v>0.03</v>
          </cell>
        </row>
        <row r="10">
          <cell r="CY10">
            <v>0.03</v>
          </cell>
        </row>
        <row r="11">
          <cell r="CY11">
            <v>0.03</v>
          </cell>
        </row>
        <row r="12">
          <cell r="CY12">
            <v>0.02</v>
          </cell>
        </row>
        <row r="13">
          <cell r="CY13">
            <v>0.02</v>
          </cell>
        </row>
        <row r="14">
          <cell r="CY14">
            <v>0.02</v>
          </cell>
        </row>
      </sheetData>
      <sheetData sheetId="14" refreshError="1">
        <row r="4">
          <cell r="CY4">
            <v>1.9999995827674866E-2</v>
          </cell>
        </row>
        <row r="5">
          <cell r="CY5">
            <v>1.9999995827674866E-2</v>
          </cell>
        </row>
        <row r="6">
          <cell r="CY6">
            <v>1.9999995827674866E-2</v>
          </cell>
        </row>
        <row r="7">
          <cell r="CY7">
            <v>1.9999995827674866E-2</v>
          </cell>
        </row>
        <row r="8">
          <cell r="CY8">
            <v>1.9999995827674866E-2</v>
          </cell>
        </row>
        <row r="9">
          <cell r="CY9">
            <v>1.9999995827674866E-2</v>
          </cell>
        </row>
        <row r="10">
          <cell r="CY10">
            <v>1.9999995827674866E-2</v>
          </cell>
        </row>
        <row r="11">
          <cell r="CY11">
            <v>1.9999995827674866E-2</v>
          </cell>
        </row>
        <row r="12">
          <cell r="CY12">
            <v>0.01</v>
          </cell>
        </row>
        <row r="13">
          <cell r="CY13">
            <v>0.01</v>
          </cell>
        </row>
        <row r="14">
          <cell r="CY14">
            <v>0.01</v>
          </cell>
        </row>
        <row r="15">
          <cell r="CY15">
            <v>0.01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ADUANAS"/>
      <sheetName val="ADU-1"/>
      <sheetName val="ADU-2"/>
      <sheetName val="ADU-3"/>
      <sheetName val="ADU4"/>
      <sheetName val="ADU-5"/>
      <sheetName val="ADU-6"/>
      <sheetName val="ADU-7"/>
      <sheetName val="ADU-8"/>
      <sheetName val="ADU-9"/>
      <sheetName val="ADU-10"/>
      <sheetName val="ADU-10.1"/>
      <sheetName val="ADU-11"/>
      <sheetName val="ADU-12"/>
      <sheetName val="ADU-13"/>
      <sheetName val="ADU-14"/>
      <sheetName val="ADU-15"/>
      <sheetName val="ADU-16"/>
      <sheetName val="ADU-17"/>
      <sheetName val="ADU-18"/>
      <sheetName val="ADU-19"/>
      <sheetName val="ADU-20"/>
      <sheetName val="ADU-21"/>
      <sheetName val="ADU-22"/>
      <sheetName val="ADU-23"/>
      <sheetName val="ADU-24"/>
      <sheetName val="ADU-25"/>
      <sheetName val="ADU-26"/>
      <sheetName val="ADU-27"/>
      <sheetName val="ADU-28"/>
      <sheetName val="ADU-29"/>
      <sheetName val="ADU-30"/>
      <sheetName val="ADU-31"/>
      <sheetName val="ADU-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0.01</v>
          </cell>
        </row>
        <row r="8">
          <cell r="CY8">
            <v>0.01</v>
          </cell>
        </row>
        <row r="9">
          <cell r="CY9">
            <v>0.01</v>
          </cell>
        </row>
        <row r="10">
          <cell r="CY10">
            <v>0.01</v>
          </cell>
        </row>
        <row r="11">
          <cell r="CY11">
            <v>0.01</v>
          </cell>
        </row>
        <row r="12">
          <cell r="CY12">
            <v>0.01</v>
          </cell>
        </row>
        <row r="13">
          <cell r="CY13">
            <v>0.01</v>
          </cell>
        </row>
        <row r="14">
          <cell r="CY14">
            <v>0.01</v>
          </cell>
        </row>
        <row r="15">
          <cell r="CY15">
            <v>0.01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POLFA"/>
      <sheetName val="POLFA-1"/>
      <sheetName val="POLFA-2"/>
      <sheetName val="POLFA-3"/>
      <sheetName val="POLFA-4"/>
      <sheetName val="POLFA-5"/>
      <sheetName val="POLFA-6"/>
      <sheetName val="POLFA-7"/>
      <sheetName val="POLFA-8"/>
      <sheetName val="POLFA-9"/>
      <sheetName val="POLFA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CY4">
            <v>257</v>
          </cell>
        </row>
        <row r="5">
          <cell r="CY5">
            <v>286</v>
          </cell>
        </row>
        <row r="6">
          <cell r="CY6">
            <v>255</v>
          </cell>
        </row>
        <row r="7">
          <cell r="CY7">
            <v>67</v>
          </cell>
        </row>
        <row r="8">
          <cell r="CY8">
            <v>85</v>
          </cell>
        </row>
        <row r="9">
          <cell r="CY9">
            <v>190</v>
          </cell>
        </row>
        <row r="10">
          <cell r="CY10">
            <v>304</v>
          </cell>
        </row>
        <row r="11">
          <cell r="CY11">
            <v>325</v>
          </cell>
        </row>
        <row r="12">
          <cell r="CY12">
            <v>428</v>
          </cell>
        </row>
        <row r="13">
          <cell r="CY13">
            <v>488</v>
          </cell>
        </row>
        <row r="14">
          <cell r="CY14">
            <v>375</v>
          </cell>
        </row>
        <row r="15">
          <cell r="CY15">
            <v>360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POLFA"/>
      <sheetName val="POLFA-1"/>
      <sheetName val="POLFA-2"/>
      <sheetName val="POLFA-3"/>
      <sheetName val="POLFA-4"/>
      <sheetName val="POLFA-5"/>
      <sheetName val="POLFA-6"/>
      <sheetName val="POLFA-7"/>
      <sheetName val="POLFA-8"/>
      <sheetName val="POLFA-9"/>
      <sheetName val="POLFA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</v>
          </cell>
        </row>
        <row r="8">
          <cell r="CY8">
            <v>0</v>
          </cell>
        </row>
        <row r="9">
          <cell r="CY9">
            <v>0</v>
          </cell>
        </row>
        <row r="10">
          <cell r="CY10">
            <v>0</v>
          </cell>
        </row>
        <row r="11">
          <cell r="CY11">
            <v>0</v>
          </cell>
        </row>
        <row r="12">
          <cell r="CY12">
            <v>0</v>
          </cell>
        </row>
        <row r="13">
          <cell r="CY13">
            <v>0</v>
          </cell>
        </row>
        <row r="14">
          <cell r="CY14">
            <v>0</v>
          </cell>
        </row>
        <row r="15">
          <cell r="CY15">
            <v>0.03</v>
          </cell>
        </row>
      </sheetData>
      <sheetData sheetId="12" refreshError="1">
        <row r="4">
          <cell r="CS4">
            <v>0</v>
          </cell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</v>
          </cell>
        </row>
        <row r="8">
          <cell r="CY8">
            <v>0</v>
          </cell>
        </row>
        <row r="9">
          <cell r="CY9">
            <v>0</v>
          </cell>
        </row>
        <row r="10">
          <cell r="CY10">
            <v>0</v>
          </cell>
        </row>
        <row r="11">
          <cell r="CY11">
            <v>0</v>
          </cell>
        </row>
        <row r="12">
          <cell r="CY12">
            <v>0.5</v>
          </cell>
        </row>
        <row r="13">
          <cell r="CY13">
            <v>0</v>
          </cell>
        </row>
        <row r="14">
          <cell r="CY14">
            <v>0</v>
          </cell>
        </row>
        <row r="15">
          <cell r="CY15">
            <v>0.5</v>
          </cell>
        </row>
      </sheetData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DGRAE"/>
      <sheetName val="DGRAE1"/>
      <sheetName val="DGRAE2"/>
      <sheetName val="DGRAE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E4">
            <v>0</v>
          </cell>
        </row>
        <row r="14">
          <cell r="DE14">
            <v>0</v>
          </cell>
        </row>
      </sheetData>
      <sheetData sheetId="7" refreshError="1">
        <row r="4">
          <cell r="DE4">
            <v>0</v>
          </cell>
          <cell r="DW4">
            <v>0</v>
          </cell>
        </row>
        <row r="5">
          <cell r="DW5">
            <v>0</v>
          </cell>
        </row>
        <row r="6">
          <cell r="DW6">
            <v>0</v>
          </cell>
        </row>
        <row r="7">
          <cell r="DW7">
            <v>0</v>
          </cell>
        </row>
        <row r="8">
          <cell r="DW8">
            <v>2</v>
          </cell>
        </row>
        <row r="9">
          <cell r="DW9">
            <v>0</v>
          </cell>
        </row>
        <row r="10">
          <cell r="DW10">
            <v>1</v>
          </cell>
        </row>
        <row r="11">
          <cell r="DW11">
            <v>0</v>
          </cell>
        </row>
        <row r="12">
          <cell r="DW12">
            <v>0</v>
          </cell>
        </row>
        <row r="13">
          <cell r="DW13">
            <v>3</v>
          </cell>
        </row>
        <row r="14">
          <cell r="DE14">
            <v>0</v>
          </cell>
          <cell r="DW14">
            <v>0</v>
          </cell>
        </row>
        <row r="15">
          <cell r="DW15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FISCALIZACION"/>
      <sheetName val="FIS-1"/>
      <sheetName val="FIS-2"/>
      <sheetName val="FIS-3"/>
      <sheetName val="FIS-4"/>
      <sheetName val="FIS-5"/>
      <sheetName val="FIS-6"/>
      <sheetName val="FIS-7"/>
      <sheetName val="FIS-8"/>
      <sheetName val="FIS-9"/>
      <sheetName val="FIS-10"/>
      <sheetName val="FIS-11"/>
      <sheetName val="FIS-12"/>
      <sheetName val="FIS-13"/>
      <sheetName val="FIS-14"/>
      <sheetName val="FIS-15"/>
      <sheetName val="FIS-16"/>
      <sheetName val="FIS-17"/>
      <sheetName val="FIS-18"/>
      <sheetName val="FIS-19"/>
      <sheetName val="FIS-20"/>
      <sheetName val="FIS-21"/>
      <sheetName val="FIS-22"/>
      <sheetName val="FIS-23"/>
      <sheetName val="FIS-24"/>
      <sheetName val="FIS-25"/>
      <sheetName val="FIS-26"/>
      <sheetName val="FIS-27"/>
      <sheetName val="FIS-28"/>
      <sheetName val="FIS-29"/>
      <sheetName val="FIS-30"/>
      <sheetName val="FIS-31"/>
      <sheetName val="FIS-32"/>
      <sheetName val="FIS-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6">
          <cell r="CD16">
            <v>90000000.000000015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FISCALIZACION"/>
      <sheetName val="FIS-1"/>
      <sheetName val="FIS-2"/>
      <sheetName val="FIS-3"/>
      <sheetName val="FIS-4"/>
      <sheetName val="FIS-5"/>
      <sheetName val="FIS-6"/>
      <sheetName val="FIS-7"/>
      <sheetName val="FIS-8"/>
      <sheetName val="FIS-9"/>
      <sheetName val="FIS-10"/>
      <sheetName val="FIS-11"/>
      <sheetName val="FIS-12"/>
      <sheetName val="FIS-13"/>
      <sheetName val="FIS-14"/>
      <sheetName val="FIS-15"/>
      <sheetName val="FIS-16"/>
      <sheetName val="FIS-17"/>
      <sheetName val="FIS-18"/>
      <sheetName val="FIS-19"/>
      <sheetName val="FIS-20"/>
      <sheetName val="FIS-21"/>
      <sheetName val="FIS-22"/>
      <sheetName val="FIS-23"/>
      <sheetName val="FIS-24"/>
      <sheetName val="FIS-25"/>
      <sheetName val="FIS-26"/>
      <sheetName val="FIS-27"/>
      <sheetName val="FIS-28"/>
      <sheetName val="FIS-29"/>
      <sheetName val="FIS-30"/>
      <sheetName val="FIS-31"/>
      <sheetName val="FIS-32"/>
      <sheetName val="FIS-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6">
          <cell r="BU16">
            <v>6099999999.999999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INGRESOS"/>
      <sheetName val="IN1-1"/>
      <sheetName val="IN1-2"/>
      <sheetName val="IN1-3"/>
      <sheetName val="IN1-4"/>
      <sheetName val="IN1-5"/>
      <sheetName val="IN1-6"/>
      <sheetName val="IN1-6.1"/>
      <sheetName val="IN1-7"/>
      <sheetName val="IN1-8"/>
      <sheetName val="IN1-9"/>
      <sheetName val="IN1-10"/>
      <sheetName val="IN1-11"/>
      <sheetName val="IN1-12"/>
      <sheetName val="IN1-13"/>
      <sheetName val="IN1-14"/>
      <sheetName val="IN1-15"/>
      <sheetName val="IN1-16"/>
      <sheetName val="IN1-17"/>
      <sheetName val="IN1-18"/>
      <sheetName val="IN1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W4" t="str">
            <v>PENDIENTE</v>
          </cell>
        </row>
        <row r="5">
          <cell r="DW5">
            <v>0</v>
          </cell>
        </row>
        <row r="6">
          <cell r="DW6">
            <v>0</v>
          </cell>
        </row>
        <row r="7">
          <cell r="DW7">
            <v>0</v>
          </cell>
        </row>
        <row r="8">
          <cell r="DW8">
            <v>0</v>
          </cell>
        </row>
        <row r="9">
          <cell r="DW9">
            <v>0</v>
          </cell>
        </row>
        <row r="10">
          <cell r="DW10">
            <v>0</v>
          </cell>
        </row>
        <row r="11">
          <cell r="DW11">
            <v>0</v>
          </cell>
        </row>
        <row r="12">
          <cell r="DW12">
            <v>0</v>
          </cell>
        </row>
        <row r="13">
          <cell r="DW13">
            <v>0</v>
          </cell>
        </row>
        <row r="14">
          <cell r="DW14">
            <v>0</v>
          </cell>
        </row>
        <row r="15">
          <cell r="DW1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STION ENE-MZO DE 2020"/>
      <sheetName val="Hoja1"/>
      <sheetName val="GESTION POR CONCEPTO ENE-MZO"/>
      <sheetName val="RESULTADO VAR EST ENE MZO 2020"/>
      <sheetName val="CUMPL METAS MENSUAL"/>
      <sheetName val="EVACUACION DE EXPEDIENTES ENERO"/>
      <sheetName val=" RECLASIFICADO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INGRESOS"/>
      <sheetName val="IN1-1"/>
      <sheetName val="IN1-2"/>
      <sheetName val="IN1-3"/>
      <sheetName val="IN1-4"/>
      <sheetName val="IN1-5"/>
      <sheetName val="IN1-6"/>
      <sheetName val="IN1-6.1"/>
      <sheetName val="IN1-7"/>
      <sheetName val="IN1-8"/>
      <sheetName val="IN1-9"/>
      <sheetName val="IN1-10"/>
      <sheetName val="IN1-11"/>
      <sheetName val="IN1-12"/>
      <sheetName val="IN1-13"/>
      <sheetName val="IN1-14"/>
      <sheetName val="IN1-15"/>
      <sheetName val="IN1-16"/>
      <sheetName val="IN1-17"/>
      <sheetName val="IN1-18"/>
      <sheetName val="IN1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DW4">
            <v>0</v>
          </cell>
        </row>
        <row r="5">
          <cell r="DW5">
            <v>0</v>
          </cell>
        </row>
        <row r="6">
          <cell r="DW6">
            <v>0.25</v>
          </cell>
        </row>
        <row r="7">
          <cell r="DW7">
            <v>0</v>
          </cell>
        </row>
        <row r="8">
          <cell r="DW8">
            <v>0</v>
          </cell>
        </row>
        <row r="9">
          <cell r="DW9">
            <v>0.25</v>
          </cell>
        </row>
        <row r="10">
          <cell r="DW10">
            <v>0</v>
          </cell>
        </row>
        <row r="11">
          <cell r="DW11">
            <v>0</v>
          </cell>
        </row>
        <row r="12">
          <cell r="DW12">
            <v>0.25</v>
          </cell>
        </row>
        <row r="13">
          <cell r="DW13">
            <v>0</v>
          </cell>
        </row>
        <row r="14">
          <cell r="DW14">
            <v>0</v>
          </cell>
        </row>
        <row r="15">
          <cell r="DW15">
            <v>0.25</v>
          </cell>
        </row>
      </sheetData>
      <sheetData sheetId="12" refreshError="1"/>
      <sheetData sheetId="13" refreshError="1">
        <row r="4">
          <cell r="DW4">
            <v>0</v>
          </cell>
        </row>
        <row r="5">
          <cell r="DW5">
            <v>0</v>
          </cell>
        </row>
        <row r="6">
          <cell r="DW6">
            <v>156</v>
          </cell>
        </row>
        <row r="7">
          <cell r="DW7">
            <v>127</v>
          </cell>
        </row>
        <row r="8">
          <cell r="DW8">
            <v>37</v>
          </cell>
        </row>
        <row r="9">
          <cell r="DW9">
            <v>42</v>
          </cell>
        </row>
        <row r="10">
          <cell r="DW10">
            <v>77</v>
          </cell>
        </row>
        <row r="11">
          <cell r="DW11">
            <v>117</v>
          </cell>
        </row>
        <row r="12">
          <cell r="DW12">
            <v>159</v>
          </cell>
        </row>
        <row r="13">
          <cell r="DW13">
            <v>62</v>
          </cell>
        </row>
        <row r="14">
          <cell r="DW14">
            <v>43</v>
          </cell>
        </row>
        <row r="15">
          <cell r="DW15">
            <v>5</v>
          </cell>
        </row>
      </sheetData>
      <sheetData sheetId="14" refreshError="1"/>
      <sheetData sheetId="15" refreshError="1"/>
      <sheetData sheetId="16" refreshError="1">
        <row r="4">
          <cell r="DW4" t="str">
            <v>PENDIENTE</v>
          </cell>
        </row>
        <row r="5">
          <cell r="DW5">
            <v>0</v>
          </cell>
        </row>
        <row r="6">
          <cell r="DW6">
            <v>0</v>
          </cell>
        </row>
        <row r="7">
          <cell r="DW7">
            <v>0</v>
          </cell>
        </row>
        <row r="8">
          <cell r="DW8">
            <v>0</v>
          </cell>
        </row>
        <row r="9">
          <cell r="DW9">
            <v>0</v>
          </cell>
        </row>
        <row r="10">
          <cell r="DW10">
            <v>0</v>
          </cell>
        </row>
        <row r="11">
          <cell r="DW11">
            <v>0</v>
          </cell>
        </row>
        <row r="12">
          <cell r="DW12">
            <v>0</v>
          </cell>
        </row>
        <row r="13">
          <cell r="DW13">
            <v>0</v>
          </cell>
        </row>
        <row r="14">
          <cell r="DW14">
            <v>0</v>
          </cell>
        </row>
        <row r="15">
          <cell r="DW15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4">
          <cell r="DW4">
            <v>0</v>
          </cell>
        </row>
        <row r="5">
          <cell r="DW5">
            <v>0</v>
          </cell>
        </row>
        <row r="6">
          <cell r="DW6">
            <v>37</v>
          </cell>
        </row>
        <row r="7">
          <cell r="DW7">
            <v>37</v>
          </cell>
        </row>
        <row r="8">
          <cell r="DW8">
            <v>37</v>
          </cell>
        </row>
        <row r="9">
          <cell r="DW9">
            <v>37</v>
          </cell>
        </row>
        <row r="10">
          <cell r="DW10">
            <v>37</v>
          </cell>
        </row>
        <row r="11">
          <cell r="DW11">
            <v>37</v>
          </cell>
        </row>
        <row r="12">
          <cell r="DW12">
            <v>37</v>
          </cell>
        </row>
        <row r="13">
          <cell r="DW13">
            <v>37</v>
          </cell>
        </row>
        <row r="14">
          <cell r="DW14">
            <v>37</v>
          </cell>
        </row>
        <row r="15">
          <cell r="DW15">
            <v>37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FISCALIZACION"/>
      <sheetName val="FIS-1"/>
      <sheetName val="FIS-2"/>
      <sheetName val="FIS-3"/>
      <sheetName val="FIS-4"/>
      <sheetName val="FIS-5"/>
      <sheetName val="FIS-6"/>
      <sheetName val="FIS-7"/>
      <sheetName val="FIS-8"/>
      <sheetName val="FIS-9"/>
      <sheetName val="FIS-10"/>
      <sheetName val="FIS-11"/>
      <sheetName val="FIS-12"/>
      <sheetName val="FIS-13"/>
      <sheetName val="FIS-14"/>
      <sheetName val="FIS-15"/>
      <sheetName val="FIS-16"/>
      <sheetName val="FIS-17"/>
      <sheetName val="FIS-18"/>
      <sheetName val="FIS-19"/>
      <sheetName val="FIS-20"/>
      <sheetName val="FIS-21"/>
      <sheetName val="FIS-22"/>
      <sheetName val="FIS-23"/>
      <sheetName val="FIS-24"/>
      <sheetName val="FIS-25"/>
      <sheetName val="FIS-26"/>
      <sheetName val="FIS-27"/>
      <sheetName val="FIS-28"/>
      <sheetName val="FIS-29"/>
      <sheetName val="FIS-30"/>
      <sheetName val="FIS-31"/>
      <sheetName val="FIS-32"/>
      <sheetName val="FIS-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DW4">
            <v>39999999.999999993</v>
          </cell>
        </row>
        <row r="5">
          <cell r="DW5">
            <v>39999999.999999993</v>
          </cell>
        </row>
        <row r="6">
          <cell r="DW6">
            <v>39999999.999999993</v>
          </cell>
        </row>
        <row r="7">
          <cell r="DW7">
            <v>79333333.333333328</v>
          </cell>
        </row>
        <row r="8">
          <cell r="DW8">
            <v>79333333.333333328</v>
          </cell>
        </row>
        <row r="9">
          <cell r="DW9">
            <v>79333333.333333328</v>
          </cell>
        </row>
        <row r="10">
          <cell r="DW10">
            <v>79333333.333333328</v>
          </cell>
        </row>
        <row r="11">
          <cell r="DW11">
            <v>79333333.333333328</v>
          </cell>
        </row>
        <row r="12">
          <cell r="DW12">
            <v>79333333.333333328</v>
          </cell>
        </row>
        <row r="13">
          <cell r="DW13">
            <v>67999999.999999985</v>
          </cell>
        </row>
        <row r="14">
          <cell r="DW14">
            <v>67999999.999999985</v>
          </cell>
        </row>
        <row r="15">
          <cell r="DW15">
            <v>67999999.999999985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FISCALIZACION"/>
      <sheetName val="FIS-1"/>
      <sheetName val="FIS-2"/>
      <sheetName val="FIS-3"/>
      <sheetName val="FIS-4"/>
      <sheetName val="FIS-5"/>
      <sheetName val="FIS-6"/>
      <sheetName val="FIS-7"/>
      <sheetName val="FIS-8"/>
      <sheetName val="FIS-9"/>
      <sheetName val="FIS-10"/>
      <sheetName val="FIS-11"/>
      <sheetName val="FIS-12"/>
      <sheetName val="FIS-13"/>
      <sheetName val="FIS-14"/>
      <sheetName val="FIS-15"/>
      <sheetName val="FIS-16"/>
      <sheetName val="FIS-17"/>
      <sheetName val="FIS-18"/>
      <sheetName val="FIS-19"/>
      <sheetName val="FIS-20"/>
      <sheetName val="FIS-21"/>
      <sheetName val="FIS-22"/>
      <sheetName val="FIS-23"/>
      <sheetName val="FIS-24"/>
      <sheetName val="FIS-25"/>
      <sheetName val="FIS-26"/>
      <sheetName val="FIS-27"/>
      <sheetName val="FIS-28"/>
      <sheetName val="FIS-29"/>
      <sheetName val="FIS-30"/>
      <sheetName val="FIS-31"/>
      <sheetName val="FIS-32"/>
      <sheetName val="FIS-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DN4">
            <v>53333333.333333336</v>
          </cell>
        </row>
        <row r="5">
          <cell r="DN5">
            <v>53333333.333333336</v>
          </cell>
        </row>
        <row r="6">
          <cell r="DN6">
            <v>53333333.333333336</v>
          </cell>
        </row>
        <row r="7">
          <cell r="DN7">
            <v>105777778</v>
          </cell>
        </row>
        <row r="8">
          <cell r="DN8">
            <v>105777778</v>
          </cell>
        </row>
        <row r="9">
          <cell r="DN9">
            <v>105777778</v>
          </cell>
        </row>
        <row r="10">
          <cell r="DN10">
            <v>105777778</v>
          </cell>
        </row>
        <row r="11">
          <cell r="DN11">
            <v>15384444.24</v>
          </cell>
        </row>
        <row r="12">
          <cell r="DN12">
            <v>15384444.24</v>
          </cell>
        </row>
        <row r="13">
          <cell r="DN13">
            <v>15384444.24</v>
          </cell>
        </row>
        <row r="14">
          <cell r="DN14">
            <v>10367777.640000001</v>
          </cell>
        </row>
        <row r="15">
          <cell r="DN15">
            <v>10367777.640000001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18">
          <cell r="D18">
            <v>151503000</v>
          </cell>
          <cell r="E18">
            <v>0</v>
          </cell>
          <cell r="F18">
            <v>0</v>
          </cell>
          <cell r="G18">
            <v>2292000</v>
          </cell>
          <cell r="H18">
            <v>30243510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FISCALIZACION"/>
      <sheetName val="FIS-1"/>
      <sheetName val="FIS-2"/>
      <sheetName val="FIS-3"/>
      <sheetName val="FIS-4"/>
      <sheetName val="FIS-5"/>
      <sheetName val="FIS-6"/>
      <sheetName val="FIS-7"/>
      <sheetName val="FIS-8"/>
      <sheetName val="FIS-9"/>
      <sheetName val="FIS-10"/>
      <sheetName val="FIS-11"/>
      <sheetName val="FIS-12"/>
      <sheetName val="FIS-13"/>
      <sheetName val="FIS-14"/>
      <sheetName val="FIS-15"/>
      <sheetName val="FIS-16"/>
      <sheetName val="FIS-17"/>
      <sheetName val="FIS-18"/>
      <sheetName val="FIS-19"/>
      <sheetName val="FIS-20"/>
      <sheetName val="FIS-21"/>
      <sheetName val="FIS-22"/>
      <sheetName val="FIS-23"/>
      <sheetName val="FIS-24"/>
      <sheetName val="FIS-25"/>
      <sheetName val="FIS-26"/>
      <sheetName val="FIS-27"/>
      <sheetName val="FIS-28"/>
      <sheetName val="FIS-29"/>
      <sheetName val="FIS-30"/>
      <sheetName val="FIS-31"/>
      <sheetName val="FIS-32"/>
      <sheetName val="FIS-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D4">
            <v>333333333.33333331</v>
          </cell>
        </row>
        <row r="16">
          <cell r="D16">
            <v>4200000000</v>
          </cell>
          <cell r="J16">
            <v>58500000000</v>
          </cell>
          <cell r="AB16">
            <v>290000000</v>
          </cell>
          <cell r="AK16">
            <v>619999999.99999988</v>
          </cell>
          <cell r="AN16">
            <v>170000000.00000003</v>
          </cell>
          <cell r="AQ16">
            <v>130000000.00000001</v>
          </cell>
          <cell r="AW16">
            <v>5699999999.9999981</v>
          </cell>
          <cell r="AZ16">
            <v>170000000.00000003</v>
          </cell>
          <cell r="BC16">
            <v>150000000</v>
          </cell>
          <cell r="BF16">
            <v>13399999999.999998</v>
          </cell>
          <cell r="BI16">
            <v>330000000</v>
          </cell>
          <cell r="BL16">
            <v>50000000.000000007</v>
          </cell>
          <cell r="BR16">
            <v>515000000</v>
          </cell>
          <cell r="BX16">
            <v>6799999999.999999</v>
          </cell>
          <cell r="CA16">
            <v>150000000</v>
          </cell>
          <cell r="CG16">
            <v>80000000</v>
          </cell>
          <cell r="CJ16">
            <v>60000000.000000007</v>
          </cell>
          <cell r="CS16">
            <v>1600000000</v>
          </cell>
          <cell r="CV16">
            <v>31350000000</v>
          </cell>
          <cell r="CY16">
            <v>13699999999.999998</v>
          </cell>
          <cell r="DB16">
            <v>150000000</v>
          </cell>
          <cell r="DE16">
            <v>8500000000.0000019</v>
          </cell>
          <cell r="DH16">
            <v>599999999.99999988</v>
          </cell>
          <cell r="EL16">
            <v>9600000000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FISCALIZACION"/>
      <sheetName val="FIS-1"/>
      <sheetName val="FIS-2"/>
      <sheetName val="FIS-3"/>
      <sheetName val="FIS-4"/>
      <sheetName val="FIS-5"/>
      <sheetName val="FIS-6"/>
      <sheetName val="FIS-7"/>
      <sheetName val="FIS-8"/>
      <sheetName val="FIS-9"/>
      <sheetName val="FIS-10"/>
      <sheetName val="FIS-11"/>
      <sheetName val="FIS-12"/>
      <sheetName val="FIS-13"/>
      <sheetName val="FIS-14"/>
      <sheetName val="FIS-15"/>
      <sheetName val="FIS-16"/>
      <sheetName val="FIS-17"/>
      <sheetName val="FIS-18"/>
      <sheetName val="FIS-19"/>
      <sheetName val="FIS-20"/>
      <sheetName val="FIS-21"/>
      <sheetName val="FIS-22"/>
      <sheetName val="FIS-23"/>
      <sheetName val="FIS-24"/>
      <sheetName val="FIS-25"/>
      <sheetName val="FIS-26"/>
      <sheetName val="FIS-27"/>
      <sheetName val="FIS-28"/>
      <sheetName val="FIS-29"/>
      <sheetName val="FIS-30"/>
      <sheetName val="FIS-31"/>
      <sheetName val="FIS-32"/>
      <sheetName val="FIS-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6">
          <cell r="M16">
            <v>8000000000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UPOS Y PONDERACIONES"/>
      <sheetName val="GRUPOS"/>
      <sheetName val="RESULTADOS MENSUALES METAS 2020"/>
      <sheetName val="INFORME MENSUAL DESDE SEPTIEMBR"/>
    </sheetNames>
    <sheetDataSet>
      <sheetData sheetId="0" refreshError="1"/>
      <sheetData sheetId="1" refreshError="1"/>
      <sheetData sheetId="2" refreshError="1">
        <row r="6">
          <cell r="L6">
            <v>1928958368</v>
          </cell>
          <cell r="Q6">
            <v>213341196</v>
          </cell>
          <cell r="V6">
            <v>114077320</v>
          </cell>
          <cell r="AA6">
            <v>13321000</v>
          </cell>
          <cell r="AK6">
            <v>523856696</v>
          </cell>
          <cell r="AP6">
            <v>448336373</v>
          </cell>
          <cell r="AU6">
            <v>128268394</v>
          </cell>
        </row>
        <row r="7">
          <cell r="L7">
            <v>4282219989</v>
          </cell>
          <cell r="Q7">
            <v>405224711</v>
          </cell>
          <cell r="AK7">
            <v>2666989723</v>
          </cell>
          <cell r="AP7">
            <v>3245241175</v>
          </cell>
          <cell r="AU7">
            <v>528631887</v>
          </cell>
        </row>
        <row r="8">
          <cell r="L8">
            <v>1275989431</v>
          </cell>
          <cell r="Q8">
            <v>150736130</v>
          </cell>
          <cell r="V8">
            <v>4339021293</v>
          </cell>
          <cell r="AK8">
            <v>196468810</v>
          </cell>
          <cell r="AU8">
            <v>2830571149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DGRAE"/>
      <sheetName val="DGRAE1"/>
      <sheetName val="DGRAE2"/>
      <sheetName val="DGRAE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Y4">
            <v>60.293722000000002</v>
          </cell>
        </row>
        <row r="5">
          <cell r="CY5">
            <v>74.450574000000003</v>
          </cell>
        </row>
        <row r="6">
          <cell r="CY6">
            <v>15.448923000000001</v>
          </cell>
        </row>
        <row r="7">
          <cell r="CY7">
            <v>69.579723000000001</v>
          </cell>
        </row>
        <row r="8">
          <cell r="CY8">
            <v>15.141373</v>
          </cell>
        </row>
        <row r="9">
          <cell r="CY9">
            <v>15.164723</v>
          </cell>
        </row>
        <row r="10">
          <cell r="CY10">
            <v>15.340923</v>
          </cell>
        </row>
        <row r="11">
          <cell r="CY11">
            <v>15.164723</v>
          </cell>
        </row>
        <row r="12">
          <cell r="CY12">
            <v>15.448923000000001</v>
          </cell>
        </row>
        <row r="13">
          <cell r="CY13">
            <v>14.750723000000001</v>
          </cell>
        </row>
        <row r="14">
          <cell r="CY14">
            <v>14.344723</v>
          </cell>
        </row>
        <row r="15">
          <cell r="CY15">
            <v>11.407759</v>
          </cell>
        </row>
      </sheetData>
      <sheetData sheetId="6" refreshError="1"/>
      <sheetData sheetId="7" refreshError="1">
        <row r="4"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</v>
          </cell>
        </row>
        <row r="8">
          <cell r="CY8">
            <v>2</v>
          </cell>
        </row>
        <row r="9">
          <cell r="CY9">
            <v>0</v>
          </cell>
        </row>
        <row r="10">
          <cell r="CY10">
            <v>1</v>
          </cell>
        </row>
        <row r="11">
          <cell r="CY11">
            <v>3</v>
          </cell>
        </row>
        <row r="12">
          <cell r="CY12">
            <v>1</v>
          </cell>
        </row>
        <row r="13">
          <cell r="CY13">
            <v>3</v>
          </cell>
        </row>
        <row r="14">
          <cell r="CY14">
            <v>0</v>
          </cell>
        </row>
        <row r="15">
          <cell r="CY1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INGRESOS"/>
      <sheetName val="IN1-1"/>
      <sheetName val="IN1-2"/>
      <sheetName val="IN1-3"/>
      <sheetName val="IN1-4"/>
      <sheetName val="IN1-5"/>
      <sheetName val="IN1-6"/>
      <sheetName val="IN1-6.1"/>
      <sheetName val="IN1-7"/>
      <sheetName val="IN1-8"/>
      <sheetName val="IN1-9"/>
      <sheetName val="IN1-10"/>
      <sheetName val="IN1-11"/>
      <sheetName val="IN1-12"/>
      <sheetName val="IN1-13"/>
      <sheetName val="IN1-14"/>
      <sheetName val="IN1-15"/>
      <sheetName val="IN1-16"/>
      <sheetName val="IN1-17"/>
      <sheetName val="IN1-18"/>
      <sheetName val="IN1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CP4" t="str">
            <v>PENDIENTE</v>
          </cell>
          <cell r="CY4" t="str">
            <v>PENDIENTE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</v>
          </cell>
        </row>
        <row r="8">
          <cell r="CY8">
            <v>0</v>
          </cell>
        </row>
        <row r="9">
          <cell r="CY9">
            <v>0</v>
          </cell>
        </row>
        <row r="10">
          <cell r="CY10">
            <v>0</v>
          </cell>
        </row>
        <row r="11">
          <cell r="CY11">
            <v>0</v>
          </cell>
        </row>
        <row r="12">
          <cell r="CY12">
            <v>0</v>
          </cell>
        </row>
        <row r="13">
          <cell r="CY13">
            <v>0</v>
          </cell>
        </row>
        <row r="14">
          <cell r="CY14">
            <v>0</v>
          </cell>
          <cell r="DE14" t="str">
            <v xml:space="preserve">PENDIENTE </v>
          </cell>
        </row>
        <row r="15">
          <cell r="CY15">
            <v>0</v>
          </cell>
        </row>
      </sheetData>
      <sheetData sheetId="8" refreshError="1"/>
      <sheetData sheetId="9" refreshError="1"/>
      <sheetData sheetId="10" refreshError="1"/>
      <sheetData sheetId="11" refreshError="1">
        <row r="4">
          <cell r="CP4">
            <v>0</v>
          </cell>
          <cell r="CY4">
            <v>0</v>
          </cell>
        </row>
        <row r="5">
          <cell r="CY5">
            <v>0</v>
          </cell>
        </row>
        <row r="6">
          <cell r="CY6">
            <v>0</v>
          </cell>
        </row>
        <row r="7">
          <cell r="CY7">
            <v>0</v>
          </cell>
        </row>
        <row r="8">
          <cell r="CY8">
            <v>0</v>
          </cell>
        </row>
        <row r="9">
          <cell r="CY9">
            <v>0</v>
          </cell>
        </row>
        <row r="10">
          <cell r="CY10">
            <v>0</v>
          </cell>
        </row>
        <row r="11">
          <cell r="CY11">
            <v>0</v>
          </cell>
        </row>
        <row r="12">
          <cell r="CY12">
            <v>0</v>
          </cell>
        </row>
        <row r="13">
          <cell r="CY13">
            <v>0</v>
          </cell>
        </row>
        <row r="14">
          <cell r="CY14">
            <v>0</v>
          </cell>
        </row>
        <row r="15">
          <cell r="CY15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4">
          <cell r="CP4" t="str">
            <v>PENDIENTE</v>
          </cell>
        </row>
        <row r="14">
          <cell r="CV1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Usuarios"/>
      <sheetName val="indicadores"/>
      <sheetName val="Hoja1"/>
      <sheetName val="FISCALIZACION"/>
      <sheetName val="FIS-1"/>
      <sheetName val="FIS-2"/>
      <sheetName val="FIS-3"/>
      <sheetName val="FIS-4"/>
      <sheetName val="FIS-5"/>
      <sheetName val="FIS-6"/>
      <sheetName val="FIS-7"/>
      <sheetName val="FIS-8"/>
      <sheetName val="FIS-9"/>
      <sheetName val="FIS-10"/>
      <sheetName val="FIS-11"/>
      <sheetName val="FIS-12"/>
      <sheetName val="FIS-13"/>
      <sheetName val="FIS-14"/>
      <sheetName val="FIS-15"/>
      <sheetName val="FIS-16"/>
      <sheetName val="FIS-17"/>
      <sheetName val="FIS-18"/>
      <sheetName val="FIS-19"/>
      <sheetName val="FIS-20"/>
      <sheetName val="FIS-21"/>
      <sheetName val="FIS-22"/>
      <sheetName val="FIS-23"/>
      <sheetName val="FIS-24"/>
      <sheetName val="FIS-25"/>
      <sheetName val="FIS-26"/>
      <sheetName val="FIS-27"/>
      <sheetName val="FIS-28"/>
      <sheetName val="FIS-29"/>
      <sheetName val="FIS-30"/>
      <sheetName val="FIS-31"/>
      <sheetName val="FIS-32"/>
      <sheetName val="FIS-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CV4">
            <v>1066666666.6666666</v>
          </cell>
          <cell r="CY4">
            <v>400000000</v>
          </cell>
        </row>
        <row r="5">
          <cell r="CY5">
            <v>400000000</v>
          </cell>
        </row>
        <row r="6">
          <cell r="CY6">
            <v>400000000</v>
          </cell>
        </row>
        <row r="7">
          <cell r="CY7">
            <v>600000000</v>
          </cell>
        </row>
        <row r="8">
          <cell r="CY8">
            <v>600000000</v>
          </cell>
        </row>
        <row r="9">
          <cell r="CY9">
            <v>600000000</v>
          </cell>
        </row>
        <row r="10">
          <cell r="CY10">
            <v>600000000</v>
          </cell>
        </row>
        <row r="11">
          <cell r="CY11">
            <v>600000000</v>
          </cell>
        </row>
        <row r="12">
          <cell r="CY12">
            <v>600000000</v>
          </cell>
        </row>
        <row r="13">
          <cell r="CY13">
            <v>400000000</v>
          </cell>
        </row>
        <row r="14">
          <cell r="CY14">
            <v>400000000</v>
          </cell>
          <cell r="DE14">
            <v>133333333.33333333</v>
          </cell>
        </row>
        <row r="15">
          <cell r="CY15">
            <v>400000000</v>
          </cell>
        </row>
      </sheetData>
      <sheetData sheetId="10" refreshError="1"/>
      <sheetData sheetId="11" refreshError="1">
        <row r="4">
          <cell r="CS4">
            <v>798214</v>
          </cell>
          <cell r="CY4">
            <v>47949641</v>
          </cell>
        </row>
        <row r="5">
          <cell r="CY5">
            <v>47949641</v>
          </cell>
        </row>
        <row r="6">
          <cell r="CY6">
            <v>47949641</v>
          </cell>
        </row>
        <row r="7">
          <cell r="CY7">
            <v>191798564</v>
          </cell>
        </row>
        <row r="8">
          <cell r="CY8">
            <v>191798564</v>
          </cell>
        </row>
        <row r="9">
          <cell r="CY9">
            <v>191798564</v>
          </cell>
        </row>
        <row r="10">
          <cell r="CY10">
            <v>191798564</v>
          </cell>
        </row>
        <row r="11">
          <cell r="CY11">
            <v>191798564</v>
          </cell>
        </row>
        <row r="12">
          <cell r="CY12">
            <v>191798564</v>
          </cell>
        </row>
        <row r="13">
          <cell r="CY13">
            <v>47949641</v>
          </cell>
        </row>
        <row r="14">
          <cell r="CY14">
            <v>47949641</v>
          </cell>
          <cell r="DE14">
            <v>7281429</v>
          </cell>
        </row>
        <row r="15">
          <cell r="CY15">
            <v>47949641</v>
          </cell>
        </row>
      </sheetData>
      <sheetData sheetId="12" refreshError="1">
        <row r="4">
          <cell r="CV4">
            <v>76445293.836598203</v>
          </cell>
          <cell r="CY4">
            <v>23889154.323936936</v>
          </cell>
        </row>
        <row r="5">
          <cell r="CY5">
            <v>23889154.323936936</v>
          </cell>
        </row>
        <row r="6">
          <cell r="CY6">
            <v>23889154.323936936</v>
          </cell>
        </row>
        <row r="7">
          <cell r="CY7">
            <v>35833731.485905394</v>
          </cell>
        </row>
        <row r="8">
          <cell r="CY8">
            <v>35833731.485905394</v>
          </cell>
        </row>
        <row r="9">
          <cell r="CY9">
            <v>35833731.485905394</v>
          </cell>
        </row>
        <row r="10">
          <cell r="CY10">
            <v>35833731.485905394</v>
          </cell>
        </row>
        <row r="11">
          <cell r="CY11">
            <v>35833731.485905394</v>
          </cell>
        </row>
        <row r="12">
          <cell r="CY12">
            <v>35833731.485905394</v>
          </cell>
        </row>
        <row r="13">
          <cell r="CY13">
            <v>23889154.323936936</v>
          </cell>
        </row>
        <row r="14">
          <cell r="CY14">
            <v>23889154.323936936</v>
          </cell>
          <cell r="DE14">
            <v>14333492.59436216</v>
          </cell>
        </row>
        <row r="15">
          <cell r="CY15">
            <v>23889154.323936936</v>
          </cell>
        </row>
      </sheetData>
      <sheetData sheetId="13" refreshError="1">
        <row r="4">
          <cell r="CV4">
            <v>773333333.33333337</v>
          </cell>
          <cell r="CY4">
            <v>293333333.33333331</v>
          </cell>
        </row>
        <row r="5">
          <cell r="CY5">
            <v>293333333.33333331</v>
          </cell>
        </row>
        <row r="6">
          <cell r="CY6">
            <v>293333333.33333331</v>
          </cell>
        </row>
        <row r="7">
          <cell r="CY7">
            <v>440000000</v>
          </cell>
        </row>
        <row r="8">
          <cell r="CY8">
            <v>440000000</v>
          </cell>
        </row>
        <row r="9">
          <cell r="CY9">
            <v>440000000</v>
          </cell>
        </row>
        <row r="10">
          <cell r="CY10">
            <v>440000000</v>
          </cell>
        </row>
        <row r="11">
          <cell r="CY11">
            <v>440000000</v>
          </cell>
        </row>
        <row r="12">
          <cell r="CY12">
            <v>440000000</v>
          </cell>
        </row>
        <row r="13">
          <cell r="CY13">
            <v>293333333.33333331</v>
          </cell>
        </row>
        <row r="14">
          <cell r="CY14">
            <v>293333333.33333331</v>
          </cell>
          <cell r="DE14">
            <v>80000000</v>
          </cell>
        </row>
        <row r="15">
          <cell r="CY15">
            <v>293333333.33333331</v>
          </cell>
        </row>
      </sheetData>
      <sheetData sheetId="14" refreshError="1"/>
      <sheetData sheetId="15" refreshError="1">
        <row r="4">
          <cell r="CS4">
            <v>40000</v>
          </cell>
          <cell r="CY4">
            <v>20000000</v>
          </cell>
        </row>
        <row r="5">
          <cell r="CY5">
            <v>20000000</v>
          </cell>
        </row>
        <row r="6">
          <cell r="CY6">
            <v>20000000</v>
          </cell>
        </row>
        <row r="7">
          <cell r="CY7">
            <v>80000000</v>
          </cell>
        </row>
        <row r="8">
          <cell r="CY8">
            <v>80000000</v>
          </cell>
        </row>
        <row r="9">
          <cell r="CY9">
            <v>80000000</v>
          </cell>
        </row>
        <row r="10">
          <cell r="CY10">
            <v>80000000</v>
          </cell>
        </row>
        <row r="11">
          <cell r="CY11">
            <v>80000000</v>
          </cell>
        </row>
        <row r="12">
          <cell r="CY12">
            <v>80000000</v>
          </cell>
        </row>
        <row r="13">
          <cell r="CY13">
            <v>20000000</v>
          </cell>
        </row>
        <row r="14">
          <cell r="CY14">
            <v>20000000</v>
          </cell>
          <cell r="DE14">
            <v>1000000</v>
          </cell>
        </row>
        <row r="15">
          <cell r="CY15">
            <v>20000000</v>
          </cell>
        </row>
      </sheetData>
      <sheetData sheetId="16" refreshError="1">
        <row r="4">
          <cell r="CS4">
            <v>184000</v>
          </cell>
          <cell r="CY4">
            <v>92000000</v>
          </cell>
        </row>
        <row r="5">
          <cell r="CY5">
            <v>92000000</v>
          </cell>
        </row>
        <row r="6">
          <cell r="CY6">
            <v>92000000</v>
          </cell>
        </row>
        <row r="7">
          <cell r="CY7">
            <v>368000000</v>
          </cell>
        </row>
        <row r="8">
          <cell r="CY8">
            <v>368000000</v>
          </cell>
        </row>
        <row r="9">
          <cell r="CY9">
            <v>368000000</v>
          </cell>
        </row>
        <row r="10">
          <cell r="CY10">
            <v>368000000</v>
          </cell>
        </row>
        <row r="11">
          <cell r="CY11">
            <v>368000000</v>
          </cell>
        </row>
        <row r="12">
          <cell r="CY12">
            <v>368000000</v>
          </cell>
        </row>
        <row r="13">
          <cell r="CY13">
            <v>92000000</v>
          </cell>
        </row>
        <row r="14">
          <cell r="CY14">
            <v>92000000</v>
          </cell>
          <cell r="DE14">
            <v>4600000</v>
          </cell>
        </row>
        <row r="15">
          <cell r="CY15">
            <v>92000000</v>
          </cell>
        </row>
      </sheetData>
      <sheetData sheetId="17" refreshError="1"/>
      <sheetData sheetId="18" refreshError="1">
        <row r="4">
          <cell r="CV4">
            <v>0</v>
          </cell>
        </row>
        <row r="8">
          <cell r="CY8">
            <v>1</v>
          </cell>
        </row>
        <row r="11">
          <cell r="CY11">
            <v>1</v>
          </cell>
        </row>
      </sheetData>
      <sheetData sheetId="19" refreshError="1">
        <row r="4">
          <cell r="CS4">
            <v>0</v>
          </cell>
        </row>
        <row r="8">
          <cell r="CY8">
            <v>25</v>
          </cell>
        </row>
        <row r="13">
          <cell r="CY13">
            <v>25</v>
          </cell>
        </row>
        <row r="14">
          <cell r="DE14">
            <v>0</v>
          </cell>
        </row>
      </sheetData>
      <sheetData sheetId="20" refreshError="1">
        <row r="4">
          <cell r="CS4">
            <v>0</v>
          </cell>
        </row>
        <row r="8">
          <cell r="CY8">
            <v>4</v>
          </cell>
        </row>
        <row r="12">
          <cell r="CY12">
            <v>4</v>
          </cell>
        </row>
        <row r="14">
          <cell r="DE14">
            <v>0</v>
          </cell>
        </row>
      </sheetData>
      <sheetData sheetId="21" refreshError="1"/>
      <sheetData sheetId="22" refreshError="1">
        <row r="4">
          <cell r="CS4">
            <v>1</v>
          </cell>
          <cell r="CY4">
            <v>0.63</v>
          </cell>
        </row>
        <row r="5">
          <cell r="CY5">
            <v>0.63</v>
          </cell>
        </row>
        <row r="6">
          <cell r="CY6">
            <v>0.63</v>
          </cell>
        </row>
        <row r="7">
          <cell r="CY7">
            <v>0.63</v>
          </cell>
        </row>
        <row r="8">
          <cell r="CY8">
            <v>0.63</v>
          </cell>
        </row>
        <row r="9">
          <cell r="CY9">
            <v>0.63</v>
          </cell>
        </row>
        <row r="10">
          <cell r="CY10">
            <v>0.63</v>
          </cell>
        </row>
        <row r="11">
          <cell r="CY11">
            <v>0.63</v>
          </cell>
        </row>
        <row r="12">
          <cell r="CY12">
            <v>0.63</v>
          </cell>
        </row>
        <row r="13">
          <cell r="CY13">
            <v>0.63</v>
          </cell>
        </row>
        <row r="14">
          <cell r="CY14">
            <v>0.63</v>
          </cell>
          <cell r="DE14">
            <v>1</v>
          </cell>
        </row>
        <row r="15">
          <cell r="CY15">
            <v>0.63</v>
          </cell>
        </row>
      </sheetData>
      <sheetData sheetId="23" refreshError="1"/>
      <sheetData sheetId="24" refreshError="1"/>
      <sheetData sheetId="25" refreshError="1">
        <row r="4">
          <cell r="CV4">
            <v>0</v>
          </cell>
        </row>
        <row r="6">
          <cell r="CY6">
            <v>1</v>
          </cell>
        </row>
      </sheetData>
      <sheetData sheetId="26" refreshError="1"/>
      <sheetData sheetId="27" refreshError="1"/>
      <sheetData sheetId="28" refreshError="1">
        <row r="4">
          <cell r="CG4">
            <v>6000000</v>
          </cell>
          <cell r="CY4">
            <v>1133333333.3333333</v>
          </cell>
        </row>
        <row r="5">
          <cell r="CY5">
            <v>1133333333.3333333</v>
          </cell>
        </row>
        <row r="6">
          <cell r="CY6">
            <v>1133333333.3333333</v>
          </cell>
        </row>
        <row r="7">
          <cell r="CY7">
            <v>2247777778</v>
          </cell>
        </row>
        <row r="8">
          <cell r="CY8">
            <v>2247777778</v>
          </cell>
        </row>
        <row r="9">
          <cell r="CY9">
            <v>2247777778</v>
          </cell>
        </row>
        <row r="10">
          <cell r="CY10">
            <v>2247777778</v>
          </cell>
        </row>
        <row r="11">
          <cell r="CY11">
            <v>301044444.23999953</v>
          </cell>
        </row>
        <row r="12">
          <cell r="CY12">
            <v>301044444.23999953</v>
          </cell>
        </row>
        <row r="13">
          <cell r="CY13">
            <v>301044444.23999953</v>
          </cell>
        </row>
        <row r="14">
          <cell r="CY14">
            <v>202877777.63999969</v>
          </cell>
          <cell r="DE14">
            <v>583144444.72000027</v>
          </cell>
        </row>
        <row r="15">
          <cell r="CY15">
            <v>202877777.63999969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CS4">
            <v>4.8666666666666663</v>
          </cell>
        </row>
        <row r="5">
          <cell r="CY5">
            <v>7.7333333333333334</v>
          </cell>
        </row>
        <row r="6">
          <cell r="CY6">
            <v>7.7333333333333334</v>
          </cell>
        </row>
        <row r="7">
          <cell r="CY7">
            <v>11.6</v>
          </cell>
        </row>
        <row r="8">
          <cell r="CY8">
            <v>11.6</v>
          </cell>
        </row>
        <row r="9">
          <cell r="CY9">
            <v>11.6</v>
          </cell>
        </row>
        <row r="10">
          <cell r="CY10">
            <v>11.6</v>
          </cell>
        </row>
        <row r="11">
          <cell r="CY11">
            <v>11.6</v>
          </cell>
        </row>
        <row r="12">
          <cell r="CY12">
            <v>11.6</v>
          </cell>
        </row>
        <row r="13">
          <cell r="CY13">
            <v>7.7333333333333334</v>
          </cell>
        </row>
        <row r="14">
          <cell r="CY14">
            <v>7.7333333333333334</v>
          </cell>
          <cell r="DE14">
            <v>9.1333333333333311</v>
          </cell>
        </row>
        <row r="15">
          <cell r="CY15">
            <v>7.7333333333333334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hyperlink" Target="https://login.microsoftonline.com/fab26e5a-737a-4438-8ccd-8e465ecf21d8/oauth2/authorize?client_id=00000003-0000-0ff1-ce00-000000000000&amp;response_mode=form_post&amp;protectedtoken=true&amp;response_type=code%20id_token&amp;resource=00000003-0000-0ff1-ce00-000000000000&amp;scope=openid&amp;nonce=435966199B92069DFC5F731F7FBD8B59F61145B41B2D761D-90626770B07FFAE2C7E800D1C348A764E0A7DB0425F1EA82CE3935FCE2053B29&amp;redirect_uri=https%3A%2F%2Fdiancolombia.sharepoint.com%2F_forms%2Fdefault.aspx&amp;claims=%7B%22id_token%22%3A%7B%22xms_cc%22%3A%7B%22values%22%3A%5B%22CP1%22%5D%7D%7D%7D&amp;wsucxt=1&amp;cobrandid=11bd8083-87e0-41b5-bb78-0bc43c8a8e8a&amp;client-request-id=b460a89f-0094-b000-b53a-0b2c56395765" TargetMode="External"/><Relationship Id="rId4" Type="http://schemas.openxmlformats.org/officeDocument/2006/relationships/comments" Target="../comments16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0"/>
  <sheetViews>
    <sheetView showGridLines="0" topLeftCell="A35" zoomScaleNormal="100" workbookViewId="0">
      <selection sqref="A1:C59"/>
    </sheetView>
  </sheetViews>
  <sheetFormatPr baseColWidth="10" defaultRowHeight="15"/>
  <cols>
    <col min="1" max="1" width="14.140625" customWidth="1"/>
    <col min="2" max="2" width="72.28515625" customWidth="1"/>
    <col min="3" max="3" width="40.140625" style="2" customWidth="1"/>
    <col min="4" max="4" width="57.42578125" style="3" customWidth="1"/>
  </cols>
  <sheetData>
    <row r="1" spans="1:4" ht="77.25" customHeight="1" thickBot="1">
      <c r="A1" s="1"/>
      <c r="B1" s="2817" t="s">
        <v>13</v>
      </c>
      <c r="C1" s="2817"/>
    </row>
    <row r="2" spans="1:4" ht="17.25" thickTop="1" thickBot="1">
      <c r="A2" s="4" t="s">
        <v>14</v>
      </c>
      <c r="B2" s="4" t="s">
        <v>11</v>
      </c>
      <c r="C2" s="4" t="s">
        <v>12</v>
      </c>
    </row>
    <row r="3" spans="1:4" s="3" customFormat="1" ht="39" customHeight="1" thickTop="1" thickBot="1">
      <c r="A3" s="5"/>
      <c r="B3" s="6" t="s">
        <v>28</v>
      </c>
      <c r="C3" s="5"/>
    </row>
    <row r="4" spans="1:4" ht="16.5" thickTop="1" thickBot="1">
      <c r="A4" s="5">
        <v>1</v>
      </c>
      <c r="B4" s="7" t="s">
        <v>29</v>
      </c>
      <c r="C4" s="73">
        <f>+'IMPUESTOS BARRANQU. '!AZ8</f>
        <v>1.3002401988375847</v>
      </c>
      <c r="D4" s="2783" t="s">
        <v>29</v>
      </c>
    </row>
    <row r="5" spans="1:4" ht="16.5" thickTop="1" thickBot="1">
      <c r="A5" s="5">
        <v>2</v>
      </c>
      <c r="B5" s="7" t="s">
        <v>30</v>
      </c>
      <c r="C5" s="73">
        <f>+'IMPUESTOS BOGOTA '!AY3</f>
        <v>1.371148310619839</v>
      </c>
      <c r="D5" s="2783" t="s">
        <v>30</v>
      </c>
    </row>
    <row r="6" spans="1:4" ht="16.5" thickTop="1" thickBot="1">
      <c r="A6" s="5">
        <v>3</v>
      </c>
      <c r="B6" s="7" t="s">
        <v>31</v>
      </c>
      <c r="C6" s="73">
        <f>+'IMPUESTOS CALI  '!BG4</f>
        <v>1.1978292728002997</v>
      </c>
      <c r="D6" s="2783" t="s">
        <v>31</v>
      </c>
    </row>
    <row r="7" spans="1:4" ht="16.5" thickTop="1" thickBot="1">
      <c r="A7" s="5">
        <v>4</v>
      </c>
      <c r="B7" s="7" t="s">
        <v>67</v>
      </c>
      <c r="C7" s="73">
        <f>+'IMPUESTOS CARTAGENA '!AZ6</f>
        <v>1.1619356745499028</v>
      </c>
      <c r="D7" s="2783" t="s">
        <v>67</v>
      </c>
    </row>
    <row r="8" spans="1:4" ht="16.5" thickTop="1" thickBot="1">
      <c r="A8" s="5">
        <v>5</v>
      </c>
      <c r="B8" s="7" t="s">
        <v>32</v>
      </c>
      <c r="C8" s="73">
        <f>+'IMPUESTOS CUCUTA '!AZ4</f>
        <v>1.0760889348932494</v>
      </c>
      <c r="D8" s="2783" t="s">
        <v>32</v>
      </c>
    </row>
    <row r="9" spans="1:4" ht="16.5" thickTop="1" thickBot="1">
      <c r="A9" s="5">
        <v>6</v>
      </c>
      <c r="B9" s="7" t="s">
        <v>33</v>
      </c>
      <c r="C9" s="73">
        <f>+'IMPUES. MEDELLIN '!AZ8</f>
        <v>1.0282336786811082</v>
      </c>
      <c r="D9" s="2783" t="s">
        <v>33</v>
      </c>
    </row>
    <row r="10" spans="1:4" ht="16.5" thickTop="1" thickBot="1">
      <c r="A10" s="5">
        <v>7</v>
      </c>
      <c r="B10" s="7" t="s">
        <v>487</v>
      </c>
      <c r="C10" s="73">
        <f>+'GRANDES CONTRIBU.  '!AZ7</f>
        <v>1.223757468326707</v>
      </c>
      <c r="D10" s="2783" t="s">
        <v>487</v>
      </c>
    </row>
    <row r="11" spans="1:4" ht="15.75" thickTop="1">
      <c r="A11" s="5"/>
      <c r="B11" s="7"/>
      <c r="C11" s="5"/>
    </row>
    <row r="12" spans="1:4" ht="15.75" thickBot="1">
      <c r="A12" s="5"/>
      <c r="B12" s="6" t="s">
        <v>34</v>
      </c>
      <c r="C12" s="5"/>
    </row>
    <row r="13" spans="1:4" ht="16.5" thickTop="1" thickBot="1">
      <c r="A13" s="5">
        <v>8</v>
      </c>
      <c r="B13" s="7" t="s">
        <v>266</v>
      </c>
      <c r="C13" s="73">
        <f>+'ADUANAS BARRANQUILLA'!AZ7</f>
        <v>1.2520818097401136</v>
      </c>
      <c r="D13" s="2783" t="s">
        <v>266</v>
      </c>
    </row>
    <row r="14" spans="1:4" ht="16.5" thickTop="1" thickBot="1">
      <c r="A14" s="5">
        <v>9</v>
      </c>
      <c r="B14" s="7" t="s">
        <v>35</v>
      </c>
      <c r="C14" s="73">
        <f>+'ADUANAS DE BOGOTA '!AW4</f>
        <v>1.670667943109196</v>
      </c>
      <c r="D14" s="2783" t="s">
        <v>35</v>
      </c>
    </row>
    <row r="15" spans="1:4" ht="16.5" thickTop="1" thickBot="1">
      <c r="A15" s="5">
        <v>10</v>
      </c>
      <c r="B15" s="7" t="s">
        <v>36</v>
      </c>
      <c r="C15" s="73">
        <f>+'ADUANAS CALI '!AZ8</f>
        <v>1.5705607195579334</v>
      </c>
      <c r="D15" s="2783" t="s">
        <v>36</v>
      </c>
    </row>
    <row r="16" spans="1:4" ht="16.5" thickTop="1" thickBot="1">
      <c r="A16" s="5">
        <v>11</v>
      </c>
      <c r="B16" s="7" t="s">
        <v>37</v>
      </c>
      <c r="C16" s="73">
        <f>+'ADUANAS CARTAGENA '!AZ7</f>
        <v>1.3006203778678254</v>
      </c>
      <c r="D16" s="2783" t="s">
        <v>37</v>
      </c>
    </row>
    <row r="17" spans="1:4" ht="16.5" thickTop="1" thickBot="1">
      <c r="A17" s="5">
        <v>12</v>
      </c>
      <c r="B17" s="7" t="s">
        <v>38</v>
      </c>
      <c r="C17" s="73">
        <f>+'ADUANAS CUCUTA '!AZ7</f>
        <v>1.2305189444058939</v>
      </c>
      <c r="D17" s="2783" t="s">
        <v>38</v>
      </c>
    </row>
    <row r="18" spans="1:4" ht="16.5" thickTop="1" thickBot="1">
      <c r="A18" s="5">
        <v>13</v>
      </c>
      <c r="B18" s="7" t="s">
        <v>39</v>
      </c>
      <c r="C18" s="73">
        <f>+'ADUANAS DE MEDELLIN '!AZ8</f>
        <v>1.4907783946457012</v>
      </c>
      <c r="D18" s="2783" t="s">
        <v>39</v>
      </c>
    </row>
    <row r="19" spans="1:4" ht="15.75" thickTop="1">
      <c r="A19" s="5"/>
      <c r="B19" s="7"/>
      <c r="C19" s="5"/>
    </row>
    <row r="20" spans="1:4" ht="15.75" thickBot="1">
      <c r="A20" s="5"/>
      <c r="B20" s="6" t="s">
        <v>40</v>
      </c>
      <c r="C20" s="5"/>
    </row>
    <row r="21" spans="1:4" ht="16.5" thickTop="1" thickBot="1">
      <c r="A21" s="5">
        <v>14</v>
      </c>
      <c r="B21" s="7" t="s">
        <v>41</v>
      </c>
      <c r="C21" s="73">
        <f>+ARAUCA!BA4</f>
        <v>1.3389371302469055</v>
      </c>
      <c r="D21" s="2783" t="s">
        <v>41</v>
      </c>
    </row>
    <row r="22" spans="1:4" ht="16.5" thickTop="1" thickBot="1">
      <c r="A22" s="5">
        <v>15</v>
      </c>
      <c r="B22" s="7" t="s">
        <v>42</v>
      </c>
      <c r="C22" s="73">
        <f>+'ARMENIA '!AZ6</f>
        <v>2.0646831551985123</v>
      </c>
      <c r="D22" s="2783" t="s">
        <v>42</v>
      </c>
    </row>
    <row r="23" spans="1:4" ht="31.5" thickTop="1" thickBot="1">
      <c r="A23" s="5">
        <v>16</v>
      </c>
      <c r="B23" s="7" t="s">
        <v>43</v>
      </c>
      <c r="C23" s="73">
        <f>+'BARRANCABERMEJA '!AY3</f>
        <v>0.99627307386347119</v>
      </c>
      <c r="D23" s="2783" t="s">
        <v>43</v>
      </c>
    </row>
    <row r="24" spans="1:4" ht="16.5" thickTop="1" thickBot="1">
      <c r="A24" s="5">
        <v>17</v>
      </c>
      <c r="B24" s="7" t="s">
        <v>44</v>
      </c>
      <c r="C24" s="73">
        <f>+BUCARAMANGA!AZ5</f>
        <v>1.3456388627906439</v>
      </c>
      <c r="D24" s="2783" t="s">
        <v>44</v>
      </c>
    </row>
    <row r="25" spans="1:4" ht="16.5" thickTop="1" thickBot="1">
      <c r="A25" s="5">
        <v>18</v>
      </c>
      <c r="B25" s="7" t="s">
        <v>636</v>
      </c>
      <c r="C25" s="73">
        <f>+'BUENAVENTURA '!AW4</f>
        <v>1.4361060831340065</v>
      </c>
      <c r="D25" s="2783" t="s">
        <v>636</v>
      </c>
    </row>
    <row r="26" spans="1:4" ht="16.5" thickTop="1" thickBot="1">
      <c r="A26" s="5">
        <v>19</v>
      </c>
      <c r="B26" s="7" t="s">
        <v>45</v>
      </c>
      <c r="C26" s="73">
        <f>+'FLORENCIA '!AZ7</f>
        <v>1.0616033762800161</v>
      </c>
      <c r="D26" s="2783" t="s">
        <v>45</v>
      </c>
    </row>
    <row r="27" spans="1:4" ht="16.5" thickTop="1" thickBot="1">
      <c r="A27" s="5">
        <v>20</v>
      </c>
      <c r="B27" s="7" t="s">
        <v>46</v>
      </c>
      <c r="C27" s="73">
        <f>+'GIRARDOT '!AZ3</f>
        <v>1.1235744161234373</v>
      </c>
      <c r="D27" s="2783" t="s">
        <v>46</v>
      </c>
    </row>
    <row r="28" spans="1:4" ht="16.5" thickTop="1" thickBot="1">
      <c r="A28" s="5">
        <v>21</v>
      </c>
      <c r="B28" s="7" t="s">
        <v>47</v>
      </c>
      <c r="C28" s="73">
        <f>+'IBAGUE '!AW3</f>
        <v>1.2610447833703495</v>
      </c>
      <c r="D28" s="2783" t="s">
        <v>47</v>
      </c>
    </row>
    <row r="29" spans="1:4" ht="16.5" thickTop="1" thickBot="1">
      <c r="A29" s="5">
        <v>22</v>
      </c>
      <c r="B29" s="7" t="s">
        <v>48</v>
      </c>
      <c r="C29" s="73">
        <f>+'IPIALES '!AZ6</f>
        <v>1.5198863270147962</v>
      </c>
      <c r="D29" s="2783" t="s">
        <v>48</v>
      </c>
    </row>
    <row r="30" spans="1:4" ht="16.5" thickTop="1" thickBot="1">
      <c r="A30" s="5">
        <v>23</v>
      </c>
      <c r="B30" s="7" t="s">
        <v>702</v>
      </c>
      <c r="C30" s="73">
        <f>+'LETICIA '!AZ4</f>
        <v>2.8121975235845129</v>
      </c>
      <c r="D30" s="2783" t="s">
        <v>702</v>
      </c>
    </row>
    <row r="31" spans="1:4" ht="16.5" thickTop="1" thickBot="1">
      <c r="A31" s="5">
        <v>24</v>
      </c>
      <c r="B31" s="7" t="s">
        <v>703</v>
      </c>
      <c r="C31" s="73">
        <f>+'MAICAO '!AZ4</f>
        <v>0.71410962517048615</v>
      </c>
      <c r="D31" s="2783" t="s">
        <v>703</v>
      </c>
    </row>
    <row r="32" spans="1:4" ht="16.5" thickTop="1" thickBot="1">
      <c r="A32" s="5">
        <v>25</v>
      </c>
      <c r="B32" s="7" t="s">
        <v>49</v>
      </c>
      <c r="C32" s="73">
        <f>+'MANIZALES '!AY3</f>
        <v>12.732743513901532</v>
      </c>
      <c r="D32" s="2783" t="s">
        <v>49</v>
      </c>
    </row>
    <row r="33" spans="1:4" ht="16.5" thickTop="1" thickBot="1">
      <c r="A33" s="5">
        <v>26</v>
      </c>
      <c r="B33" s="7" t="s">
        <v>50</v>
      </c>
      <c r="C33" s="73">
        <f>+'MONTERIA '!AW4</f>
        <v>1.1267443383102822</v>
      </c>
      <c r="D33" s="2784" t="s">
        <v>50</v>
      </c>
    </row>
    <row r="34" spans="1:4" ht="16.5" thickTop="1" thickBot="1">
      <c r="A34" s="5">
        <v>27</v>
      </c>
      <c r="B34" s="7" t="s">
        <v>51</v>
      </c>
      <c r="C34" s="73">
        <f>+'NEIVA '!AZ3</f>
        <v>1.2415528333601584</v>
      </c>
      <c r="D34" s="2783" t="s">
        <v>51</v>
      </c>
    </row>
    <row r="35" spans="1:4" ht="16.5" thickTop="1" thickBot="1">
      <c r="A35" s="5">
        <v>28</v>
      </c>
      <c r="B35" s="7" t="s">
        <v>52</v>
      </c>
      <c r="C35" s="73">
        <f>+'PALMIRA '!AZ3</f>
        <v>0.97308342529066549</v>
      </c>
      <c r="D35" s="2783" t="s">
        <v>52</v>
      </c>
    </row>
    <row r="36" spans="1:4" ht="16.5" thickTop="1" thickBot="1">
      <c r="A36" s="5">
        <v>29</v>
      </c>
      <c r="B36" s="7" t="s">
        <v>53</v>
      </c>
      <c r="C36" s="73">
        <f>+PASTO!AZ3</f>
        <v>1.335678951218104</v>
      </c>
      <c r="D36" s="2783" t="s">
        <v>53</v>
      </c>
    </row>
    <row r="37" spans="1:4" ht="16.5" thickTop="1" thickBot="1">
      <c r="A37" s="5">
        <v>30</v>
      </c>
      <c r="B37" s="7" t="s">
        <v>54</v>
      </c>
      <c r="C37" s="73">
        <f>+'PEREIRA '!AZ3</f>
        <v>1.17237420411091</v>
      </c>
      <c r="D37" s="2783" t="s">
        <v>54</v>
      </c>
    </row>
    <row r="38" spans="1:4" ht="16.5" thickTop="1" thickBot="1">
      <c r="A38" s="5">
        <v>31</v>
      </c>
      <c r="B38" s="7" t="s">
        <v>55</v>
      </c>
      <c r="C38" s="73">
        <f>+POPAYAN!BA4</f>
        <v>1.1332177506683594</v>
      </c>
      <c r="D38" s="2783" t="s">
        <v>55</v>
      </c>
    </row>
    <row r="39" spans="1:4" ht="16.5" thickTop="1" thickBot="1">
      <c r="A39" s="5">
        <v>32</v>
      </c>
      <c r="B39" s="7" t="s">
        <v>56</v>
      </c>
      <c r="C39" s="73">
        <f>+QUIBDO!AZ4</f>
        <v>1.0220180866903394</v>
      </c>
      <c r="D39" s="2783" t="s">
        <v>56</v>
      </c>
    </row>
    <row r="40" spans="1:4" ht="16.5" thickTop="1" thickBot="1">
      <c r="A40" s="5">
        <v>33</v>
      </c>
      <c r="B40" s="7" t="s">
        <v>57</v>
      </c>
      <c r="C40" s="73">
        <f>+'RIOHACHA '!AZ4</f>
        <v>0.96452485305141133</v>
      </c>
      <c r="D40" s="2783" t="s">
        <v>57</v>
      </c>
    </row>
    <row r="41" spans="1:4" ht="16.5" thickTop="1" thickBot="1">
      <c r="A41" s="5">
        <v>34</v>
      </c>
      <c r="B41" s="7" t="s">
        <v>998</v>
      </c>
      <c r="C41" s="73">
        <f>+'SAN ANDRES '!AZ4</f>
        <v>1.8197731997300794</v>
      </c>
      <c r="D41" s="2783" t="s">
        <v>998</v>
      </c>
    </row>
    <row r="42" spans="1:4" ht="16.5" thickTop="1" thickBot="1">
      <c r="A42" s="5">
        <v>35</v>
      </c>
      <c r="B42" s="7" t="s">
        <v>58</v>
      </c>
      <c r="C42" s="73">
        <f>+'SANTA MARTA'!AZ6</f>
        <v>1.5638055901388141</v>
      </c>
      <c r="D42" s="2783" t="s">
        <v>58</v>
      </c>
    </row>
    <row r="43" spans="1:4" ht="16.5" thickTop="1" thickBot="1">
      <c r="A43" s="5">
        <v>36</v>
      </c>
      <c r="B43" s="7" t="s">
        <v>59</v>
      </c>
      <c r="C43" s="73">
        <f>+SINCELEJO!AZ4</f>
        <v>1.1715475813710292</v>
      </c>
      <c r="D43" s="2783" t="s">
        <v>59</v>
      </c>
    </row>
    <row r="44" spans="1:4" ht="16.5" thickTop="1" thickBot="1">
      <c r="A44" s="5">
        <v>37</v>
      </c>
      <c r="B44" s="7" t="s">
        <v>60</v>
      </c>
      <c r="C44" s="73">
        <f>+SOGAMOSO!AZ3</f>
        <v>1.1690660812069282</v>
      </c>
      <c r="D44" s="2783" t="s">
        <v>60</v>
      </c>
    </row>
    <row r="45" spans="1:4" ht="16.5" thickTop="1" thickBot="1">
      <c r="A45" s="5">
        <v>38</v>
      </c>
      <c r="B45" s="7" t="s">
        <v>61</v>
      </c>
      <c r="C45" s="73">
        <f>+'TULUA '!AZ3</f>
        <v>1.2625969289855765</v>
      </c>
      <c r="D45" s="2783" t="s">
        <v>61</v>
      </c>
    </row>
    <row r="46" spans="1:4" ht="16.5" thickTop="1" thickBot="1">
      <c r="A46" s="5">
        <v>39</v>
      </c>
      <c r="B46" s="7" t="s">
        <v>62</v>
      </c>
      <c r="C46" s="73">
        <f>+TUNJA!AZ4</f>
        <v>1.4923109963328502</v>
      </c>
      <c r="D46" s="2783" t="s">
        <v>62</v>
      </c>
    </row>
    <row r="47" spans="1:4" ht="16.5" thickTop="1" thickBot="1">
      <c r="A47" s="5">
        <v>40</v>
      </c>
      <c r="B47" s="7" t="s">
        <v>63</v>
      </c>
      <c r="C47" s="73">
        <f>+'URABA '!AZ4</f>
        <v>10.741083078946815</v>
      </c>
      <c r="D47" s="2783" t="s">
        <v>63</v>
      </c>
    </row>
    <row r="48" spans="1:4" ht="16.5" thickTop="1" thickBot="1">
      <c r="A48" s="5">
        <v>41</v>
      </c>
      <c r="B48" s="7" t="s">
        <v>64</v>
      </c>
      <c r="C48" s="73">
        <f>+'VALLEDUPAR '!AW3</f>
        <v>1.3312106277067921</v>
      </c>
      <c r="D48" s="2783" t="s">
        <v>64</v>
      </c>
    </row>
    <row r="49" spans="1:4" ht="16.5" thickTop="1" thickBot="1">
      <c r="A49" s="5">
        <v>42</v>
      </c>
      <c r="B49" s="7" t="s">
        <v>66</v>
      </c>
      <c r="C49" s="73">
        <f>+'VILLAVICENCIO '!AZ4</f>
        <v>1.0867888144434001</v>
      </c>
      <c r="D49" s="2784" t="s">
        <v>66</v>
      </c>
    </row>
    <row r="50" spans="1:4" ht="16.5" thickTop="1" thickBot="1">
      <c r="A50" s="5">
        <v>43</v>
      </c>
      <c r="B50" s="7" t="s">
        <v>65</v>
      </c>
      <c r="C50" s="73">
        <f>+YOPAL!AZ4</f>
        <v>1.7321673946365383</v>
      </c>
      <c r="D50" s="2783" t="s">
        <v>65</v>
      </c>
    </row>
    <row r="51" spans="1:4" ht="15.75" thickTop="1"/>
    <row r="52" spans="1:4">
      <c r="A52" s="5"/>
      <c r="B52" s="7"/>
      <c r="C52" s="1045"/>
    </row>
    <row r="53" spans="1:4" ht="15.75" thickBot="1">
      <c r="A53" s="5"/>
      <c r="B53" s="6" t="s">
        <v>68</v>
      </c>
      <c r="C53" s="5"/>
    </row>
    <row r="54" spans="1:4" ht="31.5" thickTop="1" thickBot="1">
      <c r="A54" s="5">
        <v>44</v>
      </c>
      <c r="B54" s="7" t="s">
        <v>1081</v>
      </c>
      <c r="C54" s="73">
        <f>+'PUERTO ASIS '!AZ4</f>
        <v>1.0548405522324436</v>
      </c>
      <c r="D54" s="2785" t="s">
        <v>1081</v>
      </c>
    </row>
    <row r="55" spans="1:4" ht="31.5" thickTop="1" thickBot="1">
      <c r="A55" s="5">
        <v>45</v>
      </c>
      <c r="B55" s="7" t="s">
        <v>1078</v>
      </c>
      <c r="C55" s="73">
        <f>+TUMACO!AZ4</f>
        <v>3.4399968150595237</v>
      </c>
      <c r="D55" s="2783" t="s">
        <v>1078</v>
      </c>
    </row>
    <row r="56" spans="1:4" ht="31.5" thickTop="1" thickBot="1">
      <c r="A56" s="5">
        <v>46</v>
      </c>
      <c r="B56" s="7" t="s">
        <v>1077</v>
      </c>
      <c r="C56" s="73">
        <f>+INIRIDA!AZ4</f>
        <v>0.93945966000000003</v>
      </c>
      <c r="D56" s="2783" t="s">
        <v>1077</v>
      </c>
    </row>
    <row r="57" spans="1:4" ht="16.5" thickTop="1" thickBot="1">
      <c r="A57" s="5">
        <v>47</v>
      </c>
      <c r="B57" s="7" t="s">
        <v>1079</v>
      </c>
      <c r="C57" s="73">
        <f>+'PUERTO CARREÑO '!AZ5</f>
        <v>0.85928684348508644</v>
      </c>
      <c r="D57" s="2808" t="s">
        <v>1079</v>
      </c>
    </row>
    <row r="58" spans="1:4" ht="31.5" thickTop="1" thickBot="1">
      <c r="A58" s="5">
        <v>48</v>
      </c>
      <c r="B58" s="7" t="s">
        <v>1080</v>
      </c>
      <c r="C58" s="73">
        <f>+'SAN JOSE DEL GUAVIARE'!AZ4</f>
        <v>1.6050587172538391</v>
      </c>
      <c r="D58" s="2783" t="s">
        <v>1080</v>
      </c>
    </row>
    <row r="59" spans="1:4" ht="31.5" thickTop="1" thickBot="1">
      <c r="A59" s="5">
        <v>49</v>
      </c>
      <c r="B59" s="7" t="s">
        <v>1082</v>
      </c>
      <c r="C59" s="73">
        <f>+PAMPLONA!AZ4</f>
        <v>1.0215605069399349</v>
      </c>
      <c r="D59" s="2786" t="s">
        <v>1082</v>
      </c>
    </row>
    <row r="60" spans="1:4" ht="15.75" thickTop="1"/>
  </sheetData>
  <sheetProtection algorithmName="SHA-512" hashValue="42fvfa46DAU480lBFtYk4fxZu8MvryaZLFVb1EVy9cLGBpzos8e0OPQiCR7Ie/RDDN+SCtbAhEOMbdw5C1U0DQ==" saltValue="k1lEy3JxMGYIQqjclp1MhQ==" spinCount="100000" sheet="1" objects="1" scenarios="1"/>
  <mergeCells count="1">
    <mergeCell ref="B1:C1"/>
  </mergeCells>
  <conditionalFormatting sqref="C36">
    <cfRule type="cellIs" dxfId="11394" priority="101" operator="greaterThan">
      <formula>110%</formula>
    </cfRule>
    <cfRule type="cellIs" dxfId="11393" priority="102" operator="between">
      <formula>100.001%</formula>
      <formula>110%</formula>
    </cfRule>
    <cfRule type="cellIs" dxfId="11392" priority="103" operator="between">
      <formula>70.001%</formula>
      <formula>100%</formula>
    </cfRule>
    <cfRule type="cellIs" dxfId="11391" priority="104" operator="between">
      <formula>0.00001%</formula>
      <formula>70%</formula>
    </cfRule>
    <cfRule type="cellIs" dxfId="11390" priority="105" operator="equal">
      <formula>0</formula>
    </cfRule>
  </conditionalFormatting>
  <conditionalFormatting sqref="C4">
    <cfRule type="cellIs" dxfId="11389" priority="241" operator="greaterThan">
      <formula>110%</formula>
    </cfRule>
    <cfRule type="cellIs" dxfId="11388" priority="242" operator="between">
      <formula>100.001%</formula>
      <formula>110%</formula>
    </cfRule>
    <cfRule type="cellIs" dxfId="11387" priority="243" operator="between">
      <formula>70.001%</formula>
      <formula>100%</formula>
    </cfRule>
    <cfRule type="cellIs" dxfId="11386" priority="244" operator="between">
      <formula>0.00001%</formula>
      <formula>70%</formula>
    </cfRule>
    <cfRule type="cellIs" dxfId="11385" priority="245" operator="equal">
      <formula>0</formula>
    </cfRule>
  </conditionalFormatting>
  <conditionalFormatting sqref="C5">
    <cfRule type="cellIs" dxfId="11384" priority="236" operator="greaterThan">
      <formula>110%</formula>
    </cfRule>
    <cfRule type="cellIs" dxfId="11383" priority="237" operator="between">
      <formula>100.001%</formula>
      <formula>110%</formula>
    </cfRule>
    <cfRule type="cellIs" dxfId="11382" priority="238" operator="between">
      <formula>70.001%</formula>
      <formula>100%</formula>
    </cfRule>
    <cfRule type="cellIs" dxfId="11381" priority="239" operator="between">
      <formula>0.00001%</formula>
      <formula>70%</formula>
    </cfRule>
    <cfRule type="cellIs" dxfId="11380" priority="240" operator="equal">
      <formula>0</formula>
    </cfRule>
  </conditionalFormatting>
  <conditionalFormatting sqref="C6">
    <cfRule type="cellIs" dxfId="11379" priority="231" operator="greaterThan">
      <formula>110%</formula>
    </cfRule>
    <cfRule type="cellIs" dxfId="11378" priority="232" operator="between">
      <formula>100.001%</formula>
      <formula>110%</formula>
    </cfRule>
    <cfRule type="cellIs" dxfId="11377" priority="233" operator="between">
      <formula>70.001%</formula>
      <formula>100%</formula>
    </cfRule>
    <cfRule type="cellIs" dxfId="11376" priority="234" operator="between">
      <formula>0.00001%</formula>
      <formula>70%</formula>
    </cfRule>
    <cfRule type="cellIs" dxfId="11375" priority="235" operator="equal">
      <formula>0</formula>
    </cfRule>
  </conditionalFormatting>
  <conditionalFormatting sqref="C7">
    <cfRule type="cellIs" dxfId="11374" priority="226" operator="greaterThan">
      <formula>110%</formula>
    </cfRule>
    <cfRule type="cellIs" dxfId="11373" priority="227" operator="between">
      <formula>100.001%</formula>
      <formula>110%</formula>
    </cfRule>
    <cfRule type="cellIs" dxfId="11372" priority="228" operator="between">
      <formula>70.001%</formula>
      <formula>100%</formula>
    </cfRule>
    <cfRule type="cellIs" dxfId="11371" priority="229" operator="between">
      <formula>0.00001%</formula>
      <formula>70%</formula>
    </cfRule>
    <cfRule type="cellIs" dxfId="11370" priority="230" operator="equal">
      <formula>0</formula>
    </cfRule>
  </conditionalFormatting>
  <conditionalFormatting sqref="C8">
    <cfRule type="cellIs" dxfId="11369" priority="221" operator="greaterThan">
      <formula>110%</formula>
    </cfRule>
    <cfRule type="cellIs" dxfId="11368" priority="222" operator="between">
      <formula>100.001%</formula>
      <formula>110%</formula>
    </cfRule>
    <cfRule type="cellIs" dxfId="11367" priority="223" operator="between">
      <formula>70.001%</formula>
      <formula>100%</formula>
    </cfRule>
    <cfRule type="cellIs" dxfId="11366" priority="224" operator="between">
      <formula>0.00001%</formula>
      <formula>70%</formula>
    </cfRule>
    <cfRule type="cellIs" dxfId="11365" priority="225" operator="equal">
      <formula>0</formula>
    </cfRule>
  </conditionalFormatting>
  <conditionalFormatting sqref="C9">
    <cfRule type="cellIs" dxfId="11364" priority="216" operator="greaterThan">
      <formula>110%</formula>
    </cfRule>
    <cfRule type="cellIs" dxfId="11363" priority="217" operator="between">
      <formula>100.001%</formula>
      <formula>110%</formula>
    </cfRule>
    <cfRule type="cellIs" dxfId="11362" priority="218" operator="between">
      <formula>70.001%</formula>
      <formula>100%</formula>
    </cfRule>
    <cfRule type="cellIs" dxfId="11361" priority="219" operator="between">
      <formula>0.00001%</formula>
      <formula>70%</formula>
    </cfRule>
    <cfRule type="cellIs" dxfId="11360" priority="220" operator="equal">
      <formula>0</formula>
    </cfRule>
  </conditionalFormatting>
  <conditionalFormatting sqref="C10">
    <cfRule type="cellIs" dxfId="11359" priority="211" operator="greaterThan">
      <formula>110%</formula>
    </cfRule>
    <cfRule type="cellIs" dxfId="11358" priority="212" operator="between">
      <formula>100.001%</formula>
      <formula>110%</formula>
    </cfRule>
    <cfRule type="cellIs" dxfId="11357" priority="213" operator="between">
      <formula>70.001%</formula>
      <formula>100%</formula>
    </cfRule>
    <cfRule type="cellIs" dxfId="11356" priority="214" operator="between">
      <formula>0.00001%</formula>
      <formula>70%</formula>
    </cfRule>
    <cfRule type="cellIs" dxfId="11355" priority="215" operator="equal">
      <formula>0</formula>
    </cfRule>
  </conditionalFormatting>
  <conditionalFormatting sqref="C13">
    <cfRule type="cellIs" dxfId="11354" priority="206" operator="greaterThan">
      <formula>110%</formula>
    </cfRule>
    <cfRule type="cellIs" dxfId="11353" priority="207" operator="between">
      <formula>100.001%</formula>
      <formula>110%</formula>
    </cfRule>
    <cfRule type="cellIs" dxfId="11352" priority="208" operator="between">
      <formula>70.001%</formula>
      <formula>100%</formula>
    </cfRule>
    <cfRule type="cellIs" dxfId="11351" priority="209" operator="between">
      <formula>0.00001%</formula>
      <formula>70%</formula>
    </cfRule>
    <cfRule type="cellIs" dxfId="11350" priority="210" operator="equal">
      <formula>0</formula>
    </cfRule>
  </conditionalFormatting>
  <conditionalFormatting sqref="C14">
    <cfRule type="cellIs" dxfId="11349" priority="201" operator="greaterThan">
      <formula>110%</formula>
    </cfRule>
    <cfRule type="cellIs" dxfId="11348" priority="202" operator="between">
      <formula>100.001%</formula>
      <formula>110%</formula>
    </cfRule>
    <cfRule type="cellIs" dxfId="11347" priority="203" operator="between">
      <formula>70.001%</formula>
      <formula>100%</formula>
    </cfRule>
    <cfRule type="cellIs" dxfId="11346" priority="204" operator="between">
      <formula>0.00001%</formula>
      <formula>70%</formula>
    </cfRule>
    <cfRule type="cellIs" dxfId="11345" priority="205" operator="equal">
      <formula>0</formula>
    </cfRule>
  </conditionalFormatting>
  <conditionalFormatting sqref="C15">
    <cfRule type="cellIs" dxfId="11344" priority="196" operator="greaterThan">
      <formula>110%</formula>
    </cfRule>
    <cfRule type="cellIs" dxfId="11343" priority="197" operator="between">
      <formula>100.001%</formula>
      <formula>110%</formula>
    </cfRule>
    <cfRule type="cellIs" dxfId="11342" priority="198" operator="between">
      <formula>70.001%</formula>
      <formula>100%</formula>
    </cfRule>
    <cfRule type="cellIs" dxfId="11341" priority="199" operator="between">
      <formula>0.00001%</formula>
      <formula>70%</formula>
    </cfRule>
    <cfRule type="cellIs" dxfId="11340" priority="200" operator="equal">
      <formula>0</formula>
    </cfRule>
  </conditionalFormatting>
  <conditionalFormatting sqref="C16">
    <cfRule type="cellIs" dxfId="11339" priority="191" operator="greaterThan">
      <formula>110%</formula>
    </cfRule>
    <cfRule type="cellIs" dxfId="11338" priority="192" operator="between">
      <formula>100.001%</formula>
      <formula>110%</formula>
    </cfRule>
    <cfRule type="cellIs" dxfId="11337" priority="193" operator="between">
      <formula>70.001%</formula>
      <formula>100%</formula>
    </cfRule>
    <cfRule type="cellIs" dxfId="11336" priority="194" operator="between">
      <formula>0.00001%</formula>
      <formula>70%</formula>
    </cfRule>
    <cfRule type="cellIs" dxfId="11335" priority="195" operator="equal">
      <formula>0</formula>
    </cfRule>
  </conditionalFormatting>
  <conditionalFormatting sqref="C17">
    <cfRule type="cellIs" dxfId="11334" priority="186" operator="greaterThan">
      <formula>110%</formula>
    </cfRule>
    <cfRule type="cellIs" dxfId="11333" priority="187" operator="between">
      <formula>100.001%</formula>
      <formula>110%</formula>
    </cfRule>
    <cfRule type="cellIs" dxfId="11332" priority="188" operator="between">
      <formula>70.001%</formula>
      <formula>100%</formula>
    </cfRule>
    <cfRule type="cellIs" dxfId="11331" priority="189" operator="between">
      <formula>0.00001%</formula>
      <formula>70%</formula>
    </cfRule>
    <cfRule type="cellIs" dxfId="11330" priority="190" operator="equal">
      <formula>0</formula>
    </cfRule>
  </conditionalFormatting>
  <conditionalFormatting sqref="C18">
    <cfRule type="cellIs" dxfId="11329" priority="181" operator="greaterThan">
      <formula>110%</formula>
    </cfRule>
    <cfRule type="cellIs" dxfId="11328" priority="182" operator="between">
      <formula>100.001%</formula>
      <formula>110%</formula>
    </cfRule>
    <cfRule type="cellIs" dxfId="11327" priority="183" operator="between">
      <formula>70.001%</formula>
      <formula>100%</formula>
    </cfRule>
    <cfRule type="cellIs" dxfId="11326" priority="184" operator="between">
      <formula>0.00001%</formula>
      <formula>70%</formula>
    </cfRule>
    <cfRule type="cellIs" dxfId="11325" priority="185" operator="equal">
      <formula>0</formula>
    </cfRule>
  </conditionalFormatting>
  <conditionalFormatting sqref="C21">
    <cfRule type="cellIs" dxfId="11324" priority="176" operator="greaterThan">
      <formula>110%</formula>
    </cfRule>
    <cfRule type="cellIs" dxfId="11323" priority="177" operator="between">
      <formula>100.001%</formula>
      <formula>110%</formula>
    </cfRule>
    <cfRule type="cellIs" dxfId="11322" priority="178" operator="between">
      <formula>70.001%</formula>
      <formula>100%</formula>
    </cfRule>
    <cfRule type="cellIs" dxfId="11321" priority="179" operator="between">
      <formula>0.00001%</formula>
      <formula>70%</formula>
    </cfRule>
    <cfRule type="cellIs" dxfId="11320" priority="180" operator="equal">
      <formula>0</formula>
    </cfRule>
  </conditionalFormatting>
  <conditionalFormatting sqref="C22">
    <cfRule type="cellIs" dxfId="11319" priority="171" operator="greaterThan">
      <formula>110%</formula>
    </cfRule>
    <cfRule type="cellIs" dxfId="11318" priority="172" operator="between">
      <formula>100.001%</formula>
      <formula>110%</formula>
    </cfRule>
    <cfRule type="cellIs" dxfId="11317" priority="173" operator="between">
      <formula>70.001%</formula>
      <formula>100%</formula>
    </cfRule>
    <cfRule type="cellIs" dxfId="11316" priority="174" operator="between">
      <formula>0.00001%</formula>
      <formula>70%</formula>
    </cfRule>
    <cfRule type="cellIs" dxfId="11315" priority="175" operator="equal">
      <formula>0</formula>
    </cfRule>
  </conditionalFormatting>
  <conditionalFormatting sqref="C23">
    <cfRule type="cellIs" dxfId="11314" priority="166" operator="greaterThan">
      <formula>110%</formula>
    </cfRule>
    <cfRule type="cellIs" dxfId="11313" priority="167" operator="between">
      <formula>100.001%</formula>
      <formula>110%</formula>
    </cfRule>
    <cfRule type="cellIs" dxfId="11312" priority="168" operator="between">
      <formula>70.001%</formula>
      <formula>100%</formula>
    </cfRule>
    <cfRule type="cellIs" dxfId="11311" priority="169" operator="between">
      <formula>0.00001%</formula>
      <formula>70%</formula>
    </cfRule>
    <cfRule type="cellIs" dxfId="11310" priority="170" operator="equal">
      <formula>0</formula>
    </cfRule>
  </conditionalFormatting>
  <conditionalFormatting sqref="C24">
    <cfRule type="cellIs" dxfId="11309" priority="161" operator="greaterThan">
      <formula>110%</formula>
    </cfRule>
    <cfRule type="cellIs" dxfId="11308" priority="162" operator="between">
      <formula>100.001%</formula>
      <formula>110%</formula>
    </cfRule>
    <cfRule type="cellIs" dxfId="11307" priority="163" operator="between">
      <formula>70.001%</formula>
      <formula>100%</formula>
    </cfRule>
    <cfRule type="cellIs" dxfId="11306" priority="164" operator="between">
      <formula>0.00001%</formula>
      <formula>70%</formula>
    </cfRule>
    <cfRule type="cellIs" dxfId="11305" priority="165" operator="equal">
      <formula>0</formula>
    </cfRule>
  </conditionalFormatting>
  <conditionalFormatting sqref="C25">
    <cfRule type="cellIs" dxfId="11304" priority="156" operator="greaterThan">
      <formula>110%</formula>
    </cfRule>
    <cfRule type="cellIs" dxfId="11303" priority="157" operator="between">
      <formula>100.001%</formula>
      <formula>110%</formula>
    </cfRule>
    <cfRule type="cellIs" dxfId="11302" priority="158" operator="between">
      <formula>70.001%</formula>
      <formula>100%</formula>
    </cfRule>
    <cfRule type="cellIs" dxfId="11301" priority="159" operator="between">
      <formula>0.00001%</formula>
      <formula>70%</formula>
    </cfRule>
    <cfRule type="cellIs" dxfId="11300" priority="160" operator="equal">
      <formula>0</formula>
    </cfRule>
  </conditionalFormatting>
  <conditionalFormatting sqref="C26">
    <cfRule type="cellIs" dxfId="11299" priority="151" operator="greaterThan">
      <formula>110%</formula>
    </cfRule>
    <cfRule type="cellIs" dxfId="11298" priority="152" operator="between">
      <formula>100.001%</formula>
      <formula>110%</formula>
    </cfRule>
    <cfRule type="cellIs" dxfId="11297" priority="153" operator="between">
      <formula>70.001%</formula>
      <formula>100%</formula>
    </cfRule>
    <cfRule type="cellIs" dxfId="11296" priority="154" operator="between">
      <formula>0.00001%</formula>
      <formula>70%</formula>
    </cfRule>
    <cfRule type="cellIs" dxfId="11295" priority="155" operator="equal">
      <formula>0</formula>
    </cfRule>
  </conditionalFormatting>
  <conditionalFormatting sqref="C27">
    <cfRule type="cellIs" dxfId="11294" priority="146" operator="greaterThan">
      <formula>110%</formula>
    </cfRule>
    <cfRule type="cellIs" dxfId="11293" priority="147" operator="between">
      <formula>100.001%</formula>
      <formula>110%</formula>
    </cfRule>
    <cfRule type="cellIs" dxfId="11292" priority="148" operator="between">
      <formula>70.001%</formula>
      <formula>100%</formula>
    </cfRule>
    <cfRule type="cellIs" dxfId="11291" priority="149" operator="between">
      <formula>0.00001%</formula>
      <formula>70%</formula>
    </cfRule>
    <cfRule type="cellIs" dxfId="11290" priority="150" operator="equal">
      <formula>0</formula>
    </cfRule>
  </conditionalFormatting>
  <conditionalFormatting sqref="C28">
    <cfRule type="cellIs" dxfId="11289" priority="141" operator="greaterThan">
      <formula>110%</formula>
    </cfRule>
    <cfRule type="cellIs" dxfId="11288" priority="142" operator="between">
      <formula>100.001%</formula>
      <formula>110%</formula>
    </cfRule>
    <cfRule type="cellIs" dxfId="11287" priority="143" operator="between">
      <formula>70.001%</formula>
      <formula>100%</formula>
    </cfRule>
    <cfRule type="cellIs" dxfId="11286" priority="144" operator="between">
      <formula>0.00001%</formula>
      <formula>70%</formula>
    </cfRule>
    <cfRule type="cellIs" dxfId="11285" priority="145" operator="equal">
      <formula>0</formula>
    </cfRule>
  </conditionalFormatting>
  <conditionalFormatting sqref="C29">
    <cfRule type="cellIs" dxfId="11284" priority="136" operator="greaterThan">
      <formula>110%</formula>
    </cfRule>
    <cfRule type="cellIs" dxfId="11283" priority="137" operator="between">
      <formula>100.001%</formula>
      <formula>110%</formula>
    </cfRule>
    <cfRule type="cellIs" dxfId="11282" priority="138" operator="between">
      <formula>70.001%</formula>
      <formula>100%</formula>
    </cfRule>
    <cfRule type="cellIs" dxfId="11281" priority="139" operator="between">
      <formula>0.00001%</formula>
      <formula>70%</formula>
    </cfRule>
    <cfRule type="cellIs" dxfId="11280" priority="140" operator="equal">
      <formula>0</formula>
    </cfRule>
  </conditionalFormatting>
  <conditionalFormatting sqref="C30">
    <cfRule type="cellIs" dxfId="11279" priority="131" operator="greaterThan">
      <formula>110%</formula>
    </cfRule>
    <cfRule type="cellIs" dxfId="11278" priority="132" operator="between">
      <formula>100.001%</formula>
      <formula>110%</formula>
    </cfRule>
    <cfRule type="cellIs" dxfId="11277" priority="133" operator="between">
      <formula>70.001%</formula>
      <formula>100%</formula>
    </cfRule>
    <cfRule type="cellIs" dxfId="11276" priority="134" operator="between">
      <formula>0.00001%</formula>
      <formula>70%</formula>
    </cfRule>
    <cfRule type="cellIs" dxfId="11275" priority="135" operator="equal">
      <formula>0</formula>
    </cfRule>
  </conditionalFormatting>
  <conditionalFormatting sqref="C31">
    <cfRule type="cellIs" dxfId="11274" priority="126" operator="greaterThan">
      <formula>110%</formula>
    </cfRule>
    <cfRule type="cellIs" dxfId="11273" priority="127" operator="between">
      <formula>100.001%</formula>
      <formula>110%</formula>
    </cfRule>
    <cfRule type="cellIs" dxfId="11272" priority="128" operator="between">
      <formula>70.001%</formula>
      <formula>100%</formula>
    </cfRule>
    <cfRule type="cellIs" dxfId="11271" priority="129" operator="between">
      <formula>0.00001%</formula>
      <formula>70%</formula>
    </cfRule>
    <cfRule type="cellIs" dxfId="11270" priority="130" operator="equal">
      <formula>0</formula>
    </cfRule>
  </conditionalFormatting>
  <conditionalFormatting sqref="C32">
    <cfRule type="cellIs" dxfId="11269" priority="121" operator="greaterThan">
      <formula>110%</formula>
    </cfRule>
    <cfRule type="cellIs" dxfId="11268" priority="122" operator="between">
      <formula>100.001%</formula>
      <formula>110%</formula>
    </cfRule>
    <cfRule type="cellIs" dxfId="11267" priority="123" operator="between">
      <formula>70.001%</formula>
      <formula>100%</formula>
    </cfRule>
    <cfRule type="cellIs" dxfId="11266" priority="124" operator="between">
      <formula>0.00001%</formula>
      <formula>70%</formula>
    </cfRule>
    <cfRule type="cellIs" dxfId="11265" priority="125" operator="equal">
      <formula>0</formula>
    </cfRule>
  </conditionalFormatting>
  <conditionalFormatting sqref="C33">
    <cfRule type="cellIs" dxfId="11264" priority="116" operator="greaterThan">
      <formula>110%</formula>
    </cfRule>
    <cfRule type="cellIs" dxfId="11263" priority="117" operator="between">
      <formula>100.001%</formula>
      <formula>110%</formula>
    </cfRule>
    <cfRule type="cellIs" dxfId="11262" priority="118" operator="between">
      <formula>70.001%</formula>
      <formula>100%</formula>
    </cfRule>
    <cfRule type="cellIs" dxfId="11261" priority="119" operator="between">
      <formula>0.00001%</formula>
      <formula>70%</formula>
    </cfRule>
    <cfRule type="cellIs" dxfId="11260" priority="120" operator="equal">
      <formula>0</formula>
    </cfRule>
  </conditionalFormatting>
  <conditionalFormatting sqref="C34">
    <cfRule type="cellIs" dxfId="11259" priority="111" operator="greaterThan">
      <formula>110%</formula>
    </cfRule>
    <cfRule type="cellIs" dxfId="11258" priority="112" operator="between">
      <formula>100.001%</formula>
      <formula>110%</formula>
    </cfRule>
    <cfRule type="cellIs" dxfId="11257" priority="113" operator="between">
      <formula>70.001%</formula>
      <formula>100%</formula>
    </cfRule>
    <cfRule type="cellIs" dxfId="11256" priority="114" operator="between">
      <formula>0.00001%</formula>
      <formula>70%</formula>
    </cfRule>
    <cfRule type="cellIs" dxfId="11255" priority="115" operator="equal">
      <formula>0</formula>
    </cfRule>
  </conditionalFormatting>
  <conditionalFormatting sqref="C35">
    <cfRule type="cellIs" dxfId="11254" priority="106" operator="greaterThan">
      <formula>110%</formula>
    </cfRule>
    <cfRule type="cellIs" dxfId="11253" priority="107" operator="between">
      <formula>100.001%</formula>
      <formula>110%</formula>
    </cfRule>
    <cfRule type="cellIs" dxfId="11252" priority="108" operator="between">
      <formula>70.001%</formula>
      <formula>100%</formula>
    </cfRule>
    <cfRule type="cellIs" dxfId="11251" priority="109" operator="between">
      <formula>0.00001%</formula>
      <formula>70%</formula>
    </cfRule>
    <cfRule type="cellIs" dxfId="11250" priority="110" operator="equal">
      <formula>0</formula>
    </cfRule>
  </conditionalFormatting>
  <conditionalFormatting sqref="C37">
    <cfRule type="cellIs" dxfId="11249" priority="96" operator="greaterThan">
      <formula>110%</formula>
    </cfRule>
    <cfRule type="cellIs" dxfId="11248" priority="97" operator="between">
      <formula>100.001%</formula>
      <formula>110%</formula>
    </cfRule>
    <cfRule type="cellIs" dxfId="11247" priority="98" operator="between">
      <formula>70.001%</formula>
      <formula>100%</formula>
    </cfRule>
    <cfRule type="cellIs" dxfId="11246" priority="99" operator="between">
      <formula>0.00001%</formula>
      <formula>70%</formula>
    </cfRule>
    <cfRule type="cellIs" dxfId="11245" priority="100" operator="equal">
      <formula>0</formula>
    </cfRule>
  </conditionalFormatting>
  <conditionalFormatting sqref="C38">
    <cfRule type="cellIs" dxfId="11244" priority="91" operator="greaterThan">
      <formula>110%</formula>
    </cfRule>
    <cfRule type="cellIs" dxfId="11243" priority="92" operator="between">
      <formula>100.001%</formula>
      <formula>110%</formula>
    </cfRule>
    <cfRule type="cellIs" dxfId="11242" priority="93" operator="between">
      <formula>70.001%</formula>
      <formula>100%</formula>
    </cfRule>
    <cfRule type="cellIs" dxfId="11241" priority="94" operator="between">
      <formula>0.00001%</formula>
      <formula>70%</formula>
    </cfRule>
    <cfRule type="cellIs" dxfId="11240" priority="95" operator="equal">
      <formula>0</formula>
    </cfRule>
  </conditionalFormatting>
  <conditionalFormatting sqref="C39">
    <cfRule type="cellIs" dxfId="11239" priority="86" operator="greaterThan">
      <formula>110%</formula>
    </cfRule>
    <cfRule type="cellIs" dxfId="11238" priority="87" operator="between">
      <formula>100.001%</formula>
      <formula>110%</formula>
    </cfRule>
    <cfRule type="cellIs" dxfId="11237" priority="88" operator="between">
      <formula>70.001%</formula>
      <formula>100%</formula>
    </cfRule>
    <cfRule type="cellIs" dxfId="11236" priority="89" operator="between">
      <formula>0.00001%</formula>
      <formula>70%</formula>
    </cfRule>
    <cfRule type="cellIs" dxfId="11235" priority="90" operator="equal">
      <formula>0</formula>
    </cfRule>
  </conditionalFormatting>
  <conditionalFormatting sqref="C40">
    <cfRule type="cellIs" dxfId="11234" priority="81" operator="greaterThan">
      <formula>110%</formula>
    </cfRule>
    <cfRule type="cellIs" dxfId="11233" priority="82" operator="between">
      <formula>100.001%</formula>
      <formula>110%</formula>
    </cfRule>
    <cfRule type="cellIs" dxfId="11232" priority="83" operator="between">
      <formula>70.001%</formula>
      <formula>100%</formula>
    </cfRule>
    <cfRule type="cellIs" dxfId="11231" priority="84" operator="between">
      <formula>0.00001%</formula>
      <formula>70%</formula>
    </cfRule>
    <cfRule type="cellIs" dxfId="11230" priority="85" operator="equal">
      <formula>0</formula>
    </cfRule>
  </conditionalFormatting>
  <conditionalFormatting sqref="C41">
    <cfRule type="cellIs" dxfId="11229" priority="76" operator="greaterThan">
      <formula>110%</formula>
    </cfRule>
    <cfRule type="cellIs" dxfId="11228" priority="77" operator="between">
      <formula>100.001%</formula>
      <formula>110%</formula>
    </cfRule>
    <cfRule type="cellIs" dxfId="11227" priority="78" operator="between">
      <formula>70.001%</formula>
      <formula>100%</formula>
    </cfRule>
    <cfRule type="cellIs" dxfId="11226" priority="79" operator="between">
      <formula>0.00001%</formula>
      <formula>70%</formula>
    </cfRule>
    <cfRule type="cellIs" dxfId="11225" priority="80" operator="equal">
      <formula>0</formula>
    </cfRule>
  </conditionalFormatting>
  <conditionalFormatting sqref="C42">
    <cfRule type="cellIs" dxfId="11224" priority="71" operator="greaterThan">
      <formula>110%</formula>
    </cfRule>
    <cfRule type="cellIs" dxfId="11223" priority="72" operator="between">
      <formula>100.001%</formula>
      <formula>110%</formula>
    </cfRule>
    <cfRule type="cellIs" dxfId="11222" priority="73" operator="between">
      <formula>70.001%</formula>
      <formula>100%</formula>
    </cfRule>
    <cfRule type="cellIs" dxfId="11221" priority="74" operator="between">
      <formula>0.00001%</formula>
      <formula>70%</formula>
    </cfRule>
    <cfRule type="cellIs" dxfId="11220" priority="75" operator="equal">
      <formula>0</formula>
    </cfRule>
  </conditionalFormatting>
  <conditionalFormatting sqref="C43">
    <cfRule type="cellIs" dxfId="11219" priority="66" operator="greaterThan">
      <formula>110%</formula>
    </cfRule>
    <cfRule type="cellIs" dxfId="11218" priority="67" operator="between">
      <formula>100.001%</formula>
      <formula>110%</formula>
    </cfRule>
    <cfRule type="cellIs" dxfId="11217" priority="68" operator="between">
      <formula>70.001%</formula>
      <formula>100%</formula>
    </cfRule>
    <cfRule type="cellIs" dxfId="11216" priority="69" operator="between">
      <formula>0.00001%</formula>
      <formula>70%</formula>
    </cfRule>
    <cfRule type="cellIs" dxfId="11215" priority="70" operator="equal">
      <formula>0</formula>
    </cfRule>
  </conditionalFormatting>
  <conditionalFormatting sqref="C44">
    <cfRule type="cellIs" dxfId="11214" priority="61" operator="greaterThan">
      <formula>110%</formula>
    </cfRule>
    <cfRule type="cellIs" dxfId="11213" priority="62" operator="between">
      <formula>100.001%</formula>
      <formula>110%</formula>
    </cfRule>
    <cfRule type="cellIs" dxfId="11212" priority="63" operator="between">
      <formula>70.001%</formula>
      <formula>100%</formula>
    </cfRule>
    <cfRule type="cellIs" dxfId="11211" priority="64" operator="between">
      <formula>0.00001%</formula>
      <formula>70%</formula>
    </cfRule>
    <cfRule type="cellIs" dxfId="11210" priority="65" operator="equal">
      <formula>0</formula>
    </cfRule>
  </conditionalFormatting>
  <conditionalFormatting sqref="C45">
    <cfRule type="cellIs" dxfId="11209" priority="56" operator="greaterThan">
      <formula>110%</formula>
    </cfRule>
    <cfRule type="cellIs" dxfId="11208" priority="57" operator="between">
      <formula>100.001%</formula>
      <formula>110%</formula>
    </cfRule>
    <cfRule type="cellIs" dxfId="11207" priority="58" operator="between">
      <formula>70.001%</formula>
      <formula>100%</formula>
    </cfRule>
    <cfRule type="cellIs" dxfId="11206" priority="59" operator="between">
      <formula>0.00001%</formula>
      <formula>70%</formula>
    </cfRule>
    <cfRule type="cellIs" dxfId="11205" priority="60" operator="equal">
      <formula>0</formula>
    </cfRule>
  </conditionalFormatting>
  <conditionalFormatting sqref="C46">
    <cfRule type="cellIs" dxfId="11204" priority="51" operator="greaterThan">
      <formula>110%</formula>
    </cfRule>
    <cfRule type="cellIs" dxfId="11203" priority="52" operator="between">
      <formula>100.001%</formula>
      <formula>110%</formula>
    </cfRule>
    <cfRule type="cellIs" dxfId="11202" priority="53" operator="between">
      <formula>70.001%</formula>
      <formula>100%</formula>
    </cfRule>
    <cfRule type="cellIs" dxfId="11201" priority="54" operator="between">
      <formula>0.00001%</formula>
      <formula>70%</formula>
    </cfRule>
    <cfRule type="cellIs" dxfId="11200" priority="55" operator="equal">
      <formula>0</formula>
    </cfRule>
  </conditionalFormatting>
  <conditionalFormatting sqref="C47">
    <cfRule type="cellIs" dxfId="11199" priority="46" operator="greaterThan">
      <formula>110%</formula>
    </cfRule>
    <cfRule type="cellIs" dxfId="11198" priority="47" operator="between">
      <formula>100.001%</formula>
      <formula>110%</formula>
    </cfRule>
    <cfRule type="cellIs" dxfId="11197" priority="48" operator="between">
      <formula>70.001%</formula>
      <formula>100%</formula>
    </cfRule>
    <cfRule type="cellIs" dxfId="11196" priority="49" operator="between">
      <formula>0.00001%</formula>
      <formula>70%</formula>
    </cfRule>
    <cfRule type="cellIs" dxfId="11195" priority="50" operator="equal">
      <formula>0</formula>
    </cfRule>
  </conditionalFormatting>
  <conditionalFormatting sqref="C48">
    <cfRule type="cellIs" dxfId="11194" priority="41" operator="greaterThan">
      <formula>110%</formula>
    </cfRule>
    <cfRule type="cellIs" dxfId="11193" priority="42" operator="between">
      <formula>100.001%</formula>
      <formula>110%</formula>
    </cfRule>
    <cfRule type="cellIs" dxfId="11192" priority="43" operator="between">
      <formula>70.001%</formula>
      <formula>100%</formula>
    </cfRule>
    <cfRule type="cellIs" dxfId="11191" priority="44" operator="between">
      <formula>0.00001%</formula>
      <formula>70%</formula>
    </cfRule>
    <cfRule type="cellIs" dxfId="11190" priority="45" operator="equal">
      <formula>0</formula>
    </cfRule>
  </conditionalFormatting>
  <conditionalFormatting sqref="C49">
    <cfRule type="cellIs" dxfId="11189" priority="36" operator="greaterThan">
      <formula>110%</formula>
    </cfRule>
    <cfRule type="cellIs" dxfId="11188" priority="37" operator="between">
      <formula>100.001%</formula>
      <formula>110%</formula>
    </cfRule>
    <cfRule type="cellIs" dxfId="11187" priority="38" operator="between">
      <formula>70.001%</formula>
      <formula>100%</formula>
    </cfRule>
    <cfRule type="cellIs" dxfId="11186" priority="39" operator="between">
      <formula>0.00001%</formula>
      <formula>70%</formula>
    </cfRule>
    <cfRule type="cellIs" dxfId="11185" priority="40" operator="equal">
      <formula>0</formula>
    </cfRule>
  </conditionalFormatting>
  <conditionalFormatting sqref="C50">
    <cfRule type="cellIs" dxfId="11184" priority="31" operator="greaterThan">
      <formula>110%</formula>
    </cfRule>
    <cfRule type="cellIs" dxfId="11183" priority="32" operator="between">
      <formula>100.001%</formula>
      <formula>110%</formula>
    </cfRule>
    <cfRule type="cellIs" dxfId="11182" priority="33" operator="between">
      <formula>70.001%</formula>
      <formula>100%</formula>
    </cfRule>
    <cfRule type="cellIs" dxfId="11181" priority="34" operator="between">
      <formula>0.00001%</formula>
      <formula>70%</formula>
    </cfRule>
    <cfRule type="cellIs" dxfId="11180" priority="35" operator="equal">
      <formula>0</formula>
    </cfRule>
  </conditionalFormatting>
  <conditionalFormatting sqref="C54">
    <cfRule type="cellIs" dxfId="11179" priority="26" operator="greaterThan">
      <formula>110%</formula>
    </cfRule>
    <cfRule type="cellIs" dxfId="11178" priority="27" operator="between">
      <formula>100.001%</formula>
      <formula>110%</formula>
    </cfRule>
    <cfRule type="cellIs" dxfId="11177" priority="28" operator="between">
      <formula>70.001%</formula>
      <formula>100%</formula>
    </cfRule>
    <cfRule type="cellIs" dxfId="11176" priority="29" operator="between">
      <formula>0.00001%</formula>
      <formula>70%</formula>
    </cfRule>
    <cfRule type="cellIs" dxfId="11175" priority="30" operator="equal">
      <formula>0</formula>
    </cfRule>
  </conditionalFormatting>
  <conditionalFormatting sqref="C55">
    <cfRule type="cellIs" dxfId="11174" priority="21" operator="greaterThan">
      <formula>110%</formula>
    </cfRule>
    <cfRule type="cellIs" dxfId="11173" priority="22" operator="between">
      <formula>100.001%</formula>
      <formula>110%</formula>
    </cfRule>
    <cfRule type="cellIs" dxfId="11172" priority="23" operator="between">
      <formula>70.001%</formula>
      <formula>100%</formula>
    </cfRule>
    <cfRule type="cellIs" dxfId="11171" priority="24" operator="between">
      <formula>0.00001%</formula>
      <formula>70%</formula>
    </cfRule>
    <cfRule type="cellIs" dxfId="11170" priority="25" operator="equal">
      <formula>0</formula>
    </cfRule>
  </conditionalFormatting>
  <conditionalFormatting sqref="C56">
    <cfRule type="cellIs" dxfId="11169" priority="16" operator="greaterThan">
      <formula>110%</formula>
    </cfRule>
    <cfRule type="cellIs" dxfId="11168" priority="17" operator="between">
      <formula>100.001%</formula>
      <formula>110%</formula>
    </cfRule>
    <cfRule type="cellIs" dxfId="11167" priority="18" operator="between">
      <formula>70.001%</formula>
      <formula>100%</formula>
    </cfRule>
    <cfRule type="cellIs" dxfId="11166" priority="19" operator="between">
      <formula>0.00001%</formula>
      <formula>70%</formula>
    </cfRule>
    <cfRule type="cellIs" dxfId="11165" priority="20" operator="equal">
      <formula>0</formula>
    </cfRule>
  </conditionalFormatting>
  <conditionalFormatting sqref="C57">
    <cfRule type="cellIs" dxfId="11164" priority="11" operator="greaterThan">
      <formula>110%</formula>
    </cfRule>
    <cfRule type="cellIs" dxfId="11163" priority="12" operator="between">
      <formula>100.001%</formula>
      <formula>110%</formula>
    </cfRule>
    <cfRule type="cellIs" dxfId="11162" priority="13" operator="between">
      <formula>70.001%</formula>
      <formula>100%</formula>
    </cfRule>
    <cfRule type="cellIs" dxfId="11161" priority="14" operator="between">
      <formula>0.00001%</formula>
      <formula>70%</formula>
    </cfRule>
    <cfRule type="cellIs" dxfId="11160" priority="15" operator="equal">
      <formula>0</formula>
    </cfRule>
  </conditionalFormatting>
  <conditionalFormatting sqref="C58">
    <cfRule type="cellIs" dxfId="11159" priority="6" operator="greaterThan">
      <formula>110%</formula>
    </cfRule>
    <cfRule type="cellIs" dxfId="11158" priority="7" operator="between">
      <formula>100.001%</formula>
      <formula>110%</formula>
    </cfRule>
    <cfRule type="cellIs" dxfId="11157" priority="8" operator="between">
      <formula>70.001%</formula>
      <formula>100%</formula>
    </cfRule>
    <cfRule type="cellIs" dxfId="11156" priority="9" operator="between">
      <formula>0.00001%</formula>
      <formula>70%</formula>
    </cfRule>
    <cfRule type="cellIs" dxfId="11155" priority="10" operator="equal">
      <formula>0</formula>
    </cfRule>
  </conditionalFormatting>
  <conditionalFormatting sqref="C59">
    <cfRule type="cellIs" dxfId="11154" priority="1" operator="greaterThan">
      <formula>110%</formula>
    </cfRule>
    <cfRule type="cellIs" dxfId="11153" priority="2" operator="between">
      <formula>100.001%</formula>
      <formula>110%</formula>
    </cfRule>
    <cfRule type="cellIs" dxfId="11152" priority="3" operator="between">
      <formula>70.001%</formula>
      <formula>100%</formula>
    </cfRule>
    <cfRule type="cellIs" dxfId="11151" priority="4" operator="between">
      <formula>0.00001%</formula>
      <formula>70%</formula>
    </cfRule>
    <cfRule type="cellIs" dxfId="11150" priority="5" operator="equal">
      <formula>0</formula>
    </cfRule>
  </conditionalFormatting>
  <hyperlinks>
    <hyperlink ref="D4" location="'IMPUESTOS BARRANQU. '!A1" display="Dirección Seccional de Impuestos de Barranquilla. " xr:uid="{00000000-0004-0000-0000-000000000000}"/>
    <hyperlink ref="D5" location="'IMPUESTOS BOGOTA '!A1" display="Dirección Seccional de Impuestos de Bogotá." xr:uid="{00000000-0004-0000-0000-000001000000}"/>
    <hyperlink ref="D6" location="'IMPUESTOS CALI  '!A1" display="Dirección Seccional de Impuestos de Cali." xr:uid="{00000000-0004-0000-0000-000002000000}"/>
    <hyperlink ref="D7" location="'IMPUESTOS CARTAGENA '!A1" display="Dirección Seccional de Impuestos de Cartagena." xr:uid="{00000000-0004-0000-0000-000003000000}"/>
    <hyperlink ref="D8" location="'IMPUESTOS CUCUTA '!A1" display="Dirección Seccional de Impuestos de Cúcuta." xr:uid="{00000000-0004-0000-0000-000004000000}"/>
    <hyperlink ref="D9" location="'IMPUES. MEDELLIN '!A1" display="Dirección Seccional de lmpuestos de Medellín." xr:uid="{00000000-0004-0000-0000-000005000000}"/>
    <hyperlink ref="D13" location="'ADUANAS BARRANQUILLA'!A1" display="Dirección Seccional de Aduanas de Barranquilla. " xr:uid="{00000000-0004-0000-0000-000006000000}"/>
    <hyperlink ref="D14" location="'ADUANAS DE BOGOTA '!A1" display="Dirección Seccional de Aduanas de Bogotá." xr:uid="{00000000-0004-0000-0000-000007000000}"/>
    <hyperlink ref="D15" location="'ADUANAS CALI '!A1" display="Dirección Seccional de Aduanas de Cali." xr:uid="{00000000-0004-0000-0000-000008000000}"/>
    <hyperlink ref="D16" location="'ADUANAS CARTAGENA '!A1" display="Dirección Seccional de Aduanas de Cartagena." xr:uid="{00000000-0004-0000-0000-000009000000}"/>
    <hyperlink ref="D17" location="'ADUANAS CUCUTA '!A1" display="Dirección Seccional de Aduanas de Cúcuta." xr:uid="{00000000-0004-0000-0000-00000A000000}"/>
    <hyperlink ref="D18" location="'ADUANAS DE MEDELLIN '!A1" display="Dirección Seccional de Aduanas de Medellín." xr:uid="{00000000-0004-0000-0000-00000B000000}"/>
    <hyperlink ref="D10" location="'GRANDES CONTRIBU.  '!A1" display="Dirección Seccional de Impuestos de Grandes Contribuyentes" xr:uid="{00000000-0004-0000-0000-00000C000000}"/>
    <hyperlink ref="D21" location="ARAUCA!A1" display="Dirección Seccional de Impuestos y Aduanas de Arauca." xr:uid="{00000000-0004-0000-0000-00000D000000}"/>
    <hyperlink ref="D22" location="'ARMENIA '!A1" display="Dirección Seccional de Impuestos y Aduanas de Armenia." xr:uid="{00000000-0004-0000-0000-00000E000000}"/>
    <hyperlink ref="D23" location="'BARRANCABERMEJA '!A1" display="Dirección Seccional de Impuestos y Aduanas de Barrancabermeja." xr:uid="{00000000-0004-0000-0000-00000F000000}"/>
    <hyperlink ref="D24" location="Hoja21!A1" display="Dirección Seccional de Impuestos y Aduanas de Bucaramanga." xr:uid="{00000000-0004-0000-0000-000010000000}"/>
    <hyperlink ref="D25" location="'BUENAVENTURA '!A1" display="Dirección Seccional de Impuestos y Aduanas de Buenaventura." xr:uid="{00000000-0004-0000-0000-000011000000}"/>
    <hyperlink ref="D26" location="'FLORENCIA '!A1" display="Dirección Seccional de Impuestos y Aduanas de Florencia." xr:uid="{00000000-0004-0000-0000-000012000000}"/>
    <hyperlink ref="D27" location="'GIRARDOT '!A1" display="Dirección Seccional de Impuestos y Aduanas de Girardot. " xr:uid="{00000000-0004-0000-0000-000013000000}"/>
    <hyperlink ref="D28" location="'IBAGUE '!A1" display="Dirección Seccional de Impuestos y Aduanas de Ibagué." xr:uid="{00000000-0004-0000-0000-000014000000}"/>
    <hyperlink ref="D29" location="'IPIALES '!A1" display="Dirección Seccional de Impuestos y Aduanas de Ipiales." xr:uid="{00000000-0004-0000-0000-000015000000}"/>
    <hyperlink ref="D30" location="'LETICIA '!A1" display="Dirección Seccional de Impuestos y Aduanas de Leticia." xr:uid="{00000000-0004-0000-0000-000016000000}"/>
    <hyperlink ref="D31" location="'MAICAO '!A1" display="Dirección Seccional de Impuestos y Aduanas de Maicao." xr:uid="{00000000-0004-0000-0000-000017000000}"/>
    <hyperlink ref="D32" location="'MANIZALES '!A1" display="Dirección Seccional de Impuestos y Aduanas de Manizales." xr:uid="{00000000-0004-0000-0000-000018000000}"/>
    <hyperlink ref="D33" location="'MONTERIA '!A1" display="Dirección Seccional de Impuestos y Aduanas de Montería" xr:uid="{00000000-0004-0000-0000-000019000000}"/>
    <hyperlink ref="D34" location="'NEIVA '!A1" display="Dirección Seccional de Impuestos y Aduanas de Neiva." xr:uid="{00000000-0004-0000-0000-00001A000000}"/>
    <hyperlink ref="D35" location="'PALMIRA '!A1" display="Dirección Seccional de Impuestos y Aduanas de Palmira." xr:uid="{00000000-0004-0000-0000-00001B000000}"/>
    <hyperlink ref="D36" location="PASTO!A1" display="Dirección Seccional de Impuestos y Aduanas de Pasto." xr:uid="{00000000-0004-0000-0000-00001C000000}"/>
    <hyperlink ref="D37" location="'PEREIRA '!A1" display="Dirección Seccional deJmpuestos y Aduanas de Pereira." xr:uid="{00000000-0004-0000-0000-00001D000000}"/>
    <hyperlink ref="D38" location="POPAYAN!A1" display="Dirección Seccional de Impuestos y Aduanas de Popayán." xr:uid="{00000000-0004-0000-0000-00001E000000}"/>
    <hyperlink ref="D39" location="QUIBDO!A1" display="Dirección Seccional de Impuestos y Aduanas de Quibdó." xr:uid="{00000000-0004-0000-0000-00001F000000}"/>
    <hyperlink ref="D40" location="'RIOHACHA '!A1" display="Dirección Seccional de Impuestos y Aduanas de Riohacha." xr:uid="{00000000-0004-0000-0000-000020000000}"/>
    <hyperlink ref="D41" location="'SAN ANDRES '!A1" display="Dirección Seccional de Impuestos y Aduanas de San Andrés." xr:uid="{00000000-0004-0000-0000-000021000000}"/>
    <hyperlink ref="D42" location="'SANTA MARTA'!A1" display="Dirección Seccional de Impuestos y Aduanas de Santa Marta." xr:uid="{00000000-0004-0000-0000-000022000000}"/>
    <hyperlink ref="D43" location="SINCELEJO!A1" display="Dirección Seccional de Impuestos y Aduanas de Sincelejo." xr:uid="{00000000-0004-0000-0000-000023000000}"/>
    <hyperlink ref="D44" location="SOGAMOSO!A1" display="Dirección Seccional de Impuestos y Aduanas de Sogamoso." xr:uid="{00000000-0004-0000-0000-000024000000}"/>
    <hyperlink ref="D45" location="'TULUA '!A1" display="Dirección Seccional de Impuestos y Aduanas de Tuluá." xr:uid="{00000000-0004-0000-0000-000025000000}"/>
    <hyperlink ref="D46" location="TUNJA!A1" display=" Dirección Seccional de Impuestos y Aduanas de Tunja." xr:uid="{00000000-0004-0000-0000-000026000000}"/>
    <hyperlink ref="D47" location="'URABA '!A1" display="Dirección Seccional de Impuestos y Aduanas de Urabá. " xr:uid="{00000000-0004-0000-0000-000027000000}"/>
    <hyperlink ref="D48" location="'VALLEDUPAR '!A1" display="Dirección Seccional de Impuestos y Aduanas de Valledupar" xr:uid="{00000000-0004-0000-0000-000028000000}"/>
    <hyperlink ref="D49" location="'VILLAVICENCIO '!A1" display="Dirección Seccional de Impuestos y Aduanas de Villavicencio." xr:uid="{00000000-0004-0000-0000-000029000000}"/>
    <hyperlink ref="D50" location="YOPAL!A1" display="Dirección Seccional de Impuestos y Aduanas de Yopal." xr:uid="{00000000-0004-0000-0000-00002A000000}"/>
    <hyperlink ref="D54" location="'PUERTO ASIS '!A1" display="Dirección Seccional Delegada de Impuestos y Aduanas de Puerto Asís" xr:uid="{00000000-0004-0000-0000-00002B000000}"/>
    <hyperlink ref="D55" location="TUMACO!A1" display="Dirección Seccional Delegada de Impuestos y Aduanas de Tumaco" xr:uid="{00000000-0004-0000-0000-00002C000000}"/>
    <hyperlink ref="D56" location="INIRIDA!A1" display="Dirección Seccional Delegada de Impuestos y Aduanas de Inírida" xr:uid="{00000000-0004-0000-0000-00002D000000}"/>
    <hyperlink ref="D58" location="'SAN JOSE DEL GUAVIARE'!A1" display="Dirección Seccional Delegada de Impuestos y Aduanas de San José de Guaviare" xr:uid="{00000000-0004-0000-0000-00002E000000}"/>
    <hyperlink ref="D59" location="PAMPLONA!A1" display="Dirección Seccional Delegada de Impuestos y Aduanas de Pamplona" xr:uid="{00000000-0004-0000-0000-00002F000000}"/>
    <hyperlink ref="D57" location="'PUERTO CARREÑO '!A1" display="Dirección Seccional Delegada de Impuestos y Aduanas de Puerto Carreño" xr:uid="{00000000-0004-0000-0000-000030000000}"/>
  </hyperlinks>
  <pageMargins left="0.7" right="0.7" top="0.75" bottom="0.75" header="0.3" footer="0.3"/>
  <pageSetup orientation="portrait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48"/>
  <sheetViews>
    <sheetView zoomScale="60" zoomScaleNormal="60" workbookViewId="0">
      <selection activeCell="E17" sqref="E17"/>
    </sheetView>
  </sheetViews>
  <sheetFormatPr baseColWidth="10" defaultColWidth="11.42578125" defaultRowHeight="16.5"/>
  <cols>
    <col min="1" max="1" width="23.42578125" style="8" customWidth="1"/>
    <col min="2" max="2" width="37" style="8" customWidth="1"/>
    <col min="3" max="3" width="59.28515625" style="63" bestFit="1" customWidth="1"/>
    <col min="4" max="4" width="25.85546875" style="63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25.85546875" style="63" customWidth="1"/>
    <col min="9" max="46" width="21.7109375" style="210" hidden="1" customWidth="1"/>
    <col min="47" max="48" width="21.7109375" style="63" customWidth="1"/>
    <col min="49" max="49" width="16.85546875" customWidth="1"/>
  </cols>
  <sheetData>
    <row r="1" spans="1:49" ht="29.25" customHeight="1">
      <c r="A1" s="101"/>
      <c r="B1" s="101"/>
      <c r="C1" s="2885" t="s">
        <v>267</v>
      </c>
      <c r="D1" s="2885"/>
      <c r="E1" s="2885"/>
      <c r="F1" s="2885"/>
      <c r="G1" s="2885"/>
      <c r="H1" s="2885"/>
    </row>
    <row r="2" spans="1:49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AV2" s="2812" t="s">
        <v>185</v>
      </c>
    </row>
    <row r="3" spans="1:49">
      <c r="A3" s="10"/>
      <c r="B3" s="11"/>
      <c r="C3" s="2972" t="s">
        <v>268</v>
      </c>
      <c r="D3" s="2973"/>
      <c r="E3" s="2973"/>
      <c r="F3" s="2973"/>
      <c r="G3" s="2973"/>
      <c r="H3" s="2973"/>
    </row>
    <row r="4" spans="1:49" ht="17.25" thickBot="1">
      <c r="A4" s="70"/>
      <c r="B4" s="109"/>
      <c r="C4" s="2890"/>
      <c r="D4" s="2890"/>
      <c r="E4" s="2890"/>
      <c r="F4" s="2890"/>
      <c r="G4" s="2890"/>
      <c r="H4" s="2890"/>
      <c r="AW4" s="370">
        <f>(+AV9+AV10+AV11+AV12+AV13+AV14+AV15+AV16+AV17+AV18+AV19+AV20+AV21+AV22+AV23+AV24+AV25+AV27+AV28+AV30+AV31+AV32+AV33+AV34+AV35+AV36+AV38+AV39+AV40+AV41+AV43+AV45+AV47)/33</f>
        <v>1.670667943109196</v>
      </c>
    </row>
    <row r="5" spans="1:49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0" t="s">
        <v>5</v>
      </c>
      <c r="I5" s="2840" t="s">
        <v>70</v>
      </c>
      <c r="J5" s="2841"/>
      <c r="K5" s="2884"/>
      <c r="L5" s="2840" t="s">
        <v>71</v>
      </c>
      <c r="M5" s="2841"/>
      <c r="N5" s="2884"/>
      <c r="O5" s="2840" t="s">
        <v>72</v>
      </c>
      <c r="P5" s="2841"/>
      <c r="Q5" s="2884"/>
      <c r="R5" s="2840" t="s">
        <v>73</v>
      </c>
      <c r="S5" s="2841"/>
      <c r="T5" s="2884"/>
      <c r="U5" s="2840" t="s">
        <v>74</v>
      </c>
      <c r="V5" s="2841"/>
      <c r="W5" s="2884"/>
      <c r="X5" s="2840" t="s">
        <v>75</v>
      </c>
      <c r="Y5" s="2841"/>
      <c r="Z5" s="2841"/>
      <c r="AA5" s="2840" t="s">
        <v>188</v>
      </c>
      <c r="AB5" s="2841"/>
      <c r="AC5" s="2840" t="s">
        <v>76</v>
      </c>
      <c r="AD5" s="2841"/>
      <c r="AE5" s="2884"/>
      <c r="AF5" s="2840" t="s">
        <v>77</v>
      </c>
      <c r="AG5" s="2841"/>
      <c r="AH5" s="2884"/>
      <c r="AI5" s="2840" t="s">
        <v>78</v>
      </c>
      <c r="AJ5" s="2841"/>
      <c r="AK5" s="2884"/>
      <c r="AL5" s="2840" t="s">
        <v>79</v>
      </c>
      <c r="AM5" s="2841"/>
      <c r="AN5" s="2884"/>
      <c r="AO5" s="2840" t="s">
        <v>80</v>
      </c>
      <c r="AP5" s="2841"/>
      <c r="AQ5" s="2884"/>
      <c r="AR5" s="2840" t="s">
        <v>81</v>
      </c>
      <c r="AS5" s="2841"/>
      <c r="AT5" s="2884"/>
      <c r="AU5" s="2840" t="s">
        <v>82</v>
      </c>
      <c r="AV5" s="2841"/>
    </row>
    <row r="6" spans="1:49" ht="18" customHeight="1" thickTop="1" thickBot="1">
      <c r="A6" s="2823"/>
      <c r="B6" s="2823"/>
      <c r="C6" s="2823"/>
      <c r="D6" s="2823"/>
      <c r="E6" s="2823"/>
      <c r="F6" s="2823"/>
      <c r="G6" s="2831"/>
      <c r="H6" s="2831"/>
      <c r="I6" s="2840"/>
      <c r="J6" s="2841"/>
      <c r="K6" s="2884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41"/>
      <c r="AA6" s="2840"/>
      <c r="AB6" s="2841"/>
      <c r="AC6" s="2840"/>
      <c r="AD6" s="2841"/>
      <c r="AE6" s="288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</row>
    <row r="7" spans="1:49" ht="18.75" customHeight="1" thickTop="1" thickBot="1">
      <c r="A7" s="2823"/>
      <c r="B7" s="2823"/>
      <c r="C7" s="2823"/>
      <c r="D7" s="2823"/>
      <c r="E7" s="2823"/>
      <c r="F7" s="2823"/>
      <c r="G7" s="2832"/>
      <c r="H7" s="2832"/>
      <c r="I7" s="2836"/>
      <c r="J7" s="2837"/>
      <c r="K7" s="2838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7"/>
      <c r="AA7" s="2836"/>
      <c r="AB7" s="2837"/>
      <c r="AC7" s="2836"/>
      <c r="AD7" s="2837"/>
      <c r="AE7" s="2838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40"/>
      <c r="AV7" s="2841"/>
    </row>
    <row r="8" spans="1:49" ht="40.700000000000003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13" t="s">
        <v>84</v>
      </c>
      <c r="J8" s="16" t="s">
        <v>85</v>
      </c>
      <c r="K8" s="16" t="s">
        <v>86</v>
      </c>
      <c r="L8" s="16" t="s">
        <v>84</v>
      </c>
      <c r="M8" s="16" t="s">
        <v>85</v>
      </c>
      <c r="N8" s="16" t="s">
        <v>86</v>
      </c>
      <c r="O8" s="16" t="s">
        <v>84</v>
      </c>
      <c r="P8" s="16" t="s">
        <v>85</v>
      </c>
      <c r="Q8" s="16" t="s">
        <v>86</v>
      </c>
      <c r="R8" s="16" t="s">
        <v>84</v>
      </c>
      <c r="S8" s="16" t="s">
        <v>85</v>
      </c>
      <c r="T8" s="16" t="s">
        <v>86</v>
      </c>
      <c r="U8" s="16" t="s">
        <v>84</v>
      </c>
      <c r="V8" s="16" t="s">
        <v>85</v>
      </c>
      <c r="W8" s="16" t="s">
        <v>86</v>
      </c>
      <c r="X8" s="16" t="s">
        <v>84</v>
      </c>
      <c r="Y8" s="16" t="s">
        <v>85</v>
      </c>
      <c r="Z8" s="16" t="s">
        <v>86</v>
      </c>
      <c r="AA8" s="16" t="s">
        <v>87</v>
      </c>
      <c r="AB8" s="16" t="s">
        <v>6</v>
      </c>
      <c r="AC8" s="13" t="s">
        <v>84</v>
      </c>
      <c r="AD8" s="14" t="s">
        <v>85</v>
      </c>
      <c r="AE8" s="16" t="s">
        <v>86</v>
      </c>
      <c r="AF8" s="13" t="s">
        <v>84</v>
      </c>
      <c r="AG8" s="14" t="s">
        <v>85</v>
      </c>
      <c r="AH8" s="16" t="s">
        <v>86</v>
      </c>
      <c r="AI8" s="16" t="s">
        <v>84</v>
      </c>
      <c r="AJ8" s="16" t="s">
        <v>85</v>
      </c>
      <c r="AK8" s="16" t="s">
        <v>86</v>
      </c>
      <c r="AL8" s="16" t="s">
        <v>84</v>
      </c>
      <c r="AM8" s="16" t="s">
        <v>85</v>
      </c>
      <c r="AN8" s="16" t="s">
        <v>86</v>
      </c>
      <c r="AO8" s="16" t="s">
        <v>84</v>
      </c>
      <c r="AP8" s="13" t="s">
        <v>85</v>
      </c>
      <c r="AQ8" s="16" t="s">
        <v>86</v>
      </c>
      <c r="AR8" s="14" t="s">
        <v>84</v>
      </c>
      <c r="AS8" s="16" t="s">
        <v>85</v>
      </c>
      <c r="AT8" s="16" t="s">
        <v>86</v>
      </c>
      <c r="AU8" s="16" t="s">
        <v>87</v>
      </c>
      <c r="AV8" s="16" t="s">
        <v>6</v>
      </c>
    </row>
    <row r="9" spans="1:49" ht="98.25" customHeight="1" thickTop="1" thickBot="1">
      <c r="A9" s="2907" t="s">
        <v>88</v>
      </c>
      <c r="B9" s="2863" t="s">
        <v>89</v>
      </c>
      <c r="C9" s="211" t="s">
        <v>269</v>
      </c>
      <c r="D9" s="212" t="s">
        <v>90</v>
      </c>
      <c r="E9" s="211" t="s">
        <v>91</v>
      </c>
      <c r="F9" s="211" t="s">
        <v>18</v>
      </c>
      <c r="G9" s="213">
        <f>6996682273/1000000</f>
        <v>6996.6822730000004</v>
      </c>
      <c r="H9" s="211" t="s">
        <v>25</v>
      </c>
      <c r="I9" s="214">
        <v>6152.5443109999997</v>
      </c>
      <c r="J9" s="215">
        <v>6518</v>
      </c>
      <c r="K9" s="19">
        <f>+J9/I9</f>
        <v>1.0593991153134177</v>
      </c>
      <c r="L9" s="215">
        <v>96.338596999999993</v>
      </c>
      <c r="M9" s="215">
        <v>78</v>
      </c>
      <c r="N9" s="19">
        <f>+M9/L9</f>
        <v>0.80964434223595771</v>
      </c>
      <c r="O9" s="215">
        <v>116.73499700000001</v>
      </c>
      <c r="P9" s="215">
        <v>18</v>
      </c>
      <c r="Q9" s="19">
        <f>+P9/O9</f>
        <v>0.15419540379994184</v>
      </c>
      <c r="R9" s="215">
        <v>177.984996</v>
      </c>
      <c r="S9" s="215">
        <v>19.79</v>
      </c>
      <c r="T9" s="19">
        <v>0.17</v>
      </c>
      <c r="U9" s="215">
        <v>67.984995999999995</v>
      </c>
      <c r="V9" s="215">
        <v>148.47999999999999</v>
      </c>
      <c r="W9" s="19">
        <f>+V9/U9</f>
        <v>2.1840113074361289</v>
      </c>
      <c r="X9" s="215">
        <v>141.734996</v>
      </c>
      <c r="Y9" s="215">
        <v>27.77</v>
      </c>
      <c r="Z9" s="19">
        <f>+Y9/X9</f>
        <v>0.19592902800096032</v>
      </c>
      <c r="AA9" s="216">
        <f>+J9+M9+P9+S9+V9+Y9</f>
        <v>6810.04</v>
      </c>
      <c r="AB9" s="19">
        <f>AA9/G9</f>
        <v>0.97332417484208944</v>
      </c>
      <c r="AC9" s="214">
        <v>96.724531999999996</v>
      </c>
      <c r="AD9" s="217">
        <v>63.95</v>
      </c>
      <c r="AE9" s="19">
        <f>+AD9/AC9</f>
        <v>0.66115595162559182</v>
      </c>
      <c r="AF9" s="214">
        <v>61.984996000000002</v>
      </c>
      <c r="AG9" s="217">
        <v>40.25</v>
      </c>
      <c r="AH9" s="19">
        <f>+AG9/AF9</f>
        <v>0.64935069125438027</v>
      </c>
      <c r="AI9" s="215">
        <v>122.734996</v>
      </c>
      <c r="AJ9" s="215">
        <v>67.11</v>
      </c>
      <c r="AK9" s="19">
        <f>+AJ9/AI9</f>
        <v>0.54678781266265741</v>
      </c>
      <c r="AL9" s="215">
        <v>76.984995999999995</v>
      </c>
      <c r="AM9" s="215">
        <v>32.409999999999997</v>
      </c>
      <c r="AN9" s="19">
        <f>+AM9/AL9</f>
        <v>0.42099112403668892</v>
      </c>
      <c r="AO9" s="215">
        <v>61.984996000000002</v>
      </c>
      <c r="AP9" s="214">
        <v>33.880000000000003</v>
      </c>
      <c r="AQ9" s="19">
        <f>+AP9/AO9</f>
        <v>0.54658388620368714</v>
      </c>
      <c r="AR9" s="214">
        <v>128.916191</v>
      </c>
      <c r="AS9" s="215">
        <v>70</v>
      </c>
      <c r="AT9" s="19">
        <f>+AS9/AR9</f>
        <v>0.54298842881574128</v>
      </c>
      <c r="AU9" s="216">
        <f>6992089817.72/1000000</f>
        <v>6992.0898177200006</v>
      </c>
      <c r="AV9" s="73">
        <f>AU9/G9</f>
        <v>0.99934362386330988</v>
      </c>
    </row>
    <row r="10" spans="1:49" ht="98.25" customHeight="1" thickTop="1" thickBot="1">
      <c r="A10" s="2979"/>
      <c r="B10" s="2864"/>
      <c r="C10" s="561" t="s">
        <v>270</v>
      </c>
      <c r="D10" s="218" t="s">
        <v>92</v>
      </c>
      <c r="E10" s="95" t="s">
        <v>93</v>
      </c>
      <c r="F10" s="95" t="s">
        <v>17</v>
      </c>
      <c r="G10" s="219">
        <v>12</v>
      </c>
      <c r="H10" s="95" t="s">
        <v>26</v>
      </c>
      <c r="I10" s="58">
        <v>1</v>
      </c>
      <c r="J10" s="220">
        <v>2</v>
      </c>
      <c r="K10" s="19">
        <f>+J10/I10</f>
        <v>2</v>
      </c>
      <c r="L10" s="220">
        <v>1</v>
      </c>
      <c r="M10" s="220">
        <v>0</v>
      </c>
      <c r="N10" s="19">
        <f>+M10/L10</f>
        <v>0</v>
      </c>
      <c r="O10" s="220">
        <v>3</v>
      </c>
      <c r="P10" s="220">
        <v>1</v>
      </c>
      <c r="Q10" s="19">
        <f>+P10/O10</f>
        <v>0.33333333333333331</v>
      </c>
      <c r="R10" s="220">
        <v>1</v>
      </c>
      <c r="S10" s="220">
        <v>0</v>
      </c>
      <c r="T10" s="19">
        <f>+S10/R10</f>
        <v>0</v>
      </c>
      <c r="U10" s="219">
        <v>1</v>
      </c>
      <c r="V10" s="221">
        <v>1</v>
      </c>
      <c r="W10" s="19">
        <f>+V10/U10</f>
        <v>1</v>
      </c>
      <c r="X10" s="220">
        <v>0</v>
      </c>
      <c r="Y10" s="220">
        <v>0</v>
      </c>
      <c r="Z10" s="19" t="e">
        <f>+Y10/X10</f>
        <v>#DIV/0!</v>
      </c>
      <c r="AA10" s="211">
        <f>+J10+M10+P10+S10+V10+Y10</f>
        <v>4</v>
      </c>
      <c r="AB10" s="19">
        <f>AA10/G10</f>
        <v>0.33333333333333331</v>
      </c>
      <c r="AC10" s="58">
        <v>1</v>
      </c>
      <c r="AD10" s="222">
        <v>1</v>
      </c>
      <c r="AE10" s="19">
        <f>+AD10/AC10</f>
        <v>1</v>
      </c>
      <c r="AF10" s="58">
        <v>0</v>
      </c>
      <c r="AG10" s="222"/>
      <c r="AH10" s="19" t="e">
        <f>+AG10/AF10</f>
        <v>#DIV/0!</v>
      </c>
      <c r="AI10" s="220">
        <v>1</v>
      </c>
      <c r="AJ10" s="220">
        <v>2</v>
      </c>
      <c r="AK10" s="19">
        <f>+AJ10/AI10</f>
        <v>2</v>
      </c>
      <c r="AL10" s="220">
        <v>0</v>
      </c>
      <c r="AM10" s="220"/>
      <c r="AN10" s="19" t="e">
        <f>+AM10/AL10</f>
        <v>#DIV/0!</v>
      </c>
      <c r="AO10" s="220">
        <v>4</v>
      </c>
      <c r="AP10" s="58">
        <v>3</v>
      </c>
      <c r="AQ10" s="19">
        <f>+AP10/AO10</f>
        <v>0.75</v>
      </c>
      <c r="AR10" s="58">
        <v>0</v>
      </c>
      <c r="AS10" s="220">
        <v>2</v>
      </c>
      <c r="AT10" s="19" t="e">
        <f>+AS10/AR10</f>
        <v>#DIV/0!</v>
      </c>
      <c r="AU10" s="223">
        <f>+J10+M10+P10+S10+V10+Y10+AD10+AG10+AJ10+AM10+AP10+AS10</f>
        <v>12</v>
      </c>
      <c r="AV10" s="73">
        <f>AU10/G10</f>
        <v>1</v>
      </c>
    </row>
    <row r="11" spans="1:49" ht="66.75" customHeight="1" thickTop="1" thickBot="1">
      <c r="A11" s="2979"/>
      <c r="B11" s="2981" t="s">
        <v>94</v>
      </c>
      <c r="C11" s="2983" t="s">
        <v>271</v>
      </c>
      <c r="D11" s="224" t="s">
        <v>191</v>
      </c>
      <c r="E11" s="172" t="s">
        <v>272</v>
      </c>
      <c r="F11" s="172" t="s">
        <v>101</v>
      </c>
      <c r="G11" s="225">
        <v>200000000000</v>
      </c>
      <c r="H11" s="172" t="s">
        <v>140</v>
      </c>
      <c r="I11" s="226">
        <v>13333333333.333334</v>
      </c>
      <c r="J11" s="227">
        <v>1225176058</v>
      </c>
      <c r="K11" s="19">
        <f>+J11/I11</f>
        <v>9.1888204350000002E-2</v>
      </c>
      <c r="L11" s="226">
        <v>13333333333.333334</v>
      </c>
      <c r="M11" s="227">
        <v>7228875487</v>
      </c>
      <c r="N11" s="19">
        <f>+M11/L11</f>
        <v>0.54216566152500001</v>
      </c>
      <c r="O11" s="226">
        <v>13333333333.333334</v>
      </c>
      <c r="P11" s="227">
        <v>12756038466</v>
      </c>
      <c r="Q11" s="19">
        <f>+P11/O11</f>
        <v>0.95670288495</v>
      </c>
      <c r="R11" s="226">
        <v>20000000000</v>
      </c>
      <c r="S11" s="227">
        <v>0</v>
      </c>
      <c r="T11" s="19">
        <f>+S11/R11</f>
        <v>0</v>
      </c>
      <c r="U11" s="226">
        <v>20000000000</v>
      </c>
      <c r="V11" s="227">
        <v>0</v>
      </c>
      <c r="W11" s="19">
        <f>+V11/U11</f>
        <v>0</v>
      </c>
      <c r="X11" s="226">
        <v>20000000000</v>
      </c>
      <c r="Y11" s="227">
        <v>41563824839</v>
      </c>
      <c r="Z11" s="19">
        <f>+Y11/X11</f>
        <v>2.0781912419499999</v>
      </c>
      <c r="AA11" s="226">
        <f>+J11+M11+P11+S11+V11+Y11</f>
        <v>62773914850</v>
      </c>
      <c r="AB11" s="19">
        <f>AA11/G11</f>
        <v>0.31386957425000001</v>
      </c>
      <c r="AC11" s="226">
        <v>20000000000</v>
      </c>
      <c r="AD11" s="227">
        <v>27663566784</v>
      </c>
      <c r="AE11" s="19">
        <f>+AD11/AC11</f>
        <v>1.3831783392000001</v>
      </c>
      <c r="AF11" s="226">
        <v>20000000000</v>
      </c>
      <c r="AG11" s="227">
        <v>33355720162</v>
      </c>
      <c r="AH11" s="19">
        <f>+AG11/AF11</f>
        <v>1.6677860081</v>
      </c>
      <c r="AI11" s="226">
        <v>20000000000</v>
      </c>
      <c r="AJ11" s="227">
        <v>92708787003</v>
      </c>
      <c r="AK11" s="19">
        <f>+AJ11/AI11</f>
        <v>4.6354393501500004</v>
      </c>
      <c r="AL11" s="226">
        <v>13333333333.333334</v>
      </c>
      <c r="AM11" s="227">
        <v>73559670766</v>
      </c>
      <c r="AN11" s="19">
        <f>+AM11/AL11</f>
        <v>5.5169753074500001</v>
      </c>
      <c r="AO11" s="226">
        <v>13333333333.333334</v>
      </c>
      <c r="AP11" s="227">
        <v>115797236849</v>
      </c>
      <c r="AQ11" s="19">
        <f>+AP11/AO11</f>
        <v>8.6847927636750004</v>
      </c>
      <c r="AR11" s="226">
        <v>13333333333.333334</v>
      </c>
      <c r="AS11" s="227">
        <v>58169079215</v>
      </c>
      <c r="AT11" s="19">
        <f>+AS11/AR11</f>
        <v>4.3626809411249994</v>
      </c>
      <c r="AU11" s="228">
        <f>+J11+M11+P11+S11+V11+Y11+AD11+AG11+AJ11+AM11+AP11+AS11</f>
        <v>464027975629</v>
      </c>
      <c r="AV11" s="73">
        <f>AU11/G11</f>
        <v>2.320139878145</v>
      </c>
    </row>
    <row r="12" spans="1:49" ht="50.45" customHeight="1" thickTop="1" thickBot="1">
      <c r="A12" s="2979"/>
      <c r="B12" s="2982"/>
      <c r="C12" s="2984"/>
      <c r="D12" s="17" t="s">
        <v>194</v>
      </c>
      <c r="E12" s="561" t="s">
        <v>195</v>
      </c>
      <c r="F12" s="561" t="s">
        <v>101</v>
      </c>
      <c r="G12" s="229">
        <v>42382492594</v>
      </c>
      <c r="H12" s="561" t="s">
        <v>196</v>
      </c>
      <c r="I12" s="230">
        <v>1412749753</v>
      </c>
      <c r="J12" s="231">
        <v>1899043377</v>
      </c>
      <c r="K12" s="19">
        <f t="shared" ref="K12:K45" si="0">+J12/I12</f>
        <v>1.3442178085448937</v>
      </c>
      <c r="L12" s="230">
        <v>1412749753</v>
      </c>
      <c r="M12" s="231">
        <v>16407655550</v>
      </c>
      <c r="N12" s="19">
        <f t="shared" ref="N12:N45" si="1">+M12/L12</f>
        <v>11.613985785634039</v>
      </c>
      <c r="O12" s="230">
        <v>1412749753</v>
      </c>
      <c r="P12" s="231">
        <v>251182152</v>
      </c>
      <c r="Q12" s="19">
        <f t="shared" ref="Q12:Q45" si="2">+P12/O12</f>
        <v>0.17779663487224831</v>
      </c>
      <c r="R12" s="230">
        <v>5650999013</v>
      </c>
      <c r="S12" s="231">
        <v>0</v>
      </c>
      <c r="T12" s="19">
        <f t="shared" ref="T12:T45" si="3">+S12/R12</f>
        <v>0</v>
      </c>
      <c r="U12" s="230">
        <v>5650999013</v>
      </c>
      <c r="V12" s="231">
        <v>0</v>
      </c>
      <c r="W12" s="19">
        <f t="shared" ref="W12:W45" si="4">+V12/U12</f>
        <v>0</v>
      </c>
      <c r="X12" s="230">
        <v>5650999013</v>
      </c>
      <c r="Y12" s="231">
        <v>404930283</v>
      </c>
      <c r="Z12" s="19">
        <f t="shared" ref="Z12:Z45" si="5">+Y12/X12</f>
        <v>7.1656406605003248E-2</v>
      </c>
      <c r="AA12" s="230">
        <f t="shared" ref="AA12:AA44" si="6">+J12+M12+P12+S12+V12+Y12</f>
        <v>18962811362</v>
      </c>
      <c r="AB12" s="19">
        <f t="shared" ref="AB12:AB45" si="7">AA12/G12</f>
        <v>0.44742086180850354</v>
      </c>
      <c r="AC12" s="230">
        <v>5650999013</v>
      </c>
      <c r="AD12" s="231">
        <v>580198287</v>
      </c>
      <c r="AE12" s="19">
        <f t="shared" ref="AE12:AE45" si="8">+AD12/AC12</f>
        <v>0.10267180823519284</v>
      </c>
      <c r="AF12" s="230">
        <v>5650999013</v>
      </c>
      <c r="AG12" s="231">
        <v>303017113</v>
      </c>
      <c r="AH12" s="19">
        <f t="shared" ref="AH12:AH45" si="9">+AG12/AF12</f>
        <v>5.3621866205057857E-2</v>
      </c>
      <c r="AI12" s="230">
        <v>5650999013</v>
      </c>
      <c r="AJ12" s="231">
        <v>3744560691</v>
      </c>
      <c r="AK12" s="19">
        <f t="shared" ref="AK12:AK45" si="10">+AJ12/AI12</f>
        <v>0.66263693948374791</v>
      </c>
      <c r="AL12" s="230">
        <v>1412749753</v>
      </c>
      <c r="AM12" s="231">
        <v>2704520566</v>
      </c>
      <c r="AN12" s="19">
        <f t="shared" ref="AN12:AN45" si="11">+AM12/AL12</f>
        <v>1.9143663343468305</v>
      </c>
      <c r="AO12" s="230">
        <v>1412749752</v>
      </c>
      <c r="AP12" s="231">
        <v>10371480687</v>
      </c>
      <c r="AQ12" s="19">
        <f t="shared" ref="AQ12:AQ45" si="12">+AP12/AO12</f>
        <v>7.3413431305277621</v>
      </c>
      <c r="AR12" s="230">
        <v>1412749752</v>
      </c>
      <c r="AS12" s="231">
        <v>13677689025</v>
      </c>
      <c r="AT12" s="19">
        <f t="shared" ref="AT12:AT45" si="13">+AS12/AR12</f>
        <v>9.6816078046637664</v>
      </c>
      <c r="AU12" s="228">
        <f t="shared" ref="AU12:AU41" si="14">+J12+M12+P12+S12+V12+Y12+AD12+AG12+AJ12+AM12+AP12+AS12</f>
        <v>50344277731</v>
      </c>
      <c r="AV12" s="73">
        <f t="shared" ref="AV12:AV45" si="15">AU12/G12</f>
        <v>1.187855518864106</v>
      </c>
    </row>
    <row r="13" spans="1:49" ht="127.5" customHeight="1" thickTop="1" thickBot="1">
      <c r="A13" s="2979"/>
      <c r="B13" s="2982"/>
      <c r="C13" s="2984"/>
      <c r="D13" s="24" t="s">
        <v>197</v>
      </c>
      <c r="E13" s="172" t="s">
        <v>198</v>
      </c>
      <c r="F13" s="172" t="s">
        <v>101</v>
      </c>
      <c r="G13" s="228">
        <v>14476827520</v>
      </c>
      <c r="H13" s="172" t="s">
        <v>140</v>
      </c>
      <c r="I13" s="226">
        <v>965121834.68705189</v>
      </c>
      <c r="J13" s="227">
        <v>233640650</v>
      </c>
      <c r="K13" s="19">
        <f t="shared" si="0"/>
        <v>0.24208409923267332</v>
      </c>
      <c r="L13" s="226">
        <v>965121834.68705189</v>
      </c>
      <c r="M13" s="227">
        <v>217344835</v>
      </c>
      <c r="N13" s="19">
        <f t="shared" si="1"/>
        <v>0.22519937606683171</v>
      </c>
      <c r="O13" s="226">
        <v>965121834.68705189</v>
      </c>
      <c r="P13" s="227">
        <v>52626634</v>
      </c>
      <c r="Q13" s="19">
        <f t="shared" si="2"/>
        <v>5.4528487604950507E-2</v>
      </c>
      <c r="R13" s="226">
        <v>1447682752.0305779</v>
      </c>
      <c r="S13" s="227">
        <v>8764000</v>
      </c>
      <c r="T13" s="19">
        <f t="shared" si="3"/>
        <v>6.0538125412541261E-3</v>
      </c>
      <c r="U13" s="226">
        <v>1447682752.0305779</v>
      </c>
      <c r="V13" s="227">
        <v>0</v>
      </c>
      <c r="W13" s="19">
        <f t="shared" si="4"/>
        <v>0</v>
      </c>
      <c r="X13" s="226">
        <v>1447682752.0305779</v>
      </c>
      <c r="Y13" s="227">
        <v>2503535938</v>
      </c>
      <c r="Z13" s="19">
        <f t="shared" si="5"/>
        <v>1.7293401710343237</v>
      </c>
      <c r="AA13" s="226">
        <f t="shared" si="6"/>
        <v>3015912057</v>
      </c>
      <c r="AB13" s="19">
        <f t="shared" si="7"/>
        <v>0.20832686255558841</v>
      </c>
      <c r="AC13" s="226">
        <v>1447682752.0305779</v>
      </c>
      <c r="AD13" s="227">
        <v>797675582</v>
      </c>
      <c r="AE13" s="19">
        <f t="shared" si="8"/>
        <v>0.55100164789636974</v>
      </c>
      <c r="AF13" s="226">
        <v>1447682752.0305779</v>
      </c>
      <c r="AG13" s="227">
        <v>1763717268</v>
      </c>
      <c r="AH13" s="19">
        <f t="shared" si="9"/>
        <v>1.2183037102059409</v>
      </c>
      <c r="AI13" s="226">
        <v>1447682752.0305779</v>
      </c>
      <c r="AJ13" s="227">
        <v>1517593391</v>
      </c>
      <c r="AK13" s="19">
        <f t="shared" si="10"/>
        <v>1.0482914083706272</v>
      </c>
      <c r="AL13" s="226">
        <v>965121834.68705189</v>
      </c>
      <c r="AM13" s="227">
        <v>682565608</v>
      </c>
      <c r="AN13" s="19">
        <f t="shared" si="11"/>
        <v>0.70723258294257441</v>
      </c>
      <c r="AO13" s="226">
        <v>965121834.68705189</v>
      </c>
      <c r="AP13" s="227">
        <v>2999945545</v>
      </c>
      <c r="AQ13" s="19">
        <f t="shared" si="12"/>
        <v>3.1083594186559411</v>
      </c>
      <c r="AR13" s="226">
        <v>965121834.68705189</v>
      </c>
      <c r="AS13" s="227">
        <v>2558090762</v>
      </c>
      <c r="AT13" s="19">
        <f t="shared" si="13"/>
        <v>2.6505366162702977</v>
      </c>
      <c r="AU13" s="228">
        <f t="shared" si="14"/>
        <v>13335500213</v>
      </c>
      <c r="AV13" s="73">
        <f t="shared" si="15"/>
        <v>0.92116178040919283</v>
      </c>
    </row>
    <row r="14" spans="1:49" ht="61.5" customHeight="1" thickTop="1" thickBot="1">
      <c r="A14" s="2979"/>
      <c r="B14" s="2982"/>
      <c r="C14" s="2984"/>
      <c r="D14" s="1200" t="s">
        <v>199</v>
      </c>
      <c r="E14" s="389" t="s">
        <v>273</v>
      </c>
      <c r="F14" s="389" t="s">
        <v>101</v>
      </c>
      <c r="G14" s="232">
        <v>145100000000</v>
      </c>
      <c r="H14" s="233" t="s">
        <v>140</v>
      </c>
      <c r="I14" s="234">
        <v>9673333333.333334</v>
      </c>
      <c r="J14" s="235">
        <v>53472782666</v>
      </c>
      <c r="K14" s="19">
        <f t="shared" si="0"/>
        <v>5.5278548586492073</v>
      </c>
      <c r="L14" s="234">
        <v>9673333333.333334</v>
      </c>
      <c r="M14" s="235">
        <v>25672368613</v>
      </c>
      <c r="N14" s="19">
        <f t="shared" si="1"/>
        <v>2.6539319723983459</v>
      </c>
      <c r="O14" s="234">
        <v>9673333333.333334</v>
      </c>
      <c r="P14" s="235">
        <v>6148561480</v>
      </c>
      <c r="Q14" s="19">
        <f t="shared" si="2"/>
        <v>0.63561972570640934</v>
      </c>
      <c r="R14" s="234">
        <v>14510000000</v>
      </c>
      <c r="S14" s="235">
        <v>587720088</v>
      </c>
      <c r="T14" s="19">
        <f t="shared" si="3"/>
        <v>4.0504485733976567E-2</v>
      </c>
      <c r="U14" s="234">
        <v>14510000000</v>
      </c>
      <c r="V14" s="235">
        <v>48102965879</v>
      </c>
      <c r="W14" s="19">
        <f t="shared" si="4"/>
        <v>3.3151596057201931</v>
      </c>
      <c r="X14" s="234">
        <v>14510000000</v>
      </c>
      <c r="Y14" s="235">
        <v>1645605805</v>
      </c>
      <c r="Z14" s="19">
        <f t="shared" si="5"/>
        <v>0.11341184045485872</v>
      </c>
      <c r="AA14" s="234">
        <f t="shared" si="6"/>
        <v>135630004531</v>
      </c>
      <c r="AB14" s="19">
        <f t="shared" si="7"/>
        <v>0.93473469697450029</v>
      </c>
      <c r="AC14" s="234">
        <v>14510000000</v>
      </c>
      <c r="AD14" s="235">
        <v>29173609421</v>
      </c>
      <c r="AE14" s="19">
        <f t="shared" si="8"/>
        <v>2.0105864521709167</v>
      </c>
      <c r="AF14" s="234">
        <v>14510000000</v>
      </c>
      <c r="AG14" s="235">
        <v>22196753521</v>
      </c>
      <c r="AH14" s="19">
        <f t="shared" si="9"/>
        <v>1.5297555838042729</v>
      </c>
      <c r="AI14" s="234">
        <v>14510000000</v>
      </c>
      <c r="AJ14" s="235">
        <v>9876734671</v>
      </c>
      <c r="AK14" s="19">
        <f t="shared" si="10"/>
        <v>0.68068467753273609</v>
      </c>
      <c r="AL14" s="234">
        <v>9673333333.333334</v>
      </c>
      <c r="AM14" s="235">
        <v>2506838900</v>
      </c>
      <c r="AN14" s="19">
        <f t="shared" si="11"/>
        <v>0.25914943831840109</v>
      </c>
      <c r="AO14" s="234">
        <v>9673333333.333334</v>
      </c>
      <c r="AP14" s="235">
        <v>71952875467</v>
      </c>
      <c r="AQ14" s="19">
        <f t="shared" si="12"/>
        <v>7.4382710682632665</v>
      </c>
      <c r="AR14" s="234">
        <v>9673333333.333334</v>
      </c>
      <c r="AS14" s="235">
        <v>44605164072</v>
      </c>
      <c r="AT14" s="19">
        <f t="shared" si="13"/>
        <v>4.6111472162646452</v>
      </c>
      <c r="AU14" s="228">
        <f>+J14+M14+P14+S14+V14+Y14+AD14+AG14+AJ14+AM14+AP14+AS14</f>
        <v>315941980583</v>
      </c>
      <c r="AV14" s="73">
        <f t="shared" si="15"/>
        <v>2.1774085498483804</v>
      </c>
    </row>
    <row r="15" spans="1:49" ht="54" customHeight="1" thickTop="1" thickBot="1">
      <c r="A15" s="2979"/>
      <c r="B15" s="2982"/>
      <c r="C15" s="2984"/>
      <c r="D15" s="224" t="s">
        <v>201</v>
      </c>
      <c r="E15" s="172" t="s">
        <v>274</v>
      </c>
      <c r="F15" s="172" t="s">
        <v>101</v>
      </c>
      <c r="G15" s="225">
        <v>8426200000</v>
      </c>
      <c r="H15" s="172" t="s">
        <v>196</v>
      </c>
      <c r="I15" s="226">
        <v>280873333</v>
      </c>
      <c r="J15" s="227">
        <v>576275239</v>
      </c>
      <c r="K15" s="19">
        <f t="shared" si="0"/>
        <v>2.051726423597501</v>
      </c>
      <c r="L15" s="226">
        <v>280873333</v>
      </c>
      <c r="M15" s="227">
        <v>362676571</v>
      </c>
      <c r="N15" s="19">
        <f t="shared" si="1"/>
        <v>1.2912460115962665</v>
      </c>
      <c r="O15" s="226">
        <v>280873334</v>
      </c>
      <c r="P15" s="227">
        <v>247835674</v>
      </c>
      <c r="Q15" s="19">
        <f t="shared" si="2"/>
        <v>0.8823752346671685</v>
      </c>
      <c r="R15" s="226">
        <v>1123493333</v>
      </c>
      <c r="S15" s="227">
        <v>0</v>
      </c>
      <c r="T15" s="19">
        <f t="shared" si="3"/>
        <v>0</v>
      </c>
      <c r="U15" s="226">
        <v>1123493333</v>
      </c>
      <c r="V15" s="227">
        <v>0</v>
      </c>
      <c r="W15" s="19">
        <f t="shared" si="4"/>
        <v>0</v>
      </c>
      <c r="X15" s="226">
        <v>1123493333</v>
      </c>
      <c r="Y15" s="227">
        <v>224422638</v>
      </c>
      <c r="Z15" s="19">
        <f t="shared" si="5"/>
        <v>0.19975431220471693</v>
      </c>
      <c r="AA15" s="226">
        <f t="shared" si="6"/>
        <v>1411210122</v>
      </c>
      <c r="AB15" s="19">
        <f t="shared" si="7"/>
        <v>0.1674788305523249</v>
      </c>
      <c r="AC15" s="226">
        <v>1123493333</v>
      </c>
      <c r="AD15" s="227">
        <v>315324476</v>
      </c>
      <c r="AE15" s="19">
        <f t="shared" si="8"/>
        <v>0.28066430546410726</v>
      </c>
      <c r="AF15" s="226">
        <v>1123493333</v>
      </c>
      <c r="AG15" s="227">
        <v>178156692</v>
      </c>
      <c r="AH15" s="19">
        <f t="shared" si="9"/>
        <v>0.15857387557812949</v>
      </c>
      <c r="AI15" s="226">
        <v>1123493333</v>
      </c>
      <c r="AJ15" s="227">
        <v>371282276</v>
      </c>
      <c r="AK15" s="19">
        <f t="shared" si="10"/>
        <v>0.3304712765927913</v>
      </c>
      <c r="AL15" s="226">
        <v>280873334</v>
      </c>
      <c r="AM15" s="227">
        <v>226083568</v>
      </c>
      <c r="AN15" s="19">
        <f t="shared" si="11"/>
        <v>0.80493069520084803</v>
      </c>
      <c r="AO15" s="226">
        <v>280873334</v>
      </c>
      <c r="AP15" s="227">
        <v>432837905</v>
      </c>
      <c r="AQ15" s="19">
        <f t="shared" si="12"/>
        <v>1.541043070325786</v>
      </c>
      <c r="AR15" s="226">
        <v>280873334</v>
      </c>
      <c r="AS15" s="227">
        <v>356549271</v>
      </c>
      <c r="AT15" s="19">
        <f t="shared" si="13"/>
        <v>1.2694308353245096</v>
      </c>
      <c r="AU15" s="228">
        <f t="shared" si="14"/>
        <v>3291444310</v>
      </c>
      <c r="AV15" s="73">
        <f t="shared" si="15"/>
        <v>0.39062024518762906</v>
      </c>
    </row>
    <row r="16" spans="1:49" ht="57.75" customHeight="1" thickTop="1" thickBot="1">
      <c r="A16" s="2979"/>
      <c r="B16" s="2982"/>
      <c r="C16" s="2985"/>
      <c r="D16" s="236" t="s">
        <v>203</v>
      </c>
      <c r="E16" s="72" t="s">
        <v>274</v>
      </c>
      <c r="F16" s="72" t="s">
        <v>101</v>
      </c>
      <c r="G16" s="237">
        <v>38760519974</v>
      </c>
      <c r="H16" s="238" t="s">
        <v>196</v>
      </c>
      <c r="I16" s="239">
        <v>1292017333</v>
      </c>
      <c r="J16" s="240">
        <v>325474464</v>
      </c>
      <c r="K16" s="19">
        <f t="shared" si="0"/>
        <v>0.25191184025702229</v>
      </c>
      <c r="L16" s="239">
        <v>1292017333</v>
      </c>
      <c r="M16" s="240">
        <v>266845963</v>
      </c>
      <c r="N16" s="19">
        <f t="shared" si="1"/>
        <v>0.20653435227559752</v>
      </c>
      <c r="O16" s="239">
        <v>1292017333</v>
      </c>
      <c r="P16" s="240">
        <v>398565804</v>
      </c>
      <c r="Q16" s="19">
        <f t="shared" si="2"/>
        <v>0.30848332589668132</v>
      </c>
      <c r="R16" s="239">
        <v>5168069329</v>
      </c>
      <c r="S16" s="240">
        <v>2887162259</v>
      </c>
      <c r="T16" s="19">
        <f t="shared" si="3"/>
        <v>0.55865393345229253</v>
      </c>
      <c r="U16" s="239">
        <v>5168069329</v>
      </c>
      <c r="V16" s="240">
        <v>0</v>
      </c>
      <c r="W16" s="19">
        <f t="shared" si="4"/>
        <v>0</v>
      </c>
      <c r="X16" s="239">
        <v>5168069329</v>
      </c>
      <c r="Y16" s="240">
        <v>0</v>
      </c>
      <c r="Z16" s="19">
        <f t="shared" si="5"/>
        <v>0</v>
      </c>
      <c r="AA16" s="239">
        <f t="shared" si="6"/>
        <v>3878048490</v>
      </c>
      <c r="AB16" s="19">
        <f t="shared" si="7"/>
        <v>0.10005150840601053</v>
      </c>
      <c r="AC16" s="239">
        <v>5168069329</v>
      </c>
      <c r="AD16" s="240">
        <v>2910906022</v>
      </c>
      <c r="AE16" s="19">
        <f t="shared" si="8"/>
        <v>0.56324825320469307</v>
      </c>
      <c r="AF16" s="239">
        <v>5168069329</v>
      </c>
      <c r="AG16" s="240">
        <v>63473318819</v>
      </c>
      <c r="AH16" s="19">
        <f t="shared" si="9"/>
        <v>12.281824174228294</v>
      </c>
      <c r="AI16" s="239">
        <v>5168069329</v>
      </c>
      <c r="AJ16" s="240">
        <v>525380100</v>
      </c>
      <c r="AK16" s="19">
        <f t="shared" si="10"/>
        <v>0.1016588723088316</v>
      </c>
      <c r="AL16" s="239">
        <v>1292017333</v>
      </c>
      <c r="AM16" s="240">
        <v>254168652</v>
      </c>
      <c r="AN16" s="19">
        <f t="shared" si="11"/>
        <v>0.19672232369347015</v>
      </c>
      <c r="AO16" s="239">
        <v>1292017334</v>
      </c>
      <c r="AP16" s="240">
        <v>1169003993</v>
      </c>
      <c r="AQ16" s="19">
        <f t="shared" si="12"/>
        <v>0.90478971313863188</v>
      </c>
      <c r="AR16" s="239">
        <v>1292017334</v>
      </c>
      <c r="AS16" s="240">
        <v>18341053478</v>
      </c>
      <c r="AT16" s="19">
        <f t="shared" si="13"/>
        <v>14.19567137014897</v>
      </c>
      <c r="AU16" s="228">
        <f t="shared" si="14"/>
        <v>90551879554</v>
      </c>
      <c r="AV16" s="73">
        <f t="shared" si="15"/>
        <v>2.3361884622482076</v>
      </c>
    </row>
    <row r="17" spans="1:48" ht="77.45" customHeight="1" thickTop="1" thickBot="1">
      <c r="A17" s="2979"/>
      <c r="B17" s="2982"/>
      <c r="C17" s="2986" t="s">
        <v>275</v>
      </c>
      <c r="D17" s="224" t="s">
        <v>205</v>
      </c>
      <c r="E17" s="172" t="s">
        <v>206</v>
      </c>
      <c r="F17" s="172" t="s">
        <v>24</v>
      </c>
      <c r="G17" s="172">
        <v>36</v>
      </c>
      <c r="H17" s="172" t="s">
        <v>196</v>
      </c>
      <c r="I17" s="241">
        <v>0</v>
      </c>
      <c r="J17" s="242">
        <v>0</v>
      </c>
      <c r="K17" s="19" t="e">
        <f t="shared" si="0"/>
        <v>#DIV/0!</v>
      </c>
      <c r="L17" s="241">
        <v>0</v>
      </c>
      <c r="M17" s="242">
        <v>0</v>
      </c>
      <c r="N17" s="19" t="e">
        <f t="shared" si="1"/>
        <v>#DIV/0!</v>
      </c>
      <c r="O17" s="241">
        <v>0</v>
      </c>
      <c r="P17" s="242">
        <v>0</v>
      </c>
      <c r="Q17" s="19" t="e">
        <f t="shared" si="2"/>
        <v>#DIV/0!</v>
      </c>
      <c r="R17" s="241">
        <v>0</v>
      </c>
      <c r="S17" s="242">
        <v>0</v>
      </c>
      <c r="T17" s="19" t="e">
        <f t="shared" si="3"/>
        <v>#DIV/0!</v>
      </c>
      <c r="U17" s="241">
        <v>18</v>
      </c>
      <c r="V17" s="243">
        <v>3</v>
      </c>
      <c r="W17" s="19">
        <f t="shared" si="4"/>
        <v>0.16666666666666666</v>
      </c>
      <c r="X17" s="241">
        <v>0</v>
      </c>
      <c r="Y17" s="242">
        <v>0</v>
      </c>
      <c r="Z17" s="19" t="e">
        <f t="shared" si="5"/>
        <v>#DIV/0!</v>
      </c>
      <c r="AA17" s="244">
        <f t="shared" si="6"/>
        <v>3</v>
      </c>
      <c r="AB17" s="19">
        <f t="shared" si="7"/>
        <v>8.3333333333333329E-2</v>
      </c>
      <c r="AC17" s="241">
        <v>0</v>
      </c>
      <c r="AD17" s="242">
        <v>0</v>
      </c>
      <c r="AE17" s="19" t="e">
        <f t="shared" si="8"/>
        <v>#DIV/0!</v>
      </c>
      <c r="AF17" s="241">
        <v>0</v>
      </c>
      <c r="AG17" s="242"/>
      <c r="AH17" s="19" t="e">
        <f t="shared" si="9"/>
        <v>#DIV/0!</v>
      </c>
      <c r="AI17" s="241">
        <v>18</v>
      </c>
      <c r="AJ17" s="242">
        <v>33</v>
      </c>
      <c r="AK17" s="19">
        <f t="shared" si="10"/>
        <v>1.8333333333333333</v>
      </c>
      <c r="AL17" s="241">
        <v>0</v>
      </c>
      <c r="AM17" s="242"/>
      <c r="AN17" s="19" t="e">
        <f t="shared" si="11"/>
        <v>#DIV/0!</v>
      </c>
      <c r="AO17" s="241">
        <v>0</v>
      </c>
      <c r="AP17" s="242"/>
      <c r="AQ17" s="19" t="e">
        <f t="shared" si="12"/>
        <v>#DIV/0!</v>
      </c>
      <c r="AR17" s="241">
        <v>0</v>
      </c>
      <c r="AS17" s="242"/>
      <c r="AT17" s="19" t="e">
        <f t="shared" si="13"/>
        <v>#DIV/0!</v>
      </c>
      <c r="AU17" s="245">
        <f t="shared" si="14"/>
        <v>36</v>
      </c>
      <c r="AV17" s="73">
        <f t="shared" si="15"/>
        <v>1</v>
      </c>
    </row>
    <row r="18" spans="1:48" ht="57.75" customHeight="1" thickTop="1" thickBot="1">
      <c r="A18" s="2979"/>
      <c r="B18" s="2982"/>
      <c r="C18" s="2987"/>
      <c r="D18" s="236" t="s">
        <v>207</v>
      </c>
      <c r="E18" s="72" t="s">
        <v>206</v>
      </c>
      <c r="F18" s="72" t="s">
        <v>24</v>
      </c>
      <c r="G18" s="72">
        <v>41</v>
      </c>
      <c r="H18" s="238" t="s">
        <v>196</v>
      </c>
      <c r="I18" s="246">
        <v>0</v>
      </c>
      <c r="J18" s="247">
        <v>0</v>
      </c>
      <c r="K18" s="19" t="e">
        <f t="shared" si="0"/>
        <v>#DIV/0!</v>
      </c>
      <c r="L18" s="246">
        <v>0</v>
      </c>
      <c r="M18" s="247">
        <v>0</v>
      </c>
      <c r="N18" s="19" t="e">
        <f t="shared" si="1"/>
        <v>#DIV/0!</v>
      </c>
      <c r="O18" s="246">
        <v>0</v>
      </c>
      <c r="P18" s="247">
        <v>0</v>
      </c>
      <c r="Q18" s="19" t="e">
        <f t="shared" si="2"/>
        <v>#DIV/0!</v>
      </c>
      <c r="R18" s="246">
        <v>0</v>
      </c>
      <c r="S18" s="247">
        <v>0</v>
      </c>
      <c r="T18" s="19" t="e">
        <f t="shared" si="3"/>
        <v>#DIV/0!</v>
      </c>
      <c r="U18" s="246">
        <v>20</v>
      </c>
      <c r="V18" s="248">
        <v>20</v>
      </c>
      <c r="W18" s="19">
        <f t="shared" si="4"/>
        <v>1</v>
      </c>
      <c r="X18" s="246">
        <v>0</v>
      </c>
      <c r="Y18" s="247">
        <v>0</v>
      </c>
      <c r="Z18" s="19" t="e">
        <f t="shared" si="5"/>
        <v>#DIV/0!</v>
      </c>
      <c r="AA18" s="246">
        <f>+V18</f>
        <v>20</v>
      </c>
      <c r="AB18" s="19">
        <f t="shared" si="7"/>
        <v>0.48780487804878048</v>
      </c>
      <c r="AC18" s="246">
        <v>0</v>
      </c>
      <c r="AD18" s="247">
        <v>0</v>
      </c>
      <c r="AE18" s="19" t="e">
        <f t="shared" si="8"/>
        <v>#DIV/0!</v>
      </c>
      <c r="AF18" s="246">
        <v>0</v>
      </c>
      <c r="AG18" s="247"/>
      <c r="AH18" s="19" t="e">
        <f t="shared" si="9"/>
        <v>#DIV/0!</v>
      </c>
      <c r="AI18" s="246">
        <v>0</v>
      </c>
      <c r="AJ18" s="247"/>
      <c r="AK18" s="19" t="e">
        <f t="shared" si="10"/>
        <v>#DIV/0!</v>
      </c>
      <c r="AL18" s="246">
        <v>21</v>
      </c>
      <c r="AM18" s="247">
        <v>21</v>
      </c>
      <c r="AN18" s="19">
        <f t="shared" si="11"/>
        <v>1</v>
      </c>
      <c r="AO18" s="246">
        <v>0</v>
      </c>
      <c r="AP18" s="247"/>
      <c r="AQ18" s="19" t="e">
        <f t="shared" si="12"/>
        <v>#DIV/0!</v>
      </c>
      <c r="AR18" s="246">
        <v>0</v>
      </c>
      <c r="AS18" s="247"/>
      <c r="AT18" s="19" t="e">
        <f t="shared" si="13"/>
        <v>#DIV/0!</v>
      </c>
      <c r="AU18" s="245">
        <f>+V18+AM18</f>
        <v>41</v>
      </c>
      <c r="AV18" s="73">
        <f t="shared" si="15"/>
        <v>1</v>
      </c>
    </row>
    <row r="19" spans="1:48" ht="57" customHeight="1" thickTop="1" thickBot="1">
      <c r="A19" s="2979"/>
      <c r="B19" s="2982"/>
      <c r="C19" s="2988"/>
      <c r="D19" s="224" t="s">
        <v>276</v>
      </c>
      <c r="E19" s="172" t="s">
        <v>209</v>
      </c>
      <c r="F19" s="249" t="s">
        <v>10</v>
      </c>
      <c r="G19" s="250">
        <v>0.55000000000000004</v>
      </c>
      <c r="H19" s="172" t="s">
        <v>196</v>
      </c>
      <c r="I19" s="251">
        <v>0.55000000000000004</v>
      </c>
      <c r="J19" s="252">
        <v>0.37</v>
      </c>
      <c r="K19" s="19">
        <f t="shared" si="0"/>
        <v>0.67272727272727262</v>
      </c>
      <c r="L19" s="251">
        <v>0.55000000000000004</v>
      </c>
      <c r="M19" s="252">
        <v>0.24</v>
      </c>
      <c r="N19" s="19">
        <f t="shared" si="1"/>
        <v>0.43636363636363629</v>
      </c>
      <c r="O19" s="251">
        <v>0.55000000000000004</v>
      </c>
      <c r="P19" s="253">
        <v>0.46500000000000002</v>
      </c>
      <c r="Q19" s="19">
        <f t="shared" si="2"/>
        <v>0.84545454545454546</v>
      </c>
      <c r="R19" s="251">
        <v>0.55000000000000004</v>
      </c>
      <c r="S19" s="252">
        <v>0</v>
      </c>
      <c r="T19" s="19">
        <f t="shared" si="3"/>
        <v>0</v>
      </c>
      <c r="U19" s="251">
        <v>0.55000000000000004</v>
      </c>
      <c r="V19" s="254">
        <v>0</v>
      </c>
      <c r="W19" s="19">
        <f t="shared" si="4"/>
        <v>0</v>
      </c>
      <c r="X19" s="251">
        <v>0.55000000000000004</v>
      </c>
      <c r="Y19" s="255">
        <v>0.155</v>
      </c>
      <c r="Z19" s="19">
        <f t="shared" si="5"/>
        <v>0.2818181818181818</v>
      </c>
      <c r="AA19" s="256">
        <f>(J19+M19+P19+S19+V19+Y19)/6</f>
        <v>0.20499999999999999</v>
      </c>
      <c r="AB19" s="19">
        <f t="shared" si="7"/>
        <v>0.37272727272727268</v>
      </c>
      <c r="AC19" s="251">
        <v>0.55000000000000004</v>
      </c>
      <c r="AD19" s="254">
        <v>0.51</v>
      </c>
      <c r="AE19" s="19">
        <f t="shared" si="8"/>
        <v>0.92727272727272725</v>
      </c>
      <c r="AF19" s="251">
        <v>0.55000000000000004</v>
      </c>
      <c r="AG19" s="254">
        <v>0.49</v>
      </c>
      <c r="AH19" s="19">
        <f t="shared" si="9"/>
        <v>0.89090909090909087</v>
      </c>
      <c r="AI19" s="251">
        <v>0.55000000000000004</v>
      </c>
      <c r="AJ19" s="254">
        <v>0.61</v>
      </c>
      <c r="AK19" s="19">
        <f t="shared" si="10"/>
        <v>1.1090909090909089</v>
      </c>
      <c r="AL19" s="251">
        <v>0.55000000000000004</v>
      </c>
      <c r="AM19" s="254">
        <v>0.75</v>
      </c>
      <c r="AN19" s="19">
        <f t="shared" si="11"/>
        <v>1.3636363636363635</v>
      </c>
      <c r="AO19" s="251">
        <v>0.55000000000000004</v>
      </c>
      <c r="AP19" s="254">
        <v>0.59</v>
      </c>
      <c r="AQ19" s="19">
        <f t="shared" si="12"/>
        <v>1.0727272727272725</v>
      </c>
      <c r="AR19" s="251">
        <v>0.55000000000000004</v>
      </c>
      <c r="AS19" s="254">
        <v>0.48</v>
      </c>
      <c r="AT19" s="19">
        <f t="shared" si="13"/>
        <v>0.87272727272727257</v>
      </c>
      <c r="AU19" s="249">
        <f>(J19+M19+P19+S19+V19+Y19+AD19+AG19+AJ19+AM19+AP19+AS19)/10</f>
        <v>0.46600000000000003</v>
      </c>
      <c r="AV19" s="73">
        <f t="shared" si="15"/>
        <v>0.84727272727272729</v>
      </c>
    </row>
    <row r="20" spans="1:48" ht="106.5" customHeight="1" thickTop="1" thickBot="1">
      <c r="A20" s="2979"/>
      <c r="B20" s="2982"/>
      <c r="C20" s="257" t="s">
        <v>277</v>
      </c>
      <c r="D20" s="236" t="s">
        <v>211</v>
      </c>
      <c r="E20" s="72" t="s">
        <v>212</v>
      </c>
      <c r="F20" s="72" t="s">
        <v>24</v>
      </c>
      <c r="G20" s="258">
        <v>1</v>
      </c>
      <c r="H20" s="72" t="s">
        <v>140</v>
      </c>
      <c r="I20" s="259">
        <v>0</v>
      </c>
      <c r="J20" s="260"/>
      <c r="K20" s="19" t="e">
        <f t="shared" si="0"/>
        <v>#DIV/0!</v>
      </c>
      <c r="L20" s="259">
        <v>0</v>
      </c>
      <c r="M20" s="261"/>
      <c r="N20" s="19" t="e">
        <f t="shared" si="1"/>
        <v>#DIV/0!</v>
      </c>
      <c r="O20" s="259">
        <v>1</v>
      </c>
      <c r="P20" s="260">
        <v>1</v>
      </c>
      <c r="Q20" s="19">
        <f t="shared" si="2"/>
        <v>1</v>
      </c>
      <c r="R20" s="259">
        <v>0</v>
      </c>
      <c r="S20" s="261"/>
      <c r="T20" s="19" t="e">
        <f t="shared" si="3"/>
        <v>#DIV/0!</v>
      </c>
      <c r="U20" s="259">
        <v>0</v>
      </c>
      <c r="V20" s="261"/>
      <c r="W20" s="19" t="e">
        <f t="shared" si="4"/>
        <v>#DIV/0!</v>
      </c>
      <c r="X20" s="259">
        <v>0</v>
      </c>
      <c r="Y20" s="261"/>
      <c r="Z20" s="19" t="e">
        <f t="shared" si="5"/>
        <v>#DIV/0!</v>
      </c>
      <c r="AA20" s="262">
        <f>+P20</f>
        <v>1</v>
      </c>
      <c r="AB20" s="19">
        <f t="shared" si="7"/>
        <v>1</v>
      </c>
      <c r="AC20" s="259">
        <v>0</v>
      </c>
      <c r="AD20" s="261"/>
      <c r="AE20" s="19" t="e">
        <f t="shared" si="8"/>
        <v>#DIV/0!</v>
      </c>
      <c r="AF20" s="259">
        <v>0</v>
      </c>
      <c r="AG20" s="261"/>
      <c r="AH20" s="19" t="e">
        <f t="shared" si="9"/>
        <v>#DIV/0!</v>
      </c>
      <c r="AI20" s="259">
        <v>0</v>
      </c>
      <c r="AJ20" s="261"/>
      <c r="AK20" s="19" t="e">
        <f t="shared" si="10"/>
        <v>#DIV/0!</v>
      </c>
      <c r="AL20" s="259">
        <v>0</v>
      </c>
      <c r="AM20" s="261"/>
      <c r="AN20" s="19" t="e">
        <f t="shared" si="11"/>
        <v>#DIV/0!</v>
      </c>
      <c r="AO20" s="259">
        <v>0</v>
      </c>
      <c r="AP20" s="261">
        <v>0</v>
      </c>
      <c r="AQ20" s="19" t="e">
        <f t="shared" si="12"/>
        <v>#DIV/0!</v>
      </c>
      <c r="AR20" s="259">
        <v>0</v>
      </c>
      <c r="AS20" s="261"/>
      <c r="AT20" s="19" t="e">
        <f t="shared" si="13"/>
        <v>#DIV/0!</v>
      </c>
      <c r="AU20" s="263">
        <f>+AS20+AP20+AM20+AJ20+AG20+AD20+Y20+V20+S20+P20+M20+J20</f>
        <v>1</v>
      </c>
      <c r="AV20" s="73">
        <f t="shared" si="15"/>
        <v>1</v>
      </c>
    </row>
    <row r="21" spans="1:48" ht="123.75" customHeight="1" thickTop="1" thickBot="1">
      <c r="A21" s="2979"/>
      <c r="B21" s="2982"/>
      <c r="C21" s="264" t="s">
        <v>278</v>
      </c>
      <c r="D21" s="224" t="s">
        <v>214</v>
      </c>
      <c r="E21" s="172" t="s">
        <v>215</v>
      </c>
      <c r="F21" s="172" t="s">
        <v>24</v>
      </c>
      <c r="G21" s="265">
        <v>2</v>
      </c>
      <c r="H21" s="265" t="s">
        <v>140</v>
      </c>
      <c r="I21" s="266">
        <v>0</v>
      </c>
      <c r="J21" s="267"/>
      <c r="K21" s="19" t="e">
        <f t="shared" si="0"/>
        <v>#DIV/0!</v>
      </c>
      <c r="L21" s="266">
        <v>0</v>
      </c>
      <c r="M21" s="268"/>
      <c r="N21" s="19" t="e">
        <f t="shared" si="1"/>
        <v>#DIV/0!</v>
      </c>
      <c r="O21" s="266">
        <v>0</v>
      </c>
      <c r="P21" s="268"/>
      <c r="Q21" s="19" t="e">
        <f t="shared" si="2"/>
        <v>#DIV/0!</v>
      </c>
      <c r="R21" s="266">
        <v>0</v>
      </c>
      <c r="S21" s="268"/>
      <c r="T21" s="19" t="e">
        <f t="shared" si="3"/>
        <v>#DIV/0!</v>
      </c>
      <c r="U21" s="266">
        <v>1</v>
      </c>
      <c r="V21" s="267">
        <v>1</v>
      </c>
      <c r="W21" s="19">
        <f t="shared" si="4"/>
        <v>1</v>
      </c>
      <c r="X21" s="266">
        <v>0</v>
      </c>
      <c r="Y21" s="268"/>
      <c r="Z21" s="19" t="e">
        <f t="shared" si="5"/>
        <v>#DIV/0!</v>
      </c>
      <c r="AA21" s="266">
        <f>V21</f>
        <v>1</v>
      </c>
      <c r="AB21" s="19">
        <f t="shared" si="7"/>
        <v>0.5</v>
      </c>
      <c r="AC21" s="266">
        <v>0</v>
      </c>
      <c r="AD21" s="268"/>
      <c r="AE21" s="19" t="e">
        <f t="shared" si="8"/>
        <v>#DIV/0!</v>
      </c>
      <c r="AF21" s="266">
        <v>1</v>
      </c>
      <c r="AG21" s="267">
        <v>1</v>
      </c>
      <c r="AH21" s="19">
        <f t="shared" si="9"/>
        <v>1</v>
      </c>
      <c r="AI21" s="266">
        <v>0</v>
      </c>
      <c r="AJ21" s="268"/>
      <c r="AK21" s="19" t="e">
        <f t="shared" si="10"/>
        <v>#DIV/0!</v>
      </c>
      <c r="AL21" s="266">
        <v>0</v>
      </c>
      <c r="AM21" s="268"/>
      <c r="AN21" s="19" t="e">
        <f t="shared" si="11"/>
        <v>#DIV/0!</v>
      </c>
      <c r="AO21" s="266">
        <v>0</v>
      </c>
      <c r="AP21" s="268">
        <v>0</v>
      </c>
      <c r="AQ21" s="19" t="e">
        <f t="shared" si="12"/>
        <v>#DIV/0!</v>
      </c>
      <c r="AR21" s="266">
        <v>0</v>
      </c>
      <c r="AS21" s="268"/>
      <c r="AT21" s="19" t="e">
        <f t="shared" si="13"/>
        <v>#DIV/0!</v>
      </c>
      <c r="AU21" s="245">
        <f>+V21+AG21</f>
        <v>2</v>
      </c>
      <c r="AV21" s="73">
        <f t="shared" si="15"/>
        <v>1</v>
      </c>
    </row>
    <row r="22" spans="1:48" ht="60.75" customHeight="1" thickTop="1" thickBot="1">
      <c r="A22" s="2979"/>
      <c r="B22" s="2982"/>
      <c r="C22" s="2974" t="s">
        <v>119</v>
      </c>
      <c r="D22" s="236" t="s">
        <v>279</v>
      </c>
      <c r="E22" s="72" t="s">
        <v>121</v>
      </c>
      <c r="F22" s="72" t="s">
        <v>10</v>
      </c>
      <c r="G22" s="269">
        <v>0.64100000000000001</v>
      </c>
      <c r="H22" s="72" t="s">
        <v>7</v>
      </c>
      <c r="I22" s="270">
        <v>0.64100000000000001</v>
      </c>
      <c r="J22" s="271">
        <v>1</v>
      </c>
      <c r="K22" s="19">
        <f t="shared" si="0"/>
        <v>1.5600624024960998</v>
      </c>
      <c r="L22" s="270">
        <v>0.64100000000000001</v>
      </c>
      <c r="M22" s="272">
        <v>0.8</v>
      </c>
      <c r="N22" s="19">
        <f t="shared" si="1"/>
        <v>1.2480499219968799</v>
      </c>
      <c r="O22" s="270">
        <v>0.64100000000000001</v>
      </c>
      <c r="P22" s="272">
        <v>1</v>
      </c>
      <c r="Q22" s="19">
        <f t="shared" si="2"/>
        <v>1.5600624024960998</v>
      </c>
      <c r="R22" s="270">
        <v>0.64100000000000001</v>
      </c>
      <c r="S22" s="272">
        <v>0</v>
      </c>
      <c r="T22" s="19">
        <f t="shared" si="3"/>
        <v>0</v>
      </c>
      <c r="U22" s="270">
        <v>0.64100000000000001</v>
      </c>
      <c r="V22" s="272">
        <v>0</v>
      </c>
      <c r="W22" s="19">
        <f t="shared" si="4"/>
        <v>0</v>
      </c>
      <c r="X22" s="270">
        <v>0.64100000000000001</v>
      </c>
      <c r="Y22" s="272">
        <v>0</v>
      </c>
      <c r="Z22" s="19">
        <f t="shared" si="5"/>
        <v>0</v>
      </c>
      <c r="AA22" s="270">
        <f t="shared" si="6"/>
        <v>2.8</v>
      </c>
      <c r="AB22" s="19">
        <f t="shared" si="7"/>
        <v>4.3681747269890794</v>
      </c>
      <c r="AC22" s="270">
        <v>0.64100000000000001</v>
      </c>
      <c r="AD22" s="272">
        <v>0.71399999999999997</v>
      </c>
      <c r="AE22" s="19">
        <f t="shared" si="8"/>
        <v>1.1138845553822152</v>
      </c>
      <c r="AF22" s="270">
        <v>0.64100000000000001</v>
      </c>
      <c r="AG22" s="272">
        <v>0.66700000000000004</v>
      </c>
      <c r="AH22" s="19">
        <f t="shared" si="9"/>
        <v>1.0405616224648986</v>
      </c>
      <c r="AI22" s="270">
        <v>0.64100000000000001</v>
      </c>
      <c r="AJ22" s="272">
        <v>0.5</v>
      </c>
      <c r="AK22" s="19">
        <f t="shared" si="10"/>
        <v>0.78003120124804992</v>
      </c>
      <c r="AL22" s="270">
        <v>0.64100000000000001</v>
      </c>
      <c r="AM22" s="272">
        <v>0.55600000000000005</v>
      </c>
      <c r="AN22" s="19">
        <f t="shared" si="11"/>
        <v>0.86739469578783157</v>
      </c>
      <c r="AO22" s="270">
        <v>0.64100000000000001</v>
      </c>
      <c r="AP22" s="273">
        <v>1</v>
      </c>
      <c r="AQ22" s="19">
        <f t="shared" si="12"/>
        <v>1.5600624024960998</v>
      </c>
      <c r="AR22" s="274" t="s">
        <v>280</v>
      </c>
      <c r="AS22" s="145">
        <v>0.70179999999999998</v>
      </c>
      <c r="AT22" s="19" t="e">
        <f t="shared" si="13"/>
        <v>#VALUE!</v>
      </c>
      <c r="AU22" s="275">
        <f>+AS22</f>
        <v>0.70179999999999998</v>
      </c>
      <c r="AV22" s="276">
        <f t="shared" si="15"/>
        <v>1.0948517940717628</v>
      </c>
    </row>
    <row r="23" spans="1:48" ht="65.25" customHeight="1" thickTop="1" thickBot="1">
      <c r="A23" s="2979"/>
      <c r="B23" s="2982"/>
      <c r="C23" s="2975"/>
      <c r="D23" s="224" t="s">
        <v>122</v>
      </c>
      <c r="E23" s="172" t="s">
        <v>123</v>
      </c>
      <c r="F23" s="172" t="s">
        <v>10</v>
      </c>
      <c r="G23" s="250">
        <v>1</v>
      </c>
      <c r="H23" s="72" t="s">
        <v>7</v>
      </c>
      <c r="I23" s="251">
        <v>0</v>
      </c>
      <c r="J23" s="243"/>
      <c r="K23" s="19" t="e">
        <f t="shared" si="0"/>
        <v>#DIV/0!</v>
      </c>
      <c r="L23" s="251">
        <v>0</v>
      </c>
      <c r="M23" s="242"/>
      <c r="N23" s="19" t="e">
        <f t="shared" si="1"/>
        <v>#DIV/0!</v>
      </c>
      <c r="O23" s="251">
        <v>0</v>
      </c>
      <c r="P23" s="242"/>
      <c r="Q23" s="19" t="e">
        <f t="shared" si="2"/>
        <v>#DIV/0!</v>
      </c>
      <c r="R23" s="251">
        <v>1</v>
      </c>
      <c r="S23" s="254">
        <v>1</v>
      </c>
      <c r="T23" s="19">
        <f t="shared" si="3"/>
        <v>1</v>
      </c>
      <c r="U23" s="251">
        <v>0</v>
      </c>
      <c r="V23" s="242"/>
      <c r="W23" s="19" t="e">
        <f t="shared" si="4"/>
        <v>#DIV/0!</v>
      </c>
      <c r="X23" s="251">
        <v>0</v>
      </c>
      <c r="Y23" s="242"/>
      <c r="Z23" s="19" t="e">
        <f t="shared" si="5"/>
        <v>#DIV/0!</v>
      </c>
      <c r="AA23" s="256">
        <f>+S23</f>
        <v>1</v>
      </c>
      <c r="AB23" s="19">
        <f t="shared" si="7"/>
        <v>1</v>
      </c>
      <c r="AC23" s="251">
        <v>0</v>
      </c>
      <c r="AD23" s="242"/>
      <c r="AE23" s="19" t="e">
        <f t="shared" si="8"/>
        <v>#DIV/0!</v>
      </c>
      <c r="AF23" s="251">
        <v>0</v>
      </c>
      <c r="AG23" s="242"/>
      <c r="AH23" s="19" t="e">
        <f t="shared" si="9"/>
        <v>#DIV/0!</v>
      </c>
      <c r="AI23" s="251">
        <v>0</v>
      </c>
      <c r="AJ23" s="242"/>
      <c r="AK23" s="19" t="e">
        <f t="shared" si="10"/>
        <v>#DIV/0!</v>
      </c>
      <c r="AL23" s="251">
        <v>1</v>
      </c>
      <c r="AM23" s="254">
        <v>1</v>
      </c>
      <c r="AN23" s="19">
        <f t="shared" si="11"/>
        <v>1</v>
      </c>
      <c r="AO23" s="251">
        <v>0</v>
      </c>
      <c r="AP23" s="242"/>
      <c r="AQ23" s="19" t="e">
        <f t="shared" si="12"/>
        <v>#DIV/0!</v>
      </c>
      <c r="AR23" s="251">
        <v>0</v>
      </c>
      <c r="AS23" s="242"/>
      <c r="AT23" s="19" t="e">
        <f t="shared" si="13"/>
        <v>#DIV/0!</v>
      </c>
      <c r="AU23" s="249">
        <f>(S23+AM23)/2</f>
        <v>1</v>
      </c>
      <c r="AV23" s="73">
        <f t="shared" si="15"/>
        <v>1</v>
      </c>
    </row>
    <row r="24" spans="1:48" ht="77.45" customHeight="1" thickTop="1" thickBot="1">
      <c r="A24" s="2979"/>
      <c r="B24" s="2982"/>
      <c r="C24" s="2975"/>
      <c r="D24" s="236" t="s">
        <v>124</v>
      </c>
      <c r="E24" s="72" t="s">
        <v>125</v>
      </c>
      <c r="F24" s="72" t="s">
        <v>10</v>
      </c>
      <c r="G24" s="277">
        <v>1</v>
      </c>
      <c r="H24" s="72" t="s">
        <v>7</v>
      </c>
      <c r="I24" s="262">
        <v>0</v>
      </c>
      <c r="J24" s="261"/>
      <c r="K24" s="19" t="e">
        <f t="shared" si="0"/>
        <v>#DIV/0!</v>
      </c>
      <c r="L24" s="262">
        <v>0</v>
      </c>
      <c r="M24" s="261"/>
      <c r="N24" s="19" t="e">
        <f t="shared" si="1"/>
        <v>#DIV/0!</v>
      </c>
      <c r="O24" s="278">
        <v>1</v>
      </c>
      <c r="P24" s="279">
        <v>1</v>
      </c>
      <c r="Q24" s="19">
        <f t="shared" si="2"/>
        <v>1</v>
      </c>
      <c r="R24" s="262">
        <v>0</v>
      </c>
      <c r="S24" s="261"/>
      <c r="T24" s="19" t="e">
        <f t="shared" si="3"/>
        <v>#DIV/0!</v>
      </c>
      <c r="U24" s="262">
        <v>0</v>
      </c>
      <c r="V24" s="261"/>
      <c r="W24" s="19" t="e">
        <f t="shared" si="4"/>
        <v>#DIV/0!</v>
      </c>
      <c r="X24" s="278">
        <v>1</v>
      </c>
      <c r="Y24" s="279">
        <v>1</v>
      </c>
      <c r="Z24" s="19">
        <f t="shared" si="5"/>
        <v>1</v>
      </c>
      <c r="AA24" s="280">
        <f>(P24+Y24)/2</f>
        <v>1</v>
      </c>
      <c r="AB24" s="19">
        <f t="shared" si="7"/>
        <v>1</v>
      </c>
      <c r="AC24" s="262">
        <v>0</v>
      </c>
      <c r="AD24" s="261"/>
      <c r="AE24" s="19" t="e">
        <f t="shared" si="8"/>
        <v>#DIV/0!</v>
      </c>
      <c r="AF24" s="262">
        <v>0</v>
      </c>
      <c r="AG24" s="261"/>
      <c r="AH24" s="19" t="e">
        <f t="shared" si="9"/>
        <v>#DIV/0!</v>
      </c>
      <c r="AI24" s="278">
        <v>1</v>
      </c>
      <c r="AJ24" s="279">
        <v>1</v>
      </c>
      <c r="AK24" s="19">
        <f t="shared" si="10"/>
        <v>1</v>
      </c>
      <c r="AL24" s="262">
        <v>0</v>
      </c>
      <c r="AM24" s="261"/>
      <c r="AN24" s="19" t="e">
        <f t="shared" si="11"/>
        <v>#DIV/0!</v>
      </c>
      <c r="AO24" s="262">
        <v>0</v>
      </c>
      <c r="AP24" s="261"/>
      <c r="AQ24" s="19" t="e">
        <f t="shared" si="12"/>
        <v>#DIV/0!</v>
      </c>
      <c r="AR24" s="278">
        <v>1</v>
      </c>
      <c r="AS24" s="281">
        <v>1</v>
      </c>
      <c r="AT24" s="19">
        <f t="shared" si="13"/>
        <v>1</v>
      </c>
      <c r="AU24" s="249">
        <f>(P24+Y24+AJ24+AS24)/4</f>
        <v>1</v>
      </c>
      <c r="AV24" s="73">
        <f t="shared" si="15"/>
        <v>1</v>
      </c>
    </row>
    <row r="25" spans="1:48" ht="62.25" customHeight="1" thickTop="1" thickBot="1">
      <c r="A25" s="2979"/>
      <c r="B25" s="2982"/>
      <c r="C25" s="2975"/>
      <c r="D25" s="224" t="s">
        <v>126</v>
      </c>
      <c r="E25" s="172" t="s">
        <v>127</v>
      </c>
      <c r="F25" s="172" t="s">
        <v>10</v>
      </c>
      <c r="G25" s="250">
        <v>0.2</v>
      </c>
      <c r="H25" s="72" t="s">
        <v>7</v>
      </c>
      <c r="I25" s="251">
        <v>0.2</v>
      </c>
      <c r="J25" s="254">
        <v>0.2</v>
      </c>
      <c r="K25" s="19">
        <f t="shared" si="0"/>
        <v>1</v>
      </c>
      <c r="L25" s="251">
        <v>0.2</v>
      </c>
      <c r="M25" s="254">
        <v>0.2</v>
      </c>
      <c r="N25" s="19">
        <f t="shared" si="1"/>
        <v>1</v>
      </c>
      <c r="O25" s="251">
        <v>0.2</v>
      </c>
      <c r="P25" s="254">
        <v>0.2</v>
      </c>
      <c r="Q25" s="19">
        <f t="shared" si="2"/>
        <v>1</v>
      </c>
      <c r="R25" s="251">
        <v>0.2</v>
      </c>
      <c r="S25" s="254">
        <v>0.2</v>
      </c>
      <c r="T25" s="19">
        <f t="shared" si="3"/>
        <v>1</v>
      </c>
      <c r="U25" s="251">
        <v>0.2</v>
      </c>
      <c r="V25" s="254">
        <v>0.2</v>
      </c>
      <c r="W25" s="19">
        <f t="shared" si="4"/>
        <v>1</v>
      </c>
      <c r="X25" s="251">
        <v>0.2</v>
      </c>
      <c r="Y25" s="254">
        <v>0.2</v>
      </c>
      <c r="Z25" s="19">
        <f t="shared" si="5"/>
        <v>1</v>
      </c>
      <c r="AA25" s="256">
        <f>(J25+M25+P25+S25+V25+Y25)/6</f>
        <v>0.19999999999999998</v>
      </c>
      <c r="AB25" s="19">
        <f t="shared" si="7"/>
        <v>0.99999999999999989</v>
      </c>
      <c r="AC25" s="251">
        <v>0.2</v>
      </c>
      <c r="AD25" s="254">
        <v>0.2</v>
      </c>
      <c r="AE25" s="19">
        <f t="shared" si="8"/>
        <v>1</v>
      </c>
      <c r="AF25" s="251">
        <v>0.2</v>
      </c>
      <c r="AG25" s="254">
        <v>0.2</v>
      </c>
      <c r="AH25" s="19">
        <f t="shared" si="9"/>
        <v>1</v>
      </c>
      <c r="AI25" s="251">
        <v>0.2</v>
      </c>
      <c r="AJ25" s="254">
        <v>0.2</v>
      </c>
      <c r="AK25" s="19">
        <f t="shared" si="10"/>
        <v>1</v>
      </c>
      <c r="AL25" s="251">
        <v>0.2</v>
      </c>
      <c r="AM25" s="254">
        <v>0.2</v>
      </c>
      <c r="AN25" s="19">
        <f t="shared" si="11"/>
        <v>1</v>
      </c>
      <c r="AO25" s="251">
        <v>0.2</v>
      </c>
      <c r="AP25" s="254">
        <v>0.2</v>
      </c>
      <c r="AQ25" s="19">
        <f t="shared" si="12"/>
        <v>1</v>
      </c>
      <c r="AR25" s="251">
        <v>0.2</v>
      </c>
      <c r="AS25" s="252">
        <v>0.2</v>
      </c>
      <c r="AT25" s="19">
        <f t="shared" si="13"/>
        <v>1</v>
      </c>
      <c r="AU25" s="249">
        <f>(J25+M25+P25+S25+V25+Y25+AD25+AG25+AJ25+AM25+AP25+AS25)/12</f>
        <v>0.19999999999999998</v>
      </c>
      <c r="AV25" s="73">
        <f t="shared" si="15"/>
        <v>0.99999999999999989</v>
      </c>
    </row>
    <row r="26" spans="1:48" ht="77.45" customHeight="1" thickTop="1" thickBot="1">
      <c r="A26" s="2979"/>
      <c r="B26" s="2982"/>
      <c r="C26" s="2975"/>
      <c r="D26" s="236" t="s">
        <v>128</v>
      </c>
      <c r="E26" s="72" t="s">
        <v>281</v>
      </c>
      <c r="F26" s="72" t="s">
        <v>10</v>
      </c>
      <c r="G26" s="277">
        <v>1</v>
      </c>
      <c r="H26" s="72" t="s">
        <v>7</v>
      </c>
      <c r="I26" s="278">
        <v>1</v>
      </c>
      <c r="J26" s="261"/>
      <c r="K26" s="19">
        <f t="shared" si="0"/>
        <v>0</v>
      </c>
      <c r="L26" s="278">
        <v>1</v>
      </c>
      <c r="M26" s="261"/>
      <c r="N26" s="19">
        <f t="shared" si="1"/>
        <v>0</v>
      </c>
      <c r="O26" s="278">
        <v>1</v>
      </c>
      <c r="P26" s="261"/>
      <c r="Q26" s="19">
        <f t="shared" si="2"/>
        <v>0</v>
      </c>
      <c r="R26" s="278">
        <v>1</v>
      </c>
      <c r="S26" s="261"/>
      <c r="T26" s="19">
        <f t="shared" si="3"/>
        <v>0</v>
      </c>
      <c r="U26" s="278">
        <v>1</v>
      </c>
      <c r="V26" s="261"/>
      <c r="W26" s="19">
        <f t="shared" si="4"/>
        <v>0</v>
      </c>
      <c r="X26" s="278">
        <v>1</v>
      </c>
      <c r="Y26" s="261"/>
      <c r="Z26" s="19">
        <f t="shared" si="5"/>
        <v>0</v>
      </c>
      <c r="AA26" s="280">
        <f>(J26+M26+P26+S26+V26+Y26)/6</f>
        <v>0</v>
      </c>
      <c r="AB26" s="19">
        <f t="shared" si="7"/>
        <v>0</v>
      </c>
      <c r="AC26" s="278">
        <v>1</v>
      </c>
      <c r="AD26" s="261"/>
      <c r="AE26" s="19">
        <f t="shared" si="8"/>
        <v>0</v>
      </c>
      <c r="AF26" s="278">
        <v>1</v>
      </c>
      <c r="AG26" s="261"/>
      <c r="AH26" s="19">
        <f t="shared" si="9"/>
        <v>0</v>
      </c>
      <c r="AI26" s="278">
        <v>1</v>
      </c>
      <c r="AJ26" s="261"/>
      <c r="AK26" s="19">
        <f t="shared" si="10"/>
        <v>0</v>
      </c>
      <c r="AL26" s="278">
        <v>1</v>
      </c>
      <c r="AM26" s="261"/>
      <c r="AN26" s="19">
        <f t="shared" si="11"/>
        <v>0</v>
      </c>
      <c r="AO26" s="278">
        <v>1</v>
      </c>
      <c r="AP26" s="261"/>
      <c r="AQ26" s="19">
        <f t="shared" si="12"/>
        <v>0</v>
      </c>
      <c r="AR26" s="278">
        <v>1</v>
      </c>
      <c r="AS26" s="261"/>
      <c r="AT26" s="19">
        <f t="shared" si="13"/>
        <v>0</v>
      </c>
      <c r="AU26" s="282">
        <f>(J26+M26+P26+S26+V26+Y26+AD26+AG26+AJ26+AM26+AP26+AS26)/12</f>
        <v>0</v>
      </c>
      <c r="AV26" s="73">
        <f t="shared" si="15"/>
        <v>0</v>
      </c>
    </row>
    <row r="27" spans="1:48" ht="77.45" customHeight="1" thickTop="1" thickBot="1">
      <c r="A27" s="2979"/>
      <c r="B27" s="2982"/>
      <c r="C27" s="2975"/>
      <c r="D27" s="224" t="s">
        <v>179</v>
      </c>
      <c r="E27" s="172" t="s">
        <v>282</v>
      </c>
      <c r="F27" s="172" t="s">
        <v>10</v>
      </c>
      <c r="G27" s="250">
        <v>1</v>
      </c>
      <c r="H27" s="72" t="s">
        <v>7</v>
      </c>
      <c r="I27" s="251">
        <v>1</v>
      </c>
      <c r="J27" s="254">
        <v>1</v>
      </c>
      <c r="K27" s="19">
        <f t="shared" si="0"/>
        <v>1</v>
      </c>
      <c r="L27" s="251">
        <v>1</v>
      </c>
      <c r="M27" s="254">
        <v>1</v>
      </c>
      <c r="N27" s="19">
        <f t="shared" si="1"/>
        <v>1</v>
      </c>
      <c r="O27" s="251">
        <v>1</v>
      </c>
      <c r="P27" s="254">
        <v>1</v>
      </c>
      <c r="Q27" s="19">
        <f t="shared" si="2"/>
        <v>1</v>
      </c>
      <c r="R27" s="251">
        <v>1</v>
      </c>
      <c r="S27" s="254">
        <v>1</v>
      </c>
      <c r="T27" s="19">
        <f t="shared" si="3"/>
        <v>1</v>
      </c>
      <c r="U27" s="251">
        <v>1</v>
      </c>
      <c r="V27" s="254">
        <v>1</v>
      </c>
      <c r="W27" s="19">
        <f t="shared" si="4"/>
        <v>1</v>
      </c>
      <c r="X27" s="251">
        <v>1</v>
      </c>
      <c r="Y27" s="254">
        <v>1</v>
      </c>
      <c r="Z27" s="19">
        <f t="shared" si="5"/>
        <v>1</v>
      </c>
      <c r="AA27" s="256">
        <f>(J27+M27+P27+S27+V27+Y27)/6</f>
        <v>1</v>
      </c>
      <c r="AB27" s="19">
        <f t="shared" si="7"/>
        <v>1</v>
      </c>
      <c r="AC27" s="251">
        <v>1</v>
      </c>
      <c r="AD27" s="254">
        <v>1</v>
      </c>
      <c r="AE27" s="19">
        <f t="shared" si="8"/>
        <v>1</v>
      </c>
      <c r="AF27" s="251">
        <v>1</v>
      </c>
      <c r="AG27" s="254">
        <v>1</v>
      </c>
      <c r="AH27" s="19">
        <f t="shared" si="9"/>
        <v>1</v>
      </c>
      <c r="AI27" s="251">
        <v>1</v>
      </c>
      <c r="AJ27" s="254">
        <v>1</v>
      </c>
      <c r="AK27" s="19">
        <f t="shared" si="10"/>
        <v>1</v>
      </c>
      <c r="AL27" s="251">
        <v>1</v>
      </c>
      <c r="AM27" s="254">
        <v>1</v>
      </c>
      <c r="AN27" s="19">
        <f t="shared" si="11"/>
        <v>1</v>
      </c>
      <c r="AO27" s="251">
        <v>1</v>
      </c>
      <c r="AP27" s="254">
        <v>1</v>
      </c>
      <c r="AQ27" s="19">
        <f t="shared" si="12"/>
        <v>1</v>
      </c>
      <c r="AR27" s="251">
        <v>1</v>
      </c>
      <c r="AS27" s="252">
        <v>1</v>
      </c>
      <c r="AT27" s="19">
        <f t="shared" si="13"/>
        <v>1</v>
      </c>
      <c r="AU27" s="249">
        <f>(J27+M27+P27+S27+V27+Y27+AD27+AG27+AJ27+AM27+AP27+AS27)/12</f>
        <v>1</v>
      </c>
      <c r="AV27" s="73">
        <f t="shared" si="15"/>
        <v>1</v>
      </c>
    </row>
    <row r="28" spans="1:48" ht="77.45" customHeight="1" thickTop="1" thickBot="1">
      <c r="A28" s="2979"/>
      <c r="B28" s="2982"/>
      <c r="C28" s="2976"/>
      <c r="D28" s="236" t="s">
        <v>132</v>
      </c>
      <c r="E28" s="72" t="s">
        <v>133</v>
      </c>
      <c r="F28" s="72" t="s">
        <v>10</v>
      </c>
      <c r="G28" s="277">
        <v>1</v>
      </c>
      <c r="H28" s="72" t="s">
        <v>7</v>
      </c>
      <c r="I28" s="262">
        <v>0</v>
      </c>
      <c r="J28" s="261"/>
      <c r="K28" s="19" t="e">
        <f t="shared" si="0"/>
        <v>#DIV/0!</v>
      </c>
      <c r="L28" s="262">
        <v>0</v>
      </c>
      <c r="M28" s="261"/>
      <c r="N28" s="19" t="e">
        <f t="shared" si="1"/>
        <v>#DIV/0!</v>
      </c>
      <c r="O28" s="262">
        <v>0</v>
      </c>
      <c r="P28" s="261"/>
      <c r="Q28" s="19" t="e">
        <f t="shared" si="2"/>
        <v>#DIV/0!</v>
      </c>
      <c r="R28" s="262">
        <v>0</v>
      </c>
      <c r="S28" s="261"/>
      <c r="T28" s="19" t="e">
        <f t="shared" si="3"/>
        <v>#DIV/0!</v>
      </c>
      <c r="U28" s="262">
        <v>0</v>
      </c>
      <c r="V28" s="261"/>
      <c r="W28" s="19" t="e">
        <f t="shared" si="4"/>
        <v>#DIV/0!</v>
      </c>
      <c r="X28" s="262">
        <v>0</v>
      </c>
      <c r="Y28" s="261"/>
      <c r="Z28" s="19" t="e">
        <f t="shared" si="5"/>
        <v>#DIV/0!</v>
      </c>
      <c r="AA28" s="280">
        <f t="shared" si="6"/>
        <v>0</v>
      </c>
      <c r="AB28" s="19">
        <f t="shared" si="7"/>
        <v>0</v>
      </c>
      <c r="AC28" s="262">
        <v>0</v>
      </c>
      <c r="AD28" s="261"/>
      <c r="AE28" s="19" t="e">
        <f t="shared" si="8"/>
        <v>#DIV/0!</v>
      </c>
      <c r="AF28" s="278">
        <v>1</v>
      </c>
      <c r="AG28" s="279">
        <v>1.0900000000000001</v>
      </c>
      <c r="AH28" s="19">
        <f t="shared" si="9"/>
        <v>1.0900000000000001</v>
      </c>
      <c r="AI28" s="262">
        <v>0</v>
      </c>
      <c r="AJ28" s="261"/>
      <c r="AK28" s="19" t="e">
        <f t="shared" si="10"/>
        <v>#DIV/0!</v>
      </c>
      <c r="AL28" s="262">
        <v>0</v>
      </c>
      <c r="AM28" s="261"/>
      <c r="AN28" s="19" t="e">
        <f t="shared" si="11"/>
        <v>#DIV/0!</v>
      </c>
      <c r="AO28" s="262">
        <v>0</v>
      </c>
      <c r="AP28" s="261"/>
      <c r="AQ28" s="19" t="e">
        <f t="shared" si="12"/>
        <v>#DIV/0!</v>
      </c>
      <c r="AR28" s="262">
        <v>0</v>
      </c>
      <c r="AS28" s="261"/>
      <c r="AT28" s="19" t="e">
        <f t="shared" si="13"/>
        <v>#DIV/0!</v>
      </c>
      <c r="AU28" s="249">
        <f>AG28</f>
        <v>1.0900000000000001</v>
      </c>
      <c r="AV28" s="73">
        <f t="shared" si="15"/>
        <v>1.0900000000000001</v>
      </c>
    </row>
    <row r="29" spans="1:48" ht="54" customHeight="1" thickTop="1" thickBot="1">
      <c r="A29" s="2979"/>
      <c r="B29" s="2982"/>
      <c r="C29" s="283" t="s">
        <v>283</v>
      </c>
      <c r="D29" s="224" t="s">
        <v>135</v>
      </c>
      <c r="E29" s="172" t="s">
        <v>22</v>
      </c>
      <c r="F29" s="172" t="s">
        <v>16</v>
      </c>
      <c r="G29" s="172" t="s">
        <v>136</v>
      </c>
      <c r="H29" s="172" t="s">
        <v>23</v>
      </c>
      <c r="I29" s="284">
        <v>12016.94</v>
      </c>
      <c r="J29" s="285">
        <v>523.30999999999995</v>
      </c>
      <c r="K29" s="19">
        <f t="shared" si="0"/>
        <v>4.3547691841683486E-2</v>
      </c>
      <c r="L29" s="284">
        <v>341.93</v>
      </c>
      <c r="M29" s="286">
        <v>341.93</v>
      </c>
      <c r="N29" s="19">
        <f t="shared" si="1"/>
        <v>1</v>
      </c>
      <c r="O29" s="284">
        <v>864.82</v>
      </c>
      <c r="P29" s="286">
        <v>864.82</v>
      </c>
      <c r="Q29" s="19">
        <f t="shared" si="2"/>
        <v>1</v>
      </c>
      <c r="R29" s="284">
        <v>405.17</v>
      </c>
      <c r="S29" s="286">
        <v>405.17</v>
      </c>
      <c r="T29" s="19">
        <f t="shared" si="3"/>
        <v>1</v>
      </c>
      <c r="U29" s="284">
        <v>764.82</v>
      </c>
      <c r="V29" s="286">
        <v>764.82</v>
      </c>
      <c r="W29" s="19">
        <f t="shared" si="4"/>
        <v>1</v>
      </c>
      <c r="X29" s="284">
        <v>6685.35</v>
      </c>
      <c r="Y29" s="286">
        <v>6685.35</v>
      </c>
      <c r="Z29" s="19">
        <f t="shared" si="5"/>
        <v>1</v>
      </c>
      <c r="AA29" s="284">
        <f t="shared" si="6"/>
        <v>9585.4000000000015</v>
      </c>
      <c r="AB29" s="19" t="e">
        <f t="shared" si="7"/>
        <v>#VALUE!</v>
      </c>
      <c r="AC29" s="284">
        <v>363.36</v>
      </c>
      <c r="AD29" s="286">
        <v>363.36</v>
      </c>
      <c r="AE29" s="19">
        <f t="shared" si="8"/>
        <v>1</v>
      </c>
      <c r="AF29" s="284">
        <v>303.20999999999998</v>
      </c>
      <c r="AG29" s="286">
        <v>303.20999999999998</v>
      </c>
      <c r="AH29" s="19">
        <f t="shared" si="9"/>
        <v>1</v>
      </c>
      <c r="AI29" s="284">
        <v>543.15</v>
      </c>
      <c r="AJ29" s="286">
        <v>543.15</v>
      </c>
      <c r="AK29" s="19">
        <f t="shared" si="10"/>
        <v>1</v>
      </c>
      <c r="AL29" s="284">
        <v>498.3</v>
      </c>
      <c r="AM29" s="286">
        <v>498.3</v>
      </c>
      <c r="AN29" s="19">
        <f t="shared" si="11"/>
        <v>1</v>
      </c>
      <c r="AO29" s="284">
        <v>448.16</v>
      </c>
      <c r="AP29" s="286">
        <v>448.16</v>
      </c>
      <c r="AQ29" s="19">
        <f t="shared" si="12"/>
        <v>1</v>
      </c>
      <c r="AR29" s="284">
        <v>275.36</v>
      </c>
      <c r="AS29" s="286">
        <v>275.36</v>
      </c>
      <c r="AT29" s="19">
        <f t="shared" si="13"/>
        <v>1</v>
      </c>
      <c r="AU29" s="287">
        <f t="shared" si="14"/>
        <v>12016.94</v>
      </c>
      <c r="AV29" s="73"/>
    </row>
    <row r="30" spans="1:48" ht="77.45" customHeight="1" thickTop="1" thickBot="1">
      <c r="A30" s="2979"/>
      <c r="B30" s="2863" t="s">
        <v>137</v>
      </c>
      <c r="C30" s="23" t="s">
        <v>284</v>
      </c>
      <c r="D30" s="24" t="s">
        <v>227</v>
      </c>
      <c r="E30" s="25" t="s">
        <v>139</v>
      </c>
      <c r="F30" s="25" t="s">
        <v>101</v>
      </c>
      <c r="G30" s="288">
        <f>+'[4]FIS-24'!$J$16</f>
        <v>58500000000</v>
      </c>
      <c r="H30" s="25" t="s">
        <v>140</v>
      </c>
      <c r="I30" s="289">
        <v>3666666666.6666665</v>
      </c>
      <c r="J30" s="290">
        <v>2064337719</v>
      </c>
      <c r="K30" s="19">
        <f t="shared" si="0"/>
        <v>0.56300119609090915</v>
      </c>
      <c r="L30" s="289">
        <v>3666666666.6666665</v>
      </c>
      <c r="M30" s="290">
        <v>5496618107</v>
      </c>
      <c r="N30" s="19">
        <f t="shared" si="1"/>
        <v>1.4990776655454545</v>
      </c>
      <c r="O30" s="289">
        <v>3666666666.6666665</v>
      </c>
      <c r="P30" s="290">
        <v>691376810</v>
      </c>
      <c r="Q30" s="19">
        <f t="shared" si="2"/>
        <v>0.18855731181818183</v>
      </c>
      <c r="R30" s="289">
        <v>7272222222</v>
      </c>
      <c r="S30" s="290">
        <v>329530399</v>
      </c>
      <c r="T30" s="19">
        <f t="shared" si="3"/>
        <v>4.531357664004014E-2</v>
      </c>
      <c r="U30" s="289">
        <v>7272222222</v>
      </c>
      <c r="V30" s="290">
        <v>0</v>
      </c>
      <c r="W30" s="19">
        <f t="shared" si="4"/>
        <v>0</v>
      </c>
      <c r="X30" s="289">
        <v>7272222222</v>
      </c>
      <c r="Y30" s="290">
        <v>939931284</v>
      </c>
      <c r="Z30" s="19">
        <f t="shared" si="5"/>
        <v>0.12924952721556149</v>
      </c>
      <c r="AA30" s="289">
        <f t="shared" si="6"/>
        <v>9521794319</v>
      </c>
      <c r="AB30" s="19">
        <f t="shared" si="7"/>
        <v>0.16276571485470084</v>
      </c>
      <c r="AC30" s="289">
        <v>7272222223</v>
      </c>
      <c r="AD30" s="290">
        <v>1270776178</v>
      </c>
      <c r="AE30" s="19">
        <f t="shared" si="8"/>
        <v>0.17474385944655146</v>
      </c>
      <c r="AF30" s="289">
        <v>4234555555.5300002</v>
      </c>
      <c r="AG30" s="290">
        <v>2962074484</v>
      </c>
      <c r="AH30" s="19">
        <f t="shared" si="9"/>
        <v>0.69950067844351715</v>
      </c>
      <c r="AI30" s="289">
        <v>4234555555.5300002</v>
      </c>
      <c r="AJ30" s="290">
        <v>2861801719</v>
      </c>
      <c r="AK30" s="19">
        <f t="shared" si="10"/>
        <v>0.67582103516453096</v>
      </c>
      <c r="AL30" s="289">
        <v>4234555555.5300002</v>
      </c>
      <c r="AM30" s="290">
        <v>5402286356</v>
      </c>
      <c r="AN30" s="19">
        <f t="shared" si="11"/>
        <v>1.2757623049590257</v>
      </c>
      <c r="AO30" s="289">
        <v>2853722222.2049999</v>
      </c>
      <c r="AP30" s="290">
        <v>5697735358</v>
      </c>
      <c r="AQ30" s="19">
        <f t="shared" si="12"/>
        <v>1.9965977465029874</v>
      </c>
      <c r="AR30" s="289">
        <v>2853722222.2049999</v>
      </c>
      <c r="AS30" s="290">
        <v>10783276456</v>
      </c>
      <c r="AT30" s="19">
        <f t="shared" si="13"/>
        <v>3.7786706681171061</v>
      </c>
      <c r="AU30" s="228">
        <f t="shared" si="14"/>
        <v>38499744870</v>
      </c>
      <c r="AV30" s="73">
        <f t="shared" si="15"/>
        <v>0.65811529692307691</v>
      </c>
    </row>
    <row r="31" spans="1:48" ht="99" customHeight="1" thickTop="1" thickBot="1">
      <c r="A31" s="2979"/>
      <c r="B31" s="2942"/>
      <c r="C31" s="257" t="s">
        <v>285</v>
      </c>
      <c r="D31" s="236" t="s">
        <v>230</v>
      </c>
      <c r="E31" s="72" t="s">
        <v>231</v>
      </c>
      <c r="F31" s="72" t="s">
        <v>101</v>
      </c>
      <c r="G31" s="291">
        <v>4503777350</v>
      </c>
      <c r="H31" s="238" t="s">
        <v>140</v>
      </c>
      <c r="I31" s="292">
        <v>300251823.33333331</v>
      </c>
      <c r="J31" s="293">
        <v>2175839</v>
      </c>
      <c r="K31" s="19">
        <f t="shared" si="0"/>
        <v>7.246713694672318E-3</v>
      </c>
      <c r="L31" s="292">
        <v>300251823.33333331</v>
      </c>
      <c r="M31" s="293">
        <v>720301996</v>
      </c>
      <c r="N31" s="19">
        <f t="shared" si="1"/>
        <v>2.3989929120275009</v>
      </c>
      <c r="O31" s="292">
        <v>300251823.33333331</v>
      </c>
      <c r="P31" s="293">
        <v>770084578</v>
      </c>
      <c r="Q31" s="19">
        <f t="shared" si="2"/>
        <v>2.5647956753457186</v>
      </c>
      <c r="R31" s="292">
        <v>450377735</v>
      </c>
      <c r="S31" s="293">
        <v>589786410</v>
      </c>
      <c r="T31" s="19">
        <f t="shared" si="3"/>
        <v>1.3095372265682717</v>
      </c>
      <c r="U31" s="292">
        <v>450377735</v>
      </c>
      <c r="V31" s="293">
        <v>446316375</v>
      </c>
      <c r="W31" s="19">
        <f t="shared" si="4"/>
        <v>0.99098232509206963</v>
      </c>
      <c r="X31" s="292">
        <v>450377735</v>
      </c>
      <c r="Y31" s="293">
        <v>1771651377</v>
      </c>
      <c r="Z31" s="19">
        <f t="shared" si="5"/>
        <v>3.9337010676160533</v>
      </c>
      <c r="AA31" s="292">
        <f t="shared" si="6"/>
        <v>4300316575</v>
      </c>
      <c r="AB31" s="19">
        <f t="shared" si="7"/>
        <v>0.95482441533216555</v>
      </c>
      <c r="AC31" s="292">
        <v>450377735</v>
      </c>
      <c r="AD31" s="293">
        <v>3504592453</v>
      </c>
      <c r="AE31" s="19">
        <f t="shared" si="8"/>
        <v>7.7814513921297639</v>
      </c>
      <c r="AF31" s="292">
        <v>450377735</v>
      </c>
      <c r="AG31" s="293">
        <v>1626793901</v>
      </c>
      <c r="AH31" s="19">
        <f t="shared" si="9"/>
        <v>3.612065549821196</v>
      </c>
      <c r="AI31" s="292">
        <v>450377735</v>
      </c>
      <c r="AJ31" s="293">
        <v>3141388289</v>
      </c>
      <c r="AK31" s="19">
        <f t="shared" si="10"/>
        <v>6.9750079652583183</v>
      </c>
      <c r="AL31" s="292">
        <v>300251823.33333331</v>
      </c>
      <c r="AM31" s="293">
        <v>1262057039</v>
      </c>
      <c r="AN31" s="19">
        <f t="shared" si="11"/>
        <v>4.2033284760402294</v>
      </c>
      <c r="AO31" s="292">
        <v>300251823.33333331</v>
      </c>
      <c r="AP31" s="293">
        <v>3938438708</v>
      </c>
      <c r="AQ31" s="19">
        <f t="shared" si="12"/>
        <v>13.117118371759652</v>
      </c>
      <c r="AR31" s="292">
        <v>300251823.33333331</v>
      </c>
      <c r="AS31" s="293">
        <v>2622941401</v>
      </c>
      <c r="AT31" s="19">
        <f t="shared" si="13"/>
        <v>8.7358050714918232</v>
      </c>
      <c r="AU31" s="228">
        <f t="shared" si="14"/>
        <v>20396528366</v>
      </c>
      <c r="AV31" s="73">
        <f t="shared" si="15"/>
        <v>4.5287603673392072</v>
      </c>
    </row>
    <row r="32" spans="1:48" ht="57.75" customHeight="1" thickTop="1" thickBot="1">
      <c r="A32" s="2979"/>
      <c r="B32" s="2942"/>
      <c r="C32" s="23" t="s">
        <v>286</v>
      </c>
      <c r="D32" s="24" t="s">
        <v>224</v>
      </c>
      <c r="E32" s="25" t="s">
        <v>225</v>
      </c>
      <c r="F32" s="25" t="s">
        <v>17</v>
      </c>
      <c r="G32" s="29">
        <v>2603</v>
      </c>
      <c r="H32" s="25" t="s">
        <v>226</v>
      </c>
      <c r="I32" s="294">
        <v>49</v>
      </c>
      <c r="J32" s="295">
        <v>51</v>
      </c>
      <c r="K32" s="19">
        <f t="shared" si="0"/>
        <v>1.0408163265306123</v>
      </c>
      <c r="L32" s="294">
        <v>136</v>
      </c>
      <c r="M32" s="295">
        <v>138</v>
      </c>
      <c r="N32" s="19">
        <f t="shared" si="1"/>
        <v>1.0147058823529411</v>
      </c>
      <c r="O32" s="294">
        <v>104</v>
      </c>
      <c r="P32" s="295">
        <v>107</v>
      </c>
      <c r="Q32" s="19">
        <f t="shared" si="2"/>
        <v>1.0288461538461537</v>
      </c>
      <c r="R32" s="294">
        <v>137</v>
      </c>
      <c r="S32" s="295">
        <v>97</v>
      </c>
      <c r="T32" s="19">
        <f t="shared" si="3"/>
        <v>0.70802919708029199</v>
      </c>
      <c r="U32" s="294">
        <v>126</v>
      </c>
      <c r="V32" s="295">
        <v>132</v>
      </c>
      <c r="W32" s="19">
        <f t="shared" si="4"/>
        <v>1.0476190476190477</v>
      </c>
      <c r="X32" s="294">
        <v>88</v>
      </c>
      <c r="Y32" s="295">
        <v>85</v>
      </c>
      <c r="Z32" s="19">
        <f t="shared" si="5"/>
        <v>0.96590909090909094</v>
      </c>
      <c r="AA32" s="294">
        <f t="shared" si="6"/>
        <v>610</v>
      </c>
      <c r="AB32" s="19">
        <f t="shared" si="7"/>
        <v>0.23434498655397618</v>
      </c>
      <c r="AC32" s="294">
        <v>130</v>
      </c>
      <c r="AD32" s="295">
        <v>116</v>
      </c>
      <c r="AE32" s="19">
        <f t="shared" si="8"/>
        <v>0.89230769230769236</v>
      </c>
      <c r="AF32" s="294">
        <v>116</v>
      </c>
      <c r="AG32" s="295">
        <v>143</v>
      </c>
      <c r="AH32" s="19">
        <f t="shared" si="9"/>
        <v>1.2327586206896552</v>
      </c>
      <c r="AI32" s="294">
        <v>126</v>
      </c>
      <c r="AJ32" s="295">
        <v>143</v>
      </c>
      <c r="AK32" s="19">
        <f t="shared" si="10"/>
        <v>1.1349206349206349</v>
      </c>
      <c r="AL32" s="294">
        <v>643</v>
      </c>
      <c r="AM32" s="295">
        <v>674</v>
      </c>
      <c r="AN32" s="19">
        <f t="shared" si="11"/>
        <v>1.0482115085536547</v>
      </c>
      <c r="AO32" s="294">
        <v>474</v>
      </c>
      <c r="AP32" s="296">
        <v>587</v>
      </c>
      <c r="AQ32" s="19">
        <f t="shared" si="12"/>
        <v>1.2383966244725739</v>
      </c>
      <c r="AR32" s="294">
        <v>474</v>
      </c>
      <c r="AS32" s="295">
        <v>226</v>
      </c>
      <c r="AT32" s="19">
        <f t="shared" si="13"/>
        <v>0.47679324894514769</v>
      </c>
      <c r="AU32" s="245">
        <f t="shared" si="14"/>
        <v>2499</v>
      </c>
      <c r="AV32" s="73">
        <f t="shared" si="15"/>
        <v>0.96004610065309259</v>
      </c>
    </row>
    <row r="33" spans="1:48" ht="63.75" customHeight="1" thickTop="1" thickBot="1">
      <c r="A33" s="2979"/>
      <c r="B33" s="2942"/>
      <c r="C33" s="2928" t="s">
        <v>287</v>
      </c>
      <c r="D33" s="17" t="s">
        <v>288</v>
      </c>
      <c r="E33" s="561" t="s">
        <v>234</v>
      </c>
      <c r="F33" s="561" t="s">
        <v>10</v>
      </c>
      <c r="G33" s="48">
        <v>0.02</v>
      </c>
      <c r="H33" s="561" t="s">
        <v>23</v>
      </c>
      <c r="I33" s="297">
        <v>0</v>
      </c>
      <c r="J33" s="298"/>
      <c r="K33" s="19" t="e">
        <f t="shared" si="0"/>
        <v>#DIV/0!</v>
      </c>
      <c r="L33" s="297">
        <v>0</v>
      </c>
      <c r="M33" s="298"/>
      <c r="N33" s="19" t="e">
        <f t="shared" si="1"/>
        <v>#DIV/0!</v>
      </c>
      <c r="O33" s="297">
        <v>0</v>
      </c>
      <c r="P33" s="298"/>
      <c r="Q33" s="19" t="e">
        <f t="shared" si="2"/>
        <v>#DIV/0!</v>
      </c>
      <c r="R33" s="299">
        <v>0.02</v>
      </c>
      <c r="S33" s="300">
        <v>0.04</v>
      </c>
      <c r="T33" s="19">
        <f t="shared" si="3"/>
        <v>2</v>
      </c>
      <c r="U33" s="48">
        <v>0.02</v>
      </c>
      <c r="V33" s="300">
        <v>0.03</v>
      </c>
      <c r="W33" s="19">
        <f t="shared" si="4"/>
        <v>1.5</v>
      </c>
      <c r="X33" s="48">
        <v>0.02</v>
      </c>
      <c r="Y33" s="301">
        <v>0.03</v>
      </c>
      <c r="Z33" s="19">
        <f t="shared" si="5"/>
        <v>1.5</v>
      </c>
      <c r="AA33" s="302">
        <f>(S33+V33+Y33)/3</f>
        <v>3.3333333333333333E-2</v>
      </c>
      <c r="AB33" s="19">
        <f t="shared" si="7"/>
        <v>1.6666666666666665</v>
      </c>
      <c r="AC33" s="299">
        <v>0.02</v>
      </c>
      <c r="AD33" s="300">
        <v>0.05</v>
      </c>
      <c r="AE33" s="19">
        <f t="shared" si="8"/>
        <v>2.5</v>
      </c>
      <c r="AF33" s="299">
        <v>0.02</v>
      </c>
      <c r="AG33" s="300">
        <v>0.05</v>
      </c>
      <c r="AH33" s="19">
        <f t="shared" si="9"/>
        <v>2.5</v>
      </c>
      <c r="AI33" s="299">
        <v>0.02</v>
      </c>
      <c r="AJ33" s="300">
        <v>0.01</v>
      </c>
      <c r="AK33" s="19">
        <f t="shared" si="10"/>
        <v>0.5</v>
      </c>
      <c r="AL33" s="299">
        <v>0.02</v>
      </c>
      <c r="AM33" s="300">
        <v>0.06</v>
      </c>
      <c r="AN33" s="19">
        <f t="shared" si="11"/>
        <v>3</v>
      </c>
      <c r="AO33" s="299">
        <v>0.02</v>
      </c>
      <c r="AP33" s="300">
        <v>0.03</v>
      </c>
      <c r="AQ33" s="19">
        <f t="shared" si="12"/>
        <v>1.5</v>
      </c>
      <c r="AR33" s="299">
        <v>0.02</v>
      </c>
      <c r="AS33" s="300">
        <v>0.02</v>
      </c>
      <c r="AT33" s="19">
        <f t="shared" si="13"/>
        <v>1</v>
      </c>
      <c r="AU33" s="249">
        <f>(S33+V33+Y33+AD33+AG33+AJ33+AM33+AP33+AS33)/9</f>
        <v>3.5555555555555562E-2</v>
      </c>
      <c r="AV33" s="73">
        <f t="shared" si="15"/>
        <v>1.7777777777777781</v>
      </c>
    </row>
    <row r="34" spans="1:48" ht="90" customHeight="1" thickTop="1" thickBot="1">
      <c r="A34" s="2979"/>
      <c r="B34" s="2942"/>
      <c r="C34" s="2929"/>
      <c r="D34" s="86" t="s">
        <v>236</v>
      </c>
      <c r="E34" s="81" t="s">
        <v>237</v>
      </c>
      <c r="F34" s="88" t="s">
        <v>10</v>
      </c>
      <c r="G34" s="167">
        <v>0.02</v>
      </c>
      <c r="H34" s="87" t="s">
        <v>23</v>
      </c>
      <c r="I34" s="163">
        <v>0</v>
      </c>
      <c r="J34" s="164"/>
      <c r="K34" s="19" t="e">
        <f t="shared" si="0"/>
        <v>#DIV/0!</v>
      </c>
      <c r="L34" s="163">
        <v>0</v>
      </c>
      <c r="M34" s="164"/>
      <c r="N34" s="19" t="e">
        <f t="shared" si="1"/>
        <v>#DIV/0!</v>
      </c>
      <c r="O34" s="163">
        <v>0</v>
      </c>
      <c r="P34" s="164"/>
      <c r="Q34" s="19" t="e">
        <f t="shared" si="2"/>
        <v>#DIV/0!</v>
      </c>
      <c r="R34" s="163">
        <v>0.02</v>
      </c>
      <c r="S34" s="164"/>
      <c r="T34" s="19">
        <f t="shared" si="3"/>
        <v>0</v>
      </c>
      <c r="U34" s="163">
        <v>0.02</v>
      </c>
      <c r="V34" s="164"/>
      <c r="W34" s="19">
        <f t="shared" si="4"/>
        <v>0</v>
      </c>
      <c r="X34" s="163">
        <v>0.02</v>
      </c>
      <c r="Y34" s="164"/>
      <c r="Z34" s="19">
        <f t="shared" si="5"/>
        <v>0</v>
      </c>
      <c r="AA34" s="92">
        <f>(S34+V34+Y34)/3</f>
        <v>0</v>
      </c>
      <c r="AB34" s="19">
        <f>+AA34/G34</f>
        <v>0</v>
      </c>
      <c r="AC34" s="163">
        <v>0.02</v>
      </c>
      <c r="AD34" s="164"/>
      <c r="AE34" s="19">
        <v>0.34</v>
      </c>
      <c r="AF34" s="163">
        <v>0.02</v>
      </c>
      <c r="AG34" s="164"/>
      <c r="AH34" s="19">
        <f t="shared" si="9"/>
        <v>0</v>
      </c>
      <c r="AI34" s="163">
        <v>0.02</v>
      </c>
      <c r="AJ34" s="164">
        <v>8.0999999999999996E-3</v>
      </c>
      <c r="AK34" s="19">
        <f t="shared" si="10"/>
        <v>0.40499999999999997</v>
      </c>
      <c r="AL34" s="163">
        <v>0.02</v>
      </c>
      <c r="AM34" s="164">
        <v>9.4999999999999998E-3</v>
      </c>
      <c r="AN34" s="19">
        <f t="shared" si="11"/>
        <v>0.47499999999999998</v>
      </c>
      <c r="AO34" s="163">
        <v>0.02</v>
      </c>
      <c r="AP34" s="164">
        <v>5.4999999999999997E-3</v>
      </c>
      <c r="AQ34" s="19">
        <f t="shared" si="12"/>
        <v>0.27499999999999997</v>
      </c>
      <c r="AR34" s="163">
        <v>0.02</v>
      </c>
      <c r="AS34" s="164">
        <v>4.7000000000000002E-3</v>
      </c>
      <c r="AT34" s="19">
        <f t="shared" si="13"/>
        <v>0.23500000000000001</v>
      </c>
      <c r="AU34" s="275">
        <f>(AJ34+AM34+AP34+AS34)</f>
        <v>2.7799999999999995E-2</v>
      </c>
      <c r="AV34" s="303">
        <f>(AU34*100)/8</f>
        <v>0.34749999999999992</v>
      </c>
    </row>
    <row r="35" spans="1:48" ht="90" customHeight="1" thickTop="1" thickBot="1">
      <c r="A35" s="2979"/>
      <c r="B35" s="2942"/>
      <c r="C35" s="2929"/>
      <c r="D35" s="86" t="s">
        <v>238</v>
      </c>
      <c r="E35" s="81" t="s">
        <v>239</v>
      </c>
      <c r="F35" s="88" t="s">
        <v>10</v>
      </c>
      <c r="G35" s="167">
        <v>0.01</v>
      </c>
      <c r="H35" s="87" t="s">
        <v>23</v>
      </c>
      <c r="I35" s="163">
        <v>0</v>
      </c>
      <c r="J35" s="164"/>
      <c r="K35" s="19" t="e">
        <f t="shared" si="0"/>
        <v>#DIV/0!</v>
      </c>
      <c r="L35" s="163">
        <v>0</v>
      </c>
      <c r="M35" s="164"/>
      <c r="N35" s="19" t="e">
        <f t="shared" si="1"/>
        <v>#DIV/0!</v>
      </c>
      <c r="O35" s="163">
        <v>0</v>
      </c>
      <c r="P35" s="164"/>
      <c r="Q35" s="19" t="e">
        <f t="shared" si="2"/>
        <v>#DIV/0!</v>
      </c>
      <c r="R35" s="163">
        <v>0</v>
      </c>
      <c r="S35" s="164"/>
      <c r="T35" s="19" t="e">
        <f t="shared" si="3"/>
        <v>#DIV/0!</v>
      </c>
      <c r="U35" s="163">
        <v>0</v>
      </c>
      <c r="V35" s="164"/>
      <c r="W35" s="19" t="e">
        <f t="shared" si="4"/>
        <v>#DIV/0!</v>
      </c>
      <c r="X35" s="163">
        <v>0</v>
      </c>
      <c r="Y35" s="164"/>
      <c r="Z35" s="19" t="e">
        <f t="shared" si="5"/>
        <v>#DIV/0!</v>
      </c>
      <c r="AA35" s="165">
        <f t="shared" ref="AA35" si="16">(S35+V35+Y35)/3</f>
        <v>0</v>
      </c>
      <c r="AB35" s="19" t="e">
        <f>+AA35/D35</f>
        <v>#VALUE!</v>
      </c>
      <c r="AC35" s="163">
        <v>0</v>
      </c>
      <c r="AD35" s="164"/>
      <c r="AE35" s="19" t="e">
        <f t="shared" si="8"/>
        <v>#DIV/0!</v>
      </c>
      <c r="AF35" s="163">
        <v>0</v>
      </c>
      <c r="AG35" s="164"/>
      <c r="AH35" s="19" t="e">
        <f t="shared" si="9"/>
        <v>#DIV/0!</v>
      </c>
      <c r="AI35" s="163">
        <v>0.01</v>
      </c>
      <c r="AJ35" s="164">
        <v>3.3599999999999998E-2</v>
      </c>
      <c r="AK35" s="19">
        <f t="shared" si="10"/>
        <v>3.36</v>
      </c>
      <c r="AL35" s="163">
        <v>0.01</v>
      </c>
      <c r="AM35" s="164">
        <v>5.7000000000000002E-3</v>
      </c>
      <c r="AN35" s="19">
        <f t="shared" si="11"/>
        <v>0.57000000000000006</v>
      </c>
      <c r="AO35" s="163">
        <v>0.01</v>
      </c>
      <c r="AP35" s="164">
        <v>5.5999999999999999E-3</v>
      </c>
      <c r="AQ35" s="19">
        <f t="shared" si="12"/>
        <v>0.55999999999999994</v>
      </c>
      <c r="AR35" s="163">
        <v>0.01</v>
      </c>
      <c r="AS35" s="164">
        <v>0</v>
      </c>
      <c r="AT35" s="19">
        <f t="shared" si="13"/>
        <v>0</v>
      </c>
      <c r="AU35" s="163">
        <f>+(AS35+AP35+AM35+AJ35)</f>
        <v>4.4899999999999995E-2</v>
      </c>
      <c r="AV35" s="304">
        <f>(AU35*100)/4</f>
        <v>1.1224999999999998</v>
      </c>
    </row>
    <row r="36" spans="1:48" ht="58.7" customHeight="1" thickTop="1" thickBot="1">
      <c r="A36" s="2979"/>
      <c r="B36" s="2942"/>
      <c r="C36" s="2929"/>
      <c r="D36" s="17" t="s">
        <v>240</v>
      </c>
      <c r="E36" s="561" t="s">
        <v>241</v>
      </c>
      <c r="F36" s="561" t="s">
        <v>10</v>
      </c>
      <c r="G36" s="51">
        <v>0.01</v>
      </c>
      <c r="H36" s="561" t="s">
        <v>23</v>
      </c>
      <c r="I36" s="297">
        <v>0</v>
      </c>
      <c r="J36" s="298"/>
      <c r="K36" s="19" t="e">
        <f t="shared" si="0"/>
        <v>#DIV/0!</v>
      </c>
      <c r="L36" s="297">
        <v>0</v>
      </c>
      <c r="M36" s="298"/>
      <c r="N36" s="19" t="e">
        <f t="shared" si="1"/>
        <v>#DIV/0!</v>
      </c>
      <c r="O36" s="297">
        <v>0</v>
      </c>
      <c r="P36" s="298"/>
      <c r="Q36" s="19" t="e">
        <f t="shared" si="2"/>
        <v>#DIV/0!</v>
      </c>
      <c r="R36" s="299">
        <v>0.01</v>
      </c>
      <c r="S36" s="305">
        <v>0.05</v>
      </c>
      <c r="T36" s="19">
        <f t="shared" si="3"/>
        <v>5</v>
      </c>
      <c r="U36" s="299">
        <v>0.01</v>
      </c>
      <c r="V36" s="298">
        <v>0</v>
      </c>
      <c r="W36" s="19">
        <f t="shared" si="4"/>
        <v>0</v>
      </c>
      <c r="X36" s="299">
        <v>0.01</v>
      </c>
      <c r="Y36" s="305">
        <v>0.13</v>
      </c>
      <c r="Z36" s="19">
        <f t="shared" si="5"/>
        <v>13</v>
      </c>
      <c r="AA36" s="165">
        <f>(S36+V36+Y36)</f>
        <v>0.18</v>
      </c>
      <c r="AB36" s="19">
        <f t="shared" si="7"/>
        <v>18</v>
      </c>
      <c r="AC36" s="299">
        <v>0.01</v>
      </c>
      <c r="AD36" s="305">
        <v>0.12</v>
      </c>
      <c r="AE36" s="19">
        <f t="shared" si="8"/>
        <v>12</v>
      </c>
      <c r="AF36" s="299">
        <v>0.01</v>
      </c>
      <c r="AG36" s="305">
        <v>0.09</v>
      </c>
      <c r="AH36" s="19">
        <f t="shared" si="9"/>
        <v>9</v>
      </c>
      <c r="AI36" s="299">
        <v>0.01</v>
      </c>
      <c r="AJ36" s="305">
        <v>0.08</v>
      </c>
      <c r="AK36" s="19">
        <f t="shared" si="10"/>
        <v>8</v>
      </c>
      <c r="AL36" s="299">
        <v>0.01</v>
      </c>
      <c r="AM36" s="305">
        <v>0.06</v>
      </c>
      <c r="AN36" s="19">
        <f t="shared" si="11"/>
        <v>6</v>
      </c>
      <c r="AO36" s="299">
        <v>0.01</v>
      </c>
      <c r="AP36" s="300">
        <v>0.1</v>
      </c>
      <c r="AQ36" s="19">
        <f t="shared" si="12"/>
        <v>10</v>
      </c>
      <c r="AR36" s="299">
        <v>0.01</v>
      </c>
      <c r="AS36" s="300">
        <v>0.09</v>
      </c>
      <c r="AT36" s="19">
        <f t="shared" si="13"/>
        <v>9</v>
      </c>
      <c r="AU36" s="249">
        <f>S36+V36+Y36+AD36+AG36+AJ36+AM36+AP36+AS36</f>
        <v>0.72</v>
      </c>
      <c r="AV36" s="73">
        <f>(AU36/9)*100</f>
        <v>8</v>
      </c>
    </row>
    <row r="37" spans="1:48" ht="100.5" customHeight="1" thickTop="1" thickBot="1">
      <c r="A37" s="2979"/>
      <c r="B37" s="2942"/>
      <c r="C37" s="2929"/>
      <c r="D37" s="171" t="s">
        <v>242</v>
      </c>
      <c r="E37" s="172" t="s">
        <v>243</v>
      </c>
      <c r="F37" s="306" t="s">
        <v>10</v>
      </c>
      <c r="G37" s="307">
        <v>0.3</v>
      </c>
      <c r="H37" s="308" t="s">
        <v>244</v>
      </c>
      <c r="I37" s="309">
        <v>0</v>
      </c>
      <c r="J37" s="310"/>
      <c r="K37" s="19" t="e">
        <f t="shared" si="0"/>
        <v>#DIV/0!</v>
      </c>
      <c r="L37" s="309">
        <v>0</v>
      </c>
      <c r="M37" s="310"/>
      <c r="N37" s="19" t="e">
        <f t="shared" si="1"/>
        <v>#DIV/0!</v>
      </c>
      <c r="O37" s="309">
        <v>0</v>
      </c>
      <c r="P37" s="310"/>
      <c r="Q37" s="19" t="e">
        <f t="shared" si="2"/>
        <v>#DIV/0!</v>
      </c>
      <c r="R37" s="309">
        <v>0</v>
      </c>
      <c r="S37" s="310"/>
      <c r="T37" s="19" t="e">
        <f t="shared" si="3"/>
        <v>#DIV/0!</v>
      </c>
      <c r="U37" s="309">
        <v>0</v>
      </c>
      <c r="V37" s="310"/>
      <c r="W37" s="19" t="e">
        <f t="shared" si="4"/>
        <v>#DIV/0!</v>
      </c>
      <c r="X37" s="309">
        <v>0</v>
      </c>
      <c r="Y37" s="310"/>
      <c r="Z37" s="19" t="e">
        <f t="shared" si="5"/>
        <v>#DIV/0!</v>
      </c>
      <c r="AA37" s="309">
        <f t="shared" si="6"/>
        <v>0</v>
      </c>
      <c r="AB37" s="19">
        <f t="shared" si="7"/>
        <v>0</v>
      </c>
      <c r="AC37" s="309">
        <v>0</v>
      </c>
      <c r="AD37" s="310"/>
      <c r="AE37" s="19" t="e">
        <f t="shared" si="8"/>
        <v>#DIV/0!</v>
      </c>
      <c r="AF37" s="309">
        <v>0</v>
      </c>
      <c r="AG37" s="310"/>
      <c r="AH37" s="19" t="e">
        <f t="shared" si="9"/>
        <v>#DIV/0!</v>
      </c>
      <c r="AI37" s="309">
        <v>0</v>
      </c>
      <c r="AJ37" s="310"/>
      <c r="AK37" s="19" t="e">
        <f t="shared" si="10"/>
        <v>#DIV/0!</v>
      </c>
      <c r="AL37" s="309">
        <v>0</v>
      </c>
      <c r="AM37" s="310"/>
      <c r="AN37" s="19" t="e">
        <f t="shared" si="11"/>
        <v>#DIV/0!</v>
      </c>
      <c r="AO37" s="309">
        <v>0</v>
      </c>
      <c r="AP37" s="311"/>
      <c r="AQ37" s="19" t="e">
        <f t="shared" si="12"/>
        <v>#DIV/0!</v>
      </c>
      <c r="AR37" s="309">
        <v>0</v>
      </c>
      <c r="AS37" s="310"/>
      <c r="AT37" s="19" t="e">
        <f t="shared" si="13"/>
        <v>#DIV/0!</v>
      </c>
      <c r="AU37" s="249">
        <f t="shared" si="14"/>
        <v>0</v>
      </c>
      <c r="AV37" s="73">
        <f t="shared" si="15"/>
        <v>0</v>
      </c>
    </row>
    <row r="38" spans="1:48" ht="160.5" customHeight="1" thickTop="1" thickBot="1">
      <c r="A38" s="2979"/>
      <c r="B38" s="2942"/>
      <c r="C38" s="2929"/>
      <c r="D38" s="111" t="s">
        <v>245</v>
      </c>
      <c r="E38" s="177" t="s">
        <v>246</v>
      </c>
      <c r="F38" s="54" t="s">
        <v>10</v>
      </c>
      <c r="G38" s="312">
        <v>0.1</v>
      </c>
      <c r="H38" s="561" t="s">
        <v>244</v>
      </c>
      <c r="I38" s="313">
        <v>0</v>
      </c>
      <c r="J38" s="314"/>
      <c r="K38" s="19" t="e">
        <f t="shared" si="0"/>
        <v>#DIV/0!</v>
      </c>
      <c r="L38" s="313">
        <v>0</v>
      </c>
      <c r="M38" s="314"/>
      <c r="N38" s="19" t="e">
        <f t="shared" si="1"/>
        <v>#DIV/0!</v>
      </c>
      <c r="O38" s="313">
        <v>0</v>
      </c>
      <c r="P38" s="314"/>
      <c r="Q38" s="19" t="e">
        <f t="shared" si="2"/>
        <v>#DIV/0!</v>
      </c>
      <c r="R38" s="313">
        <v>0.5</v>
      </c>
      <c r="S38" s="314"/>
      <c r="T38" s="19">
        <f t="shared" si="3"/>
        <v>0</v>
      </c>
      <c r="U38" s="313">
        <v>0.5</v>
      </c>
      <c r="V38" s="314">
        <v>0</v>
      </c>
      <c r="W38" s="19">
        <f t="shared" si="4"/>
        <v>0</v>
      </c>
      <c r="X38" s="313">
        <v>0.5</v>
      </c>
      <c r="Y38" s="314">
        <v>0</v>
      </c>
      <c r="Z38" s="19">
        <f t="shared" si="5"/>
        <v>0</v>
      </c>
      <c r="AA38" s="313">
        <f>(V38+Y38)/2</f>
        <v>0</v>
      </c>
      <c r="AB38" s="19">
        <f>AA38/50%</f>
        <v>0</v>
      </c>
      <c r="AC38" s="313">
        <v>0.5</v>
      </c>
      <c r="AD38" s="314">
        <v>0</v>
      </c>
      <c r="AE38" s="19">
        <f t="shared" si="8"/>
        <v>0</v>
      </c>
      <c r="AF38" s="313">
        <v>0</v>
      </c>
      <c r="AG38" s="314">
        <v>0</v>
      </c>
      <c r="AH38" s="19" t="e">
        <f t="shared" si="9"/>
        <v>#DIV/0!</v>
      </c>
      <c r="AI38" s="313">
        <v>0</v>
      </c>
      <c r="AJ38" s="314"/>
      <c r="AK38" s="19" t="e">
        <f t="shared" si="10"/>
        <v>#DIV/0!</v>
      </c>
      <c r="AL38" s="313">
        <v>0.1</v>
      </c>
      <c r="AM38" s="315">
        <v>1</v>
      </c>
      <c r="AN38" s="19">
        <f>+AM38/AL38</f>
        <v>10</v>
      </c>
      <c r="AO38" s="313">
        <v>0</v>
      </c>
      <c r="AP38" s="316">
        <v>0</v>
      </c>
      <c r="AQ38" s="19" t="e">
        <f t="shared" si="12"/>
        <v>#DIV/0!</v>
      </c>
      <c r="AR38" s="313">
        <v>0.1</v>
      </c>
      <c r="AS38" s="317">
        <v>0.82750000000000001</v>
      </c>
      <c r="AT38" s="19">
        <f>+AS38/AL38</f>
        <v>8.2750000000000004</v>
      </c>
      <c r="AU38" s="249">
        <f>(V38+Y38+AD38+AG38+AJ38+AM38+AP38+AS38)/2</f>
        <v>0.91375000000000006</v>
      </c>
      <c r="AV38" s="73">
        <f t="shared" si="15"/>
        <v>9.1374999999999993</v>
      </c>
    </row>
    <row r="39" spans="1:48" ht="117.75" customHeight="1" thickTop="1" thickBot="1">
      <c r="A39" s="2979"/>
      <c r="B39" s="2942"/>
      <c r="C39" s="2929"/>
      <c r="D39" s="318" t="s">
        <v>247</v>
      </c>
      <c r="E39" s="319" t="s">
        <v>289</v>
      </c>
      <c r="F39" s="320" t="s">
        <v>24</v>
      </c>
      <c r="G39" s="29">
        <v>400</v>
      </c>
      <c r="H39" s="321" t="s">
        <v>249</v>
      </c>
      <c r="I39" s="322">
        <v>0</v>
      </c>
      <c r="J39" s="323"/>
      <c r="K39" s="19" t="e">
        <f t="shared" si="0"/>
        <v>#DIV/0!</v>
      </c>
      <c r="L39" s="322">
        <v>0</v>
      </c>
      <c r="M39" s="323"/>
      <c r="N39" s="19" t="e">
        <f t="shared" si="1"/>
        <v>#DIV/0!</v>
      </c>
      <c r="O39" s="322">
        <v>0</v>
      </c>
      <c r="P39" s="323"/>
      <c r="Q39" s="19" t="e">
        <f t="shared" si="2"/>
        <v>#DIV/0!</v>
      </c>
      <c r="R39" s="322">
        <v>0</v>
      </c>
      <c r="S39" s="323"/>
      <c r="T39" s="19" t="e">
        <f t="shared" si="3"/>
        <v>#DIV/0!</v>
      </c>
      <c r="U39" s="322">
        <v>50</v>
      </c>
      <c r="V39" s="324">
        <v>127</v>
      </c>
      <c r="W39" s="19">
        <f t="shared" si="4"/>
        <v>2.54</v>
      </c>
      <c r="X39" s="322">
        <v>50</v>
      </c>
      <c r="Y39" s="325">
        <v>24</v>
      </c>
      <c r="Z39" s="19">
        <f t="shared" si="5"/>
        <v>0.48</v>
      </c>
      <c r="AA39" s="322">
        <f>V39+Y39</f>
        <v>151</v>
      </c>
      <c r="AB39" s="19">
        <f t="shared" si="7"/>
        <v>0.3775</v>
      </c>
      <c r="AC39" s="322">
        <v>50</v>
      </c>
      <c r="AD39" s="323">
        <v>34</v>
      </c>
      <c r="AE39" s="19">
        <f t="shared" si="8"/>
        <v>0.68</v>
      </c>
      <c r="AF39" s="322">
        <v>50</v>
      </c>
      <c r="AG39" s="323">
        <v>22</v>
      </c>
      <c r="AH39" s="19">
        <f t="shared" si="9"/>
        <v>0.44</v>
      </c>
      <c r="AI39" s="322">
        <v>50</v>
      </c>
      <c r="AJ39" s="323">
        <v>45</v>
      </c>
      <c r="AK39" s="19">
        <f t="shared" si="10"/>
        <v>0.9</v>
      </c>
      <c r="AL39" s="322">
        <v>50</v>
      </c>
      <c r="AM39" s="326">
        <v>52</v>
      </c>
      <c r="AN39" s="19">
        <f t="shared" si="11"/>
        <v>1.04</v>
      </c>
      <c r="AO39" s="322">
        <v>50</v>
      </c>
      <c r="AP39" s="325">
        <v>63</v>
      </c>
      <c r="AQ39" s="19">
        <f t="shared" si="12"/>
        <v>1.26</v>
      </c>
      <c r="AR39" s="322">
        <v>50</v>
      </c>
      <c r="AS39" s="323">
        <v>127</v>
      </c>
      <c r="AT39" s="19">
        <f t="shared" si="13"/>
        <v>2.54</v>
      </c>
      <c r="AU39" s="327">
        <f>+AS39+AP39+AM39+AJ39+AG39+AD39+Y39+V39+S39+P39+M39+J39</f>
        <v>494</v>
      </c>
      <c r="AV39" s="73">
        <f t="shared" si="15"/>
        <v>1.2350000000000001</v>
      </c>
    </row>
    <row r="40" spans="1:48" ht="117.75" customHeight="1" thickTop="1" thickBot="1">
      <c r="A40" s="2979"/>
      <c r="B40" s="2942"/>
      <c r="C40" s="2929"/>
      <c r="D40" s="53" t="s">
        <v>290</v>
      </c>
      <c r="E40" s="372" t="s">
        <v>251</v>
      </c>
      <c r="F40" s="372" t="s">
        <v>24</v>
      </c>
      <c r="G40" s="219">
        <v>35</v>
      </c>
      <c r="H40" s="328" t="s">
        <v>249</v>
      </c>
      <c r="I40" s="329">
        <v>0</v>
      </c>
      <c r="J40" s="330"/>
      <c r="K40" s="19" t="e">
        <f t="shared" si="0"/>
        <v>#DIV/0!</v>
      </c>
      <c r="L40" s="329">
        <v>0</v>
      </c>
      <c r="M40" s="330"/>
      <c r="N40" s="19" t="e">
        <f t="shared" si="1"/>
        <v>#DIV/0!</v>
      </c>
      <c r="O40" s="329">
        <v>0</v>
      </c>
      <c r="P40" s="330"/>
      <c r="Q40" s="19" t="e">
        <f t="shared" si="2"/>
        <v>#DIV/0!</v>
      </c>
      <c r="R40" s="329">
        <v>0</v>
      </c>
      <c r="S40" s="330"/>
      <c r="T40" s="19" t="e">
        <f t="shared" si="3"/>
        <v>#DIV/0!</v>
      </c>
      <c r="U40" s="329">
        <v>4</v>
      </c>
      <c r="V40" s="331">
        <v>5</v>
      </c>
      <c r="W40" s="19">
        <f t="shared" si="4"/>
        <v>1.25</v>
      </c>
      <c r="X40" s="329">
        <v>4</v>
      </c>
      <c r="Y40" s="330">
        <v>0</v>
      </c>
      <c r="Z40" s="19">
        <f t="shared" si="5"/>
        <v>0</v>
      </c>
      <c r="AA40" s="329">
        <f>+V40+Y40</f>
        <v>5</v>
      </c>
      <c r="AB40" s="19">
        <f t="shared" si="7"/>
        <v>0.14285714285714285</v>
      </c>
      <c r="AC40" s="329">
        <v>4</v>
      </c>
      <c r="AD40" s="330">
        <v>0</v>
      </c>
      <c r="AE40" s="19">
        <f t="shared" si="8"/>
        <v>0</v>
      </c>
      <c r="AF40" s="329">
        <v>5</v>
      </c>
      <c r="AG40" s="330">
        <v>0</v>
      </c>
      <c r="AH40" s="19">
        <f t="shared" si="9"/>
        <v>0</v>
      </c>
      <c r="AI40" s="329">
        <v>5</v>
      </c>
      <c r="AJ40" s="330">
        <v>3</v>
      </c>
      <c r="AK40" s="19">
        <f t="shared" si="10"/>
        <v>0.6</v>
      </c>
      <c r="AL40" s="329">
        <v>5</v>
      </c>
      <c r="AM40" s="330">
        <v>15</v>
      </c>
      <c r="AN40" s="19">
        <f t="shared" si="11"/>
        <v>3</v>
      </c>
      <c r="AO40" s="329">
        <v>4</v>
      </c>
      <c r="AP40" s="331">
        <v>12</v>
      </c>
      <c r="AQ40" s="19">
        <f t="shared" si="12"/>
        <v>3</v>
      </c>
      <c r="AR40" s="329">
        <v>4</v>
      </c>
      <c r="AS40" s="330"/>
      <c r="AT40" s="19">
        <f t="shared" si="13"/>
        <v>0</v>
      </c>
      <c r="AU40" s="60">
        <f t="shared" si="14"/>
        <v>35</v>
      </c>
      <c r="AV40" s="73">
        <f t="shared" si="15"/>
        <v>1</v>
      </c>
    </row>
    <row r="41" spans="1:48" ht="156" customHeight="1" thickTop="1" thickBot="1">
      <c r="A41" s="2980"/>
      <c r="B41" s="2942"/>
      <c r="C41" s="2930"/>
      <c r="D41" s="318" t="s">
        <v>252</v>
      </c>
      <c r="E41" s="319" t="s">
        <v>253</v>
      </c>
      <c r="F41" s="319" t="s">
        <v>24</v>
      </c>
      <c r="G41" s="332">
        <v>272</v>
      </c>
      <c r="H41" s="25" t="s">
        <v>249</v>
      </c>
      <c r="I41" s="322">
        <v>0</v>
      </c>
      <c r="J41" s="323"/>
      <c r="K41" s="19" t="e">
        <f t="shared" si="0"/>
        <v>#DIV/0!</v>
      </c>
      <c r="L41" s="322">
        <v>0</v>
      </c>
      <c r="M41" s="323"/>
      <c r="N41" s="19" t="e">
        <f t="shared" si="1"/>
        <v>#DIV/0!</v>
      </c>
      <c r="O41" s="322">
        <v>0</v>
      </c>
      <c r="P41" s="323"/>
      <c r="Q41" s="19" t="e">
        <f t="shared" si="2"/>
        <v>#DIV/0!</v>
      </c>
      <c r="R41" s="322">
        <v>0</v>
      </c>
      <c r="S41" s="323"/>
      <c r="T41" s="19" t="e">
        <f t="shared" si="3"/>
        <v>#DIV/0!</v>
      </c>
      <c r="U41" s="322">
        <v>34</v>
      </c>
      <c r="V41" s="323">
        <v>34</v>
      </c>
      <c r="W41" s="19">
        <f t="shared" si="4"/>
        <v>1</v>
      </c>
      <c r="X41" s="322">
        <v>34</v>
      </c>
      <c r="Y41" s="323">
        <v>34</v>
      </c>
      <c r="Z41" s="19">
        <f t="shared" si="5"/>
        <v>1</v>
      </c>
      <c r="AA41" s="322">
        <f>+V41+Y41</f>
        <v>68</v>
      </c>
      <c r="AB41" s="19">
        <f t="shared" si="7"/>
        <v>0.25</v>
      </c>
      <c r="AC41" s="322">
        <v>34</v>
      </c>
      <c r="AD41" s="323">
        <v>34</v>
      </c>
      <c r="AE41" s="19">
        <f t="shared" si="8"/>
        <v>1</v>
      </c>
      <c r="AF41" s="322">
        <v>34</v>
      </c>
      <c r="AG41" s="323">
        <v>34</v>
      </c>
      <c r="AH41" s="19">
        <f t="shared" si="9"/>
        <v>1</v>
      </c>
      <c r="AI41" s="322">
        <v>34</v>
      </c>
      <c r="AJ41" s="323">
        <v>34</v>
      </c>
      <c r="AK41" s="19">
        <f t="shared" si="10"/>
        <v>1</v>
      </c>
      <c r="AL41" s="322">
        <v>34</v>
      </c>
      <c r="AM41" s="323">
        <v>34</v>
      </c>
      <c r="AN41" s="19">
        <f t="shared" si="11"/>
        <v>1</v>
      </c>
      <c r="AO41" s="322">
        <v>34</v>
      </c>
      <c r="AP41" s="325">
        <v>34</v>
      </c>
      <c r="AQ41" s="19">
        <f t="shared" si="12"/>
        <v>1</v>
      </c>
      <c r="AR41" s="322">
        <v>34</v>
      </c>
      <c r="AS41" s="323">
        <v>34</v>
      </c>
      <c r="AT41" s="19">
        <f t="shared" si="13"/>
        <v>1</v>
      </c>
      <c r="AU41" s="29">
        <f t="shared" si="14"/>
        <v>272</v>
      </c>
      <c r="AV41" s="73">
        <f t="shared" si="15"/>
        <v>1</v>
      </c>
    </row>
    <row r="42" spans="1:48" ht="22.7" customHeight="1" thickTop="1" thickBot="1">
      <c r="A42" s="2904" t="s">
        <v>141</v>
      </c>
      <c r="B42" s="2904"/>
      <c r="C42" s="2904"/>
      <c r="D42" s="2904"/>
      <c r="E42" s="2904"/>
      <c r="F42" s="2904"/>
      <c r="G42" s="2904"/>
      <c r="H42" s="2904"/>
      <c r="I42" s="333"/>
      <c r="J42" s="334"/>
      <c r="K42" s="334"/>
      <c r="L42" s="335"/>
      <c r="M42" s="334"/>
      <c r="N42" s="334"/>
      <c r="O42" s="336"/>
      <c r="P42" s="337"/>
      <c r="Q42" s="334"/>
      <c r="R42" s="336"/>
      <c r="S42" s="334"/>
      <c r="T42" s="334"/>
      <c r="U42" s="336"/>
      <c r="V42" s="337"/>
      <c r="W42" s="334"/>
      <c r="X42" s="336"/>
      <c r="Y42" s="337"/>
      <c r="Z42" s="334"/>
      <c r="AA42" s="336"/>
      <c r="AB42" s="334"/>
      <c r="AC42" s="336"/>
      <c r="AD42" s="334"/>
      <c r="AE42" s="334"/>
      <c r="AF42" s="336"/>
      <c r="AG42" s="334"/>
      <c r="AH42" s="334"/>
      <c r="AI42" s="333"/>
      <c r="AJ42" s="334"/>
      <c r="AK42" s="334"/>
      <c r="AL42" s="336"/>
      <c r="AM42" s="334"/>
      <c r="AN42" s="334"/>
      <c r="AO42" s="336"/>
      <c r="AP42" s="337"/>
      <c r="AQ42" s="334"/>
      <c r="AR42" s="333"/>
      <c r="AS42" s="334"/>
      <c r="AT42" s="334"/>
      <c r="AU42" s="2797"/>
      <c r="AV42" s="2797"/>
    </row>
    <row r="43" spans="1:48" ht="114.2" customHeight="1" thickTop="1" thickBot="1">
      <c r="A43" s="2904" t="s">
        <v>142</v>
      </c>
      <c r="B43" s="2977" t="s">
        <v>143</v>
      </c>
      <c r="C43" s="319" t="s">
        <v>291</v>
      </c>
      <c r="D43" s="24" t="s">
        <v>257</v>
      </c>
      <c r="E43" s="319" t="s">
        <v>258</v>
      </c>
      <c r="F43" s="25" t="s">
        <v>10</v>
      </c>
      <c r="G43" s="338">
        <v>1</v>
      </c>
      <c r="H43" s="25" t="s">
        <v>292</v>
      </c>
      <c r="I43" s="339">
        <v>0</v>
      </c>
      <c r="J43" s="340"/>
      <c r="K43" s="19" t="e">
        <f t="shared" si="0"/>
        <v>#DIV/0!</v>
      </c>
      <c r="L43" s="339">
        <v>0</v>
      </c>
      <c r="M43" s="340"/>
      <c r="N43" s="19" t="e">
        <f t="shared" si="1"/>
        <v>#DIV/0!</v>
      </c>
      <c r="O43" s="341">
        <v>0</v>
      </c>
      <c r="P43" s="342"/>
      <c r="Q43" s="19" t="e">
        <f t="shared" si="2"/>
        <v>#DIV/0!</v>
      </c>
      <c r="R43" s="341">
        <v>0</v>
      </c>
      <c r="S43" s="340"/>
      <c r="T43" s="19" t="e">
        <f t="shared" si="3"/>
        <v>#DIV/0!</v>
      </c>
      <c r="U43" s="343">
        <v>2</v>
      </c>
      <c r="V43" s="344">
        <v>2</v>
      </c>
      <c r="W43" s="19">
        <f t="shared" si="4"/>
        <v>1</v>
      </c>
      <c r="X43" s="345">
        <v>2</v>
      </c>
      <c r="Y43" s="346">
        <v>2</v>
      </c>
      <c r="Z43" s="19">
        <f t="shared" si="5"/>
        <v>1</v>
      </c>
      <c r="AA43" s="343">
        <f>(V43+Y43)</f>
        <v>4</v>
      </c>
      <c r="AB43" s="19">
        <f>(AA43/4)</f>
        <v>1</v>
      </c>
      <c r="AC43" s="343">
        <v>2</v>
      </c>
      <c r="AD43" s="347">
        <v>2</v>
      </c>
      <c r="AE43" s="19">
        <f t="shared" si="8"/>
        <v>1</v>
      </c>
      <c r="AF43" s="343">
        <v>1</v>
      </c>
      <c r="AG43" s="347">
        <v>1</v>
      </c>
      <c r="AH43" s="19">
        <f t="shared" si="9"/>
        <v>1</v>
      </c>
      <c r="AI43" s="348">
        <v>2</v>
      </c>
      <c r="AJ43" s="347">
        <v>2</v>
      </c>
      <c r="AK43" s="19">
        <f t="shared" si="10"/>
        <v>1</v>
      </c>
      <c r="AL43" s="343">
        <v>2</v>
      </c>
      <c r="AM43" s="347">
        <v>2</v>
      </c>
      <c r="AN43" s="19">
        <f t="shared" si="11"/>
        <v>1</v>
      </c>
      <c r="AO43" s="343">
        <v>1</v>
      </c>
      <c r="AP43" s="344">
        <v>1</v>
      </c>
      <c r="AQ43" s="19">
        <f t="shared" si="12"/>
        <v>1</v>
      </c>
      <c r="AR43" s="348">
        <v>1</v>
      </c>
      <c r="AS43" s="347">
        <v>1</v>
      </c>
      <c r="AT43" s="19">
        <f t="shared" si="13"/>
        <v>1</v>
      </c>
      <c r="AU43" s="349">
        <f>(+AS43+AP43+AM43+AJ43+AG43+AD43+Y43+V43)</f>
        <v>13</v>
      </c>
      <c r="AV43" s="350">
        <f>AU43/13</f>
        <v>1</v>
      </c>
    </row>
    <row r="44" spans="1:48" ht="81" customHeight="1" thickTop="1" thickBot="1">
      <c r="A44" s="2904"/>
      <c r="B44" s="2977"/>
      <c r="C44" s="2978" t="s">
        <v>293</v>
      </c>
      <c r="D44" s="17" t="s">
        <v>261</v>
      </c>
      <c r="E44" s="561" t="s">
        <v>294</v>
      </c>
      <c r="F44" s="561" t="s">
        <v>10</v>
      </c>
      <c r="G44" s="48">
        <v>0.03</v>
      </c>
      <c r="H44" s="561" t="s">
        <v>226</v>
      </c>
      <c r="I44" s="351">
        <v>0</v>
      </c>
      <c r="J44" s="352"/>
      <c r="K44" s="19" t="e">
        <f t="shared" si="0"/>
        <v>#DIV/0!</v>
      </c>
      <c r="L44" s="165">
        <v>0</v>
      </c>
      <c r="M44" s="352"/>
      <c r="N44" s="19" t="e">
        <f t="shared" si="1"/>
        <v>#DIV/0!</v>
      </c>
      <c r="O44" s="165">
        <v>0</v>
      </c>
      <c r="P44" s="352"/>
      <c r="Q44" s="19" t="e">
        <f t="shared" si="2"/>
        <v>#DIV/0!</v>
      </c>
      <c r="R44" s="165">
        <v>0</v>
      </c>
      <c r="S44" s="352"/>
      <c r="T44" s="19" t="e">
        <f t="shared" si="3"/>
        <v>#DIV/0!</v>
      </c>
      <c r="U44" s="165">
        <v>0</v>
      </c>
      <c r="V44" s="352"/>
      <c r="W44" s="19" t="e">
        <f t="shared" si="4"/>
        <v>#DIV/0!</v>
      </c>
      <c r="X44" s="165">
        <v>0</v>
      </c>
      <c r="Y44" s="352"/>
      <c r="Z44" s="19" t="e">
        <f t="shared" si="5"/>
        <v>#DIV/0!</v>
      </c>
      <c r="AA44" s="165">
        <f t="shared" si="6"/>
        <v>0</v>
      </c>
      <c r="AB44" s="19">
        <f t="shared" si="7"/>
        <v>0</v>
      </c>
      <c r="AC44" s="165">
        <v>0</v>
      </c>
      <c r="AD44" s="352"/>
      <c r="AE44" s="19" t="e">
        <f t="shared" si="8"/>
        <v>#DIV/0!</v>
      </c>
      <c r="AF44" s="165">
        <v>0</v>
      </c>
      <c r="AG44" s="352"/>
      <c r="AH44" s="19" t="e">
        <f t="shared" si="9"/>
        <v>#DIV/0!</v>
      </c>
      <c r="AI44" s="165">
        <v>0</v>
      </c>
      <c r="AJ44" s="353"/>
      <c r="AK44" s="19" t="e">
        <f t="shared" si="10"/>
        <v>#DIV/0!</v>
      </c>
      <c r="AL44" s="165">
        <v>0</v>
      </c>
      <c r="AM44" s="352"/>
      <c r="AN44" s="19" t="e">
        <f t="shared" si="11"/>
        <v>#DIV/0!</v>
      </c>
      <c r="AO44" s="165">
        <v>0</v>
      </c>
      <c r="AP44" s="352">
        <v>0</v>
      </c>
      <c r="AQ44" s="19" t="e">
        <f t="shared" si="12"/>
        <v>#DIV/0!</v>
      </c>
      <c r="AR44" s="165">
        <v>0.03</v>
      </c>
      <c r="AS44" s="352"/>
      <c r="AT44" s="19">
        <f t="shared" si="13"/>
        <v>0</v>
      </c>
      <c r="AU44" s="249">
        <f>+AJ44</f>
        <v>0</v>
      </c>
      <c r="AV44" s="73">
        <f t="shared" si="15"/>
        <v>0</v>
      </c>
    </row>
    <row r="45" spans="1:48" ht="76.7" customHeight="1" thickTop="1" thickBot="1">
      <c r="A45" s="2904"/>
      <c r="B45" s="2977"/>
      <c r="C45" s="2978"/>
      <c r="D45" s="24" t="s">
        <v>295</v>
      </c>
      <c r="E45" s="319" t="s">
        <v>296</v>
      </c>
      <c r="F45" s="25" t="s">
        <v>10</v>
      </c>
      <c r="G45" s="43">
        <v>1</v>
      </c>
      <c r="H45" s="25" t="s">
        <v>226</v>
      </c>
      <c r="I45" s="354">
        <v>0</v>
      </c>
      <c r="J45" s="355"/>
      <c r="K45" s="19" t="e">
        <f t="shared" si="0"/>
        <v>#DIV/0!</v>
      </c>
      <c r="L45" s="356">
        <v>0</v>
      </c>
      <c r="M45" s="355"/>
      <c r="N45" s="19" t="e">
        <f t="shared" si="1"/>
        <v>#DIV/0!</v>
      </c>
      <c r="O45" s="356">
        <v>0</v>
      </c>
      <c r="P45" s="355"/>
      <c r="Q45" s="19" t="e">
        <f t="shared" si="2"/>
        <v>#DIV/0!</v>
      </c>
      <c r="R45" s="356"/>
      <c r="S45" s="355"/>
      <c r="T45" s="19" t="e">
        <f t="shared" si="3"/>
        <v>#DIV/0!</v>
      </c>
      <c r="U45" s="356"/>
      <c r="V45" s="355"/>
      <c r="W45" s="19" t="e">
        <f t="shared" si="4"/>
        <v>#DIV/0!</v>
      </c>
      <c r="X45" s="356"/>
      <c r="Y45" s="355"/>
      <c r="Z45" s="19" t="e">
        <f t="shared" si="5"/>
        <v>#DIV/0!</v>
      </c>
      <c r="AA45" s="356"/>
      <c r="AB45" s="19">
        <f t="shared" si="7"/>
        <v>0</v>
      </c>
      <c r="AC45" s="356"/>
      <c r="AD45" s="355"/>
      <c r="AE45" s="19" t="e">
        <f t="shared" si="8"/>
        <v>#DIV/0!</v>
      </c>
      <c r="AF45" s="356"/>
      <c r="AG45" s="355"/>
      <c r="AH45" s="19" t="e">
        <f t="shared" si="9"/>
        <v>#DIV/0!</v>
      </c>
      <c r="AI45" s="356">
        <v>0.5</v>
      </c>
      <c r="AJ45" s="355">
        <v>0.5</v>
      </c>
      <c r="AK45" s="19">
        <f t="shared" si="10"/>
        <v>1</v>
      </c>
      <c r="AL45" s="356">
        <v>0</v>
      </c>
      <c r="AM45" s="84"/>
      <c r="AN45" s="19" t="e">
        <f t="shared" si="11"/>
        <v>#DIV/0!</v>
      </c>
      <c r="AO45" s="356">
        <v>0</v>
      </c>
      <c r="AP45" s="355">
        <v>0</v>
      </c>
      <c r="AQ45" s="19" t="e">
        <f t="shared" si="12"/>
        <v>#DIV/0!</v>
      </c>
      <c r="AR45" s="356">
        <v>0.5</v>
      </c>
      <c r="AS45" s="355">
        <v>0.5</v>
      </c>
      <c r="AT45" s="19">
        <f t="shared" si="13"/>
        <v>1</v>
      </c>
      <c r="AU45" s="357">
        <f>(AJ45+AS45)</f>
        <v>1</v>
      </c>
      <c r="AV45" s="73">
        <f t="shared" si="15"/>
        <v>1</v>
      </c>
    </row>
    <row r="46" spans="1:48" ht="22.5" thickTop="1" thickBot="1">
      <c r="A46" s="2903" t="s">
        <v>154</v>
      </c>
      <c r="B46" s="2903"/>
      <c r="C46" s="2903"/>
      <c r="D46" s="2903"/>
      <c r="E46" s="2903"/>
      <c r="F46" s="2903"/>
      <c r="G46" s="2903"/>
      <c r="H46" s="2903"/>
      <c r="I46" s="358"/>
      <c r="J46" s="359"/>
      <c r="K46" s="359"/>
      <c r="L46" s="360"/>
      <c r="M46" s="359"/>
      <c r="N46" s="359"/>
      <c r="O46" s="361"/>
      <c r="P46" s="362"/>
      <c r="Q46" s="359"/>
      <c r="R46" s="361"/>
      <c r="S46" s="359"/>
      <c r="T46" s="359"/>
      <c r="U46" s="361"/>
      <c r="V46" s="362"/>
      <c r="W46" s="359"/>
      <c r="X46" s="361"/>
      <c r="Y46" s="362"/>
      <c r="Z46" s="359"/>
      <c r="AA46" s="361"/>
      <c r="AB46" s="359"/>
      <c r="AC46" s="361"/>
      <c r="AD46" s="359"/>
      <c r="AE46" s="359"/>
      <c r="AF46" s="361"/>
      <c r="AG46" s="359"/>
      <c r="AH46" s="359"/>
      <c r="AI46" s="358"/>
      <c r="AJ46" s="359"/>
      <c r="AK46" s="359"/>
      <c r="AL46" s="361"/>
      <c r="AM46" s="359"/>
      <c r="AN46" s="359"/>
      <c r="AO46" s="361"/>
      <c r="AP46" s="362"/>
      <c r="AQ46" s="359"/>
      <c r="AR46" s="358"/>
      <c r="AS46" s="359"/>
      <c r="AT46" s="359"/>
      <c r="AU46" s="363"/>
      <c r="AV46" s="363"/>
    </row>
    <row r="47" spans="1:48" ht="64.5" thickTop="1" thickBot="1">
      <c r="A47" s="202" t="s">
        <v>155</v>
      </c>
      <c r="B47" s="695" t="s">
        <v>156</v>
      </c>
      <c r="C47" s="319" t="s">
        <v>157</v>
      </c>
      <c r="D47" s="24" t="s">
        <v>158</v>
      </c>
      <c r="E47" s="319" t="s">
        <v>297</v>
      </c>
      <c r="F47" s="25" t="s">
        <v>17</v>
      </c>
      <c r="G47" s="364">
        <v>15</v>
      </c>
      <c r="H47" s="25" t="s">
        <v>27</v>
      </c>
      <c r="I47" s="365">
        <v>0</v>
      </c>
      <c r="J47" s="366"/>
      <c r="K47" s="19" t="e">
        <f t="shared" ref="K47" si="17">+J47/I47</f>
        <v>#DIV/0!</v>
      </c>
      <c r="L47" s="365">
        <v>0</v>
      </c>
      <c r="M47" s="366"/>
      <c r="N47" s="19" t="e">
        <f t="shared" ref="N47" si="18">+M47/L47</f>
        <v>#DIV/0!</v>
      </c>
      <c r="O47" s="367">
        <v>3</v>
      </c>
      <c r="P47" s="368">
        <v>3</v>
      </c>
      <c r="Q47" s="19">
        <f t="shared" ref="Q47" si="19">+P47/O47</f>
        <v>1</v>
      </c>
      <c r="R47" s="367">
        <v>2</v>
      </c>
      <c r="S47" s="366">
        <v>2</v>
      </c>
      <c r="T47" s="19">
        <f t="shared" ref="T47" si="20">+S47/R47</f>
        <v>1</v>
      </c>
      <c r="U47" s="367">
        <v>1</v>
      </c>
      <c r="V47" s="368">
        <v>1</v>
      </c>
      <c r="W47" s="19">
        <f t="shared" ref="W47" si="21">+V47/U47</f>
        <v>1</v>
      </c>
      <c r="X47" s="367">
        <v>1</v>
      </c>
      <c r="Y47" s="368">
        <v>1</v>
      </c>
      <c r="Z47" s="19">
        <f t="shared" ref="Z47" si="22">+Y47/X47</f>
        <v>1</v>
      </c>
      <c r="AA47" s="369">
        <v>7</v>
      </c>
      <c r="AB47" s="19">
        <f t="shared" ref="AB47" si="23">AA47/G47</f>
        <v>0.46666666666666667</v>
      </c>
      <c r="AC47" s="367">
        <v>2</v>
      </c>
      <c r="AD47" s="366">
        <v>2</v>
      </c>
      <c r="AE47" s="19">
        <f t="shared" ref="AE47" si="24">+AD47/AC47</f>
        <v>1</v>
      </c>
      <c r="AF47" s="367">
        <v>3</v>
      </c>
      <c r="AG47" s="366">
        <v>3</v>
      </c>
      <c r="AH47" s="19">
        <f t="shared" ref="AH47" si="25">+AG47/AF47</f>
        <v>1</v>
      </c>
      <c r="AI47" s="365">
        <v>2</v>
      </c>
      <c r="AJ47" s="366">
        <v>2</v>
      </c>
      <c r="AK47" s="19">
        <f t="shared" ref="AK47" si="26">+AJ47/AI47</f>
        <v>1</v>
      </c>
      <c r="AL47" s="367">
        <v>1</v>
      </c>
      <c r="AM47" s="366">
        <v>1</v>
      </c>
      <c r="AN47" s="19">
        <f t="shared" ref="AN47" si="27">+AM47/AL47</f>
        <v>1</v>
      </c>
      <c r="AO47" s="367">
        <v>0</v>
      </c>
      <c r="AP47" s="368"/>
      <c r="AQ47" s="19" t="e">
        <f t="shared" ref="AQ47" si="28">+AP47/AO47</f>
        <v>#DIV/0!</v>
      </c>
      <c r="AR47" s="365">
        <v>0</v>
      </c>
      <c r="AS47" s="366"/>
      <c r="AT47" s="19" t="e">
        <f t="shared" ref="AT47" si="29">+AS47/AR47</f>
        <v>#DIV/0!</v>
      </c>
      <c r="AU47" s="245">
        <f t="shared" ref="AU47" si="30">+J47+M47+P47+S47+V47+Y47+AD47+AG47+AJ47+AM47+AP47+AS47</f>
        <v>15</v>
      </c>
      <c r="AV47" s="73">
        <f t="shared" ref="AV47" si="31">AU47/G47</f>
        <v>1</v>
      </c>
    </row>
    <row r="48" spans="1:48" ht="17.25" thickTop="1"/>
  </sheetData>
  <sheetProtection algorithmName="SHA-512" hashValue="Q7oUF8VvYUsD6t9nkjQmuQvS0gVXNr9zj29ozZ2VFF0sViC6vGU4Rx8Qz8IE8bNmX8GBd6BxlABBD4g2VzxuqQ==" saltValue="GKPkHicmsnja+DygzkhXqQ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AW39:XFD1048576 AW37:XFD38 AW1:XFD36" name="Rango1"/>
    <protectedRange algorithmName="SHA-512" hashValue="Uds9cYMsxnQI1SjFHe8NNqfDC/fFeray9QhmtAdG/GCgT0L97QBkFAQ9tCw5vTy3J/lQFdDpBTyQoZDg0KZNmQ==" saltValue="0HoWkw5WsZ+PdZDtJpkerg==" spinCount="100000" sqref="A1:A10 B37:C38 F37:AV38 A46:AV1048576 A12:A45 B1:AV36 B39:AV45" name="Rango1_1"/>
    <protectedRange algorithmName="SHA-512" hashValue="Uds9cYMsxnQI1SjFHe8NNqfDC/fFeray9QhmtAdG/GCgT0L97QBkFAQ9tCw5vTy3J/lQFdDpBTyQoZDg0KZNmQ==" saltValue="0HoWkw5WsZ+PdZDtJpkerg==" spinCount="100000" sqref="D37:E38" name="Rango1_2_1"/>
  </protectedRanges>
  <mergeCells count="40">
    <mergeCell ref="A46:H46"/>
    <mergeCell ref="C22:C28"/>
    <mergeCell ref="B30:B41"/>
    <mergeCell ref="C33:C41"/>
    <mergeCell ref="A42:H42"/>
    <mergeCell ref="A43:A45"/>
    <mergeCell ref="B43:B45"/>
    <mergeCell ref="C44:C45"/>
    <mergeCell ref="A9:A41"/>
    <mergeCell ref="B9:B10"/>
    <mergeCell ref="B11:B29"/>
    <mergeCell ref="C11:C16"/>
    <mergeCell ref="C17:C19"/>
    <mergeCell ref="AL5:AN7"/>
    <mergeCell ref="AO5:AQ7"/>
    <mergeCell ref="AR5:AT7"/>
    <mergeCell ref="AU5:AV7"/>
    <mergeCell ref="A8:H8"/>
    <mergeCell ref="U5:W7"/>
    <mergeCell ref="X5:Z7"/>
    <mergeCell ref="AA5:AB7"/>
    <mergeCell ref="AC5:AE7"/>
    <mergeCell ref="AF5:AH7"/>
    <mergeCell ref="AI5:AK7"/>
    <mergeCell ref="G5:G7"/>
    <mergeCell ref="H5:H7"/>
    <mergeCell ref="I5:K7"/>
    <mergeCell ref="L5:N7"/>
    <mergeCell ref="O5:Q7"/>
    <mergeCell ref="R5:T7"/>
    <mergeCell ref="C1:H1"/>
    <mergeCell ref="C2:H2"/>
    <mergeCell ref="C3:H3"/>
    <mergeCell ref="C4:H4"/>
    <mergeCell ref="F5:F7"/>
    <mergeCell ref="A5:A7"/>
    <mergeCell ref="B5:B7"/>
    <mergeCell ref="C5:C7"/>
    <mergeCell ref="D5:D7"/>
    <mergeCell ref="E5:E7"/>
  </mergeCells>
  <conditionalFormatting sqref="AV47 AV43:AV45 AV9:AV41 AQ9:AQ41 AN9:AN41 AK9:AK41 AH9:AH41 AE9:AE41 AB9:AB41 Z9:Z41 W9:W41 T9:T41 Q9:Q41 N9:N41 K9:K41 AT9:AT41">
    <cfRule type="cellIs" dxfId="9734" priority="66" operator="greaterThan">
      <formula>110%</formula>
    </cfRule>
    <cfRule type="cellIs" dxfId="9733" priority="67" operator="between">
      <formula>100.001%</formula>
      <formula>110%</formula>
    </cfRule>
    <cfRule type="cellIs" dxfId="9732" priority="68" operator="between">
      <formula>70.001%</formula>
      <formula>100%</formula>
    </cfRule>
    <cfRule type="cellIs" dxfId="9731" priority="69" operator="between">
      <formula>0.00001%</formula>
      <formula>70%</formula>
    </cfRule>
    <cfRule type="cellIs" dxfId="9730" priority="70" operator="equal">
      <formula>0</formula>
    </cfRule>
  </conditionalFormatting>
  <conditionalFormatting sqref="AT47 AT43:AT45">
    <cfRule type="cellIs" dxfId="9729" priority="61" operator="greaterThan">
      <formula>110%</formula>
    </cfRule>
    <cfRule type="cellIs" dxfId="9728" priority="62" operator="between">
      <formula>100.001%</formula>
      <formula>110%</formula>
    </cfRule>
    <cfRule type="cellIs" dxfId="9727" priority="63" operator="between">
      <formula>70.001%</formula>
      <formula>100%</formula>
    </cfRule>
    <cfRule type="cellIs" dxfId="9726" priority="64" operator="between">
      <formula>0.00001%</formula>
      <formula>70%</formula>
    </cfRule>
    <cfRule type="cellIs" dxfId="9725" priority="65" operator="equal">
      <formula>0</formula>
    </cfRule>
  </conditionalFormatting>
  <conditionalFormatting sqref="AQ47 AQ43:AQ45">
    <cfRule type="cellIs" dxfId="9724" priority="56" operator="greaterThan">
      <formula>110%</formula>
    </cfRule>
    <cfRule type="cellIs" dxfId="9723" priority="57" operator="between">
      <formula>100.001%</formula>
      <formula>110%</formula>
    </cfRule>
    <cfRule type="cellIs" dxfId="9722" priority="58" operator="between">
      <formula>70.001%</formula>
      <formula>100%</formula>
    </cfRule>
    <cfRule type="cellIs" dxfId="9721" priority="59" operator="between">
      <formula>0.00001%</formula>
      <formula>70%</formula>
    </cfRule>
    <cfRule type="cellIs" dxfId="9720" priority="60" operator="equal">
      <formula>0</formula>
    </cfRule>
  </conditionalFormatting>
  <conditionalFormatting sqref="AN47 AN43:AN45">
    <cfRule type="cellIs" dxfId="9719" priority="51" operator="greaterThan">
      <formula>110%</formula>
    </cfRule>
    <cfRule type="cellIs" dxfId="9718" priority="52" operator="between">
      <formula>100.001%</formula>
      <formula>110%</formula>
    </cfRule>
    <cfRule type="cellIs" dxfId="9717" priority="53" operator="between">
      <formula>70.001%</formula>
      <formula>100%</formula>
    </cfRule>
    <cfRule type="cellIs" dxfId="9716" priority="54" operator="between">
      <formula>0.00001%</formula>
      <formula>70%</formula>
    </cfRule>
    <cfRule type="cellIs" dxfId="9715" priority="55" operator="equal">
      <formula>0</formula>
    </cfRule>
  </conditionalFormatting>
  <conditionalFormatting sqref="AK47 AK43:AK45">
    <cfRule type="cellIs" dxfId="9714" priority="46" operator="greaterThan">
      <formula>110%</formula>
    </cfRule>
    <cfRule type="cellIs" dxfId="9713" priority="47" operator="between">
      <formula>100.001%</formula>
      <formula>110%</formula>
    </cfRule>
    <cfRule type="cellIs" dxfId="9712" priority="48" operator="between">
      <formula>70.001%</formula>
      <formula>100%</formula>
    </cfRule>
    <cfRule type="cellIs" dxfId="9711" priority="49" operator="between">
      <formula>0.00001%</formula>
      <formula>70%</formula>
    </cfRule>
    <cfRule type="cellIs" dxfId="9710" priority="50" operator="equal">
      <formula>0</formula>
    </cfRule>
  </conditionalFormatting>
  <conditionalFormatting sqref="AH47 AH43:AH45">
    <cfRule type="cellIs" dxfId="9709" priority="41" operator="greaterThan">
      <formula>110%</formula>
    </cfRule>
    <cfRule type="cellIs" dxfId="9708" priority="42" operator="between">
      <formula>100.001%</formula>
      <formula>110%</formula>
    </cfRule>
    <cfRule type="cellIs" dxfId="9707" priority="43" operator="between">
      <formula>70.001%</formula>
      <formula>100%</formula>
    </cfRule>
    <cfRule type="cellIs" dxfId="9706" priority="44" operator="between">
      <formula>0.00001%</formula>
      <formula>70%</formula>
    </cfRule>
    <cfRule type="cellIs" dxfId="9705" priority="45" operator="equal">
      <formula>0</formula>
    </cfRule>
  </conditionalFormatting>
  <conditionalFormatting sqref="AE47 AE43:AE45">
    <cfRule type="cellIs" dxfId="9704" priority="36" operator="greaterThan">
      <formula>110%</formula>
    </cfRule>
    <cfRule type="cellIs" dxfId="9703" priority="37" operator="between">
      <formula>100.001%</formula>
      <formula>110%</formula>
    </cfRule>
    <cfRule type="cellIs" dxfId="9702" priority="38" operator="between">
      <formula>70.001%</formula>
      <formula>100%</formula>
    </cfRule>
    <cfRule type="cellIs" dxfId="9701" priority="39" operator="between">
      <formula>0.00001%</formula>
      <formula>70%</formula>
    </cfRule>
    <cfRule type="cellIs" dxfId="9700" priority="40" operator="equal">
      <formula>0</formula>
    </cfRule>
  </conditionalFormatting>
  <conditionalFormatting sqref="AB47 AB43:AB45">
    <cfRule type="cellIs" dxfId="9699" priority="31" operator="greaterThan">
      <formula>110%</formula>
    </cfRule>
    <cfRule type="cellIs" dxfId="9698" priority="32" operator="between">
      <formula>100.001%</formula>
      <formula>110%</formula>
    </cfRule>
    <cfRule type="cellIs" dxfId="9697" priority="33" operator="between">
      <formula>70.001%</formula>
      <formula>100%</formula>
    </cfRule>
    <cfRule type="cellIs" dxfId="9696" priority="34" operator="between">
      <formula>0.00001%</formula>
      <formula>70%</formula>
    </cfRule>
    <cfRule type="cellIs" dxfId="9695" priority="35" operator="equal">
      <formula>0</formula>
    </cfRule>
  </conditionalFormatting>
  <conditionalFormatting sqref="Z47 Z43:Z45">
    <cfRule type="cellIs" dxfId="9694" priority="26" operator="greaterThan">
      <formula>110%</formula>
    </cfRule>
    <cfRule type="cellIs" dxfId="9693" priority="27" operator="between">
      <formula>100.001%</formula>
      <formula>110%</formula>
    </cfRule>
    <cfRule type="cellIs" dxfId="9692" priority="28" operator="between">
      <formula>70.001%</formula>
      <formula>100%</formula>
    </cfRule>
    <cfRule type="cellIs" dxfId="9691" priority="29" operator="between">
      <formula>0.00001%</formula>
      <formula>70%</formula>
    </cfRule>
    <cfRule type="cellIs" dxfId="9690" priority="30" operator="equal">
      <formula>0</formula>
    </cfRule>
  </conditionalFormatting>
  <conditionalFormatting sqref="W47 W43:W45">
    <cfRule type="cellIs" dxfId="9689" priority="21" operator="greaterThan">
      <formula>110%</formula>
    </cfRule>
    <cfRule type="cellIs" dxfId="9688" priority="22" operator="between">
      <formula>100.001%</formula>
      <formula>110%</formula>
    </cfRule>
    <cfRule type="cellIs" dxfId="9687" priority="23" operator="between">
      <formula>70.001%</formula>
      <formula>100%</formula>
    </cfRule>
    <cfRule type="cellIs" dxfId="9686" priority="24" operator="between">
      <formula>0.00001%</formula>
      <formula>70%</formula>
    </cfRule>
    <cfRule type="cellIs" dxfId="9685" priority="25" operator="equal">
      <formula>0</formula>
    </cfRule>
  </conditionalFormatting>
  <conditionalFormatting sqref="T47 T43:T45">
    <cfRule type="cellIs" dxfId="9684" priority="16" operator="greaterThan">
      <formula>110%</formula>
    </cfRule>
    <cfRule type="cellIs" dxfId="9683" priority="17" operator="between">
      <formula>100.001%</formula>
      <formula>110%</formula>
    </cfRule>
    <cfRule type="cellIs" dxfId="9682" priority="18" operator="between">
      <formula>70.001%</formula>
      <formula>100%</formula>
    </cfRule>
    <cfRule type="cellIs" dxfId="9681" priority="19" operator="between">
      <formula>0.00001%</formula>
      <formula>70%</formula>
    </cfRule>
    <cfRule type="cellIs" dxfId="9680" priority="20" operator="equal">
      <formula>0</formula>
    </cfRule>
  </conditionalFormatting>
  <conditionalFormatting sqref="Q47 Q43:Q45">
    <cfRule type="cellIs" dxfId="9679" priority="11" operator="greaterThan">
      <formula>110%</formula>
    </cfRule>
    <cfRule type="cellIs" dxfId="9678" priority="12" operator="between">
      <formula>100.001%</formula>
      <formula>110%</formula>
    </cfRule>
    <cfRule type="cellIs" dxfId="9677" priority="13" operator="between">
      <formula>70.001%</formula>
      <formula>100%</formula>
    </cfRule>
    <cfRule type="cellIs" dxfId="9676" priority="14" operator="between">
      <formula>0.00001%</formula>
      <formula>70%</formula>
    </cfRule>
    <cfRule type="cellIs" dxfId="9675" priority="15" operator="equal">
      <formula>0</formula>
    </cfRule>
  </conditionalFormatting>
  <conditionalFormatting sqref="N47 N43:N45">
    <cfRule type="cellIs" dxfId="9674" priority="6" operator="greaterThan">
      <formula>110%</formula>
    </cfRule>
    <cfRule type="cellIs" dxfId="9673" priority="7" operator="between">
      <formula>100.001%</formula>
      <formula>110%</formula>
    </cfRule>
    <cfRule type="cellIs" dxfId="9672" priority="8" operator="between">
      <formula>70.001%</formula>
      <formula>100%</formula>
    </cfRule>
    <cfRule type="cellIs" dxfId="9671" priority="9" operator="between">
      <formula>0.00001%</formula>
      <formula>70%</formula>
    </cfRule>
    <cfRule type="cellIs" dxfId="9670" priority="10" operator="equal">
      <formula>0</formula>
    </cfRule>
  </conditionalFormatting>
  <conditionalFormatting sqref="K47 K43:K45">
    <cfRule type="cellIs" dxfId="9669" priority="1" operator="greaterThan">
      <formula>110%</formula>
    </cfRule>
    <cfRule type="cellIs" dxfId="9668" priority="2" operator="between">
      <formula>100.001%</formula>
      <formula>110%</formula>
    </cfRule>
    <cfRule type="cellIs" dxfId="9667" priority="3" operator="between">
      <formula>70.001%</formula>
      <formula>100%</formula>
    </cfRule>
    <cfRule type="cellIs" dxfId="9666" priority="4" operator="between">
      <formula>0.00001%</formula>
      <formula>70%</formula>
    </cfRule>
    <cfRule type="cellIs" dxfId="9665" priority="5" operator="equal">
      <formula>0</formula>
    </cfRule>
  </conditionalFormatting>
  <hyperlinks>
    <hyperlink ref="D11" location="'FIS-5'!A1" display="FIS-5 Gestión Efectiva de Fiscalización Aduanera" xr:uid="{00000000-0004-0000-0900-000000000000}"/>
    <hyperlink ref="D12" location="'FIS-7'!A1" display="FIS-7 Gestión efectiva de control Cambiario" xr:uid="{00000000-0004-0000-0900-000001000000}"/>
    <hyperlink ref="D13" location="'FIS-8'!A1" display="FIS-8 Gestión aceptada de fiscalización aduanera (recaudo)" xr:uid="{00000000-0004-0000-0900-000002000000}"/>
    <hyperlink ref="D14" location="'FIS-9'!A1" display="FIS-9 Gestión aceptada de fiscalización aduanera (Resoluciones en firme)" xr:uid="{00000000-0004-0000-0900-000003000000}"/>
    <hyperlink ref="D15" location="'FIS-11'!A1" display="FIS-11 Gestión aceptada cambiaria (recaudo)" xr:uid="{00000000-0004-0000-0900-000004000000}"/>
    <hyperlink ref="D16" location="'FIS-12'!A1" display="FIS-12 Gestión aceptada cambiaria (Resoluciones en firme)" xr:uid="{00000000-0004-0000-0900-000005000000}"/>
    <hyperlink ref="D17" location="'FIS-16'!A1" display="FIS-16 Visitas de control a personas que hacen la venta y compra de divisas sin estar autorizados" xr:uid="{00000000-0004-0000-0900-000006000000}"/>
    <hyperlink ref="D18" location="'FIS-15'!A1" display="FIS-15 Visitas de control a profesionales de cambio" xr:uid="{00000000-0004-0000-0900-000007000000}"/>
    <hyperlink ref="D19" location="'FIS-18'!A1" display="FIS -18 Evacuación de expedientes en fiscalización cambiaria" xr:uid="{00000000-0004-0000-0900-000008000000}"/>
    <hyperlink ref="D20" location="'FIS-21'!A1" display="FIS-21 Propuestas de Programas de control posterior de fiscalización  aduanera (Sanciones, LOC, LOR, Origen)" xr:uid="{00000000-0004-0000-0900-000009000000}"/>
    <hyperlink ref="D21" location="'FIS-14'!A1" display="FIS-14 Propuestas acciones aduaneras de control posterior contra el contrabando técnico(Sanciones, LOC, LOR, Origen)" xr:uid="{00000000-0004-0000-0900-00000A000000}"/>
    <hyperlink ref="D22" location="'JUR-3.1'!A1" display="JUR-3.1 Porcentaje de éxito de litigiosidad " xr:uid="{00000000-0004-0000-0900-00000B000000}"/>
    <hyperlink ref="D23" location="'JUR-3.2'!A1" display="JUR-3.2 Porcentaje procesos judiciales revisados con mayor riesgo en Ekogui" xr:uid="{00000000-0004-0000-0900-00000C000000}"/>
    <hyperlink ref="D24" location="'JUR-3.3'!A1" display="JUR-3.3 Porcentaje de análisis de jurisprudencia remitidos junto con la copia de la sentencia " xr:uid="{00000000-0004-0000-0900-00000D000000}"/>
    <hyperlink ref="D25" location="'JUR-3.4'!A1" display="JUR-3.4 Porcentaje de procesos revisados con VoBo del Jefe " xr:uid="{00000000-0004-0000-0900-00000E000000}"/>
    <hyperlink ref="D26" location="'JUR-3.5'!A1" display="JUR-3.5 Porcentaje de requerimientos atendidos en oportunidad" xr:uid="{00000000-0004-0000-0900-00000F000000}"/>
    <hyperlink ref="D27" location="'JUR-3.6'!A1" display="JUR-3.6 Porcentaje funcionarios capacitaciones en cursos virtuales de la ANDJE" xr:uid="{00000000-0004-0000-0900-000010000000}"/>
    <hyperlink ref="D28" location="'JUR-4'!A1" display="JUR-4 Porcentaje funcionarios que participaron en el concurso de escritura jurídica" xr:uid="{00000000-0004-0000-0900-000011000000}"/>
    <hyperlink ref="D29" location="'ADU-3'!A1" display="ADU-3 Monto de recaudación total de aduanas" xr:uid="{00000000-0004-0000-0900-000012000000}"/>
    <hyperlink ref="D30" location="'FIS-24'!A1" display="FIS-24 Valor Decomisos de mercancías en firme" xr:uid="{00000000-0004-0000-0900-000013000000}"/>
    <hyperlink ref="D31" location="'FIS-32'!A1" display="FIS-32 Valor Aprehensiones sectores de Licores, Cigarrillos, Calzado y Confecciones" xr:uid="{00000000-0004-0000-0900-000014000000}"/>
    <hyperlink ref="D32" location="'POLFA-3'!A1" display="POLFA-3 Acciones de control de fiscalización contra el contrabando" xr:uid="{00000000-0004-0000-0900-000015000000}"/>
    <hyperlink ref="D33" location="'ADU-8'!A1" display="ADU-8 Efectividad en los controles previos - Lucha contra el Contrabando" xr:uid="{00000000-0004-0000-0900-000016000000}"/>
    <hyperlink ref="D36" location="'ADU-10.1'!A1" display="ADU-10.1 Efectividad en el control de pasajeros" xr:uid="{00000000-0004-0000-0900-000017000000}"/>
    <hyperlink ref="D39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0900-000018000000}"/>
    <hyperlink ref="D40" location="'ADU-30'!A1" display="ADU-30 Eficacia Visitas de verificación y control a los productores  y/o exportadores colombianos." xr:uid="{00000000-0004-0000-0900-000019000000}"/>
    <hyperlink ref="D41" location="'ADU-31'!A1" display="ADU-31 Eficacia en la revisión de criterios de origen de los productos colombianos" xr:uid="{00000000-0004-0000-0900-00001A000000}"/>
    <hyperlink ref="D43" location="'ADU-17'!A1" display="ADU-17 Encuentros Aduana - Empresa" xr:uid="{00000000-0004-0000-0900-00001B000000}"/>
    <hyperlink ref="D44" location="'POLFA-7'!A1" display="POLFA-7 Implementación programa zonas de comercio legal (Formalización)" xr:uid="{00000000-0004-0000-0900-00001C000000}"/>
    <hyperlink ref="D45" location="'POLFA-8'!A1" display="POLFA-8 Porcentaje de cumplimiento programa Semilleros de la legalidad" xr:uid="{00000000-0004-0000-0900-00001D000000}"/>
    <hyperlink ref="D9" location="'DGRAE-1'!A1" display="DGRAE-1 Nivel de Ejecución del presupuesto " xr:uid="{00000000-0004-0000-0900-00001E000000}"/>
    <hyperlink ref="D10" location="'DGRAE-2'!A1" display="DGRAE-2 Nivel de ejecución del PAA de la Dirección" xr:uid="{00000000-0004-0000-0900-00001F000000}"/>
    <hyperlink ref="D47" location="'DGRAE-25'!A1" display="DGRAE-25 Actividades que componen el  PIC para la Dirección de Gestión" xr:uid="{00000000-0004-0000-0900-000020000000}"/>
    <hyperlink ref="D37" location="'ADU-12'!A1" display="ADU-12  Efectividad en los Controles a los  usuarios de comercio - Visitas con hallazgos en usuarios visitados" xr:uid="{00000000-0004-0000-0900-000021000000}"/>
    <hyperlink ref="D38" location="'ADU-13'!A1" display="ADU-13 Efectividad en los Controles a los  usuarios de comercio - Hallazgos en visitas de usuarios no visitados anteriormente" xr:uid="{00000000-0004-0000-0900-000022000000}"/>
    <hyperlink ref="D34" location="'ADU-9'!A1" display="ADU-9 Efectividad en el control simultaneo - Lucha contra el Contrabando" xr:uid="{00000000-0004-0000-0900-000023000000}"/>
    <hyperlink ref="D35" location="'ADU-9.1'!A1" display="ADU-9.1 Efectividad en el control simultaneo - Lucha contra el Contrabando - Documental" xr:uid="{00000000-0004-0000-0900-000024000000}"/>
    <hyperlink ref="AV2" location="'Consolidado '!A1" display="VOLVER" xr:uid="{00000000-0004-0000-0900-000025000000}"/>
  </hyperlink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46"/>
  <sheetViews>
    <sheetView topLeftCell="D1" workbookViewId="0">
      <selection activeCell="AX10" sqref="AX10"/>
    </sheetView>
  </sheetViews>
  <sheetFormatPr baseColWidth="10" defaultColWidth="11.42578125" defaultRowHeight="16.5"/>
  <cols>
    <col min="1" max="1" width="20.5703125" style="8" hidden="1" customWidth="1"/>
    <col min="2" max="2" width="37" style="8" hidden="1" customWidth="1"/>
    <col min="3" max="3" width="56" style="63" hidden="1" customWidth="1"/>
    <col min="4" max="4" width="29.5703125" style="63" customWidth="1"/>
    <col min="5" max="5" width="53.28515625" style="8" customWidth="1"/>
    <col min="6" max="6" width="12.7109375" style="8" customWidth="1"/>
    <col min="7" max="7" width="19" style="8" customWidth="1"/>
    <col min="8" max="8" width="21.28515625" style="8" hidden="1" customWidth="1"/>
    <col min="9" max="10" width="12.7109375" style="8" hidden="1" customWidth="1"/>
    <col min="11" max="11" width="12.7109375" style="8" customWidth="1"/>
    <col min="12" max="12" width="17.5703125" style="8" hidden="1" customWidth="1"/>
    <col min="13" max="13" width="18.7109375" style="8" hidden="1" customWidth="1"/>
    <col min="14" max="14" width="12.7109375" style="621" hidden="1" customWidth="1"/>
    <col min="15" max="15" width="18.42578125" style="8" hidden="1" customWidth="1"/>
    <col min="16" max="16" width="16.42578125" style="8" hidden="1" customWidth="1"/>
    <col min="17" max="17" width="12.7109375" style="621" hidden="1" customWidth="1"/>
    <col min="18" max="18" width="18.42578125" style="8" hidden="1" customWidth="1"/>
    <col min="19" max="19" width="17.7109375" style="8" hidden="1" customWidth="1"/>
    <col min="20" max="20" width="12.7109375" style="621" hidden="1" customWidth="1"/>
    <col min="21" max="21" width="18.85546875" style="8" hidden="1" customWidth="1"/>
    <col min="22" max="22" width="17.5703125" style="8" hidden="1" customWidth="1"/>
    <col min="23" max="23" width="11.42578125" style="621" hidden="1" customWidth="1"/>
    <col min="24" max="24" width="17.42578125" style="8" hidden="1" customWidth="1"/>
    <col min="25" max="25" width="17" style="8" hidden="1" customWidth="1"/>
    <col min="26" max="26" width="11.140625" style="621" hidden="1" customWidth="1"/>
    <col min="27" max="28" width="17.28515625" style="8" hidden="1" customWidth="1"/>
    <col min="29" max="29" width="11.140625" style="621" hidden="1" customWidth="1"/>
    <col min="30" max="30" width="20.5703125" style="8" hidden="1" customWidth="1"/>
    <col min="31" max="31" width="11.140625" style="621" hidden="1" customWidth="1"/>
    <col min="32" max="32" width="20" style="8" hidden="1" customWidth="1"/>
    <col min="33" max="33" width="18" style="8" hidden="1" customWidth="1"/>
    <col min="34" max="34" width="13" style="621" hidden="1" customWidth="1"/>
    <col min="35" max="35" width="19.42578125" style="8" hidden="1" customWidth="1"/>
    <col min="36" max="36" width="21.140625" style="8" hidden="1" customWidth="1"/>
    <col min="37" max="37" width="13" style="621" hidden="1" customWidth="1"/>
    <col min="38" max="38" width="17.28515625" style="8" hidden="1" customWidth="1"/>
    <col min="39" max="39" width="20.7109375" style="8" hidden="1" customWidth="1"/>
    <col min="40" max="40" width="13" style="621" hidden="1" customWidth="1"/>
    <col min="41" max="41" width="19.85546875" style="8" hidden="1" customWidth="1"/>
    <col min="42" max="42" width="19.5703125" style="8" hidden="1" customWidth="1"/>
    <col min="43" max="43" width="13" style="621" hidden="1" customWidth="1"/>
    <col min="44" max="45" width="20.7109375" style="8" hidden="1" customWidth="1"/>
    <col min="46" max="46" width="20.7109375" style="621" hidden="1" customWidth="1"/>
    <col min="47" max="47" width="17.5703125" style="8" hidden="1" customWidth="1"/>
    <col min="48" max="48" width="20.7109375" style="8" hidden="1" customWidth="1"/>
    <col min="49" max="49" width="20.7109375" style="621" hidden="1" customWidth="1"/>
    <col min="50" max="50" width="30.5703125" style="8" customWidth="1"/>
    <col min="51" max="51" width="11.42578125" style="444"/>
    <col min="52" max="16384" width="11.42578125" style="8"/>
  </cols>
  <sheetData>
    <row r="1" spans="1:52" ht="29.25" customHeight="1">
      <c r="A1" s="108"/>
      <c r="B1" s="108"/>
      <c r="C1" s="2885" t="s">
        <v>395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8"/>
      <c r="B2" s="108"/>
      <c r="C2" s="2867" t="s">
        <v>69</v>
      </c>
      <c r="D2" s="2867"/>
      <c r="E2" s="2867"/>
      <c r="F2" s="2867"/>
      <c r="G2" s="2867"/>
      <c r="H2" s="2867"/>
      <c r="I2" s="2867"/>
      <c r="J2" s="2867"/>
      <c r="K2" s="2867"/>
    </row>
    <row r="3" spans="1:52">
      <c r="A3" s="107"/>
      <c r="B3" s="108"/>
      <c r="C3" s="2866" t="s">
        <v>396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</row>
    <row r="5" spans="1:52" s="762" customFormat="1" ht="20.2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160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  <c r="AZ5" s="670" t="s">
        <v>185</v>
      </c>
    </row>
    <row r="6" spans="1:52" s="762" customFormat="1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989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763" customFormat="1" ht="18" customHeight="1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990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9.25" customHeight="1" thickTop="1" thickBot="1">
      <c r="A8" s="2839" t="s">
        <v>165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4" t="s">
        <v>84</v>
      </c>
      <c r="M8" s="14" t="s">
        <v>85</v>
      </c>
      <c r="N8" s="71" t="s">
        <v>86</v>
      </c>
      <c r="O8" s="14" t="s">
        <v>84</v>
      </c>
      <c r="P8" s="14" t="s">
        <v>85</v>
      </c>
      <c r="Q8" s="71" t="s">
        <v>86</v>
      </c>
      <c r="R8" s="14" t="s">
        <v>84</v>
      </c>
      <c r="S8" s="14" t="s">
        <v>85</v>
      </c>
      <c r="T8" s="71" t="s">
        <v>86</v>
      </c>
      <c r="U8" s="14" t="s">
        <v>84</v>
      </c>
      <c r="V8" s="14" t="s">
        <v>85</v>
      </c>
      <c r="W8" s="71" t="s">
        <v>86</v>
      </c>
      <c r="X8" s="14" t="s">
        <v>84</v>
      </c>
      <c r="Y8" s="14" t="s">
        <v>85</v>
      </c>
      <c r="Z8" s="71" t="s">
        <v>86</v>
      </c>
      <c r="AA8" s="14" t="s">
        <v>84</v>
      </c>
      <c r="AB8" s="14" t="s">
        <v>85</v>
      </c>
      <c r="AC8" s="71" t="s">
        <v>86</v>
      </c>
      <c r="AD8" s="16" t="s">
        <v>87</v>
      </c>
      <c r="AE8" s="71" t="s">
        <v>6</v>
      </c>
      <c r="AF8" s="14" t="s">
        <v>84</v>
      </c>
      <c r="AG8" s="14" t="s">
        <v>85</v>
      </c>
      <c r="AH8" s="71" t="s">
        <v>86</v>
      </c>
      <c r="AI8" s="14" t="s">
        <v>84</v>
      </c>
      <c r="AJ8" s="14" t="s">
        <v>85</v>
      </c>
      <c r="AK8" s="71" t="s">
        <v>86</v>
      </c>
      <c r="AL8" s="14" t="s">
        <v>84</v>
      </c>
      <c r="AM8" s="14" t="s">
        <v>85</v>
      </c>
      <c r="AN8" s="71" t="s">
        <v>86</v>
      </c>
      <c r="AO8" s="14" t="s">
        <v>84</v>
      </c>
      <c r="AP8" s="14" t="s">
        <v>85</v>
      </c>
      <c r="AQ8" s="71" t="s">
        <v>86</v>
      </c>
      <c r="AR8" s="14" t="s">
        <v>84</v>
      </c>
      <c r="AS8" s="14" t="s">
        <v>85</v>
      </c>
      <c r="AT8" s="71" t="s">
        <v>86</v>
      </c>
      <c r="AU8" s="14" t="s">
        <v>84</v>
      </c>
      <c r="AV8" s="14" t="s">
        <v>85</v>
      </c>
      <c r="AW8" s="71" t="s">
        <v>86</v>
      </c>
      <c r="AX8" s="14" t="s">
        <v>87</v>
      </c>
      <c r="AY8" s="110" t="s">
        <v>6</v>
      </c>
      <c r="AZ8" s="370">
        <f>+(AY9+AY10+AY11+AY12+AY13+AY14+AY15+AY16+AY17+AY18+AY19+AY20+AY21+AY22+AY23+AY24+AY25+AY26+AY27+AY28+AY30+AY31+AY32+AY33+AY34+AY35+AY36+AY37+AY38+AY39+AY40+AY43+AY45)/33</f>
        <v>1.5705607195579334</v>
      </c>
    </row>
    <row r="9" spans="1:52" customFormat="1" ht="39.75" customHeight="1" thickTop="1" thickBot="1">
      <c r="A9" s="2943" t="s">
        <v>88</v>
      </c>
      <c r="B9" s="2848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764">
        <f>3857169900/1000000</f>
        <v>3857.1698999999999</v>
      </c>
      <c r="H9" s="74" t="s">
        <v>25</v>
      </c>
      <c r="I9" s="79"/>
      <c r="J9" s="78"/>
      <c r="K9" s="76" t="s">
        <v>25</v>
      </c>
      <c r="L9" s="765">
        <v>1359</v>
      </c>
      <c r="M9" s="567">
        <v>351</v>
      </c>
      <c r="N9" s="19">
        <f>+M9/L9</f>
        <v>0.25827814569536423</v>
      </c>
      <c r="O9" s="765">
        <v>63.6</v>
      </c>
      <c r="P9" s="567">
        <v>64</v>
      </c>
      <c r="Q9" s="19">
        <f>+P9/O9</f>
        <v>1.0062893081761006</v>
      </c>
      <c r="R9" s="765">
        <v>396.1</v>
      </c>
      <c r="S9" s="567">
        <v>355</v>
      </c>
      <c r="T9" s="19">
        <f>+S9/R9</f>
        <v>0.89623832365564249</v>
      </c>
      <c r="U9" s="765">
        <v>31</v>
      </c>
      <c r="V9" s="567">
        <v>72</v>
      </c>
      <c r="W9" s="19">
        <f>+V9/U9</f>
        <v>2.3225806451612905</v>
      </c>
      <c r="X9" s="765">
        <v>0</v>
      </c>
      <c r="Y9" s="567">
        <v>51</v>
      </c>
      <c r="Z9" s="19" t="e">
        <f>+Y9/X9</f>
        <v>#DIV/0!</v>
      </c>
      <c r="AA9" s="765">
        <v>0</v>
      </c>
      <c r="AB9" s="567">
        <v>49</v>
      </c>
      <c r="AC9" s="19" t="e">
        <f>+AB9/AA9</f>
        <v>#DIV/0!</v>
      </c>
      <c r="AD9" s="566">
        <f>+AB9+Y9+V9+S9+P9+M9</f>
        <v>942</v>
      </c>
      <c r="AE9" s="121">
        <f>+AD9/G9</f>
        <v>0.24422050996509126</v>
      </c>
      <c r="AF9" s="765">
        <v>0</v>
      </c>
      <c r="AG9" s="567">
        <v>48</v>
      </c>
      <c r="AH9" s="19" t="e">
        <f>+AG9/AF9</f>
        <v>#DIV/0!</v>
      </c>
      <c r="AI9" s="765">
        <v>3.5</v>
      </c>
      <c r="AJ9" s="567">
        <v>136</v>
      </c>
      <c r="AK9" s="19">
        <f>+AJ9/AI9</f>
        <v>38.857142857142854</v>
      </c>
      <c r="AL9" s="765">
        <v>0</v>
      </c>
      <c r="AM9" s="567">
        <v>452</v>
      </c>
      <c r="AN9" s="19" t="e">
        <f>+AM9/AL9</f>
        <v>#DIV/0!</v>
      </c>
      <c r="AO9" s="765">
        <v>0</v>
      </c>
      <c r="AP9" s="567">
        <v>119</v>
      </c>
      <c r="AQ9" s="19" t="e">
        <f>+AP9/AO9</f>
        <v>#DIV/0!</v>
      </c>
      <c r="AR9" s="765">
        <v>0</v>
      </c>
      <c r="AS9" s="567">
        <v>380</v>
      </c>
      <c r="AT9" s="19" t="e">
        <f>+AS9/AR9</f>
        <v>#DIV/0!</v>
      </c>
      <c r="AU9" s="765">
        <v>0</v>
      </c>
      <c r="AV9" s="567">
        <v>1557</v>
      </c>
      <c r="AW9" s="19" t="e">
        <f>+AV9/AU9</f>
        <v>#DIV/0!</v>
      </c>
      <c r="AX9" s="747">
        <f>3669944938/1000000</f>
        <v>3669.9449380000001</v>
      </c>
      <c r="AY9" s="19">
        <f>+AX9/G9</f>
        <v>0.95146053535261699</v>
      </c>
    </row>
    <row r="10" spans="1:52" customFormat="1" ht="47.25" customHeight="1" thickTop="1" thickBot="1">
      <c r="A10" s="2944"/>
      <c r="B10" s="2850"/>
      <c r="C10" s="74" t="s">
        <v>169</v>
      </c>
      <c r="D10" s="111" t="s">
        <v>92</v>
      </c>
      <c r="E10" s="74" t="s">
        <v>170</v>
      </c>
      <c r="F10" s="74" t="s">
        <v>17</v>
      </c>
      <c r="G10" s="117">
        <v>17</v>
      </c>
      <c r="H10" s="118" t="s">
        <v>26</v>
      </c>
      <c r="I10" s="79"/>
      <c r="J10" s="78"/>
      <c r="K10" s="76" t="s">
        <v>26</v>
      </c>
      <c r="L10" s="119">
        <v>0</v>
      </c>
      <c r="M10" s="120"/>
      <c r="N10" s="19" t="e">
        <f>+M10/L10</f>
        <v>#DIV/0!</v>
      </c>
      <c r="O10" s="119">
        <v>0</v>
      </c>
      <c r="P10" s="120"/>
      <c r="Q10" s="19" t="e">
        <f>+P10/O10</f>
        <v>#DIV/0!</v>
      </c>
      <c r="R10" s="119">
        <v>0</v>
      </c>
      <c r="S10" s="120">
        <v>5</v>
      </c>
      <c r="T10" s="19" t="e">
        <f>+S10/R10</f>
        <v>#DIV/0!</v>
      </c>
      <c r="U10" s="119">
        <v>0</v>
      </c>
      <c r="V10" s="120"/>
      <c r="W10" s="19" t="e">
        <f>+V10/U10</f>
        <v>#DIV/0!</v>
      </c>
      <c r="X10" s="119">
        <v>0</v>
      </c>
      <c r="Y10" s="120"/>
      <c r="Z10" s="121" t="e">
        <f>+Y10/X10</f>
        <v>#DIV/0!</v>
      </c>
      <c r="AA10" s="119">
        <v>0</v>
      </c>
      <c r="AB10" s="120">
        <v>1</v>
      </c>
      <c r="AC10" s="19" t="e">
        <f>+AB10/AA10</f>
        <v>#DIV/0!</v>
      </c>
      <c r="AD10" s="122">
        <f>+AB10+Y10+V10+S10+P10+M10</f>
        <v>6</v>
      </c>
      <c r="AE10" s="19">
        <f t="shared" ref="AE10:AE43" si="0">+AD10/G10</f>
        <v>0.35294117647058826</v>
      </c>
      <c r="AF10" s="119">
        <v>0</v>
      </c>
      <c r="AG10" s="120"/>
      <c r="AH10" s="19" t="e">
        <f>+AG10/AF10</f>
        <v>#DIV/0!</v>
      </c>
      <c r="AI10" s="119">
        <v>0</v>
      </c>
      <c r="AJ10" s="120"/>
      <c r="AK10" s="19" t="e">
        <f>+AJ10/AI10</f>
        <v>#DIV/0!</v>
      </c>
      <c r="AL10" s="119">
        <v>0</v>
      </c>
      <c r="AM10" s="120">
        <v>3</v>
      </c>
      <c r="AN10" s="19" t="e">
        <f>+AM10/AL10</f>
        <v>#DIV/0!</v>
      </c>
      <c r="AO10" s="119">
        <v>0</v>
      </c>
      <c r="AP10" s="120"/>
      <c r="AQ10" s="121" t="e">
        <f>+AP10/AO10</f>
        <v>#DIV/0!</v>
      </c>
      <c r="AR10" s="119">
        <v>0</v>
      </c>
      <c r="AS10" s="120"/>
      <c r="AT10" s="19" t="e">
        <f>+AS10/AR10</f>
        <v>#DIV/0!</v>
      </c>
      <c r="AU10" s="119">
        <v>8</v>
      </c>
      <c r="AV10" s="120">
        <v>8</v>
      </c>
      <c r="AW10" s="19">
        <f>+AV10/AU10</f>
        <v>1</v>
      </c>
      <c r="AX10" s="123">
        <f t="shared" ref="AX10" si="1">+M10+P10+S10+V10+Y10+AB10+AG10+AJ10+AM10+AP10+AS10+AV10</f>
        <v>17</v>
      </c>
      <c r="AY10" s="19">
        <f t="shared" ref="AY10:AY43" si="2">+AX10/G10</f>
        <v>1</v>
      </c>
    </row>
    <row r="11" spans="1:52" s="80" customFormat="1" ht="47.25" customHeight="1" thickTop="1" thickBot="1">
      <c r="A11" s="2944"/>
      <c r="B11" s="2991" t="s">
        <v>171</v>
      </c>
      <c r="C11" s="2993" t="s">
        <v>398</v>
      </c>
      <c r="D11" s="171" t="s">
        <v>399</v>
      </c>
      <c r="E11" s="172" t="s">
        <v>192</v>
      </c>
      <c r="F11" s="172" t="s">
        <v>101</v>
      </c>
      <c r="G11" s="766">
        <v>32000000000</v>
      </c>
      <c r="H11" s="767"/>
      <c r="I11" s="768"/>
      <c r="J11" s="767"/>
      <c r="K11" s="172" t="s">
        <v>140</v>
      </c>
      <c r="L11" s="745">
        <v>2133333333.3333333</v>
      </c>
      <c r="M11" s="769">
        <v>4230200520</v>
      </c>
      <c r="N11" s="73">
        <f t="shared" ref="N11:N43" si="3">+M11/L11</f>
        <v>1.9829064937500001</v>
      </c>
      <c r="O11" s="745">
        <v>2133333333.3299999</v>
      </c>
      <c r="P11" s="567">
        <v>53065000</v>
      </c>
      <c r="Q11" s="73">
        <f>+P11/O11</f>
        <v>2.4874218750038868E-2</v>
      </c>
      <c r="R11" s="770">
        <v>2133333333.3299999</v>
      </c>
      <c r="S11" s="771">
        <v>16578000</v>
      </c>
      <c r="T11" s="73">
        <f t="shared" ref="T11:T43" si="4">+S11/R11</f>
        <v>7.7709375000121423E-3</v>
      </c>
      <c r="U11" s="772">
        <v>3200000000</v>
      </c>
      <c r="V11" s="567">
        <v>0</v>
      </c>
      <c r="W11" s="73">
        <f t="shared" ref="W11:W43" si="5">+V11/U11</f>
        <v>0</v>
      </c>
      <c r="X11" s="765">
        <v>3200000000</v>
      </c>
      <c r="Y11" s="567">
        <v>0</v>
      </c>
      <c r="Z11" s="73">
        <f t="shared" ref="Z11:Z43" si="6">+Y11/X11</f>
        <v>0</v>
      </c>
      <c r="AA11" s="765">
        <v>3200000000</v>
      </c>
      <c r="AB11" s="567">
        <v>146719000</v>
      </c>
      <c r="AC11" s="73">
        <f t="shared" ref="AC11:AC43" si="7">+AB11/AA11</f>
        <v>4.58496875E-2</v>
      </c>
      <c r="AD11" s="566">
        <v>4446562520</v>
      </c>
      <c r="AE11" s="73">
        <f t="shared" si="0"/>
        <v>0.13895507874999999</v>
      </c>
      <c r="AF11" s="765">
        <v>3200000000</v>
      </c>
      <c r="AG11" s="567">
        <v>25920000</v>
      </c>
      <c r="AH11" s="73">
        <f t="shared" ref="AH11:AH43" si="8">+AG11/AF11</f>
        <v>8.0999999999999996E-3</v>
      </c>
      <c r="AI11" s="765">
        <v>3200000000</v>
      </c>
      <c r="AJ11" s="567">
        <v>4188256481</v>
      </c>
      <c r="AK11" s="73">
        <f>+AJ11/AI11</f>
        <v>1.3088301503124999</v>
      </c>
      <c r="AL11" s="765">
        <v>3200000000</v>
      </c>
      <c r="AM11" s="567">
        <v>2045586000</v>
      </c>
      <c r="AN11" s="73">
        <f t="shared" ref="AN11:AN43" si="9">+AM11/AL11</f>
        <v>0.63924562500000004</v>
      </c>
      <c r="AO11" s="765">
        <v>2133333333.3299999</v>
      </c>
      <c r="AP11" s="567">
        <v>23159446927</v>
      </c>
      <c r="AQ11" s="73">
        <f t="shared" ref="AQ11:AQ43" si="10">+AP11/AO11</f>
        <v>10.855990747048212</v>
      </c>
      <c r="AR11" s="765">
        <v>2133333333.3299999</v>
      </c>
      <c r="AS11" s="567">
        <v>74139482295</v>
      </c>
      <c r="AT11" s="73">
        <f t="shared" ref="AT11:AT43" si="11">+AS11/AR11</f>
        <v>34.75288232583555</v>
      </c>
      <c r="AU11" s="765">
        <v>2133333333.3333333</v>
      </c>
      <c r="AV11" s="567">
        <v>5328864301</v>
      </c>
      <c r="AW11" s="73">
        <f>+AV11/AU11</f>
        <v>2.4979051410937503</v>
      </c>
      <c r="AX11" s="745">
        <f>AV11+AS11+AP11+AM11+AJ11+AG11+AB11+Y11+V11+S11+P11+M11</f>
        <v>113334118524</v>
      </c>
      <c r="AY11" s="19">
        <f t="shared" si="2"/>
        <v>3.5416912038750001</v>
      </c>
    </row>
    <row r="12" spans="1:52" s="80" customFormat="1" ht="61.5" thickTop="1" thickBot="1">
      <c r="A12" s="2944"/>
      <c r="B12" s="2992"/>
      <c r="C12" s="2958"/>
      <c r="D12" s="111" t="s">
        <v>400</v>
      </c>
      <c r="E12" s="177" t="s">
        <v>195</v>
      </c>
      <c r="F12" s="177" t="s">
        <v>101</v>
      </c>
      <c r="G12" s="773">
        <v>21696757464</v>
      </c>
      <c r="H12" s="774"/>
      <c r="I12" s="775"/>
      <c r="J12" s="774"/>
      <c r="K12" s="177" t="s">
        <v>196</v>
      </c>
      <c r="L12" s="776">
        <v>723225249</v>
      </c>
      <c r="M12" s="769">
        <v>115732850</v>
      </c>
      <c r="N12" s="73">
        <f t="shared" si="3"/>
        <v>0.16002324332567652</v>
      </c>
      <c r="O12" s="776">
        <v>723225249</v>
      </c>
      <c r="P12" s="769">
        <v>912059746</v>
      </c>
      <c r="Q12" s="73">
        <f t="shared" ref="Q12:Q43" si="12">+P12/O12</f>
        <v>1.2611005316270423</v>
      </c>
      <c r="R12" s="776">
        <v>723225249</v>
      </c>
      <c r="S12" s="769">
        <v>1150504975</v>
      </c>
      <c r="T12" s="73">
        <f t="shared" si="4"/>
        <v>1.5907975787499089</v>
      </c>
      <c r="U12" s="776">
        <v>2892900995</v>
      </c>
      <c r="V12" s="769">
        <v>0</v>
      </c>
      <c r="W12" s="73">
        <f t="shared" si="5"/>
        <v>0</v>
      </c>
      <c r="X12" s="776">
        <v>2892900995</v>
      </c>
      <c r="Y12" s="769">
        <v>0</v>
      </c>
      <c r="Z12" s="73">
        <f t="shared" si="6"/>
        <v>0</v>
      </c>
      <c r="AA12" s="776">
        <v>2892900995</v>
      </c>
      <c r="AB12" s="769">
        <v>32040353</v>
      </c>
      <c r="AC12" s="73">
        <f t="shared" si="7"/>
        <v>1.1075509689193495E-2</v>
      </c>
      <c r="AD12" s="777">
        <f t="shared" ref="AD12:AD43" si="13">+AB12+Y12+V12+S12+P12+M12</f>
        <v>2210337924</v>
      </c>
      <c r="AE12" s="73">
        <f t="shared" si="0"/>
        <v>0.10187411310964176</v>
      </c>
      <c r="AF12" s="776">
        <v>2892900995</v>
      </c>
      <c r="AG12" s="769">
        <v>298228020</v>
      </c>
      <c r="AH12" s="73">
        <f t="shared" si="8"/>
        <v>0.10308960469627133</v>
      </c>
      <c r="AI12" s="776">
        <v>2892900995</v>
      </c>
      <c r="AJ12" s="769">
        <v>136124624</v>
      </c>
      <c r="AK12" s="73">
        <f>+AJ12/AI12</f>
        <v>4.7054712288900853E-2</v>
      </c>
      <c r="AL12" s="776">
        <v>2892900995</v>
      </c>
      <c r="AM12" s="769">
        <v>26365598</v>
      </c>
      <c r="AN12" s="73">
        <f t="shared" si="9"/>
        <v>9.1138957211358007E-3</v>
      </c>
      <c r="AO12" s="776">
        <v>723225249</v>
      </c>
      <c r="AP12" s="769">
        <v>2171992876</v>
      </c>
      <c r="AQ12" s="73">
        <f t="shared" si="10"/>
        <v>3.0032038828887733</v>
      </c>
      <c r="AR12" s="776">
        <v>723225249</v>
      </c>
      <c r="AS12" s="769">
        <v>3914101425</v>
      </c>
      <c r="AT12" s="73">
        <f t="shared" si="11"/>
        <v>5.4120088180162522</v>
      </c>
      <c r="AU12" s="776">
        <v>723225249</v>
      </c>
      <c r="AV12" s="769">
        <v>2868033691</v>
      </c>
      <c r="AW12" s="73">
        <f t="shared" ref="AW12:AW43" si="14">+AV12/AU12</f>
        <v>3.965616099500973</v>
      </c>
      <c r="AX12" s="776">
        <f t="shared" ref="AX12:AX32" si="15">+M12+P12+S12+V12+Y12+AB12+AG12+AJ12+AM12+AP12+AS12+AV12</f>
        <v>11625184158</v>
      </c>
      <c r="AY12" s="73">
        <f t="shared" si="2"/>
        <v>0.53580283493000747</v>
      </c>
    </row>
    <row r="13" spans="1:52" s="22" customFormat="1" ht="136.5" thickTop="1" thickBot="1">
      <c r="A13" s="2944"/>
      <c r="B13" s="2992"/>
      <c r="C13" s="2958"/>
      <c r="D13" s="171" t="s">
        <v>401</v>
      </c>
      <c r="E13" s="172" t="s">
        <v>198</v>
      </c>
      <c r="F13" s="172" t="s">
        <v>101</v>
      </c>
      <c r="G13" s="766">
        <v>2365026278.0697598</v>
      </c>
      <c r="H13" s="767"/>
      <c r="I13" s="778"/>
      <c r="J13" s="767"/>
      <c r="K13" s="172" t="s">
        <v>140</v>
      </c>
      <c r="L13" s="765">
        <v>157668418.53798375</v>
      </c>
      <c r="M13" s="567">
        <v>297581000</v>
      </c>
      <c r="N13" s="73">
        <f t="shared" si="3"/>
        <v>1.8873849484848486</v>
      </c>
      <c r="O13" s="765">
        <v>157668418.53798375</v>
      </c>
      <c r="P13" s="567">
        <v>301316000</v>
      </c>
      <c r="Q13" s="73">
        <f t="shared" si="12"/>
        <v>1.9110739030303032</v>
      </c>
      <c r="R13" s="765">
        <v>157668418.53798375</v>
      </c>
      <c r="S13" s="567">
        <v>71341000</v>
      </c>
      <c r="T13" s="73">
        <f t="shared" si="4"/>
        <v>0.45247488787878792</v>
      </c>
      <c r="U13" s="765">
        <v>236502627.80697563</v>
      </c>
      <c r="V13" s="567">
        <v>23877000</v>
      </c>
      <c r="W13" s="73">
        <f t="shared" si="5"/>
        <v>0.10095870909090909</v>
      </c>
      <c r="X13" s="765">
        <v>236502627.80697563</v>
      </c>
      <c r="Y13" s="567">
        <v>49630000</v>
      </c>
      <c r="Z13" s="73">
        <f t="shared" si="6"/>
        <v>0.20984967676767677</v>
      </c>
      <c r="AA13" s="765">
        <v>236502627.80697563</v>
      </c>
      <c r="AB13" s="567">
        <v>576696000</v>
      </c>
      <c r="AC13" s="73">
        <f t="shared" si="7"/>
        <v>2.4384337939393941</v>
      </c>
      <c r="AD13" s="566">
        <f t="shared" si="13"/>
        <v>1320441000</v>
      </c>
      <c r="AE13" s="73">
        <f t="shared" si="0"/>
        <v>0.55831980060605979</v>
      </c>
      <c r="AF13" s="765">
        <v>236502627.80697563</v>
      </c>
      <c r="AG13" s="567">
        <v>2833391000</v>
      </c>
      <c r="AH13" s="73">
        <f t="shared" si="8"/>
        <v>11.980378511111111</v>
      </c>
      <c r="AI13" s="765">
        <v>236502627.80697563</v>
      </c>
      <c r="AJ13" s="567">
        <v>247817000</v>
      </c>
      <c r="AK13" s="73">
        <f t="shared" ref="AK13:AK43" si="16">+AJ13/AI13</f>
        <v>1.0478403656565656</v>
      </c>
      <c r="AL13" s="765">
        <v>236502627.80697563</v>
      </c>
      <c r="AM13" s="567">
        <v>392209000</v>
      </c>
      <c r="AN13" s="73">
        <f t="shared" si="9"/>
        <v>1.6583705797979797</v>
      </c>
      <c r="AO13" s="765">
        <v>157668418.53798375</v>
      </c>
      <c r="AP13" s="567">
        <v>438071000</v>
      </c>
      <c r="AQ13" s="73">
        <f t="shared" si="10"/>
        <v>2.7784321303030306</v>
      </c>
      <c r="AR13" s="765">
        <v>157668418.53798375</v>
      </c>
      <c r="AS13" s="567">
        <v>565778000</v>
      </c>
      <c r="AT13" s="73">
        <f t="shared" si="11"/>
        <v>3.5884041030303031</v>
      </c>
      <c r="AU13" s="765">
        <v>157668418.53798375</v>
      </c>
      <c r="AV13" s="567">
        <v>297814000</v>
      </c>
      <c r="AW13" s="73">
        <f t="shared" si="14"/>
        <v>1.8888627333333334</v>
      </c>
      <c r="AX13" s="765">
        <f t="shared" si="15"/>
        <v>6095521000</v>
      </c>
      <c r="AY13" s="73">
        <f t="shared" si="2"/>
        <v>2.5773586773737334</v>
      </c>
    </row>
    <row r="14" spans="1:52" s="22" customFormat="1" ht="76.5" thickTop="1" thickBot="1">
      <c r="A14" s="2944"/>
      <c r="B14" s="2992"/>
      <c r="C14" s="2958"/>
      <c r="D14" s="111" t="s">
        <v>402</v>
      </c>
      <c r="E14" s="177" t="s">
        <v>200</v>
      </c>
      <c r="F14" s="177" t="s">
        <v>101</v>
      </c>
      <c r="G14" s="773">
        <v>23100000000</v>
      </c>
      <c r="H14" s="774"/>
      <c r="I14" s="779"/>
      <c r="J14" s="774"/>
      <c r="K14" s="177" t="s">
        <v>140</v>
      </c>
      <c r="L14" s="776">
        <v>1540000000</v>
      </c>
      <c r="M14" s="769">
        <v>798397000</v>
      </c>
      <c r="N14" s="73">
        <f t="shared" si="3"/>
        <v>0.51843961038961039</v>
      </c>
      <c r="O14" s="776">
        <v>1540000000</v>
      </c>
      <c r="P14" s="769">
        <v>26711000</v>
      </c>
      <c r="Q14" s="73">
        <f t="shared" si="12"/>
        <v>1.7344805194805194E-2</v>
      </c>
      <c r="R14" s="776">
        <v>1540000000</v>
      </c>
      <c r="S14" s="769">
        <v>9504000</v>
      </c>
      <c r="T14" s="73">
        <f t="shared" si="4"/>
        <v>6.1714285714285716E-3</v>
      </c>
      <c r="U14" s="776">
        <v>2310000000</v>
      </c>
      <c r="V14" s="769">
        <v>278000</v>
      </c>
      <c r="W14" s="73">
        <f t="shared" si="5"/>
        <v>1.2034632034632034E-4</v>
      </c>
      <c r="X14" s="776">
        <v>2310000000</v>
      </c>
      <c r="Y14" s="769">
        <v>0</v>
      </c>
      <c r="Z14" s="73">
        <f t="shared" si="6"/>
        <v>0</v>
      </c>
      <c r="AA14" s="776">
        <v>2310000000</v>
      </c>
      <c r="AB14" s="769">
        <v>287873927</v>
      </c>
      <c r="AC14" s="73">
        <f t="shared" si="7"/>
        <v>0.12462074761904762</v>
      </c>
      <c r="AD14" s="777">
        <f t="shared" si="13"/>
        <v>1122763927</v>
      </c>
      <c r="AE14" s="73">
        <f t="shared" si="0"/>
        <v>4.8604499004329005E-2</v>
      </c>
      <c r="AF14" s="776">
        <v>2310000000</v>
      </c>
      <c r="AG14" s="769">
        <v>3610446507</v>
      </c>
      <c r="AH14" s="73">
        <f t="shared" si="8"/>
        <v>1.5629638558441559</v>
      </c>
      <c r="AI14" s="776">
        <v>2310000000</v>
      </c>
      <c r="AJ14" s="769">
        <v>1748351000</v>
      </c>
      <c r="AK14" s="73">
        <f t="shared" si="16"/>
        <v>0.75686190476190474</v>
      </c>
      <c r="AL14" s="776">
        <v>2310000000</v>
      </c>
      <c r="AM14" s="769">
        <v>50516000</v>
      </c>
      <c r="AN14" s="73">
        <f t="shared" si="9"/>
        <v>2.186839826839827E-2</v>
      </c>
      <c r="AO14" s="776">
        <v>1540000000</v>
      </c>
      <c r="AP14" s="769">
        <v>792762504</v>
      </c>
      <c r="AQ14" s="73">
        <f t="shared" si="10"/>
        <v>0.51478084675324676</v>
      </c>
      <c r="AR14" s="776">
        <v>1540000000</v>
      </c>
      <c r="AS14" s="769">
        <v>143015000</v>
      </c>
      <c r="AT14" s="73">
        <f t="shared" si="11"/>
        <v>9.2866883116883112E-2</v>
      </c>
      <c r="AU14" s="776">
        <v>1540000000</v>
      </c>
      <c r="AV14" s="769">
        <v>197462400</v>
      </c>
      <c r="AW14" s="73">
        <f t="shared" si="14"/>
        <v>0.12822233766233765</v>
      </c>
      <c r="AX14" s="776">
        <f t="shared" si="15"/>
        <v>7665317338</v>
      </c>
      <c r="AY14" s="73">
        <f t="shared" si="2"/>
        <v>0.33183191939393941</v>
      </c>
    </row>
    <row r="15" spans="1:52" s="22" customFormat="1" ht="37.5" customHeight="1" thickTop="1" thickBot="1">
      <c r="A15" s="2944"/>
      <c r="B15" s="2992"/>
      <c r="C15" s="2958"/>
      <c r="D15" s="171" t="s">
        <v>403</v>
      </c>
      <c r="E15" s="172" t="s">
        <v>404</v>
      </c>
      <c r="F15" s="172" t="s">
        <v>101</v>
      </c>
      <c r="G15" s="780">
        <v>3000000000</v>
      </c>
      <c r="H15" s="767"/>
      <c r="I15" s="778"/>
      <c r="J15" s="767"/>
      <c r="K15" s="172" t="s">
        <v>196</v>
      </c>
      <c r="L15" s="765">
        <v>100000000</v>
      </c>
      <c r="M15" s="567">
        <f>6217000+25856000</f>
        <v>32073000</v>
      </c>
      <c r="N15" s="73">
        <f t="shared" si="3"/>
        <v>0.32073000000000002</v>
      </c>
      <c r="O15" s="765">
        <v>100000000</v>
      </c>
      <c r="P15" s="567">
        <f>1264000+21845100</f>
        <v>23109100</v>
      </c>
      <c r="Q15" s="73">
        <f t="shared" si="12"/>
        <v>0.23109099999999999</v>
      </c>
      <c r="R15" s="765">
        <v>100000000</v>
      </c>
      <c r="S15" s="567">
        <v>27804000</v>
      </c>
      <c r="T15" s="73">
        <f t="shared" si="4"/>
        <v>0.27804000000000001</v>
      </c>
      <c r="U15" s="765">
        <v>400000000</v>
      </c>
      <c r="V15" s="567">
        <v>0</v>
      </c>
      <c r="W15" s="73">
        <f t="shared" si="5"/>
        <v>0</v>
      </c>
      <c r="X15" s="765">
        <v>400000000</v>
      </c>
      <c r="Y15" s="567">
        <v>0</v>
      </c>
      <c r="Z15" s="73">
        <f t="shared" si="6"/>
        <v>0</v>
      </c>
      <c r="AA15" s="765">
        <v>400000000</v>
      </c>
      <c r="AB15" s="567">
        <v>30634000</v>
      </c>
      <c r="AC15" s="73">
        <f t="shared" si="7"/>
        <v>7.6585E-2</v>
      </c>
      <c r="AD15" s="566">
        <f t="shared" si="13"/>
        <v>113620100</v>
      </c>
      <c r="AE15" s="73">
        <f t="shared" si="0"/>
        <v>3.7873366666666665E-2</v>
      </c>
      <c r="AF15" s="765">
        <v>400000000</v>
      </c>
      <c r="AG15" s="567">
        <f>6416000+16399000</f>
        <v>22815000</v>
      </c>
      <c r="AH15" s="73">
        <f t="shared" si="8"/>
        <v>5.7037499999999998E-2</v>
      </c>
      <c r="AI15" s="765">
        <v>400000000</v>
      </c>
      <c r="AJ15" s="567">
        <v>6631000</v>
      </c>
      <c r="AK15" s="73">
        <f t="shared" si="16"/>
        <v>1.6577499999999998E-2</v>
      </c>
      <c r="AL15" s="765">
        <v>400000000</v>
      </c>
      <c r="AM15" s="567">
        <f>28289000+60213000</f>
        <v>88502000</v>
      </c>
      <c r="AN15" s="73">
        <f t="shared" si="9"/>
        <v>0.22125500000000001</v>
      </c>
      <c r="AO15" s="765">
        <v>100000000</v>
      </c>
      <c r="AP15" s="567">
        <f>4295000+102116000</f>
        <v>106411000</v>
      </c>
      <c r="AQ15" s="73">
        <f t="shared" si="10"/>
        <v>1.0641099999999999</v>
      </c>
      <c r="AR15" s="765">
        <v>100000000</v>
      </c>
      <c r="AS15" s="567">
        <v>48817000</v>
      </c>
      <c r="AT15" s="73">
        <f t="shared" si="11"/>
        <v>0.48816999999999999</v>
      </c>
      <c r="AU15" s="765">
        <v>100000000</v>
      </c>
      <c r="AV15" s="567">
        <v>75448770</v>
      </c>
      <c r="AW15" s="73">
        <f t="shared" si="14"/>
        <v>0.75448769999999998</v>
      </c>
      <c r="AX15" s="765">
        <f t="shared" si="15"/>
        <v>462244870</v>
      </c>
      <c r="AY15" s="73">
        <f t="shared" si="2"/>
        <v>0.15408162333333333</v>
      </c>
    </row>
    <row r="16" spans="1:52" s="22" customFormat="1" ht="53.25" customHeight="1" thickTop="1" thickBot="1">
      <c r="A16" s="2944"/>
      <c r="B16" s="2992"/>
      <c r="C16" s="2959"/>
      <c r="D16" s="111" t="s">
        <v>405</v>
      </c>
      <c r="E16" s="177" t="s">
        <v>404</v>
      </c>
      <c r="F16" s="177" t="s">
        <v>101</v>
      </c>
      <c r="G16" s="773">
        <v>13799999997</v>
      </c>
      <c r="H16" s="774"/>
      <c r="I16" s="779"/>
      <c r="J16" s="774"/>
      <c r="K16" s="177" t="s">
        <v>196</v>
      </c>
      <c r="L16" s="776">
        <v>460000000</v>
      </c>
      <c r="M16" s="769">
        <v>315118940</v>
      </c>
      <c r="N16" s="73">
        <f t="shared" si="3"/>
        <v>0.68504117391304353</v>
      </c>
      <c r="O16" s="776">
        <v>460000000</v>
      </c>
      <c r="P16" s="769">
        <v>13708000</v>
      </c>
      <c r="Q16" s="73">
        <f t="shared" si="12"/>
        <v>2.98E-2</v>
      </c>
      <c r="R16" s="776">
        <v>460000000</v>
      </c>
      <c r="S16" s="769">
        <v>30087445</v>
      </c>
      <c r="T16" s="73">
        <f t="shared" si="4"/>
        <v>6.5407489130434787E-2</v>
      </c>
      <c r="U16" s="776">
        <v>1839999999</v>
      </c>
      <c r="V16" s="769">
        <v>0</v>
      </c>
      <c r="W16" s="73">
        <f t="shared" si="5"/>
        <v>0</v>
      </c>
      <c r="X16" s="776">
        <v>1839999999</v>
      </c>
      <c r="Y16" s="769">
        <v>0</v>
      </c>
      <c r="Z16" s="73">
        <f t="shared" si="6"/>
        <v>0</v>
      </c>
      <c r="AA16" s="776">
        <v>1839999999</v>
      </c>
      <c r="AB16" s="769">
        <v>1432784581</v>
      </c>
      <c r="AC16" s="73">
        <f t="shared" si="7"/>
        <v>0.77868727270580829</v>
      </c>
      <c r="AD16" s="777">
        <f t="shared" si="13"/>
        <v>1791698966</v>
      </c>
      <c r="AE16" s="73">
        <f t="shared" si="0"/>
        <v>0.12983325843402171</v>
      </c>
      <c r="AF16" s="776">
        <v>1840000000</v>
      </c>
      <c r="AG16" s="769">
        <v>1187375195</v>
      </c>
      <c r="AH16" s="73">
        <f t="shared" si="8"/>
        <v>0.6453126059782609</v>
      </c>
      <c r="AI16" s="776">
        <v>1840000000</v>
      </c>
      <c r="AJ16" s="769">
        <v>237422468</v>
      </c>
      <c r="AK16" s="73">
        <f t="shared" si="16"/>
        <v>0.12903395000000001</v>
      </c>
      <c r="AL16" s="776">
        <v>1840000000</v>
      </c>
      <c r="AM16" s="769">
        <v>35371127</v>
      </c>
      <c r="AN16" s="73">
        <f t="shared" si="9"/>
        <v>1.9223438586956521E-2</v>
      </c>
      <c r="AO16" s="776">
        <v>460000000</v>
      </c>
      <c r="AP16" s="769">
        <v>132747329</v>
      </c>
      <c r="AQ16" s="73">
        <f t="shared" si="10"/>
        <v>0.28858115000000001</v>
      </c>
      <c r="AR16" s="776">
        <v>460000000</v>
      </c>
      <c r="AS16" s="769">
        <v>7460100</v>
      </c>
      <c r="AT16" s="73">
        <f t="shared" si="11"/>
        <v>1.6217608695652173E-2</v>
      </c>
      <c r="AU16" s="776">
        <v>460000000</v>
      </c>
      <c r="AV16" s="769">
        <v>89918101</v>
      </c>
      <c r="AW16" s="73">
        <f t="shared" si="14"/>
        <v>0.19547413260869564</v>
      </c>
      <c r="AX16" s="776">
        <f t="shared" si="15"/>
        <v>3481993286</v>
      </c>
      <c r="AY16" s="73">
        <f t="shared" si="2"/>
        <v>0.25231835411282283</v>
      </c>
    </row>
    <row r="17" spans="1:51" s="22" customFormat="1" ht="61.5" thickTop="1" thickBot="1">
      <c r="A17" s="2944"/>
      <c r="B17" s="2992"/>
      <c r="C17" s="2993" t="s">
        <v>275</v>
      </c>
      <c r="D17" s="171" t="s">
        <v>205</v>
      </c>
      <c r="E17" s="172" t="s">
        <v>206</v>
      </c>
      <c r="F17" s="172" t="s">
        <v>24</v>
      </c>
      <c r="G17" s="781">
        <v>14</v>
      </c>
      <c r="H17" s="767"/>
      <c r="I17" s="778"/>
      <c r="J17" s="767"/>
      <c r="K17" s="172" t="s">
        <v>196</v>
      </c>
      <c r="L17" s="514">
        <v>0</v>
      </c>
      <c r="M17" s="496"/>
      <c r="N17" s="73" t="e">
        <f t="shared" si="3"/>
        <v>#DIV/0!</v>
      </c>
      <c r="O17" s="514">
        <v>0</v>
      </c>
      <c r="P17" s="496"/>
      <c r="Q17" s="73" t="e">
        <f t="shared" si="12"/>
        <v>#DIV/0!</v>
      </c>
      <c r="R17" s="514">
        <v>0</v>
      </c>
      <c r="S17" s="496"/>
      <c r="T17" s="73" t="e">
        <f t="shared" si="4"/>
        <v>#DIV/0!</v>
      </c>
      <c r="U17" s="514">
        <v>0</v>
      </c>
      <c r="V17" s="496"/>
      <c r="W17" s="73" t="e">
        <f t="shared" si="5"/>
        <v>#DIV/0!</v>
      </c>
      <c r="X17" s="514">
        <v>7</v>
      </c>
      <c r="Y17" s="496">
        <v>0</v>
      </c>
      <c r="Z17" s="73">
        <f t="shared" si="6"/>
        <v>0</v>
      </c>
      <c r="AA17" s="514">
        <v>0</v>
      </c>
      <c r="AB17" s="496"/>
      <c r="AC17" s="73" t="e">
        <f t="shared" si="7"/>
        <v>#DIV/0!</v>
      </c>
      <c r="AD17" s="782">
        <f>+Y17</f>
        <v>0</v>
      </c>
      <c r="AE17" s="73">
        <f t="shared" si="0"/>
        <v>0</v>
      </c>
      <c r="AF17" s="514">
        <v>0</v>
      </c>
      <c r="AG17" s="496"/>
      <c r="AH17" s="73" t="e">
        <f t="shared" si="8"/>
        <v>#DIV/0!</v>
      </c>
      <c r="AI17" s="514">
        <v>0</v>
      </c>
      <c r="AJ17" s="496"/>
      <c r="AK17" s="73" t="e">
        <f t="shared" si="16"/>
        <v>#DIV/0!</v>
      </c>
      <c r="AL17" s="514">
        <v>7</v>
      </c>
      <c r="AM17" s="496">
        <v>8</v>
      </c>
      <c r="AN17" s="73">
        <f t="shared" si="9"/>
        <v>1.1428571428571428</v>
      </c>
      <c r="AO17" s="514">
        <v>0</v>
      </c>
      <c r="AP17" s="496">
        <v>6</v>
      </c>
      <c r="AQ17" s="73" t="e">
        <f>+AP17/AO17</f>
        <v>#DIV/0!</v>
      </c>
      <c r="AR17" s="514">
        <v>0</v>
      </c>
      <c r="AS17" s="496"/>
      <c r="AT17" s="73" t="e">
        <f t="shared" si="11"/>
        <v>#DIV/0!</v>
      </c>
      <c r="AU17" s="514">
        <v>0</v>
      </c>
      <c r="AV17" s="496"/>
      <c r="AW17" s="73" t="e">
        <f t="shared" si="14"/>
        <v>#DIV/0!</v>
      </c>
      <c r="AX17" s="514">
        <f>Y17+M17+AP17+AM17</f>
        <v>14</v>
      </c>
      <c r="AY17" s="73">
        <f t="shared" si="2"/>
        <v>1</v>
      </c>
    </row>
    <row r="18" spans="1:51" s="22" customFormat="1" ht="39" customHeight="1" thickTop="1" thickBot="1">
      <c r="A18" s="2944"/>
      <c r="B18" s="2992"/>
      <c r="C18" s="2958"/>
      <c r="D18" s="111" t="s">
        <v>406</v>
      </c>
      <c r="E18" s="177" t="s">
        <v>206</v>
      </c>
      <c r="F18" s="177" t="s">
        <v>24</v>
      </c>
      <c r="G18" s="783">
        <v>10</v>
      </c>
      <c r="H18" s="774"/>
      <c r="I18" s="779"/>
      <c r="J18" s="774"/>
      <c r="K18" s="177" t="s">
        <v>196</v>
      </c>
      <c r="L18" s="183">
        <v>0</v>
      </c>
      <c r="M18" s="784"/>
      <c r="N18" s="73" t="e">
        <f t="shared" si="3"/>
        <v>#DIV/0!</v>
      </c>
      <c r="O18" s="183">
        <v>0</v>
      </c>
      <c r="P18" s="784"/>
      <c r="Q18" s="73" t="e">
        <f t="shared" si="12"/>
        <v>#DIV/0!</v>
      </c>
      <c r="R18" s="183">
        <v>0</v>
      </c>
      <c r="S18" s="784"/>
      <c r="T18" s="73" t="e">
        <f t="shared" si="4"/>
        <v>#DIV/0!</v>
      </c>
      <c r="U18" s="183">
        <v>0</v>
      </c>
      <c r="V18" s="784"/>
      <c r="W18" s="73" t="e">
        <f t="shared" si="5"/>
        <v>#DIV/0!</v>
      </c>
      <c r="X18" s="183">
        <v>5</v>
      </c>
      <c r="Y18" s="784">
        <v>0</v>
      </c>
      <c r="Z18" s="73">
        <f t="shared" si="6"/>
        <v>0</v>
      </c>
      <c r="AA18" s="183">
        <v>0</v>
      </c>
      <c r="AB18" s="784"/>
      <c r="AC18" s="73" t="e">
        <f t="shared" si="7"/>
        <v>#DIV/0!</v>
      </c>
      <c r="AD18" s="785">
        <f>+Y18</f>
        <v>0</v>
      </c>
      <c r="AE18" s="73">
        <f t="shared" si="0"/>
        <v>0</v>
      </c>
      <c r="AF18" s="183">
        <v>0</v>
      </c>
      <c r="AG18" s="784"/>
      <c r="AH18" s="73" t="e">
        <f t="shared" si="8"/>
        <v>#DIV/0!</v>
      </c>
      <c r="AI18" s="183">
        <v>0</v>
      </c>
      <c r="AJ18" s="784"/>
      <c r="AK18" s="73" t="e">
        <f t="shared" si="16"/>
        <v>#DIV/0!</v>
      </c>
      <c r="AL18" s="183">
        <v>0</v>
      </c>
      <c r="AM18" s="784"/>
      <c r="AN18" s="73" t="e">
        <f t="shared" si="9"/>
        <v>#DIV/0!</v>
      </c>
      <c r="AO18" s="183">
        <v>5</v>
      </c>
      <c r="AP18" s="784">
        <v>10</v>
      </c>
      <c r="AQ18" s="73">
        <f t="shared" si="10"/>
        <v>2</v>
      </c>
      <c r="AR18" s="183">
        <v>0</v>
      </c>
      <c r="AS18" s="784"/>
      <c r="AT18" s="73" t="e">
        <f t="shared" si="11"/>
        <v>#DIV/0!</v>
      </c>
      <c r="AU18" s="183">
        <v>0</v>
      </c>
      <c r="AV18" s="784"/>
      <c r="AW18" s="73" t="e">
        <f t="shared" si="14"/>
        <v>#DIV/0!</v>
      </c>
      <c r="AX18" s="183">
        <f>Y18+AP18</f>
        <v>10</v>
      </c>
      <c r="AY18" s="73">
        <f t="shared" si="2"/>
        <v>1</v>
      </c>
    </row>
    <row r="19" spans="1:51" s="22" customFormat="1" ht="50.25" customHeight="1" thickTop="1" thickBot="1">
      <c r="A19" s="2944"/>
      <c r="B19" s="2992"/>
      <c r="C19" s="2959"/>
      <c r="D19" s="786" t="s">
        <v>208</v>
      </c>
      <c r="E19" s="787" t="s">
        <v>407</v>
      </c>
      <c r="F19" s="787" t="s">
        <v>10</v>
      </c>
      <c r="G19" s="788">
        <v>0.6</v>
      </c>
      <c r="H19" s="789"/>
      <c r="I19" s="790"/>
      <c r="J19" s="789"/>
      <c r="K19" s="172" t="s">
        <v>196</v>
      </c>
      <c r="L19" s="791">
        <v>0.6</v>
      </c>
      <c r="M19" s="792">
        <v>0.1246</v>
      </c>
      <c r="N19" s="73">
        <f t="shared" si="3"/>
        <v>0.20766666666666667</v>
      </c>
      <c r="O19" s="791">
        <v>0.6</v>
      </c>
      <c r="P19" s="792">
        <v>9.7199999999999995E-2</v>
      </c>
      <c r="Q19" s="73">
        <f t="shared" si="12"/>
        <v>0.16200000000000001</v>
      </c>
      <c r="R19" s="791">
        <v>0.6</v>
      </c>
      <c r="S19" s="792">
        <v>9.7100000000000006E-2</v>
      </c>
      <c r="T19" s="73">
        <f t="shared" si="4"/>
        <v>0.16183333333333336</v>
      </c>
      <c r="U19" s="791">
        <v>0.6</v>
      </c>
      <c r="V19" s="792">
        <v>0</v>
      </c>
      <c r="W19" s="73">
        <f t="shared" si="5"/>
        <v>0</v>
      </c>
      <c r="X19" s="791">
        <v>0.6</v>
      </c>
      <c r="Y19" s="792">
        <v>0</v>
      </c>
      <c r="Z19" s="73">
        <f t="shared" si="6"/>
        <v>0</v>
      </c>
      <c r="AA19" s="791">
        <v>0.6</v>
      </c>
      <c r="AB19" s="792">
        <v>0.14549999999999999</v>
      </c>
      <c r="AC19" s="73">
        <f t="shared" si="7"/>
        <v>0.24249999999999999</v>
      </c>
      <c r="AD19" s="793">
        <f>(AB19+Y19+V19+S19+P19+M19)/6</f>
        <v>7.7399999999999997E-2</v>
      </c>
      <c r="AE19" s="73">
        <f t="shared" si="0"/>
        <v>0.129</v>
      </c>
      <c r="AF19" s="791">
        <v>0.6</v>
      </c>
      <c r="AG19" s="792">
        <v>9.9599999999999994E-2</v>
      </c>
      <c r="AH19" s="73">
        <f t="shared" si="8"/>
        <v>0.16600000000000001</v>
      </c>
      <c r="AI19" s="791">
        <v>0.6</v>
      </c>
      <c r="AJ19" s="792">
        <v>0.1221</v>
      </c>
      <c r="AK19" s="73">
        <f t="shared" si="16"/>
        <v>0.20350000000000001</v>
      </c>
      <c r="AL19" s="791">
        <v>0.6</v>
      </c>
      <c r="AM19" s="792">
        <v>0.16669999999999999</v>
      </c>
      <c r="AN19" s="73">
        <f t="shared" si="9"/>
        <v>0.27783333333333332</v>
      </c>
      <c r="AO19" s="791">
        <v>0.6</v>
      </c>
      <c r="AP19" s="792">
        <v>0.17319999999999999</v>
      </c>
      <c r="AQ19" s="73">
        <f t="shared" si="10"/>
        <v>0.28866666666666668</v>
      </c>
      <c r="AR19" s="791">
        <v>0.6</v>
      </c>
      <c r="AS19" s="792">
        <v>0.17330000000000001</v>
      </c>
      <c r="AT19" s="73">
        <f t="shared" si="11"/>
        <v>0.28883333333333339</v>
      </c>
      <c r="AU19" s="791">
        <v>0.6</v>
      </c>
      <c r="AV19" s="792">
        <v>0.14580000000000001</v>
      </c>
      <c r="AW19" s="73">
        <f t="shared" si="14"/>
        <v>0.24300000000000002</v>
      </c>
      <c r="AX19" s="791">
        <f>(M19+P19+S19+V19+Y19+AB19+AG19+AJ19+AM19+AP19+AS19+AV19)/12</f>
        <v>0.11209166666666666</v>
      </c>
      <c r="AY19" s="73">
        <f t="shared" si="2"/>
        <v>0.18681944444444443</v>
      </c>
    </row>
    <row r="20" spans="1:51" s="22" customFormat="1" ht="121.5" thickTop="1" thickBot="1">
      <c r="A20" s="2944"/>
      <c r="B20" s="2992"/>
      <c r="C20" s="177" t="s">
        <v>408</v>
      </c>
      <c r="D20" s="111" t="s">
        <v>211</v>
      </c>
      <c r="E20" s="177" t="s">
        <v>212</v>
      </c>
      <c r="F20" s="177" t="s">
        <v>24</v>
      </c>
      <c r="G20" s="783">
        <v>1</v>
      </c>
      <c r="H20" s="774"/>
      <c r="I20" s="779"/>
      <c r="J20" s="774"/>
      <c r="K20" s="177" t="s">
        <v>140</v>
      </c>
      <c r="L20" s="183">
        <v>0</v>
      </c>
      <c r="M20" s="784"/>
      <c r="N20" s="73" t="e">
        <f t="shared" si="3"/>
        <v>#DIV/0!</v>
      </c>
      <c r="O20" s="183">
        <v>0</v>
      </c>
      <c r="P20" s="784"/>
      <c r="Q20" s="73" t="e">
        <f t="shared" si="12"/>
        <v>#DIV/0!</v>
      </c>
      <c r="R20" s="183">
        <v>1</v>
      </c>
      <c r="S20" s="784">
        <v>1</v>
      </c>
      <c r="T20" s="73">
        <f t="shared" si="4"/>
        <v>1</v>
      </c>
      <c r="U20" s="183">
        <v>0</v>
      </c>
      <c r="V20" s="784"/>
      <c r="W20" s="73" t="e">
        <f t="shared" si="5"/>
        <v>#DIV/0!</v>
      </c>
      <c r="X20" s="183">
        <v>0</v>
      </c>
      <c r="Y20" s="784"/>
      <c r="Z20" s="73" t="e">
        <f t="shared" si="6"/>
        <v>#DIV/0!</v>
      </c>
      <c r="AA20" s="183">
        <v>0</v>
      </c>
      <c r="AB20" s="784"/>
      <c r="AC20" s="73" t="e">
        <f t="shared" si="7"/>
        <v>#DIV/0!</v>
      </c>
      <c r="AD20" s="785">
        <f>S20</f>
        <v>1</v>
      </c>
      <c r="AE20" s="73">
        <f t="shared" si="0"/>
        <v>1</v>
      </c>
      <c r="AF20" s="183">
        <v>0</v>
      </c>
      <c r="AG20" s="784"/>
      <c r="AH20" s="73" t="e">
        <f t="shared" si="8"/>
        <v>#DIV/0!</v>
      </c>
      <c r="AI20" s="183">
        <v>0</v>
      </c>
      <c r="AJ20" s="784"/>
      <c r="AK20" s="73" t="e">
        <f t="shared" si="16"/>
        <v>#DIV/0!</v>
      </c>
      <c r="AL20" s="183">
        <v>0</v>
      </c>
      <c r="AM20" s="784"/>
      <c r="AN20" s="73" t="e">
        <f t="shared" si="9"/>
        <v>#DIV/0!</v>
      </c>
      <c r="AO20" s="183">
        <v>0</v>
      </c>
      <c r="AP20" s="784"/>
      <c r="AQ20" s="73" t="e">
        <f t="shared" si="10"/>
        <v>#DIV/0!</v>
      </c>
      <c r="AR20" s="183">
        <v>0</v>
      </c>
      <c r="AS20" s="784"/>
      <c r="AT20" s="73" t="e">
        <f t="shared" si="11"/>
        <v>#DIV/0!</v>
      </c>
      <c r="AU20" s="183">
        <v>0</v>
      </c>
      <c r="AV20" s="784"/>
      <c r="AW20" s="73" t="e">
        <f t="shared" si="14"/>
        <v>#DIV/0!</v>
      </c>
      <c r="AX20" s="183">
        <f t="shared" si="15"/>
        <v>1</v>
      </c>
      <c r="AY20" s="73">
        <f t="shared" si="2"/>
        <v>1</v>
      </c>
    </row>
    <row r="21" spans="1:51" s="128" customFormat="1" ht="138.75" customHeight="1" thickTop="1" thickBot="1">
      <c r="A21" s="2944"/>
      <c r="B21" s="2992"/>
      <c r="C21" s="190" t="s">
        <v>409</v>
      </c>
      <c r="D21" s="124" t="s">
        <v>410</v>
      </c>
      <c r="E21" s="190" t="s">
        <v>215</v>
      </c>
      <c r="F21" s="190" t="s">
        <v>24</v>
      </c>
      <c r="G21" s="794">
        <v>2</v>
      </c>
      <c r="H21" s="795"/>
      <c r="I21" s="796"/>
      <c r="J21" s="795"/>
      <c r="K21" s="190" t="s">
        <v>140</v>
      </c>
      <c r="L21" s="141">
        <v>0</v>
      </c>
      <c r="M21" s="142"/>
      <c r="N21" s="73" t="e">
        <f t="shared" si="3"/>
        <v>#DIV/0!</v>
      </c>
      <c r="O21" s="141">
        <v>0</v>
      </c>
      <c r="P21" s="142"/>
      <c r="Q21" s="73" t="e">
        <f t="shared" si="12"/>
        <v>#DIV/0!</v>
      </c>
      <c r="R21" s="141">
        <v>0</v>
      </c>
      <c r="S21" s="142"/>
      <c r="T21" s="73" t="e">
        <f t="shared" si="4"/>
        <v>#DIV/0!</v>
      </c>
      <c r="U21" s="141">
        <v>0</v>
      </c>
      <c r="V21" s="142"/>
      <c r="W21" s="73" t="e">
        <f t="shared" si="5"/>
        <v>#DIV/0!</v>
      </c>
      <c r="X21" s="141">
        <v>1</v>
      </c>
      <c r="Y21" s="142">
        <v>1</v>
      </c>
      <c r="Z21" s="73">
        <f t="shared" si="6"/>
        <v>1</v>
      </c>
      <c r="AA21" s="141">
        <v>0</v>
      </c>
      <c r="AB21" s="142"/>
      <c r="AC21" s="73" t="e">
        <f t="shared" si="7"/>
        <v>#DIV/0!</v>
      </c>
      <c r="AD21" s="797">
        <f>+Y21</f>
        <v>1</v>
      </c>
      <c r="AE21" s="73">
        <f t="shared" si="0"/>
        <v>0.5</v>
      </c>
      <c r="AF21" s="141">
        <v>0</v>
      </c>
      <c r="AG21" s="142"/>
      <c r="AH21" s="73" t="e">
        <f t="shared" si="8"/>
        <v>#DIV/0!</v>
      </c>
      <c r="AI21" s="141">
        <v>1</v>
      </c>
      <c r="AJ21" s="142">
        <v>1</v>
      </c>
      <c r="AK21" s="73">
        <f t="shared" si="16"/>
        <v>1</v>
      </c>
      <c r="AL21" s="141">
        <v>0</v>
      </c>
      <c r="AM21" s="142"/>
      <c r="AN21" s="73" t="e">
        <f t="shared" si="9"/>
        <v>#DIV/0!</v>
      </c>
      <c r="AO21" s="141">
        <v>0</v>
      </c>
      <c r="AP21" s="142"/>
      <c r="AQ21" s="73" t="e">
        <f t="shared" si="10"/>
        <v>#DIV/0!</v>
      </c>
      <c r="AR21" s="141">
        <v>0</v>
      </c>
      <c r="AS21" s="142"/>
      <c r="AT21" s="73" t="e">
        <f t="shared" si="11"/>
        <v>#DIV/0!</v>
      </c>
      <c r="AU21" s="141">
        <v>0</v>
      </c>
      <c r="AV21" s="142"/>
      <c r="AW21" s="73" t="e">
        <f t="shared" si="14"/>
        <v>#DIV/0!</v>
      </c>
      <c r="AX21" s="141">
        <f>Y21+AJ21</f>
        <v>2</v>
      </c>
      <c r="AY21" s="73">
        <f t="shared" si="2"/>
        <v>1</v>
      </c>
    </row>
    <row r="22" spans="1:51" s="22" customFormat="1" ht="76.5" thickTop="1" thickBot="1">
      <c r="A22" s="2944"/>
      <c r="B22" s="2992"/>
      <c r="C22" s="2994" t="s">
        <v>119</v>
      </c>
      <c r="D22" s="111" t="s">
        <v>411</v>
      </c>
      <c r="E22" s="177" t="s">
        <v>121</v>
      </c>
      <c r="F22" s="177" t="s">
        <v>10</v>
      </c>
      <c r="G22" s="798">
        <v>0.64100000000000001</v>
      </c>
      <c r="H22" s="774"/>
      <c r="I22" s="779"/>
      <c r="J22" s="774"/>
      <c r="K22" s="177" t="s">
        <v>7</v>
      </c>
      <c r="L22" s="184">
        <v>0</v>
      </c>
      <c r="M22" s="799"/>
      <c r="N22" s="73" t="e">
        <f t="shared" si="3"/>
        <v>#DIV/0!</v>
      </c>
      <c r="O22" s="184">
        <v>0</v>
      </c>
      <c r="P22" s="799"/>
      <c r="Q22" s="73" t="e">
        <f t="shared" si="12"/>
        <v>#DIV/0!</v>
      </c>
      <c r="R22" s="184">
        <v>0</v>
      </c>
      <c r="S22" s="799"/>
      <c r="T22" s="73" t="e">
        <f t="shared" si="4"/>
        <v>#DIV/0!</v>
      </c>
      <c r="U22" s="184">
        <v>0</v>
      </c>
      <c r="V22" s="799"/>
      <c r="W22" s="73" t="e">
        <f t="shared" si="5"/>
        <v>#DIV/0!</v>
      </c>
      <c r="X22" s="184">
        <v>0</v>
      </c>
      <c r="Y22" s="799"/>
      <c r="Z22" s="73" t="e">
        <f t="shared" si="6"/>
        <v>#DIV/0!</v>
      </c>
      <c r="AA22" s="184">
        <v>0</v>
      </c>
      <c r="AB22" s="799"/>
      <c r="AC22" s="73" t="e">
        <f t="shared" si="7"/>
        <v>#DIV/0!</v>
      </c>
      <c r="AD22" s="800">
        <f t="shared" si="13"/>
        <v>0</v>
      </c>
      <c r="AE22" s="73">
        <f t="shared" si="0"/>
        <v>0</v>
      </c>
      <c r="AF22" s="184">
        <v>0</v>
      </c>
      <c r="AG22" s="799"/>
      <c r="AH22" s="73" t="e">
        <f t="shared" si="8"/>
        <v>#DIV/0!</v>
      </c>
      <c r="AI22" s="184">
        <v>0</v>
      </c>
      <c r="AJ22" s="799"/>
      <c r="AK22" s="73" t="e">
        <f t="shared" si="16"/>
        <v>#DIV/0!</v>
      </c>
      <c r="AL22" s="184">
        <v>0</v>
      </c>
      <c r="AM22" s="799"/>
      <c r="AN22" s="73" t="e">
        <f t="shared" si="9"/>
        <v>#DIV/0!</v>
      </c>
      <c r="AO22" s="184">
        <v>0</v>
      </c>
      <c r="AP22" s="799"/>
      <c r="AQ22" s="73" t="e">
        <f t="shared" si="10"/>
        <v>#DIV/0!</v>
      </c>
      <c r="AR22" s="184">
        <v>0</v>
      </c>
      <c r="AS22" s="799"/>
      <c r="AT22" s="73" t="e">
        <f t="shared" si="11"/>
        <v>#DIV/0!</v>
      </c>
      <c r="AU22" s="184">
        <v>0.64100000000000001</v>
      </c>
      <c r="AV22" s="799">
        <v>0.66669999999999996</v>
      </c>
      <c r="AW22" s="73">
        <f t="shared" si="14"/>
        <v>1.0400936037441497</v>
      </c>
      <c r="AX22" s="184">
        <f>+AV22</f>
        <v>0.66669999999999996</v>
      </c>
      <c r="AY22" s="73">
        <f t="shared" si="2"/>
        <v>1.0400936037441497</v>
      </c>
    </row>
    <row r="23" spans="1:51" s="22" customFormat="1" ht="111.75" customHeight="1" thickTop="1" thickBot="1">
      <c r="A23" s="2944"/>
      <c r="B23" s="2992"/>
      <c r="C23" s="2995"/>
      <c r="D23" s="786" t="s">
        <v>412</v>
      </c>
      <c r="E23" s="787" t="s">
        <v>123</v>
      </c>
      <c r="F23" s="787" t="s">
        <v>10</v>
      </c>
      <c r="G23" s="801">
        <v>1</v>
      </c>
      <c r="H23" s="789"/>
      <c r="I23" s="790"/>
      <c r="J23" s="789"/>
      <c r="K23" s="787" t="s">
        <v>7</v>
      </c>
      <c r="L23" s="791">
        <v>0</v>
      </c>
      <c r="M23" s="792"/>
      <c r="N23" s="73" t="e">
        <f t="shared" si="3"/>
        <v>#DIV/0!</v>
      </c>
      <c r="O23" s="791">
        <v>0</v>
      </c>
      <c r="P23" s="792"/>
      <c r="Q23" s="73" t="e">
        <f t="shared" si="12"/>
        <v>#DIV/0!</v>
      </c>
      <c r="R23" s="791">
        <v>0</v>
      </c>
      <c r="S23" s="792">
        <v>1</v>
      </c>
      <c r="T23" s="73" t="e">
        <f t="shared" si="4"/>
        <v>#DIV/0!</v>
      </c>
      <c r="U23" s="791">
        <v>1</v>
      </c>
      <c r="V23" s="792">
        <v>0</v>
      </c>
      <c r="W23" s="73">
        <f t="shared" si="5"/>
        <v>0</v>
      </c>
      <c r="X23" s="791">
        <v>0</v>
      </c>
      <c r="Y23" s="792"/>
      <c r="Z23" s="73" t="e">
        <f t="shared" si="6"/>
        <v>#DIV/0!</v>
      </c>
      <c r="AA23" s="791">
        <v>0</v>
      </c>
      <c r="AB23" s="792"/>
      <c r="AC23" s="73" t="e">
        <f t="shared" si="7"/>
        <v>#DIV/0!</v>
      </c>
      <c r="AD23" s="793">
        <f>V23</f>
        <v>0</v>
      </c>
      <c r="AE23" s="73">
        <f t="shared" si="0"/>
        <v>0</v>
      </c>
      <c r="AF23" s="791">
        <v>0</v>
      </c>
      <c r="AG23" s="792"/>
      <c r="AH23" s="73" t="e">
        <f t="shared" si="8"/>
        <v>#DIV/0!</v>
      </c>
      <c r="AI23" s="791">
        <v>0</v>
      </c>
      <c r="AJ23" s="792"/>
      <c r="AK23" s="73" t="e">
        <f t="shared" si="16"/>
        <v>#DIV/0!</v>
      </c>
      <c r="AL23" s="791">
        <v>0</v>
      </c>
      <c r="AM23" s="792"/>
      <c r="AN23" s="73" t="e">
        <f t="shared" si="9"/>
        <v>#DIV/0!</v>
      </c>
      <c r="AO23" s="791">
        <v>1</v>
      </c>
      <c r="AP23" s="792">
        <v>1</v>
      </c>
      <c r="AQ23" s="73">
        <f t="shared" si="10"/>
        <v>1</v>
      </c>
      <c r="AR23" s="791">
        <v>0</v>
      </c>
      <c r="AS23" s="792">
        <v>0</v>
      </c>
      <c r="AT23" s="73" t="e">
        <f t="shared" si="11"/>
        <v>#DIV/0!</v>
      </c>
      <c r="AU23" s="791">
        <v>0</v>
      </c>
      <c r="AV23" s="792"/>
      <c r="AW23" s="73" t="e">
        <f t="shared" si="14"/>
        <v>#DIV/0!</v>
      </c>
      <c r="AX23" s="791">
        <f>V23+AP23</f>
        <v>1</v>
      </c>
      <c r="AY23" s="73">
        <f t="shared" si="2"/>
        <v>1</v>
      </c>
    </row>
    <row r="24" spans="1:51" s="22" customFormat="1" ht="76.5" thickTop="1" thickBot="1">
      <c r="A24" s="2944"/>
      <c r="B24" s="2992"/>
      <c r="C24" s="2995"/>
      <c r="D24" s="111" t="s">
        <v>413</v>
      </c>
      <c r="E24" s="177" t="s">
        <v>176</v>
      </c>
      <c r="F24" s="177" t="s">
        <v>10</v>
      </c>
      <c r="G24" s="802">
        <v>1</v>
      </c>
      <c r="H24" s="774"/>
      <c r="I24" s="779"/>
      <c r="J24" s="774"/>
      <c r="K24" s="177" t="s">
        <v>7</v>
      </c>
      <c r="L24" s="184">
        <v>0</v>
      </c>
      <c r="M24" s="799"/>
      <c r="N24" s="73" t="e">
        <f t="shared" si="3"/>
        <v>#DIV/0!</v>
      </c>
      <c r="O24" s="184">
        <v>0</v>
      </c>
      <c r="P24" s="799"/>
      <c r="Q24" s="73" t="e">
        <f t="shared" si="12"/>
        <v>#DIV/0!</v>
      </c>
      <c r="R24" s="184">
        <v>1</v>
      </c>
      <c r="S24" s="799">
        <v>1</v>
      </c>
      <c r="T24" s="73">
        <f t="shared" si="4"/>
        <v>1</v>
      </c>
      <c r="U24" s="184">
        <v>0</v>
      </c>
      <c r="V24" s="799"/>
      <c r="W24" s="73" t="e">
        <f t="shared" si="5"/>
        <v>#DIV/0!</v>
      </c>
      <c r="X24" s="184">
        <v>0</v>
      </c>
      <c r="Y24" s="799"/>
      <c r="Z24" s="73" t="e">
        <f t="shared" si="6"/>
        <v>#DIV/0!</v>
      </c>
      <c r="AA24" s="184">
        <v>1</v>
      </c>
      <c r="AB24" s="799">
        <v>0</v>
      </c>
      <c r="AC24" s="73">
        <f t="shared" si="7"/>
        <v>0</v>
      </c>
      <c r="AD24" s="800">
        <f>S24</f>
        <v>1</v>
      </c>
      <c r="AE24" s="73">
        <f t="shared" si="0"/>
        <v>1</v>
      </c>
      <c r="AF24" s="184">
        <v>0</v>
      </c>
      <c r="AG24" s="799"/>
      <c r="AH24" s="73" t="e">
        <f t="shared" si="8"/>
        <v>#DIV/0!</v>
      </c>
      <c r="AI24" s="184">
        <v>0</v>
      </c>
      <c r="AJ24" s="799"/>
      <c r="AK24" s="73" t="e">
        <f t="shared" si="16"/>
        <v>#DIV/0!</v>
      </c>
      <c r="AL24" s="184">
        <v>1</v>
      </c>
      <c r="AM24" s="799">
        <v>1</v>
      </c>
      <c r="AN24" s="73">
        <f t="shared" si="9"/>
        <v>1</v>
      </c>
      <c r="AO24" s="184">
        <v>0</v>
      </c>
      <c r="AP24" s="799">
        <v>1</v>
      </c>
      <c r="AQ24" s="73" t="e">
        <f t="shared" si="10"/>
        <v>#DIV/0!</v>
      </c>
      <c r="AR24" s="184">
        <v>0</v>
      </c>
      <c r="AS24" s="799">
        <v>1</v>
      </c>
      <c r="AT24" s="73" t="e">
        <f t="shared" si="11"/>
        <v>#DIV/0!</v>
      </c>
      <c r="AU24" s="184">
        <v>1</v>
      </c>
      <c r="AV24" s="799">
        <v>1</v>
      </c>
      <c r="AW24" s="73">
        <f t="shared" si="14"/>
        <v>1</v>
      </c>
      <c r="AX24" s="184">
        <f>S24+AM24+AV24</f>
        <v>3</v>
      </c>
      <c r="AY24" s="73">
        <f t="shared" si="2"/>
        <v>3</v>
      </c>
    </row>
    <row r="25" spans="1:51" s="22" customFormat="1" ht="76.5" thickTop="1" thickBot="1">
      <c r="A25" s="2944"/>
      <c r="B25" s="2992"/>
      <c r="C25" s="2995"/>
      <c r="D25" s="786" t="s">
        <v>414</v>
      </c>
      <c r="E25" s="787" t="s">
        <v>127</v>
      </c>
      <c r="F25" s="787" t="s">
        <v>10</v>
      </c>
      <c r="G25" s="801">
        <v>0.7</v>
      </c>
      <c r="H25" s="789"/>
      <c r="I25" s="790"/>
      <c r="J25" s="789"/>
      <c r="K25" s="787" t="s">
        <v>7</v>
      </c>
      <c r="L25" s="791">
        <v>0.7</v>
      </c>
      <c r="M25" s="792"/>
      <c r="N25" s="73">
        <f t="shared" si="3"/>
        <v>0</v>
      </c>
      <c r="O25" s="791">
        <v>0.7</v>
      </c>
      <c r="P25" s="792"/>
      <c r="Q25" s="73">
        <f t="shared" si="12"/>
        <v>0</v>
      </c>
      <c r="R25" s="791">
        <v>0.7</v>
      </c>
      <c r="S25" s="792">
        <v>1</v>
      </c>
      <c r="T25" s="73">
        <f t="shared" si="4"/>
        <v>1.4285714285714286</v>
      </c>
      <c r="U25" s="791">
        <v>0.7</v>
      </c>
      <c r="V25" s="792">
        <v>1</v>
      </c>
      <c r="W25" s="73">
        <f t="shared" si="5"/>
        <v>1.4285714285714286</v>
      </c>
      <c r="X25" s="791">
        <v>0.7</v>
      </c>
      <c r="Y25" s="792">
        <v>1</v>
      </c>
      <c r="Z25" s="73">
        <f t="shared" si="6"/>
        <v>1.4285714285714286</v>
      </c>
      <c r="AA25" s="791">
        <v>0.7</v>
      </c>
      <c r="AB25" s="792">
        <v>1</v>
      </c>
      <c r="AC25" s="73">
        <f t="shared" si="7"/>
        <v>1.4285714285714286</v>
      </c>
      <c r="AD25" s="793">
        <f>(AB25+Y25+V25+S25+P25+M25)/6</f>
        <v>0.66666666666666663</v>
      </c>
      <c r="AE25" s="73">
        <f t="shared" si="0"/>
        <v>0.95238095238095244</v>
      </c>
      <c r="AF25" s="791">
        <v>0.7</v>
      </c>
      <c r="AG25" s="792">
        <v>1</v>
      </c>
      <c r="AH25" s="73">
        <f t="shared" si="8"/>
        <v>1.4285714285714286</v>
      </c>
      <c r="AI25" s="791">
        <v>0.7</v>
      </c>
      <c r="AJ25" s="792">
        <v>1</v>
      </c>
      <c r="AK25" s="73">
        <f t="shared" si="16"/>
        <v>1.4285714285714286</v>
      </c>
      <c r="AL25" s="791">
        <v>0.7</v>
      </c>
      <c r="AM25" s="792">
        <v>1</v>
      </c>
      <c r="AN25" s="73">
        <f t="shared" si="9"/>
        <v>1.4285714285714286</v>
      </c>
      <c r="AO25" s="791">
        <v>0.7</v>
      </c>
      <c r="AP25" s="792">
        <v>1</v>
      </c>
      <c r="AQ25" s="73">
        <f t="shared" si="10"/>
        <v>1.4285714285714286</v>
      </c>
      <c r="AR25" s="791">
        <v>0.7</v>
      </c>
      <c r="AS25" s="792">
        <v>1</v>
      </c>
      <c r="AT25" s="73">
        <f t="shared" si="11"/>
        <v>1.4285714285714286</v>
      </c>
      <c r="AU25" s="791">
        <v>0.7</v>
      </c>
      <c r="AV25" s="792">
        <v>1</v>
      </c>
      <c r="AW25" s="73">
        <f t="shared" si="14"/>
        <v>1.4285714285714286</v>
      </c>
      <c r="AX25" s="791">
        <f>(M25+P25+S25+V25+Y25+AB25+AG25+AJ25+AM25+AP25+AS25+AV25)/12</f>
        <v>0.83333333333333337</v>
      </c>
      <c r="AY25" s="73">
        <f t="shared" si="2"/>
        <v>1.1904761904761907</v>
      </c>
    </row>
    <row r="26" spans="1:51" s="22" customFormat="1" ht="82.5" customHeight="1" thickTop="1" thickBot="1">
      <c r="A26" s="2944"/>
      <c r="B26" s="2992"/>
      <c r="C26" s="2995"/>
      <c r="D26" s="111" t="s">
        <v>415</v>
      </c>
      <c r="E26" s="177" t="s">
        <v>220</v>
      </c>
      <c r="F26" s="177" t="s">
        <v>10</v>
      </c>
      <c r="G26" s="802">
        <v>1</v>
      </c>
      <c r="H26" s="774"/>
      <c r="I26" s="779"/>
      <c r="J26" s="774"/>
      <c r="K26" s="177" t="s">
        <v>7</v>
      </c>
      <c r="L26" s="184">
        <v>1</v>
      </c>
      <c r="M26" s="799"/>
      <c r="N26" s="73">
        <f t="shared" si="3"/>
        <v>0</v>
      </c>
      <c r="O26" s="184">
        <v>1</v>
      </c>
      <c r="P26" s="799"/>
      <c r="Q26" s="73">
        <f t="shared" si="12"/>
        <v>0</v>
      </c>
      <c r="R26" s="184">
        <v>1</v>
      </c>
      <c r="S26" s="799"/>
      <c r="T26" s="73">
        <f t="shared" si="4"/>
        <v>0</v>
      </c>
      <c r="U26" s="184">
        <v>1</v>
      </c>
      <c r="V26" s="799">
        <v>1</v>
      </c>
      <c r="W26" s="73">
        <f t="shared" si="5"/>
        <v>1</v>
      </c>
      <c r="X26" s="184">
        <v>1</v>
      </c>
      <c r="Y26" s="799"/>
      <c r="Z26" s="73">
        <f t="shared" si="6"/>
        <v>0</v>
      </c>
      <c r="AA26" s="184">
        <v>1</v>
      </c>
      <c r="AB26" s="799"/>
      <c r="AC26" s="73">
        <f t="shared" si="7"/>
        <v>0</v>
      </c>
      <c r="AD26" s="800">
        <f>(AB26+Y26+V26+S26+P26+M26)/6</f>
        <v>0.16666666666666666</v>
      </c>
      <c r="AE26" s="73">
        <f t="shared" si="0"/>
        <v>0.16666666666666666</v>
      </c>
      <c r="AF26" s="184">
        <v>1</v>
      </c>
      <c r="AG26" s="799"/>
      <c r="AH26" s="73">
        <f t="shared" si="8"/>
        <v>0</v>
      </c>
      <c r="AI26" s="184">
        <v>1</v>
      </c>
      <c r="AJ26" s="799"/>
      <c r="AK26" s="73">
        <f t="shared" si="16"/>
        <v>0</v>
      </c>
      <c r="AL26" s="184">
        <v>1</v>
      </c>
      <c r="AM26" s="799"/>
      <c r="AN26" s="73">
        <f t="shared" si="9"/>
        <v>0</v>
      </c>
      <c r="AO26" s="184">
        <v>1</v>
      </c>
      <c r="AP26" s="799"/>
      <c r="AQ26" s="73">
        <f t="shared" si="10"/>
        <v>0</v>
      </c>
      <c r="AR26" s="184">
        <v>1</v>
      </c>
      <c r="AS26" s="799"/>
      <c r="AT26" s="73">
        <f t="shared" si="11"/>
        <v>0</v>
      </c>
      <c r="AU26" s="184">
        <v>1</v>
      </c>
      <c r="AV26" s="799">
        <v>0.5</v>
      </c>
      <c r="AW26" s="73">
        <f t="shared" si="14"/>
        <v>0.5</v>
      </c>
      <c r="AX26" s="184">
        <f>(M26+P26+S26+V26+Y26+AB26+AG26+AJ26+AM26+AP26+AS26+AV26)/12</f>
        <v>0.125</v>
      </c>
      <c r="AY26" s="73">
        <f t="shared" si="2"/>
        <v>0.125</v>
      </c>
    </row>
    <row r="27" spans="1:51" s="22" customFormat="1" ht="76.5" thickTop="1" thickBot="1">
      <c r="A27" s="2944"/>
      <c r="B27" s="2992"/>
      <c r="C27" s="2995"/>
      <c r="D27" s="786" t="s">
        <v>416</v>
      </c>
      <c r="E27" s="787" t="s">
        <v>131</v>
      </c>
      <c r="F27" s="787" t="s">
        <v>10</v>
      </c>
      <c r="G27" s="801">
        <v>1</v>
      </c>
      <c r="H27" s="789"/>
      <c r="I27" s="790"/>
      <c r="J27" s="789"/>
      <c r="K27" s="787" t="s">
        <v>7</v>
      </c>
      <c r="L27" s="791">
        <v>1</v>
      </c>
      <c r="M27" s="792"/>
      <c r="N27" s="73">
        <f t="shared" si="3"/>
        <v>0</v>
      </c>
      <c r="O27" s="791">
        <v>1</v>
      </c>
      <c r="P27" s="792"/>
      <c r="Q27" s="73">
        <f t="shared" si="12"/>
        <v>0</v>
      </c>
      <c r="R27" s="791">
        <v>1</v>
      </c>
      <c r="S27" s="792"/>
      <c r="T27" s="73">
        <f t="shared" si="4"/>
        <v>0</v>
      </c>
      <c r="U27" s="791">
        <v>1</v>
      </c>
      <c r="V27" s="792">
        <v>0</v>
      </c>
      <c r="W27" s="73">
        <f t="shared" si="5"/>
        <v>0</v>
      </c>
      <c r="X27" s="791">
        <v>1</v>
      </c>
      <c r="Y27" s="792">
        <v>0.83</v>
      </c>
      <c r="Z27" s="73">
        <f t="shared" si="6"/>
        <v>0.83</v>
      </c>
      <c r="AA27" s="791">
        <v>1</v>
      </c>
      <c r="AB27" s="792">
        <v>0.17</v>
      </c>
      <c r="AC27" s="73">
        <f t="shared" si="7"/>
        <v>0.17</v>
      </c>
      <c r="AD27" s="793">
        <f>(AB27+Y27+V27+S27+P27+M27)/6</f>
        <v>0.16666666666666666</v>
      </c>
      <c r="AE27" s="73">
        <f t="shared" si="0"/>
        <v>0.16666666666666666</v>
      </c>
      <c r="AF27" s="791">
        <v>1</v>
      </c>
      <c r="AG27" s="792">
        <v>0.67</v>
      </c>
      <c r="AH27" s="73">
        <f t="shared" si="8"/>
        <v>0.67</v>
      </c>
      <c r="AI27" s="791">
        <v>1</v>
      </c>
      <c r="AJ27" s="792">
        <v>0.83</v>
      </c>
      <c r="AK27" s="73">
        <f t="shared" si="16"/>
        <v>0.83</v>
      </c>
      <c r="AL27" s="791">
        <v>1</v>
      </c>
      <c r="AM27" s="792">
        <v>0.17</v>
      </c>
      <c r="AN27" s="73">
        <f t="shared" si="9"/>
        <v>0.17</v>
      </c>
      <c r="AO27" s="791">
        <v>1</v>
      </c>
      <c r="AP27" s="792">
        <v>0.83</v>
      </c>
      <c r="AQ27" s="73">
        <f t="shared" si="10"/>
        <v>0.83</v>
      </c>
      <c r="AR27" s="791">
        <v>1</v>
      </c>
      <c r="AS27" s="792">
        <v>0.8</v>
      </c>
      <c r="AT27" s="73">
        <f t="shared" si="11"/>
        <v>0.8</v>
      </c>
      <c r="AU27" s="791">
        <v>1</v>
      </c>
      <c r="AV27" s="792">
        <v>0.2</v>
      </c>
      <c r="AW27" s="73">
        <f t="shared" si="14"/>
        <v>0.2</v>
      </c>
      <c r="AX27" s="791">
        <f>(M27+P27+S27+V27+Y27+AB27+AG27+AJ27+AM27+AP27+AS27+AV27)/12</f>
        <v>0.375</v>
      </c>
      <c r="AY27" s="73">
        <f t="shared" si="2"/>
        <v>0.375</v>
      </c>
    </row>
    <row r="28" spans="1:51" s="22" customFormat="1" ht="88.5" customHeight="1" thickTop="1" thickBot="1">
      <c r="A28" s="2944"/>
      <c r="B28" s="2992"/>
      <c r="C28" s="2996"/>
      <c r="D28" s="111" t="s">
        <v>132</v>
      </c>
      <c r="E28" s="177" t="s">
        <v>133</v>
      </c>
      <c r="F28" s="177" t="s">
        <v>10</v>
      </c>
      <c r="G28" s="802">
        <v>1</v>
      </c>
      <c r="H28" s="774"/>
      <c r="I28" s="779"/>
      <c r="J28" s="774"/>
      <c r="K28" s="177" t="s">
        <v>7</v>
      </c>
      <c r="L28" s="184">
        <v>0</v>
      </c>
      <c r="M28" s="799"/>
      <c r="N28" s="73" t="e">
        <f t="shared" si="3"/>
        <v>#DIV/0!</v>
      </c>
      <c r="O28" s="184">
        <v>0</v>
      </c>
      <c r="P28" s="799"/>
      <c r="Q28" s="73" t="e">
        <f t="shared" si="12"/>
        <v>#DIV/0!</v>
      </c>
      <c r="R28" s="184">
        <v>0</v>
      </c>
      <c r="S28" s="799"/>
      <c r="T28" s="73" t="e">
        <f t="shared" si="4"/>
        <v>#DIV/0!</v>
      </c>
      <c r="U28" s="184">
        <v>0</v>
      </c>
      <c r="V28" s="799"/>
      <c r="W28" s="73" t="e">
        <f t="shared" si="5"/>
        <v>#DIV/0!</v>
      </c>
      <c r="X28" s="184">
        <v>0</v>
      </c>
      <c r="Y28" s="799"/>
      <c r="Z28" s="73" t="e">
        <f t="shared" si="6"/>
        <v>#DIV/0!</v>
      </c>
      <c r="AA28" s="184">
        <v>0</v>
      </c>
      <c r="AB28" s="799"/>
      <c r="AC28" s="73" t="e">
        <f t="shared" si="7"/>
        <v>#DIV/0!</v>
      </c>
      <c r="AD28" s="800">
        <f t="shared" si="13"/>
        <v>0</v>
      </c>
      <c r="AE28" s="73">
        <f t="shared" si="0"/>
        <v>0</v>
      </c>
      <c r="AF28" s="184">
        <v>0</v>
      </c>
      <c r="AG28" s="799"/>
      <c r="AH28" s="73" t="e">
        <f t="shared" si="8"/>
        <v>#DIV/0!</v>
      </c>
      <c r="AI28" s="184">
        <v>1</v>
      </c>
      <c r="AJ28" s="799">
        <v>0.83</v>
      </c>
      <c r="AK28" s="73">
        <f t="shared" si="16"/>
        <v>0.83</v>
      </c>
      <c r="AL28" s="184">
        <v>0</v>
      </c>
      <c r="AM28" s="799"/>
      <c r="AN28" s="73" t="e">
        <f t="shared" si="9"/>
        <v>#DIV/0!</v>
      </c>
      <c r="AO28" s="184">
        <v>0</v>
      </c>
      <c r="AP28" s="799"/>
      <c r="AQ28" s="73" t="e">
        <f t="shared" si="10"/>
        <v>#DIV/0!</v>
      </c>
      <c r="AR28" s="184">
        <v>0</v>
      </c>
      <c r="AS28" s="799"/>
      <c r="AT28" s="73" t="e">
        <f t="shared" si="11"/>
        <v>#DIV/0!</v>
      </c>
      <c r="AU28" s="184">
        <v>0</v>
      </c>
      <c r="AV28" s="799"/>
      <c r="AW28" s="73" t="e">
        <f t="shared" si="14"/>
        <v>#DIV/0!</v>
      </c>
      <c r="AX28" s="184">
        <f>AJ28</f>
        <v>0.83</v>
      </c>
      <c r="AY28" s="73">
        <f t="shared" si="2"/>
        <v>0.83</v>
      </c>
    </row>
    <row r="29" spans="1:51" s="22" customFormat="1" ht="61.5" thickTop="1" thickBot="1">
      <c r="A29" s="2944"/>
      <c r="B29" s="2992"/>
      <c r="C29" s="803" t="s">
        <v>134</v>
      </c>
      <c r="D29" s="786" t="s">
        <v>417</v>
      </c>
      <c r="E29" s="787" t="s">
        <v>22</v>
      </c>
      <c r="F29" s="787" t="s">
        <v>300</v>
      </c>
      <c r="G29" s="804" t="s">
        <v>136</v>
      </c>
      <c r="H29" s="789"/>
      <c r="I29" s="790"/>
      <c r="J29" s="789"/>
      <c r="K29" s="787" t="s">
        <v>23</v>
      </c>
      <c r="L29" s="805">
        <v>0</v>
      </c>
      <c r="M29" s="806"/>
      <c r="N29" s="73" t="e">
        <f t="shared" si="3"/>
        <v>#DIV/0!</v>
      </c>
      <c r="O29" s="805">
        <v>0</v>
      </c>
      <c r="P29" s="806"/>
      <c r="Q29" s="73" t="e">
        <f t="shared" si="12"/>
        <v>#DIV/0!</v>
      </c>
      <c r="R29" s="805">
        <v>0</v>
      </c>
      <c r="S29" s="806"/>
      <c r="T29" s="73" t="e">
        <f t="shared" si="4"/>
        <v>#DIV/0!</v>
      </c>
      <c r="U29" s="805">
        <v>0</v>
      </c>
      <c r="V29" s="806"/>
      <c r="W29" s="73" t="e">
        <f t="shared" si="5"/>
        <v>#DIV/0!</v>
      </c>
      <c r="X29" s="805">
        <v>0</v>
      </c>
      <c r="Y29" s="806"/>
      <c r="Z29" s="73" t="e">
        <f t="shared" si="6"/>
        <v>#DIV/0!</v>
      </c>
      <c r="AA29" s="805">
        <v>0</v>
      </c>
      <c r="AB29" s="806"/>
      <c r="AC29" s="73" t="e">
        <f t="shared" si="7"/>
        <v>#DIV/0!</v>
      </c>
      <c r="AD29" s="807">
        <f t="shared" si="13"/>
        <v>0</v>
      </c>
      <c r="AE29" s="73" t="e">
        <f t="shared" si="0"/>
        <v>#VALUE!</v>
      </c>
      <c r="AF29" s="805">
        <v>0</v>
      </c>
      <c r="AG29" s="806"/>
      <c r="AH29" s="73" t="e">
        <f t="shared" si="8"/>
        <v>#DIV/0!</v>
      </c>
      <c r="AI29" s="805">
        <v>0</v>
      </c>
      <c r="AJ29" s="806"/>
      <c r="AK29" s="73" t="e">
        <f t="shared" si="16"/>
        <v>#DIV/0!</v>
      </c>
      <c r="AL29" s="805">
        <v>0</v>
      </c>
      <c r="AM29" s="806"/>
      <c r="AN29" s="73" t="e">
        <f t="shared" si="9"/>
        <v>#DIV/0!</v>
      </c>
      <c r="AO29" s="805">
        <v>0</v>
      </c>
      <c r="AP29" s="806"/>
      <c r="AQ29" s="73" t="e">
        <f t="shared" si="10"/>
        <v>#DIV/0!</v>
      </c>
      <c r="AR29" s="805">
        <v>0</v>
      </c>
      <c r="AS29" s="806"/>
      <c r="AT29" s="73" t="e">
        <f t="shared" si="11"/>
        <v>#DIV/0!</v>
      </c>
      <c r="AU29" s="805">
        <v>0</v>
      </c>
      <c r="AV29" s="806"/>
      <c r="AW29" s="73" t="e">
        <f t="shared" si="14"/>
        <v>#DIV/0!</v>
      </c>
      <c r="AX29" s="805"/>
      <c r="AY29" s="73"/>
    </row>
    <row r="30" spans="1:51" s="22" customFormat="1" ht="76.5" customHeight="1" thickTop="1" thickBot="1">
      <c r="A30" s="2944"/>
      <c r="B30" s="2956" t="s">
        <v>418</v>
      </c>
      <c r="C30" s="172" t="s">
        <v>284</v>
      </c>
      <c r="D30" s="171" t="s">
        <v>138</v>
      </c>
      <c r="E30" s="172" t="s">
        <v>228</v>
      </c>
      <c r="F30" s="172" t="s">
        <v>101</v>
      </c>
      <c r="G30" s="766">
        <v>31800000000</v>
      </c>
      <c r="H30" s="767"/>
      <c r="I30" s="778"/>
      <c r="J30" s="767"/>
      <c r="K30" s="172" t="s">
        <v>140</v>
      </c>
      <c r="L30" s="808">
        <v>2066666666.6666667</v>
      </c>
      <c r="M30" s="809">
        <v>1676864190</v>
      </c>
      <c r="N30" s="73">
        <f t="shared" si="3"/>
        <v>0.81138589838709674</v>
      </c>
      <c r="O30" s="808">
        <v>2066666666.6666667</v>
      </c>
      <c r="P30" s="809">
        <v>595278298</v>
      </c>
      <c r="Q30" s="73">
        <f t="shared" si="12"/>
        <v>0.28803788612903225</v>
      </c>
      <c r="R30" s="808">
        <v>2066666666.6666667</v>
      </c>
      <c r="S30" s="809">
        <v>750022180</v>
      </c>
      <c r="T30" s="73">
        <f t="shared" si="4"/>
        <v>0.3629139580645161</v>
      </c>
      <c r="U30" s="808">
        <v>4098888888.8888888</v>
      </c>
      <c r="V30" s="809"/>
      <c r="W30" s="73">
        <f t="shared" si="5"/>
        <v>0</v>
      </c>
      <c r="X30" s="808">
        <v>4098888888.8888888</v>
      </c>
      <c r="Y30" s="809"/>
      <c r="Z30" s="73">
        <f t="shared" si="6"/>
        <v>0</v>
      </c>
      <c r="AA30" s="808">
        <v>4098888888.8888888</v>
      </c>
      <c r="AB30" s="809">
        <v>5859527254</v>
      </c>
      <c r="AC30" s="73">
        <f t="shared" si="7"/>
        <v>1.4295403981024668</v>
      </c>
      <c r="AD30" s="810">
        <f t="shared" si="13"/>
        <v>8881691922</v>
      </c>
      <c r="AE30" s="73">
        <f t="shared" si="0"/>
        <v>0.27929848811320757</v>
      </c>
      <c r="AF30" s="808">
        <v>4098888888.8888888</v>
      </c>
      <c r="AG30" s="809">
        <v>1210349990</v>
      </c>
      <c r="AH30" s="73">
        <f t="shared" si="8"/>
        <v>0.29528733830306314</v>
      </c>
      <c r="AI30" s="808">
        <v>2117022222</v>
      </c>
      <c r="AJ30" s="809">
        <v>1568364499</v>
      </c>
      <c r="AK30" s="73">
        <f t="shared" si="16"/>
        <v>0.7408351611530698</v>
      </c>
      <c r="AL30" s="808">
        <v>2117022222</v>
      </c>
      <c r="AM30" s="809">
        <v>974104472</v>
      </c>
      <c r="AN30" s="73">
        <f t="shared" si="9"/>
        <v>0.46012954511159593</v>
      </c>
      <c r="AO30" s="808">
        <v>2117022222</v>
      </c>
      <c r="AP30" s="809">
        <v>3763140097</v>
      </c>
      <c r="AQ30" s="73">
        <f t="shared" si="10"/>
        <v>1.7775628700982053</v>
      </c>
      <c r="AR30" s="808">
        <v>1426688889</v>
      </c>
      <c r="AS30" s="809">
        <v>3573781997</v>
      </c>
      <c r="AT30" s="73">
        <f t="shared" si="11"/>
        <v>2.504948362992403</v>
      </c>
      <c r="AU30" s="808">
        <v>1426688889</v>
      </c>
      <c r="AV30" s="809">
        <v>3841353899</v>
      </c>
      <c r="AW30" s="73">
        <f t="shared" si="14"/>
        <v>2.692495840275658</v>
      </c>
      <c r="AX30" s="808">
        <f t="shared" si="15"/>
        <v>23812786876</v>
      </c>
      <c r="AY30" s="73">
        <f t="shared" si="2"/>
        <v>0.74882977597484279</v>
      </c>
    </row>
    <row r="31" spans="1:51" s="22" customFormat="1" ht="106.5" thickTop="1" thickBot="1">
      <c r="A31" s="2944"/>
      <c r="B31" s="2956"/>
      <c r="C31" s="177" t="s">
        <v>285</v>
      </c>
      <c r="D31" s="111" t="s">
        <v>419</v>
      </c>
      <c r="E31" s="177" t="s">
        <v>231</v>
      </c>
      <c r="F31" s="177" t="s">
        <v>101</v>
      </c>
      <c r="G31" s="773">
        <v>1273828300</v>
      </c>
      <c r="H31" s="774"/>
      <c r="I31" s="779"/>
      <c r="J31" s="774"/>
      <c r="K31" s="177" t="s">
        <v>140</v>
      </c>
      <c r="L31" s="808">
        <v>84921886.666666672</v>
      </c>
      <c r="M31" s="809">
        <v>65192656</v>
      </c>
      <c r="N31" s="73">
        <f t="shared" si="3"/>
        <v>0.76767790447111273</v>
      </c>
      <c r="O31" s="808">
        <v>84921886.666666672</v>
      </c>
      <c r="P31" s="809">
        <v>685793347</v>
      </c>
      <c r="Q31" s="73">
        <f t="shared" si="12"/>
        <v>8.0755783216623467</v>
      </c>
      <c r="R31" s="808">
        <v>84921886.666666672</v>
      </c>
      <c r="S31" s="809">
        <v>328861054</v>
      </c>
      <c r="T31" s="73">
        <f t="shared" si="4"/>
        <v>3.8725123393788627</v>
      </c>
      <c r="U31" s="808">
        <v>127382830</v>
      </c>
      <c r="V31" s="809"/>
      <c r="W31" s="73">
        <f t="shared" si="5"/>
        <v>0</v>
      </c>
      <c r="X31" s="808">
        <v>127382830</v>
      </c>
      <c r="Y31" s="809">
        <v>799409207</v>
      </c>
      <c r="Z31" s="73">
        <f t="shared" si="6"/>
        <v>6.2756433264985558</v>
      </c>
      <c r="AA31" s="808">
        <v>127382830</v>
      </c>
      <c r="AB31" s="809">
        <v>86659235</v>
      </c>
      <c r="AC31" s="73">
        <f t="shared" si="7"/>
        <v>0.680305461889958</v>
      </c>
      <c r="AD31" s="810">
        <f t="shared" si="13"/>
        <v>1965915499</v>
      </c>
      <c r="AE31" s="73">
        <f t="shared" si="0"/>
        <v>1.5433127832063396</v>
      </c>
      <c r="AF31" s="808">
        <v>127382830</v>
      </c>
      <c r="AG31" s="809">
        <v>1701815169</v>
      </c>
      <c r="AH31" s="73">
        <f t="shared" si="8"/>
        <v>13.359847390735471</v>
      </c>
      <c r="AI31" s="808">
        <v>127382830</v>
      </c>
      <c r="AJ31" s="809">
        <v>312512670</v>
      </c>
      <c r="AK31" s="73">
        <f t="shared" si="16"/>
        <v>2.45333433085134</v>
      </c>
      <c r="AL31" s="808">
        <v>127382830</v>
      </c>
      <c r="AM31" s="809">
        <v>610534774</v>
      </c>
      <c r="AN31" s="73">
        <f t="shared" si="9"/>
        <v>4.7929126240954139</v>
      </c>
      <c r="AO31" s="808">
        <v>84921886.666666672</v>
      </c>
      <c r="AP31" s="809">
        <v>136818656</v>
      </c>
      <c r="AQ31" s="73">
        <f t="shared" si="10"/>
        <v>1.6111118272376268</v>
      </c>
      <c r="AR31" s="808">
        <v>84921886.666666672</v>
      </c>
      <c r="AS31" s="809">
        <v>291450621</v>
      </c>
      <c r="AT31" s="73">
        <f t="shared" si="11"/>
        <v>3.4319847619965733</v>
      </c>
      <c r="AU31" s="808">
        <v>84921886.666666672</v>
      </c>
      <c r="AV31" s="809">
        <v>191189865</v>
      </c>
      <c r="AW31" s="73">
        <f t="shared" si="14"/>
        <v>2.251361486473491</v>
      </c>
      <c r="AX31" s="808">
        <f t="shared" si="15"/>
        <v>5210237254</v>
      </c>
      <c r="AY31" s="73">
        <f t="shared" si="2"/>
        <v>4.0902194228217414</v>
      </c>
    </row>
    <row r="32" spans="1:51" s="22" customFormat="1" ht="61.5" thickTop="1" thickBot="1">
      <c r="A32" s="2944"/>
      <c r="B32" s="2956"/>
      <c r="C32" s="811" t="s">
        <v>420</v>
      </c>
      <c r="D32" s="786" t="s">
        <v>224</v>
      </c>
      <c r="E32" s="787" t="s">
        <v>421</v>
      </c>
      <c r="F32" s="787" t="s">
        <v>17</v>
      </c>
      <c r="G32" s="812">
        <v>2625</v>
      </c>
      <c r="H32" s="789"/>
      <c r="I32" s="790">
        <v>1800</v>
      </c>
      <c r="J32" s="789"/>
      <c r="K32" s="787" t="s">
        <v>226</v>
      </c>
      <c r="L32" s="813">
        <v>87</v>
      </c>
      <c r="M32" s="814">
        <v>193</v>
      </c>
      <c r="N32" s="73">
        <f t="shared" si="3"/>
        <v>2.2183908045977012</v>
      </c>
      <c r="O32" s="813">
        <v>184</v>
      </c>
      <c r="P32" s="814">
        <v>698</v>
      </c>
      <c r="Q32" s="73">
        <f t="shared" si="12"/>
        <v>3.7934782608695654</v>
      </c>
      <c r="R32" s="813">
        <v>431</v>
      </c>
      <c r="S32" s="814">
        <v>1046</v>
      </c>
      <c r="T32" s="73">
        <f t="shared" si="4"/>
        <v>2.4269141531322505</v>
      </c>
      <c r="U32" s="813">
        <v>17</v>
      </c>
      <c r="V32" s="814">
        <v>770</v>
      </c>
      <c r="W32" s="73">
        <f t="shared" si="5"/>
        <v>45.294117647058826</v>
      </c>
      <c r="X32" s="813">
        <v>144</v>
      </c>
      <c r="Y32" s="814">
        <v>1317</v>
      </c>
      <c r="Z32" s="73">
        <f t="shared" si="6"/>
        <v>9.1458333333333339</v>
      </c>
      <c r="AA32" s="813">
        <v>148</v>
      </c>
      <c r="AB32" s="814">
        <v>1447</v>
      </c>
      <c r="AC32" s="73">
        <f t="shared" si="7"/>
        <v>9.7770270270270263</v>
      </c>
      <c r="AD32" s="815">
        <f t="shared" si="13"/>
        <v>5471</v>
      </c>
      <c r="AE32" s="73">
        <f t="shared" si="0"/>
        <v>2.0841904761904764</v>
      </c>
      <c r="AF32" s="813">
        <v>217</v>
      </c>
      <c r="AG32" s="814">
        <v>1533</v>
      </c>
      <c r="AH32" s="73">
        <f t="shared" si="8"/>
        <v>7.064516129032258</v>
      </c>
      <c r="AI32" s="813">
        <v>167</v>
      </c>
      <c r="AJ32" s="814">
        <v>1662</v>
      </c>
      <c r="AK32" s="73">
        <f t="shared" si="16"/>
        <v>9.952095808383234</v>
      </c>
      <c r="AL32" s="813">
        <v>216</v>
      </c>
      <c r="AM32" s="814">
        <v>1486</v>
      </c>
      <c r="AN32" s="73">
        <f t="shared" si="9"/>
        <v>6.8796296296296298</v>
      </c>
      <c r="AO32" s="813">
        <v>354</v>
      </c>
      <c r="AP32" s="814">
        <v>1041</v>
      </c>
      <c r="AQ32" s="73">
        <f t="shared" si="10"/>
        <v>2.9406779661016951</v>
      </c>
      <c r="AR32" s="813">
        <v>360</v>
      </c>
      <c r="AS32" s="814">
        <v>988</v>
      </c>
      <c r="AT32" s="73">
        <f t="shared" si="11"/>
        <v>2.7444444444444445</v>
      </c>
      <c r="AU32" s="813">
        <v>300</v>
      </c>
      <c r="AV32" s="814">
        <v>989</v>
      </c>
      <c r="AW32" s="73">
        <f t="shared" si="14"/>
        <v>3.2966666666666669</v>
      </c>
      <c r="AX32" s="813">
        <f t="shared" si="15"/>
        <v>13170</v>
      </c>
      <c r="AY32" s="73">
        <f t="shared" si="2"/>
        <v>5.0171428571428569</v>
      </c>
    </row>
    <row r="33" spans="1:51" s="22" customFormat="1" ht="63.75" customHeight="1" thickTop="1" thickBot="1">
      <c r="A33" s="2944"/>
      <c r="B33" s="2956"/>
      <c r="C33" s="2997" t="s">
        <v>422</v>
      </c>
      <c r="D33" s="86" t="s">
        <v>236</v>
      </c>
      <c r="E33" s="81" t="s">
        <v>237</v>
      </c>
      <c r="F33" s="88" t="s">
        <v>10</v>
      </c>
      <c r="G33" s="167">
        <v>0.02</v>
      </c>
      <c r="H33" s="88"/>
      <c r="I33" s="81"/>
      <c r="J33" s="81"/>
      <c r="K33" s="87" t="s">
        <v>23</v>
      </c>
      <c r="L33" s="163">
        <v>0</v>
      </c>
      <c r="M33" s="164"/>
      <c r="N33" s="19" t="e">
        <f t="shared" si="3"/>
        <v>#DIV/0!</v>
      </c>
      <c r="O33" s="163">
        <v>0</v>
      </c>
      <c r="P33" s="164"/>
      <c r="Q33" s="19" t="e">
        <f t="shared" si="12"/>
        <v>#DIV/0!</v>
      </c>
      <c r="R33" s="163">
        <v>0</v>
      </c>
      <c r="S33" s="164"/>
      <c r="T33" s="19" t="e">
        <f t="shared" si="4"/>
        <v>#DIV/0!</v>
      </c>
      <c r="U33" s="163">
        <v>0.03</v>
      </c>
      <c r="V33" s="164">
        <v>3.0499999999999999E-2</v>
      </c>
      <c r="W33" s="19">
        <f t="shared" si="5"/>
        <v>1.0166666666666666</v>
      </c>
      <c r="X33" s="163">
        <v>0.03</v>
      </c>
      <c r="Y33" s="164">
        <v>2.5899999999999999E-2</v>
      </c>
      <c r="Z33" s="19">
        <f t="shared" si="6"/>
        <v>0.8633333333333334</v>
      </c>
      <c r="AA33" s="163">
        <v>0.03</v>
      </c>
      <c r="AB33" s="164">
        <v>1.6400000000000001E-2</v>
      </c>
      <c r="AC33" s="19">
        <f t="shared" si="7"/>
        <v>0.54666666666666675</v>
      </c>
      <c r="AD33" s="165">
        <f>(V33+Y33+AB33)/3</f>
        <v>2.4266666666666669E-2</v>
      </c>
      <c r="AE33" s="19">
        <f t="shared" si="0"/>
        <v>1.2133333333333334</v>
      </c>
      <c r="AF33" s="163">
        <v>0.03</v>
      </c>
      <c r="AG33" s="164">
        <v>1.5800000000000002E-2</v>
      </c>
      <c r="AH33" s="19">
        <f t="shared" si="8"/>
        <v>0.52666666666666673</v>
      </c>
      <c r="AI33" s="163">
        <v>0.03</v>
      </c>
      <c r="AJ33" s="164">
        <v>1.84E-2</v>
      </c>
      <c r="AK33" s="19">
        <f t="shared" si="16"/>
        <v>0.6133333333333334</v>
      </c>
      <c r="AL33" s="163">
        <v>0.02</v>
      </c>
      <c r="AM33" s="164">
        <v>1.47E-2</v>
      </c>
      <c r="AN33" s="19">
        <f t="shared" si="9"/>
        <v>0.73499999999999999</v>
      </c>
      <c r="AO33" s="163">
        <v>0.02</v>
      </c>
      <c r="AP33" s="164">
        <v>1.4E-2</v>
      </c>
      <c r="AQ33" s="19">
        <f t="shared" si="10"/>
        <v>0.7</v>
      </c>
      <c r="AR33" s="163">
        <v>0.02</v>
      </c>
      <c r="AS33" s="164">
        <v>1.4800000000000001E-2</v>
      </c>
      <c r="AT33" s="19">
        <f t="shared" si="11"/>
        <v>0.74</v>
      </c>
      <c r="AU33" s="163">
        <v>0.02</v>
      </c>
      <c r="AV33" s="164">
        <v>1.26E-2</v>
      </c>
      <c r="AW33" s="19">
        <f t="shared" si="14"/>
        <v>0.63</v>
      </c>
      <c r="AX33" s="163">
        <f>+((V33+Y33+AB33+AG33+AJ33+AM33+AP33+AS33+AV33)/9)</f>
        <v>1.8122222222222224E-2</v>
      </c>
      <c r="AY33" s="19">
        <f t="shared" si="2"/>
        <v>0.9061111111111112</v>
      </c>
    </row>
    <row r="34" spans="1:51" s="22" customFormat="1" ht="63.75" customHeight="1" thickTop="1" thickBot="1">
      <c r="A34" s="2944"/>
      <c r="B34" s="2956"/>
      <c r="C34" s="2998"/>
      <c r="D34" s="86" t="s">
        <v>238</v>
      </c>
      <c r="E34" s="81" t="s">
        <v>239</v>
      </c>
      <c r="F34" s="88" t="s">
        <v>10</v>
      </c>
      <c r="G34" s="167">
        <v>0.01</v>
      </c>
      <c r="H34" s="88"/>
      <c r="I34" s="81"/>
      <c r="J34" s="81"/>
      <c r="K34" s="87" t="s">
        <v>23</v>
      </c>
      <c r="L34" s="163">
        <v>0</v>
      </c>
      <c r="M34" s="164"/>
      <c r="N34" s="19" t="e">
        <f t="shared" si="3"/>
        <v>#DIV/0!</v>
      </c>
      <c r="O34" s="163">
        <v>0</v>
      </c>
      <c r="P34" s="164"/>
      <c r="Q34" s="19" t="e">
        <f t="shared" si="12"/>
        <v>#DIV/0!</v>
      </c>
      <c r="R34" s="163">
        <v>0</v>
      </c>
      <c r="S34" s="164"/>
      <c r="T34" s="19" t="e">
        <f t="shared" si="4"/>
        <v>#DIV/0!</v>
      </c>
      <c r="U34" s="163">
        <v>0</v>
      </c>
      <c r="V34" s="164"/>
      <c r="W34" s="19" t="e">
        <f t="shared" si="5"/>
        <v>#DIV/0!</v>
      </c>
      <c r="X34" s="163">
        <v>0</v>
      </c>
      <c r="Y34" s="164"/>
      <c r="Z34" s="19" t="e">
        <f t="shared" si="6"/>
        <v>#DIV/0!</v>
      </c>
      <c r="AA34" s="163">
        <v>0</v>
      </c>
      <c r="AB34" s="164"/>
      <c r="AC34" s="19" t="e">
        <f t="shared" si="7"/>
        <v>#DIV/0!</v>
      </c>
      <c r="AD34" s="165">
        <f t="shared" ref="AD34" si="17">(V34+Y34+AB34)/3</f>
        <v>0</v>
      </c>
      <c r="AE34" s="19">
        <f>+AD34/G34</f>
        <v>0</v>
      </c>
      <c r="AF34" s="163">
        <v>0</v>
      </c>
      <c r="AG34" s="164"/>
      <c r="AH34" s="19" t="e">
        <f t="shared" si="8"/>
        <v>#DIV/0!</v>
      </c>
      <c r="AI34" s="163">
        <v>0</v>
      </c>
      <c r="AJ34" s="164"/>
      <c r="AK34" s="19" t="e">
        <f t="shared" si="16"/>
        <v>#DIV/0!</v>
      </c>
      <c r="AL34" s="163">
        <v>0.01</v>
      </c>
      <c r="AM34" s="164">
        <v>2.3300000000000001E-2</v>
      </c>
      <c r="AN34" s="19">
        <f t="shared" si="9"/>
        <v>2.33</v>
      </c>
      <c r="AO34" s="163">
        <v>0.01</v>
      </c>
      <c r="AP34" s="164">
        <v>0</v>
      </c>
      <c r="AQ34" s="19">
        <f t="shared" si="10"/>
        <v>0</v>
      </c>
      <c r="AR34" s="163">
        <v>0.01</v>
      </c>
      <c r="AS34" s="164">
        <v>0</v>
      </c>
      <c r="AT34" s="19">
        <f t="shared" si="11"/>
        <v>0</v>
      </c>
      <c r="AU34" s="163">
        <v>0.01</v>
      </c>
      <c r="AV34" s="164">
        <v>0</v>
      </c>
      <c r="AW34" s="19">
        <f t="shared" si="14"/>
        <v>0</v>
      </c>
      <c r="AX34" s="163">
        <f>+(AV34+AS34+AP34+AM34)/4</f>
        <v>5.8250000000000003E-3</v>
      </c>
      <c r="AY34" s="19">
        <f t="shared" si="2"/>
        <v>0.58250000000000002</v>
      </c>
    </row>
    <row r="35" spans="1:51" s="22" customFormat="1" ht="69.75" customHeight="1" thickTop="1" thickBot="1">
      <c r="A35" s="2944"/>
      <c r="B35" s="2956"/>
      <c r="C35" s="2998"/>
      <c r="D35" s="786" t="s">
        <v>240</v>
      </c>
      <c r="E35" s="787" t="s">
        <v>423</v>
      </c>
      <c r="F35" s="787" t="s">
        <v>10</v>
      </c>
      <c r="G35" s="816">
        <v>0.01</v>
      </c>
      <c r="H35" s="789"/>
      <c r="I35" s="790"/>
      <c r="J35" s="789"/>
      <c r="K35" s="787" t="s">
        <v>244</v>
      </c>
      <c r="L35" s="817">
        <v>0</v>
      </c>
      <c r="M35" s="818"/>
      <c r="N35" s="73" t="e">
        <f t="shared" si="3"/>
        <v>#DIV/0!</v>
      </c>
      <c r="O35" s="817">
        <v>0</v>
      </c>
      <c r="P35" s="818"/>
      <c r="Q35" s="73" t="e">
        <f t="shared" si="12"/>
        <v>#DIV/0!</v>
      </c>
      <c r="R35" s="817">
        <v>0</v>
      </c>
      <c r="S35" s="818"/>
      <c r="T35" s="73" t="e">
        <f t="shared" si="4"/>
        <v>#DIV/0!</v>
      </c>
      <c r="U35" s="817">
        <v>0.01</v>
      </c>
      <c r="V35" s="818">
        <v>0.16669999999999999</v>
      </c>
      <c r="W35" s="73">
        <f t="shared" si="5"/>
        <v>16.669999999999998</v>
      </c>
      <c r="X35" s="817">
        <v>0.01</v>
      </c>
      <c r="Y35" s="818">
        <v>0</v>
      </c>
      <c r="Z35" s="73">
        <f t="shared" si="6"/>
        <v>0</v>
      </c>
      <c r="AA35" s="817">
        <v>0.01</v>
      </c>
      <c r="AB35" s="818">
        <v>0</v>
      </c>
      <c r="AC35" s="73">
        <f t="shared" si="7"/>
        <v>0</v>
      </c>
      <c r="AD35" s="819">
        <f>+(AB35+Y35+V35)/3</f>
        <v>5.556666666666666E-2</v>
      </c>
      <c r="AE35" s="73">
        <f t="shared" si="0"/>
        <v>5.5566666666666658</v>
      </c>
      <c r="AF35" s="817">
        <v>0.01</v>
      </c>
      <c r="AG35" s="818">
        <v>0</v>
      </c>
      <c r="AH35" s="73">
        <f t="shared" si="8"/>
        <v>0</v>
      </c>
      <c r="AI35" s="817">
        <v>0.01</v>
      </c>
      <c r="AJ35" s="818">
        <v>0</v>
      </c>
      <c r="AK35" s="73">
        <f t="shared" si="16"/>
        <v>0</v>
      </c>
      <c r="AL35" s="817">
        <v>0.01</v>
      </c>
      <c r="AM35" s="818">
        <v>1.17E-2</v>
      </c>
      <c r="AN35" s="73">
        <f t="shared" si="9"/>
        <v>1.17</v>
      </c>
      <c r="AO35" s="817">
        <v>0.01</v>
      </c>
      <c r="AP35" s="818">
        <v>3.9100000000000003E-2</v>
      </c>
      <c r="AQ35" s="73">
        <f t="shared" si="10"/>
        <v>3.91</v>
      </c>
      <c r="AR35" s="817">
        <v>0.01</v>
      </c>
      <c r="AS35" s="818">
        <v>2.9100000000000001E-2</v>
      </c>
      <c r="AT35" s="73">
        <f t="shared" si="11"/>
        <v>2.91</v>
      </c>
      <c r="AU35" s="817">
        <v>0.01</v>
      </c>
      <c r="AV35" s="818">
        <v>1.9300000000000001E-2</v>
      </c>
      <c r="AW35" s="73">
        <f t="shared" si="14"/>
        <v>1.9300000000000002</v>
      </c>
      <c r="AX35" s="817">
        <f>(V35+Y35+AB35+AG35+AJ35+AM35+AP35+AS35+AV35)/9</f>
        <v>2.9544444444444443E-2</v>
      </c>
      <c r="AY35" s="73">
        <f t="shared" si="2"/>
        <v>2.954444444444444</v>
      </c>
    </row>
    <row r="36" spans="1:51" s="22" customFormat="1" ht="114.75" customHeight="1" thickTop="1" thickBot="1">
      <c r="A36" s="2944"/>
      <c r="B36" s="2956"/>
      <c r="C36" s="2998"/>
      <c r="D36" s="171" t="s">
        <v>242</v>
      </c>
      <c r="E36" s="172" t="s">
        <v>243</v>
      </c>
      <c r="F36" s="177" t="s">
        <v>10</v>
      </c>
      <c r="G36" s="802">
        <v>0.3</v>
      </c>
      <c r="H36" s="774"/>
      <c r="I36" s="779"/>
      <c r="J36" s="774"/>
      <c r="K36" s="177" t="s">
        <v>244</v>
      </c>
      <c r="L36" s="817">
        <v>0</v>
      </c>
      <c r="M36" s="818"/>
      <c r="N36" s="73" t="e">
        <f t="shared" si="3"/>
        <v>#DIV/0!</v>
      </c>
      <c r="O36" s="817">
        <v>0</v>
      </c>
      <c r="P36" s="818"/>
      <c r="Q36" s="73" t="e">
        <f t="shared" si="12"/>
        <v>#DIV/0!</v>
      </c>
      <c r="R36" s="817">
        <v>0</v>
      </c>
      <c r="S36" s="818"/>
      <c r="T36" s="73" t="e">
        <f t="shared" si="4"/>
        <v>#DIV/0!</v>
      </c>
      <c r="U36" s="817">
        <v>0</v>
      </c>
      <c r="V36" s="818"/>
      <c r="W36" s="73" t="e">
        <f t="shared" si="5"/>
        <v>#DIV/0!</v>
      </c>
      <c r="X36" s="817">
        <v>0</v>
      </c>
      <c r="Y36" s="818"/>
      <c r="Z36" s="73" t="e">
        <f t="shared" si="6"/>
        <v>#DIV/0!</v>
      </c>
      <c r="AA36" s="817">
        <v>0</v>
      </c>
      <c r="AB36" s="818"/>
      <c r="AC36" s="73" t="e">
        <f t="shared" si="7"/>
        <v>#DIV/0!</v>
      </c>
      <c r="AD36" s="819">
        <f>+V36</f>
        <v>0</v>
      </c>
      <c r="AE36" s="73">
        <f t="shared" si="0"/>
        <v>0</v>
      </c>
      <c r="AF36" s="817">
        <v>0</v>
      </c>
      <c r="AG36" s="818"/>
      <c r="AH36" s="73" t="e">
        <f t="shared" si="8"/>
        <v>#DIV/0!</v>
      </c>
      <c r="AI36" s="817">
        <v>0</v>
      </c>
      <c r="AJ36" s="818"/>
      <c r="AK36" s="73" t="e">
        <f>+AJ36/AI36</f>
        <v>#DIV/0!</v>
      </c>
      <c r="AL36" s="817">
        <v>0</v>
      </c>
      <c r="AM36" s="818"/>
      <c r="AN36" s="73" t="e">
        <f t="shared" si="9"/>
        <v>#DIV/0!</v>
      </c>
      <c r="AO36" s="817">
        <v>0.3</v>
      </c>
      <c r="AP36" s="818">
        <v>0.75</v>
      </c>
      <c r="AQ36" s="73">
        <f t="shared" si="10"/>
        <v>2.5</v>
      </c>
      <c r="AR36" s="817">
        <v>0</v>
      </c>
      <c r="AS36" s="818">
        <v>0</v>
      </c>
      <c r="AT36" s="73" t="e">
        <f t="shared" si="11"/>
        <v>#DIV/0!</v>
      </c>
      <c r="AU36" s="817">
        <v>0.3</v>
      </c>
      <c r="AV36" s="818">
        <v>1</v>
      </c>
      <c r="AW36" s="73">
        <f t="shared" si="14"/>
        <v>3.3333333333333335</v>
      </c>
      <c r="AX36" s="817">
        <f>+(AV36+AP36)/2</f>
        <v>0.875</v>
      </c>
      <c r="AY36" s="73">
        <f t="shared" si="2"/>
        <v>2.916666666666667</v>
      </c>
    </row>
    <row r="37" spans="1:51" s="22" customFormat="1" ht="106.5" customHeight="1" thickTop="1" thickBot="1">
      <c r="A37" s="2944"/>
      <c r="B37" s="2956"/>
      <c r="C37" s="2998"/>
      <c r="D37" s="111" t="s">
        <v>245</v>
      </c>
      <c r="E37" s="177" t="s">
        <v>246</v>
      </c>
      <c r="F37" s="787" t="s">
        <v>10</v>
      </c>
      <c r="G37" s="816">
        <v>0.1</v>
      </c>
      <c r="H37" s="789"/>
      <c r="I37" s="790"/>
      <c r="J37" s="789"/>
      <c r="K37" s="787" t="s">
        <v>244</v>
      </c>
      <c r="L37" s="817">
        <v>0</v>
      </c>
      <c r="M37" s="818"/>
      <c r="N37" s="73" t="e">
        <f t="shared" si="3"/>
        <v>#DIV/0!</v>
      </c>
      <c r="O37" s="817">
        <v>0</v>
      </c>
      <c r="P37" s="818"/>
      <c r="Q37" s="73" t="e">
        <f t="shared" si="12"/>
        <v>#DIV/0!</v>
      </c>
      <c r="R37" s="817">
        <v>0</v>
      </c>
      <c r="S37" s="818"/>
      <c r="T37" s="73" t="e">
        <f t="shared" si="4"/>
        <v>#DIV/0!</v>
      </c>
      <c r="U37" s="817">
        <v>0.5</v>
      </c>
      <c r="V37" s="818">
        <v>0</v>
      </c>
      <c r="W37" s="73">
        <f t="shared" si="5"/>
        <v>0</v>
      </c>
      <c r="X37" s="817">
        <v>0</v>
      </c>
      <c r="Y37" s="818"/>
      <c r="Z37" s="73" t="e">
        <f t="shared" si="6"/>
        <v>#DIV/0!</v>
      </c>
      <c r="AA37" s="817">
        <v>0</v>
      </c>
      <c r="AB37" s="818"/>
      <c r="AC37" s="73" t="e">
        <f t="shared" si="7"/>
        <v>#DIV/0!</v>
      </c>
      <c r="AD37" s="819">
        <f>+(V37+Y37)/2</f>
        <v>0</v>
      </c>
      <c r="AE37" s="73">
        <f>+AD37/50%</f>
        <v>0</v>
      </c>
      <c r="AF37" s="817">
        <v>0</v>
      </c>
      <c r="AG37" s="818"/>
      <c r="AH37" s="73" t="e">
        <f t="shared" si="8"/>
        <v>#DIV/0!</v>
      </c>
      <c r="AI37" s="817">
        <v>0</v>
      </c>
      <c r="AJ37" s="818"/>
      <c r="AK37" s="73" t="e">
        <f t="shared" si="16"/>
        <v>#DIV/0!</v>
      </c>
      <c r="AL37" s="817">
        <v>0</v>
      </c>
      <c r="AM37" s="818"/>
      <c r="AN37" s="73" t="e">
        <f t="shared" si="9"/>
        <v>#DIV/0!</v>
      </c>
      <c r="AO37" s="817">
        <v>0.1</v>
      </c>
      <c r="AP37" s="818">
        <v>1</v>
      </c>
      <c r="AQ37" s="73">
        <f t="shared" si="10"/>
        <v>10</v>
      </c>
      <c r="AR37" s="817">
        <v>0</v>
      </c>
      <c r="AS37" s="818"/>
      <c r="AT37" s="73" t="e">
        <f t="shared" si="11"/>
        <v>#DIV/0!</v>
      </c>
      <c r="AU37" s="817">
        <v>0.1</v>
      </c>
      <c r="AV37" s="818">
        <v>0.375</v>
      </c>
      <c r="AW37" s="73">
        <f t="shared" si="14"/>
        <v>3.75</v>
      </c>
      <c r="AX37" s="817">
        <f>+(AP37+AV37)/2</f>
        <v>0.6875</v>
      </c>
      <c r="AY37" s="73">
        <f t="shared" si="2"/>
        <v>6.875</v>
      </c>
    </row>
    <row r="38" spans="1:51" s="22" customFormat="1" ht="176.25" customHeight="1" thickTop="1" thickBot="1">
      <c r="A38" s="2944"/>
      <c r="B38" s="2956"/>
      <c r="C38" s="2998"/>
      <c r="D38" s="171" t="s">
        <v>247</v>
      </c>
      <c r="E38" s="172" t="s">
        <v>248</v>
      </c>
      <c r="F38" s="172" t="s">
        <v>24</v>
      </c>
      <c r="G38" s="180">
        <v>440</v>
      </c>
      <c r="H38" s="172" t="s">
        <v>249</v>
      </c>
      <c r="I38" s="779"/>
      <c r="J38" s="774"/>
      <c r="K38" s="172" t="s">
        <v>249</v>
      </c>
      <c r="L38" s="813">
        <v>0</v>
      </c>
      <c r="M38" s="814"/>
      <c r="N38" s="73" t="e">
        <f t="shared" si="3"/>
        <v>#DIV/0!</v>
      </c>
      <c r="O38" s="813">
        <v>0</v>
      </c>
      <c r="P38" s="814"/>
      <c r="Q38" s="73" t="e">
        <f t="shared" si="12"/>
        <v>#DIV/0!</v>
      </c>
      <c r="R38" s="813">
        <v>0</v>
      </c>
      <c r="S38" s="814"/>
      <c r="T38" s="73" t="e">
        <f t="shared" si="4"/>
        <v>#DIV/0!</v>
      </c>
      <c r="U38" s="813">
        <v>0</v>
      </c>
      <c r="V38" s="814"/>
      <c r="W38" s="73" t="e">
        <f t="shared" si="5"/>
        <v>#DIV/0!</v>
      </c>
      <c r="X38" s="813">
        <v>50</v>
      </c>
      <c r="Y38" s="814">
        <v>1</v>
      </c>
      <c r="Z38" s="73">
        <f t="shared" si="6"/>
        <v>0.02</v>
      </c>
      <c r="AA38" s="813">
        <v>50</v>
      </c>
      <c r="AB38" s="814">
        <v>110</v>
      </c>
      <c r="AC38" s="73">
        <f t="shared" si="7"/>
        <v>2.2000000000000002</v>
      </c>
      <c r="AD38" s="815">
        <f>+AB38+Y38</f>
        <v>111</v>
      </c>
      <c r="AE38" s="73">
        <f t="shared" si="0"/>
        <v>0.25227272727272726</v>
      </c>
      <c r="AF38" s="813">
        <v>50</v>
      </c>
      <c r="AG38" s="814">
        <v>18</v>
      </c>
      <c r="AH38" s="73">
        <f t="shared" si="8"/>
        <v>0.36</v>
      </c>
      <c r="AI38" s="813">
        <v>60</v>
      </c>
      <c r="AJ38" s="814">
        <v>13</v>
      </c>
      <c r="AK38" s="73">
        <f t="shared" si="16"/>
        <v>0.21666666666666667</v>
      </c>
      <c r="AL38" s="813">
        <v>60</v>
      </c>
      <c r="AM38" s="814">
        <v>6</v>
      </c>
      <c r="AN38" s="73">
        <f t="shared" si="9"/>
        <v>0.1</v>
      </c>
      <c r="AO38" s="813">
        <v>60</v>
      </c>
      <c r="AP38" s="814">
        <v>79</v>
      </c>
      <c r="AQ38" s="73">
        <f t="shared" si="10"/>
        <v>1.3166666666666667</v>
      </c>
      <c r="AR38" s="813">
        <v>60</v>
      </c>
      <c r="AS38" s="814">
        <v>154</v>
      </c>
      <c r="AT38" s="73">
        <f t="shared" si="11"/>
        <v>2.5666666666666669</v>
      </c>
      <c r="AU38" s="813">
        <v>50</v>
      </c>
      <c r="AV38" s="814">
        <v>71</v>
      </c>
      <c r="AW38" s="73">
        <f t="shared" si="14"/>
        <v>1.42</v>
      </c>
      <c r="AX38" s="813">
        <f>Y38+AB38+AG38+AJ38+AM38+AP38+AS38+AV38</f>
        <v>452</v>
      </c>
      <c r="AY38" s="73">
        <f t="shared" si="2"/>
        <v>1.0272727272727273</v>
      </c>
    </row>
    <row r="39" spans="1:51" s="22" customFormat="1" ht="61.5" thickTop="1" thickBot="1">
      <c r="A39" s="2944"/>
      <c r="B39" s="2956"/>
      <c r="C39" s="2998"/>
      <c r="D39" s="111" t="s">
        <v>424</v>
      </c>
      <c r="E39" s="177" t="s">
        <v>251</v>
      </c>
      <c r="F39" s="177" t="s">
        <v>24</v>
      </c>
      <c r="G39" s="183">
        <v>24</v>
      </c>
      <c r="H39" s="177" t="s">
        <v>249</v>
      </c>
      <c r="I39" s="779"/>
      <c r="J39" s="774"/>
      <c r="K39" s="177" t="s">
        <v>249</v>
      </c>
      <c r="L39" s="813">
        <v>0</v>
      </c>
      <c r="M39" s="814"/>
      <c r="N39" s="73" t="e">
        <f t="shared" si="3"/>
        <v>#DIV/0!</v>
      </c>
      <c r="O39" s="813">
        <v>0</v>
      </c>
      <c r="P39" s="814"/>
      <c r="Q39" s="73" t="e">
        <f t="shared" si="12"/>
        <v>#DIV/0!</v>
      </c>
      <c r="R39" s="813">
        <v>0</v>
      </c>
      <c r="S39" s="814"/>
      <c r="T39" s="73" t="e">
        <f t="shared" si="4"/>
        <v>#DIV/0!</v>
      </c>
      <c r="U39" s="813">
        <v>0</v>
      </c>
      <c r="V39" s="814"/>
      <c r="W39" s="73" t="e">
        <f t="shared" si="5"/>
        <v>#DIV/0!</v>
      </c>
      <c r="X39" s="813">
        <v>3</v>
      </c>
      <c r="Y39" s="814">
        <v>2</v>
      </c>
      <c r="Z39" s="73">
        <f t="shared" si="6"/>
        <v>0.66666666666666663</v>
      </c>
      <c r="AA39" s="813">
        <v>3</v>
      </c>
      <c r="AB39" s="814">
        <v>3</v>
      </c>
      <c r="AC39" s="73">
        <f t="shared" si="7"/>
        <v>1</v>
      </c>
      <c r="AD39" s="815">
        <f>+Y39+AB39</f>
        <v>5</v>
      </c>
      <c r="AE39" s="73">
        <f t="shared" si="0"/>
        <v>0.20833333333333334</v>
      </c>
      <c r="AF39" s="813">
        <v>3</v>
      </c>
      <c r="AG39" s="814">
        <v>4</v>
      </c>
      <c r="AH39" s="73">
        <f t="shared" si="8"/>
        <v>1.3333333333333333</v>
      </c>
      <c r="AI39" s="813">
        <v>3</v>
      </c>
      <c r="AJ39" s="814">
        <v>3</v>
      </c>
      <c r="AK39" s="73">
        <f t="shared" si="16"/>
        <v>1</v>
      </c>
      <c r="AL39" s="813">
        <v>3</v>
      </c>
      <c r="AM39" s="814">
        <v>3</v>
      </c>
      <c r="AN39" s="73">
        <f t="shared" si="9"/>
        <v>1</v>
      </c>
      <c r="AO39" s="813">
        <v>3</v>
      </c>
      <c r="AP39" s="814">
        <v>3</v>
      </c>
      <c r="AQ39" s="73">
        <f t="shared" si="10"/>
        <v>1</v>
      </c>
      <c r="AR39" s="813">
        <v>3</v>
      </c>
      <c r="AS39" s="814">
        <v>3</v>
      </c>
      <c r="AT39" s="73">
        <f t="shared" si="11"/>
        <v>1</v>
      </c>
      <c r="AU39" s="813">
        <v>3</v>
      </c>
      <c r="AV39" s="814">
        <v>3</v>
      </c>
      <c r="AW39" s="73">
        <f t="shared" si="14"/>
        <v>1</v>
      </c>
      <c r="AX39" s="813">
        <f>Y39+AB39+AG39+AJ39+AM39+AP39+AS39+AV39</f>
        <v>24</v>
      </c>
      <c r="AY39" s="73">
        <f t="shared" si="2"/>
        <v>1</v>
      </c>
    </row>
    <row r="40" spans="1:51" s="22" customFormat="1" ht="61.5" thickTop="1" thickBot="1">
      <c r="A40" s="2944"/>
      <c r="B40" s="2956"/>
      <c r="C40" s="2998"/>
      <c r="D40" s="171" t="s">
        <v>252</v>
      </c>
      <c r="E40" s="172" t="s">
        <v>253</v>
      </c>
      <c r="F40" s="172" t="s">
        <v>24</v>
      </c>
      <c r="G40" s="180">
        <v>272</v>
      </c>
      <c r="H40" s="172" t="s">
        <v>249</v>
      </c>
      <c r="I40" s="779"/>
      <c r="J40" s="774"/>
      <c r="K40" s="172" t="s">
        <v>249</v>
      </c>
      <c r="L40" s="813">
        <v>0</v>
      </c>
      <c r="M40" s="814"/>
      <c r="N40" s="73" t="e">
        <f t="shared" si="3"/>
        <v>#DIV/0!</v>
      </c>
      <c r="O40" s="813">
        <v>0</v>
      </c>
      <c r="P40" s="814"/>
      <c r="Q40" s="73" t="e">
        <f t="shared" si="12"/>
        <v>#DIV/0!</v>
      </c>
      <c r="R40" s="813">
        <v>0</v>
      </c>
      <c r="S40" s="814"/>
      <c r="T40" s="73" t="e">
        <f t="shared" si="4"/>
        <v>#DIV/0!</v>
      </c>
      <c r="U40" s="813">
        <v>0</v>
      </c>
      <c r="V40" s="814"/>
      <c r="W40" s="73" t="e">
        <f t="shared" si="5"/>
        <v>#DIV/0!</v>
      </c>
      <c r="X40" s="813">
        <v>34</v>
      </c>
      <c r="Y40" s="814">
        <v>34</v>
      </c>
      <c r="Z40" s="73">
        <f t="shared" si="6"/>
        <v>1</v>
      </c>
      <c r="AA40" s="813">
        <v>34</v>
      </c>
      <c r="AB40" s="814">
        <v>34</v>
      </c>
      <c r="AC40" s="73">
        <f t="shared" si="7"/>
        <v>1</v>
      </c>
      <c r="AD40" s="815">
        <f>+AB40+Y40</f>
        <v>68</v>
      </c>
      <c r="AE40" s="73">
        <f t="shared" si="0"/>
        <v>0.25</v>
      </c>
      <c r="AF40" s="813">
        <v>34</v>
      </c>
      <c r="AG40" s="814">
        <v>37</v>
      </c>
      <c r="AH40" s="73">
        <f t="shared" si="8"/>
        <v>1.088235294117647</v>
      </c>
      <c r="AI40" s="813">
        <v>34</v>
      </c>
      <c r="AJ40" s="814">
        <v>34</v>
      </c>
      <c r="AK40" s="73">
        <f t="shared" si="16"/>
        <v>1</v>
      </c>
      <c r="AL40" s="813">
        <v>34</v>
      </c>
      <c r="AM40" s="814">
        <v>35</v>
      </c>
      <c r="AN40" s="73">
        <f t="shared" si="9"/>
        <v>1.0294117647058822</v>
      </c>
      <c r="AO40" s="813">
        <v>34</v>
      </c>
      <c r="AP40" s="814">
        <v>34</v>
      </c>
      <c r="AQ40" s="73">
        <f t="shared" si="10"/>
        <v>1</v>
      </c>
      <c r="AR40" s="813">
        <v>34</v>
      </c>
      <c r="AS40" s="814">
        <v>35</v>
      </c>
      <c r="AT40" s="73">
        <f t="shared" si="11"/>
        <v>1.0294117647058822</v>
      </c>
      <c r="AU40" s="813">
        <v>34</v>
      </c>
      <c r="AV40" s="814">
        <v>34</v>
      </c>
      <c r="AW40" s="73">
        <f t="shared" si="14"/>
        <v>1</v>
      </c>
      <c r="AX40" s="813">
        <f>Y40+AB40+AG40+AJ40+AM40+AP40+AS40+AV40</f>
        <v>277</v>
      </c>
      <c r="AY40" s="73">
        <f t="shared" si="2"/>
        <v>1.0183823529411764</v>
      </c>
    </row>
    <row r="41" spans="1:51" s="22" customFormat="1" ht="18" thickTop="1" thickBot="1">
      <c r="A41" s="2999" t="s">
        <v>425</v>
      </c>
      <c r="B41" s="3000"/>
      <c r="C41" s="3000"/>
      <c r="D41" s="3000"/>
      <c r="E41" s="3000"/>
      <c r="F41" s="3000"/>
      <c r="G41" s="3000"/>
      <c r="H41" s="3000"/>
      <c r="I41" s="3000"/>
      <c r="J41" s="3000"/>
      <c r="K41" s="3001"/>
      <c r="L41" s="820"/>
      <c r="M41" s="821"/>
      <c r="N41" s="822"/>
      <c r="O41" s="820"/>
      <c r="P41" s="821"/>
      <c r="Q41" s="822"/>
      <c r="R41" s="820"/>
      <c r="S41" s="821"/>
      <c r="T41" s="822"/>
      <c r="U41" s="820"/>
      <c r="V41" s="821"/>
      <c r="W41" s="822"/>
      <c r="X41" s="820"/>
      <c r="Y41" s="821"/>
      <c r="Z41" s="822"/>
      <c r="AA41" s="820"/>
      <c r="AB41" s="821"/>
      <c r="AC41" s="822"/>
      <c r="AD41" s="823"/>
      <c r="AE41" s="824"/>
      <c r="AF41" s="820"/>
      <c r="AG41" s="821"/>
      <c r="AH41" s="822"/>
      <c r="AI41" s="820"/>
      <c r="AJ41" s="821"/>
      <c r="AK41" s="822"/>
      <c r="AL41" s="820"/>
      <c r="AM41" s="821"/>
      <c r="AN41" s="822"/>
      <c r="AO41" s="820"/>
      <c r="AP41" s="821"/>
      <c r="AQ41" s="822"/>
      <c r="AR41" s="820"/>
      <c r="AS41" s="821"/>
      <c r="AT41" s="822"/>
      <c r="AU41" s="820"/>
      <c r="AV41" s="821"/>
      <c r="AW41" s="822"/>
      <c r="AX41" s="820"/>
      <c r="AY41" s="825"/>
    </row>
    <row r="42" spans="1:51" s="22" customFormat="1" ht="88.5" customHeight="1" thickTop="1" thickBot="1">
      <c r="A42" s="2861" t="s">
        <v>181</v>
      </c>
      <c r="B42" s="2948" t="s">
        <v>314</v>
      </c>
      <c r="C42" s="2993" t="s">
        <v>293</v>
      </c>
      <c r="D42" s="826" t="s">
        <v>261</v>
      </c>
      <c r="E42" s="827" t="s">
        <v>426</v>
      </c>
      <c r="F42" s="827" t="s">
        <v>10</v>
      </c>
      <c r="G42" s="828">
        <v>0.03</v>
      </c>
      <c r="H42" s="829"/>
      <c r="I42" s="830">
        <v>0.03</v>
      </c>
      <c r="J42" s="829"/>
      <c r="K42" s="827" t="s">
        <v>226</v>
      </c>
      <c r="L42" s="831">
        <v>0</v>
      </c>
      <c r="M42" s="832"/>
      <c r="N42" s="73" t="e">
        <f>+M42/L42</f>
        <v>#DIV/0!</v>
      </c>
      <c r="O42" s="831">
        <v>0</v>
      </c>
      <c r="P42" s="832"/>
      <c r="Q42" s="73" t="e">
        <f>+P42/O42</f>
        <v>#DIV/0!</v>
      </c>
      <c r="R42" s="831">
        <v>0</v>
      </c>
      <c r="S42" s="832"/>
      <c r="T42" s="73" t="e">
        <f>+S42/R42</f>
        <v>#DIV/0!</v>
      </c>
      <c r="U42" s="831">
        <v>0</v>
      </c>
      <c r="V42" s="832"/>
      <c r="W42" s="73" t="e">
        <f>+V42/U42</f>
        <v>#DIV/0!</v>
      </c>
      <c r="X42" s="831">
        <v>0</v>
      </c>
      <c r="Y42" s="832"/>
      <c r="Z42" s="73" t="e">
        <f>+Y42/X42</f>
        <v>#DIV/0!</v>
      </c>
      <c r="AA42" s="831">
        <v>0</v>
      </c>
      <c r="AB42" s="832"/>
      <c r="AC42" s="73" t="e">
        <f>+AB42/AA42</f>
        <v>#DIV/0!</v>
      </c>
      <c r="AD42" s="833">
        <f t="shared" si="13"/>
        <v>0</v>
      </c>
      <c r="AE42" s="73">
        <f>+AD42/G42</f>
        <v>0</v>
      </c>
      <c r="AF42" s="831">
        <v>0</v>
      </c>
      <c r="AG42" s="832"/>
      <c r="AH42" s="73" t="e">
        <f>+AG42/AF42</f>
        <v>#DIV/0!</v>
      </c>
      <c r="AI42" s="831">
        <v>0</v>
      </c>
      <c r="AJ42" s="832"/>
      <c r="AK42" s="73" t="e">
        <f>+AJ42/AI42</f>
        <v>#DIV/0!</v>
      </c>
      <c r="AL42" s="831">
        <v>0</v>
      </c>
      <c r="AM42" s="832"/>
      <c r="AN42" s="73" t="e">
        <f>+AM42/AL42</f>
        <v>#DIV/0!</v>
      </c>
      <c r="AO42" s="831">
        <v>0</v>
      </c>
      <c r="AP42" s="832"/>
      <c r="AQ42" s="73" t="e">
        <f>+AP42/AO42</f>
        <v>#DIV/0!</v>
      </c>
      <c r="AR42" s="831">
        <v>0</v>
      </c>
      <c r="AS42" s="832"/>
      <c r="AT42" s="73" t="e">
        <f>+AS42/AR42</f>
        <v>#DIV/0!</v>
      </c>
      <c r="AU42" s="831">
        <v>0.03</v>
      </c>
      <c r="AV42" s="832"/>
      <c r="AW42" s="73">
        <f>+AV42/AU42</f>
        <v>0</v>
      </c>
      <c r="AX42" s="831"/>
      <c r="AY42" s="73">
        <f t="shared" si="2"/>
        <v>0</v>
      </c>
    </row>
    <row r="43" spans="1:51" s="22" customFormat="1" ht="96.75" customHeight="1" thickTop="1" thickBot="1">
      <c r="A43" s="2861"/>
      <c r="B43" s="2949"/>
      <c r="C43" s="2959"/>
      <c r="D43" s="834" t="s">
        <v>263</v>
      </c>
      <c r="E43" s="835" t="s">
        <v>264</v>
      </c>
      <c r="F43" s="835" t="s">
        <v>10</v>
      </c>
      <c r="G43" s="836">
        <v>1</v>
      </c>
      <c r="H43" s="835"/>
      <c r="I43" s="835">
        <v>1</v>
      </c>
      <c r="J43" s="837"/>
      <c r="K43" s="838" t="s">
        <v>226</v>
      </c>
      <c r="L43" s="839">
        <v>0</v>
      </c>
      <c r="M43" s="840"/>
      <c r="N43" s="73" t="e">
        <f t="shared" si="3"/>
        <v>#DIV/0!</v>
      </c>
      <c r="O43" s="839">
        <v>0</v>
      </c>
      <c r="P43" s="840"/>
      <c r="Q43" s="73" t="e">
        <f t="shared" si="12"/>
        <v>#DIV/0!</v>
      </c>
      <c r="R43" s="839">
        <v>0</v>
      </c>
      <c r="S43" s="840"/>
      <c r="T43" s="73" t="e">
        <f t="shared" si="4"/>
        <v>#DIV/0!</v>
      </c>
      <c r="U43" s="839">
        <v>0</v>
      </c>
      <c r="V43" s="840"/>
      <c r="W43" s="73" t="e">
        <f t="shared" si="5"/>
        <v>#DIV/0!</v>
      </c>
      <c r="X43" s="839">
        <v>0</v>
      </c>
      <c r="Y43" s="840"/>
      <c r="Z43" s="73" t="e">
        <f t="shared" si="6"/>
        <v>#DIV/0!</v>
      </c>
      <c r="AA43" s="839">
        <v>0</v>
      </c>
      <c r="AB43" s="840"/>
      <c r="AC43" s="73" t="e">
        <f t="shared" si="7"/>
        <v>#DIV/0!</v>
      </c>
      <c r="AD43" s="841">
        <f t="shared" si="13"/>
        <v>0</v>
      </c>
      <c r="AE43" s="73">
        <f t="shared" si="0"/>
        <v>0</v>
      </c>
      <c r="AF43" s="839">
        <v>0</v>
      </c>
      <c r="AG43" s="840"/>
      <c r="AH43" s="73" t="e">
        <f t="shared" si="8"/>
        <v>#DIV/0!</v>
      </c>
      <c r="AI43" s="839">
        <v>0</v>
      </c>
      <c r="AJ43" s="840"/>
      <c r="AK43" s="73" t="e">
        <f t="shared" si="16"/>
        <v>#DIV/0!</v>
      </c>
      <c r="AL43" s="839">
        <v>0.5</v>
      </c>
      <c r="AM43" s="840">
        <v>1.2</v>
      </c>
      <c r="AN43" s="73">
        <f t="shared" si="9"/>
        <v>2.4</v>
      </c>
      <c r="AO43" s="839">
        <v>0</v>
      </c>
      <c r="AP43" s="840"/>
      <c r="AQ43" s="73" t="e">
        <f t="shared" si="10"/>
        <v>#DIV/0!</v>
      </c>
      <c r="AR43" s="839">
        <v>0</v>
      </c>
      <c r="AS43" s="840"/>
      <c r="AT43" s="73" t="e">
        <f t="shared" si="11"/>
        <v>#DIV/0!</v>
      </c>
      <c r="AU43" s="839">
        <v>0.5</v>
      </c>
      <c r="AV43" s="840">
        <v>1.4</v>
      </c>
      <c r="AW43" s="73">
        <f t="shared" si="14"/>
        <v>2.8</v>
      </c>
      <c r="AX43" s="839">
        <f>+AV43+AM43</f>
        <v>2.5999999999999996</v>
      </c>
      <c r="AY43" s="73">
        <f t="shared" si="2"/>
        <v>2.5999999999999996</v>
      </c>
    </row>
    <row r="44" spans="1:51" ht="22.5" customHeight="1" thickTop="1" thickBot="1">
      <c r="A44" s="2843" t="s">
        <v>154</v>
      </c>
      <c r="B44" s="2843"/>
      <c r="C44" s="2843"/>
      <c r="D44" s="2843"/>
      <c r="E44" s="2843"/>
      <c r="F44" s="2843"/>
      <c r="G44" s="2843"/>
      <c r="H44" s="2843"/>
      <c r="I44" s="2843"/>
      <c r="J44" s="2843"/>
      <c r="K44" s="2843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1"/>
      <c r="AY44" s="201"/>
    </row>
    <row r="45" spans="1:51" ht="75" customHeight="1" thickTop="1" thickBot="1">
      <c r="A45" s="202" t="s">
        <v>155</v>
      </c>
      <c r="B45" s="97" t="s">
        <v>156</v>
      </c>
      <c r="C45" s="74" t="s">
        <v>157</v>
      </c>
      <c r="D45" s="111" t="s">
        <v>158</v>
      </c>
      <c r="E45" s="74" t="s">
        <v>159</v>
      </c>
      <c r="F45" s="74" t="s">
        <v>265</v>
      </c>
      <c r="G45" s="203">
        <v>14</v>
      </c>
      <c r="H45" s="99">
        <v>10</v>
      </c>
      <c r="I45" s="204"/>
      <c r="J45" s="204"/>
      <c r="K45" s="25" t="s">
        <v>27</v>
      </c>
      <c r="L45" s="205">
        <v>0</v>
      </c>
      <c r="M45" s="206"/>
      <c r="N45" s="19" t="e">
        <f t="shared" ref="N45" si="18">+M45/L45</f>
        <v>#DIV/0!</v>
      </c>
      <c r="O45" s="205">
        <v>0</v>
      </c>
      <c r="P45" s="206"/>
      <c r="Q45" s="19" t="e">
        <f t="shared" ref="Q45" si="19">+P45/O45</f>
        <v>#DIV/0!</v>
      </c>
      <c r="R45" s="205">
        <v>0</v>
      </c>
      <c r="S45" s="206"/>
      <c r="T45" s="19" t="e">
        <f t="shared" ref="T45" si="20">+S45/R45</f>
        <v>#DIV/0!</v>
      </c>
      <c r="U45" s="205">
        <v>0</v>
      </c>
      <c r="V45" s="206"/>
      <c r="W45" s="19" t="e">
        <f t="shared" ref="W45" si="21">+V45/U45</f>
        <v>#DIV/0!</v>
      </c>
      <c r="X45" s="205">
        <v>2</v>
      </c>
      <c r="Y45" s="206">
        <v>2</v>
      </c>
      <c r="Z45" s="19">
        <f t="shared" ref="Z45" si="22">+Y45/X45</f>
        <v>1</v>
      </c>
      <c r="AA45" s="205">
        <v>0</v>
      </c>
      <c r="AB45" s="206"/>
      <c r="AC45" s="19" t="e">
        <f t="shared" ref="AC45" si="23">+AB45/AA45</f>
        <v>#DIV/0!</v>
      </c>
      <c r="AD45" s="207">
        <f t="shared" ref="AD45" si="24">+AB45+Y45+V45+S45+P45+M45</f>
        <v>2</v>
      </c>
      <c r="AE45" s="19">
        <f t="shared" ref="AE45" si="25">+AD45/G45</f>
        <v>0.14285714285714285</v>
      </c>
      <c r="AF45" s="205">
        <v>1</v>
      </c>
      <c r="AG45" s="206">
        <v>1</v>
      </c>
      <c r="AH45" s="208">
        <f t="shared" ref="AH45" si="26">+AG45/AF45</f>
        <v>1</v>
      </c>
      <c r="AI45" s="205">
        <v>3</v>
      </c>
      <c r="AJ45" s="206">
        <v>3</v>
      </c>
      <c r="AK45" s="208">
        <f t="shared" ref="AK45" si="27">+AJ45/AI45</f>
        <v>1</v>
      </c>
      <c r="AL45" s="205">
        <v>1</v>
      </c>
      <c r="AM45" s="206">
        <v>1</v>
      </c>
      <c r="AN45" s="208">
        <f t="shared" ref="AN45" si="28">+AM45/AL45</f>
        <v>1</v>
      </c>
      <c r="AO45" s="205">
        <v>3</v>
      </c>
      <c r="AP45" s="206">
        <v>3</v>
      </c>
      <c r="AQ45" s="19">
        <f t="shared" ref="AQ45" si="29">+AP45/AO45</f>
        <v>1</v>
      </c>
      <c r="AR45" s="205">
        <v>4</v>
      </c>
      <c r="AS45" s="206">
        <v>4</v>
      </c>
      <c r="AT45" s="19">
        <f t="shared" ref="AT45" si="30">+AS45/AR45</f>
        <v>1</v>
      </c>
      <c r="AU45" s="205">
        <v>0</v>
      </c>
      <c r="AV45" s="206"/>
      <c r="AW45" s="19" t="e">
        <f t="shared" ref="AW45" si="31">+AV45/AU45</f>
        <v>#DIV/0!</v>
      </c>
      <c r="AX45" s="209">
        <f>+AP45+AM45+AJ45+AG45+Y45+AS45</f>
        <v>14</v>
      </c>
      <c r="AY45" s="19">
        <f>+AX45/G45</f>
        <v>1</v>
      </c>
    </row>
    <row r="46" spans="1:51" ht="17.25" thickTop="1"/>
  </sheetData>
  <sheetProtection algorithmName="SHA-512" hashValue="1JPF8YuyEScBj7P2/4RAJ/BUkmZDZbRLacGD9KvZprTvXQmI+y4nfWlf1NoAYa5CmLV0AEP+Z+kKV+6KQkNezw==" saltValue="YEfJHbpJyb4V0whZETS4nw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38:H40" name="Rango1_4"/>
    <protectedRange algorithmName="SHA-512" hashValue="Uds9cYMsxnQI1SjFHe8NNqfDC/fFeray9QhmtAdG/GCgT0L97QBkFAQ9tCw5vTy3J/lQFdDpBTyQoZDg0KZNmQ==" saltValue="0HoWkw5WsZ+PdZDtJpkerg==" spinCount="100000" sqref="K38:K40" name="Rango1_1_2"/>
    <protectedRange algorithmName="SHA-512" hashValue="Uds9cYMsxnQI1SjFHe8NNqfDC/fFeray9QhmtAdG/GCgT0L97QBkFAQ9tCw5vTy3J/lQFdDpBTyQoZDg0KZNmQ==" saltValue="0HoWkw5WsZ+PdZDtJpkerg==" spinCount="100000" sqref="D36:E37" name="Rango1_2_1"/>
    <protectedRange algorithmName="SHA-512" hashValue="Uds9cYMsxnQI1SjFHe8NNqfDC/fFeray9QhmtAdG/GCgT0L97QBkFAQ9tCw5vTy3J/lQFdDpBTyQoZDg0KZNmQ==" saltValue="0HoWkw5WsZ+PdZDtJpkerg==" spinCount="100000" sqref="AD33:AD34" name="Rango1_3_1"/>
    <protectedRange algorithmName="SHA-512" hashValue="Uds9cYMsxnQI1SjFHe8NNqfDC/fFeray9QhmtAdG/GCgT0L97QBkFAQ9tCw5vTy3J/lQFdDpBTyQoZDg0KZNmQ==" saltValue="0HoWkw5WsZ+PdZDtJpkerg==" spinCount="100000" sqref="AX33:AX34" name="Rango1_1_1_1"/>
  </protectedRanges>
  <mergeCells count="41">
    <mergeCell ref="A41:K41"/>
    <mergeCell ref="A42:A43"/>
    <mergeCell ref="B42:B43"/>
    <mergeCell ref="C42:C43"/>
    <mergeCell ref="A44:K44"/>
    <mergeCell ref="A9:A40"/>
    <mergeCell ref="B9:B10"/>
    <mergeCell ref="B11:B29"/>
    <mergeCell ref="C11:C16"/>
    <mergeCell ref="C17:C19"/>
    <mergeCell ref="C22:C28"/>
    <mergeCell ref="B30:B40"/>
    <mergeCell ref="C33:C40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AE42:AE43 AE35:AE40 AY12:AY28 AW11:AW32 N11:N32 T11:T32 W11:W32 Z11:Z32 AC11:AC32 AE11:AE32 AH11:AH32 AK11:AK32 AN11:AN32 AT11:AT32 AQ11:AQ32 Q11:Q32 AY30:AY32">
    <cfRule type="cellIs" dxfId="9664" priority="356" operator="greaterThan">
      <formula>110%</formula>
    </cfRule>
    <cfRule type="cellIs" dxfId="9663" priority="357" operator="between">
      <formula>100.001%</formula>
      <formula>110%</formula>
    </cfRule>
    <cfRule type="cellIs" dxfId="9662" priority="358" operator="between">
      <formula>70.001%</formula>
      <formula>100%</formula>
    </cfRule>
    <cfRule type="cellIs" dxfId="9661" priority="359" operator="between">
      <formula>0.00001%</formula>
      <formula>70%</formula>
    </cfRule>
    <cfRule type="cellIs" dxfId="9660" priority="360" operator="equal">
      <formula>0</formula>
    </cfRule>
  </conditionalFormatting>
  <conditionalFormatting sqref="AY42:AY43 AY35:AY40">
    <cfRule type="cellIs" dxfId="9659" priority="351" operator="greaterThan">
      <formula>110%</formula>
    </cfRule>
    <cfRule type="cellIs" dxfId="9658" priority="352" operator="between">
      <formula>100.001%</formula>
      <formula>110%</formula>
    </cfRule>
    <cfRule type="cellIs" dxfId="9657" priority="353" operator="between">
      <formula>70.001%</formula>
      <formula>100%</formula>
    </cfRule>
    <cfRule type="cellIs" dxfId="9656" priority="354" operator="between">
      <formula>0.00001%</formula>
      <formula>70%</formula>
    </cfRule>
    <cfRule type="cellIs" dxfId="9655" priority="355" operator="equal">
      <formula>0</formula>
    </cfRule>
  </conditionalFormatting>
  <conditionalFormatting sqref="N42:N43 N35:N40">
    <cfRule type="cellIs" dxfId="9654" priority="346" operator="greaterThan">
      <formula>110%</formula>
    </cfRule>
    <cfRule type="cellIs" dxfId="9653" priority="347" operator="between">
      <formula>100.001%</formula>
      <formula>110%</formula>
    </cfRule>
    <cfRule type="cellIs" dxfId="9652" priority="348" operator="between">
      <formula>70.001%</formula>
      <formula>100%</formula>
    </cfRule>
    <cfRule type="cellIs" dxfId="9651" priority="349" operator="between">
      <formula>0.00001%</formula>
      <formula>70%</formula>
    </cfRule>
    <cfRule type="cellIs" dxfId="9650" priority="350" operator="equal">
      <formula>0</formula>
    </cfRule>
  </conditionalFormatting>
  <conditionalFormatting sqref="Q42:Q43 Q35:Q40">
    <cfRule type="cellIs" dxfId="9649" priority="341" operator="greaterThan">
      <formula>110%</formula>
    </cfRule>
    <cfRule type="cellIs" dxfId="9648" priority="342" operator="between">
      <formula>100.001%</formula>
      <formula>110%</formula>
    </cfRule>
    <cfRule type="cellIs" dxfId="9647" priority="343" operator="between">
      <formula>70.001%</formula>
      <formula>100%</formula>
    </cfRule>
    <cfRule type="cellIs" dxfId="9646" priority="344" operator="between">
      <formula>0.00001%</formula>
      <formula>70%</formula>
    </cfRule>
    <cfRule type="cellIs" dxfId="9645" priority="345" operator="equal">
      <formula>0</formula>
    </cfRule>
  </conditionalFormatting>
  <conditionalFormatting sqref="T42:T43 T35:T40">
    <cfRule type="cellIs" dxfId="9644" priority="336" operator="greaterThan">
      <formula>110%</formula>
    </cfRule>
    <cfRule type="cellIs" dxfId="9643" priority="337" operator="between">
      <formula>100.001%</formula>
      <formula>110%</formula>
    </cfRule>
    <cfRule type="cellIs" dxfId="9642" priority="338" operator="between">
      <formula>70.001%</formula>
      <formula>100%</formula>
    </cfRule>
    <cfRule type="cellIs" dxfId="9641" priority="339" operator="between">
      <formula>0.00001%</formula>
      <formula>70%</formula>
    </cfRule>
    <cfRule type="cellIs" dxfId="9640" priority="340" operator="equal">
      <formula>0</formula>
    </cfRule>
  </conditionalFormatting>
  <conditionalFormatting sqref="W42:W43 W35:W40">
    <cfRule type="cellIs" dxfId="9639" priority="331" operator="greaterThan">
      <formula>110%</formula>
    </cfRule>
    <cfRule type="cellIs" dxfId="9638" priority="332" operator="between">
      <formula>100.001%</formula>
      <formula>110%</formula>
    </cfRule>
    <cfRule type="cellIs" dxfId="9637" priority="333" operator="between">
      <formula>70.001%</formula>
      <formula>100%</formula>
    </cfRule>
    <cfRule type="cellIs" dxfId="9636" priority="334" operator="between">
      <formula>0.00001%</formula>
      <formula>70%</formula>
    </cfRule>
    <cfRule type="cellIs" dxfId="9635" priority="335" operator="equal">
      <formula>0</formula>
    </cfRule>
  </conditionalFormatting>
  <conditionalFormatting sqref="Z42:Z43 Z35:Z40">
    <cfRule type="cellIs" dxfId="9634" priority="326" operator="greaterThan">
      <formula>110%</formula>
    </cfRule>
    <cfRule type="cellIs" dxfId="9633" priority="327" operator="between">
      <formula>100.001%</formula>
      <formula>110%</formula>
    </cfRule>
    <cfRule type="cellIs" dxfId="9632" priority="328" operator="between">
      <formula>70.001%</formula>
      <formula>100%</formula>
    </cfRule>
    <cfRule type="cellIs" dxfId="9631" priority="329" operator="between">
      <formula>0.00001%</formula>
      <formula>70%</formula>
    </cfRule>
    <cfRule type="cellIs" dxfId="9630" priority="330" operator="equal">
      <formula>0</formula>
    </cfRule>
  </conditionalFormatting>
  <conditionalFormatting sqref="AC42:AC43 AC35:AC40">
    <cfRule type="cellIs" dxfId="9629" priority="321" operator="greaterThan">
      <formula>110%</formula>
    </cfRule>
    <cfRule type="cellIs" dxfId="9628" priority="322" operator="between">
      <formula>100.001%</formula>
      <formula>110%</formula>
    </cfRule>
    <cfRule type="cellIs" dxfId="9627" priority="323" operator="between">
      <formula>70.001%</formula>
      <formula>100%</formula>
    </cfRule>
    <cfRule type="cellIs" dxfId="9626" priority="324" operator="between">
      <formula>0.00001%</formula>
      <formula>70%</formula>
    </cfRule>
    <cfRule type="cellIs" dxfId="9625" priority="325" operator="equal">
      <formula>0</formula>
    </cfRule>
  </conditionalFormatting>
  <conditionalFormatting sqref="AH42:AH43 AH35:AH40">
    <cfRule type="cellIs" dxfId="9624" priority="316" operator="greaterThan">
      <formula>110%</formula>
    </cfRule>
    <cfRule type="cellIs" dxfId="9623" priority="317" operator="between">
      <formula>100.001%</formula>
      <formula>110%</formula>
    </cfRule>
    <cfRule type="cellIs" dxfId="9622" priority="318" operator="between">
      <formula>70.001%</formula>
      <formula>100%</formula>
    </cfRule>
    <cfRule type="cellIs" dxfId="9621" priority="319" operator="between">
      <formula>0.00001%</formula>
      <formula>70%</formula>
    </cfRule>
    <cfRule type="cellIs" dxfId="9620" priority="320" operator="equal">
      <formula>0</formula>
    </cfRule>
  </conditionalFormatting>
  <conditionalFormatting sqref="AK42:AK43 AK35:AK40">
    <cfRule type="cellIs" dxfId="9619" priority="311" operator="greaterThan">
      <formula>110%</formula>
    </cfRule>
    <cfRule type="cellIs" dxfId="9618" priority="312" operator="between">
      <formula>100.001%</formula>
      <formula>110%</formula>
    </cfRule>
    <cfRule type="cellIs" dxfId="9617" priority="313" operator="between">
      <formula>70.001%</formula>
      <formula>100%</formula>
    </cfRule>
    <cfRule type="cellIs" dxfId="9616" priority="314" operator="between">
      <formula>0.00001%</formula>
      <formula>70%</formula>
    </cfRule>
    <cfRule type="cellIs" dxfId="9615" priority="315" operator="equal">
      <formula>0</formula>
    </cfRule>
  </conditionalFormatting>
  <conditionalFormatting sqref="AN42:AN43 AN35:AN40">
    <cfRule type="cellIs" dxfId="9614" priority="306" operator="greaterThan">
      <formula>110%</formula>
    </cfRule>
    <cfRule type="cellIs" dxfId="9613" priority="307" operator="between">
      <formula>100.001%</formula>
      <formula>110%</formula>
    </cfRule>
    <cfRule type="cellIs" dxfId="9612" priority="308" operator="between">
      <formula>70.001%</formula>
      <formula>100%</formula>
    </cfRule>
    <cfRule type="cellIs" dxfId="9611" priority="309" operator="between">
      <formula>0.00001%</formula>
      <formula>70%</formula>
    </cfRule>
    <cfRule type="cellIs" dxfId="9610" priority="310" operator="equal">
      <formula>0</formula>
    </cfRule>
  </conditionalFormatting>
  <conditionalFormatting sqref="AQ42:AQ43 AQ35:AQ40">
    <cfRule type="cellIs" dxfId="9609" priority="301" operator="greaterThan">
      <formula>110%</formula>
    </cfRule>
    <cfRule type="cellIs" dxfId="9608" priority="302" operator="between">
      <formula>100.001%</formula>
      <formula>110%</formula>
    </cfRule>
    <cfRule type="cellIs" dxfId="9607" priority="303" operator="between">
      <formula>70.001%</formula>
      <formula>100%</formula>
    </cfRule>
    <cfRule type="cellIs" dxfId="9606" priority="304" operator="between">
      <formula>0.00001%</formula>
      <formula>70%</formula>
    </cfRule>
    <cfRule type="cellIs" dxfId="9605" priority="305" operator="equal">
      <formula>0</formula>
    </cfRule>
  </conditionalFormatting>
  <conditionalFormatting sqref="AT42:AT43 AT35:AT40">
    <cfRule type="cellIs" dxfId="9604" priority="296" operator="greaterThan">
      <formula>110%</formula>
    </cfRule>
    <cfRule type="cellIs" dxfId="9603" priority="297" operator="between">
      <formula>100.001%</formula>
      <formula>110%</formula>
    </cfRule>
    <cfRule type="cellIs" dxfId="9602" priority="298" operator="between">
      <formula>70.001%</formula>
      <formula>100%</formula>
    </cfRule>
    <cfRule type="cellIs" dxfId="9601" priority="299" operator="between">
      <formula>0.00001%</formula>
      <formula>70%</formula>
    </cfRule>
    <cfRule type="cellIs" dxfId="9600" priority="300" operator="equal">
      <formula>0</formula>
    </cfRule>
  </conditionalFormatting>
  <conditionalFormatting sqref="AW42:AW43 AW35:AW40">
    <cfRule type="cellIs" dxfId="9599" priority="291" operator="greaterThan">
      <formula>110%</formula>
    </cfRule>
    <cfRule type="cellIs" dxfId="9598" priority="292" operator="between">
      <formula>100.001%</formula>
      <formula>110%</formula>
    </cfRule>
    <cfRule type="cellIs" dxfId="9597" priority="293" operator="between">
      <formula>70.001%</formula>
      <formula>100%</formula>
    </cfRule>
    <cfRule type="cellIs" dxfId="9596" priority="294" operator="between">
      <formula>0.00001%</formula>
      <formula>70%</formula>
    </cfRule>
    <cfRule type="cellIs" dxfId="9595" priority="295" operator="equal">
      <formula>0</formula>
    </cfRule>
  </conditionalFormatting>
  <conditionalFormatting sqref="AE9:AE10">
    <cfRule type="cellIs" dxfId="9594" priority="286" operator="greaterThan">
      <formula>110%</formula>
    </cfRule>
    <cfRule type="cellIs" dxfId="9593" priority="287" operator="between">
      <formula>100.001%</formula>
      <formula>110%</formula>
    </cfRule>
    <cfRule type="cellIs" dxfId="9592" priority="288" operator="between">
      <formula>70.001%</formula>
      <formula>100%</formula>
    </cfRule>
    <cfRule type="cellIs" dxfId="9591" priority="289" operator="between">
      <formula>0.00001%</formula>
      <formula>70%</formula>
    </cfRule>
    <cfRule type="cellIs" dxfId="9590" priority="290" operator="equal">
      <formula>0</formula>
    </cfRule>
  </conditionalFormatting>
  <conditionalFormatting sqref="AY9:AY11">
    <cfRule type="cellIs" dxfId="9589" priority="281" operator="greaterThan">
      <formula>110%</formula>
    </cfRule>
    <cfRule type="cellIs" dxfId="9588" priority="282" operator="between">
      <formula>100.001%</formula>
      <formula>110%</formula>
    </cfRule>
    <cfRule type="cellIs" dxfId="9587" priority="283" operator="between">
      <formula>70.001%</formula>
      <formula>100%</formula>
    </cfRule>
    <cfRule type="cellIs" dxfId="9586" priority="284" operator="between">
      <formula>0.00001%</formula>
      <formula>70%</formula>
    </cfRule>
    <cfRule type="cellIs" dxfId="9585" priority="285" operator="equal">
      <formula>0</formula>
    </cfRule>
  </conditionalFormatting>
  <conditionalFormatting sqref="N9:N10">
    <cfRule type="cellIs" dxfId="9584" priority="276" operator="greaterThan">
      <formula>110%</formula>
    </cfRule>
    <cfRule type="cellIs" dxfId="9583" priority="277" operator="between">
      <formula>100.001%</formula>
      <formula>110%</formula>
    </cfRule>
    <cfRule type="cellIs" dxfId="9582" priority="278" operator="between">
      <formula>70.001%</formula>
      <formula>100%</formula>
    </cfRule>
    <cfRule type="cellIs" dxfId="9581" priority="279" operator="between">
      <formula>0.00001%</formula>
      <formula>70%</formula>
    </cfRule>
    <cfRule type="cellIs" dxfId="9580" priority="280" operator="equal">
      <formula>0</formula>
    </cfRule>
  </conditionalFormatting>
  <conditionalFormatting sqref="Q10">
    <cfRule type="cellIs" dxfId="9579" priority="271" operator="greaterThan">
      <formula>110%</formula>
    </cfRule>
    <cfRule type="cellIs" dxfId="9578" priority="272" operator="between">
      <formula>100.001%</formula>
      <formula>110%</formula>
    </cfRule>
    <cfRule type="cellIs" dxfId="9577" priority="273" operator="between">
      <formula>70.001%</formula>
      <formula>100%</formula>
    </cfRule>
    <cfRule type="cellIs" dxfId="9576" priority="274" operator="between">
      <formula>0.00001%</formula>
      <formula>70%</formula>
    </cfRule>
    <cfRule type="cellIs" dxfId="9575" priority="275" operator="equal">
      <formula>0</formula>
    </cfRule>
  </conditionalFormatting>
  <conditionalFormatting sqref="T9:T10">
    <cfRule type="cellIs" dxfId="9574" priority="266" operator="greaterThan">
      <formula>110%</formula>
    </cfRule>
    <cfRule type="cellIs" dxfId="9573" priority="267" operator="between">
      <formula>100.001%</formula>
      <formula>110%</formula>
    </cfRule>
    <cfRule type="cellIs" dxfId="9572" priority="268" operator="between">
      <formula>70.001%</formula>
      <formula>100%</formula>
    </cfRule>
    <cfRule type="cellIs" dxfId="9571" priority="269" operator="between">
      <formula>0.00001%</formula>
      <formula>70%</formula>
    </cfRule>
    <cfRule type="cellIs" dxfId="9570" priority="270" operator="equal">
      <formula>0</formula>
    </cfRule>
  </conditionalFormatting>
  <conditionalFormatting sqref="W9:W10">
    <cfRule type="cellIs" dxfId="9569" priority="261" operator="greaterThan">
      <formula>110%</formula>
    </cfRule>
    <cfRule type="cellIs" dxfId="9568" priority="262" operator="between">
      <formula>100.001%</formula>
      <formula>110%</formula>
    </cfRule>
    <cfRule type="cellIs" dxfId="9567" priority="263" operator="between">
      <formula>70.001%</formula>
      <formula>100%</formula>
    </cfRule>
    <cfRule type="cellIs" dxfId="9566" priority="264" operator="between">
      <formula>0.00001%</formula>
      <formula>70%</formula>
    </cfRule>
    <cfRule type="cellIs" dxfId="9565" priority="265" operator="equal">
      <formula>0</formula>
    </cfRule>
  </conditionalFormatting>
  <conditionalFormatting sqref="Z9:Z10">
    <cfRule type="cellIs" dxfId="9564" priority="256" operator="greaterThan">
      <formula>110%</formula>
    </cfRule>
    <cfRule type="cellIs" dxfId="9563" priority="257" operator="between">
      <formula>100.001%</formula>
      <formula>110%</formula>
    </cfRule>
    <cfRule type="cellIs" dxfId="9562" priority="258" operator="between">
      <formula>70.001%</formula>
      <formula>100%</formula>
    </cfRule>
    <cfRule type="cellIs" dxfId="9561" priority="259" operator="between">
      <formula>0.00001%</formula>
      <formula>70%</formula>
    </cfRule>
    <cfRule type="cellIs" dxfId="9560" priority="260" operator="equal">
      <formula>0</formula>
    </cfRule>
  </conditionalFormatting>
  <conditionalFormatting sqref="AC9:AC10">
    <cfRule type="cellIs" dxfId="9559" priority="251" operator="greaterThan">
      <formula>110%</formula>
    </cfRule>
    <cfRule type="cellIs" dxfId="9558" priority="252" operator="between">
      <formula>100.001%</formula>
      <formula>110%</formula>
    </cfRule>
    <cfRule type="cellIs" dxfId="9557" priority="253" operator="between">
      <formula>70.001%</formula>
      <formula>100%</formula>
    </cfRule>
    <cfRule type="cellIs" dxfId="9556" priority="254" operator="between">
      <formula>0.00001%</formula>
      <formula>70%</formula>
    </cfRule>
    <cfRule type="cellIs" dxfId="9555" priority="255" operator="equal">
      <formula>0</formula>
    </cfRule>
  </conditionalFormatting>
  <conditionalFormatting sqref="AH9:AH10">
    <cfRule type="cellIs" dxfId="9554" priority="246" operator="greaterThan">
      <formula>110%</formula>
    </cfRule>
    <cfRule type="cellIs" dxfId="9553" priority="247" operator="between">
      <formula>100.001%</formula>
      <formula>110%</formula>
    </cfRule>
    <cfRule type="cellIs" dxfId="9552" priority="248" operator="between">
      <formula>70.001%</formula>
      <formula>100%</formula>
    </cfRule>
    <cfRule type="cellIs" dxfId="9551" priority="249" operator="between">
      <formula>0.00001%</formula>
      <formula>70%</formula>
    </cfRule>
    <cfRule type="cellIs" dxfId="9550" priority="250" operator="equal">
      <formula>0</formula>
    </cfRule>
  </conditionalFormatting>
  <conditionalFormatting sqref="AK9:AK10">
    <cfRule type="cellIs" dxfId="9549" priority="241" operator="greaterThan">
      <formula>110%</formula>
    </cfRule>
    <cfRule type="cellIs" dxfId="9548" priority="242" operator="between">
      <formula>100.001%</formula>
      <formula>110%</formula>
    </cfRule>
    <cfRule type="cellIs" dxfId="9547" priority="243" operator="between">
      <formula>70.001%</formula>
      <formula>100%</formula>
    </cfRule>
    <cfRule type="cellIs" dxfId="9546" priority="244" operator="between">
      <formula>0.00001%</formula>
      <formula>70%</formula>
    </cfRule>
    <cfRule type="cellIs" dxfId="9545" priority="245" operator="equal">
      <formula>0</formula>
    </cfRule>
  </conditionalFormatting>
  <conditionalFormatting sqref="AN9:AN10">
    <cfRule type="cellIs" dxfId="9544" priority="236" operator="greaterThan">
      <formula>110%</formula>
    </cfRule>
    <cfRule type="cellIs" dxfId="9543" priority="237" operator="between">
      <formula>100.001%</formula>
      <formula>110%</formula>
    </cfRule>
    <cfRule type="cellIs" dxfId="9542" priority="238" operator="between">
      <formula>70.001%</formula>
      <formula>100%</formula>
    </cfRule>
    <cfRule type="cellIs" dxfId="9541" priority="239" operator="between">
      <formula>0.00001%</formula>
      <formula>70%</formula>
    </cfRule>
    <cfRule type="cellIs" dxfId="9540" priority="240" operator="equal">
      <formula>0</formula>
    </cfRule>
  </conditionalFormatting>
  <conditionalFormatting sqref="AQ9:AQ10">
    <cfRule type="cellIs" dxfId="9539" priority="231" operator="greaterThan">
      <formula>110%</formula>
    </cfRule>
    <cfRule type="cellIs" dxfId="9538" priority="232" operator="between">
      <formula>100.001%</formula>
      <formula>110%</formula>
    </cfRule>
    <cfRule type="cellIs" dxfId="9537" priority="233" operator="between">
      <formula>70.001%</formula>
      <formula>100%</formula>
    </cfRule>
    <cfRule type="cellIs" dxfId="9536" priority="234" operator="between">
      <formula>0.00001%</formula>
      <formula>70%</formula>
    </cfRule>
    <cfRule type="cellIs" dxfId="9535" priority="235" operator="equal">
      <formula>0</formula>
    </cfRule>
  </conditionalFormatting>
  <conditionalFormatting sqref="AT9:AT10">
    <cfRule type="cellIs" dxfId="9534" priority="226" operator="greaterThan">
      <formula>110%</formula>
    </cfRule>
    <cfRule type="cellIs" dxfId="9533" priority="227" operator="between">
      <formula>100.001%</formula>
      <formula>110%</formula>
    </cfRule>
    <cfRule type="cellIs" dxfId="9532" priority="228" operator="between">
      <formula>70.001%</formula>
      <formula>100%</formula>
    </cfRule>
    <cfRule type="cellIs" dxfId="9531" priority="229" operator="between">
      <formula>0.00001%</formula>
      <formula>70%</formula>
    </cfRule>
    <cfRule type="cellIs" dxfId="9530" priority="230" operator="equal">
      <formula>0</formula>
    </cfRule>
  </conditionalFormatting>
  <conditionalFormatting sqref="AW9:AW10">
    <cfRule type="cellIs" dxfId="9529" priority="221" operator="greaterThan">
      <formula>110%</formula>
    </cfRule>
    <cfRule type="cellIs" dxfId="9528" priority="222" operator="between">
      <formula>100.001%</formula>
      <formula>110%</formula>
    </cfRule>
    <cfRule type="cellIs" dxfId="9527" priority="223" operator="between">
      <formula>70.001%</formula>
      <formula>100%</formula>
    </cfRule>
    <cfRule type="cellIs" dxfId="9526" priority="224" operator="between">
      <formula>0.00001%</formula>
      <formula>70%</formula>
    </cfRule>
    <cfRule type="cellIs" dxfId="9525" priority="225" operator="equal">
      <formula>0</formula>
    </cfRule>
  </conditionalFormatting>
  <conditionalFormatting sqref="AE45">
    <cfRule type="cellIs" dxfId="9524" priority="216" operator="greaterThan">
      <formula>110%</formula>
    </cfRule>
    <cfRule type="cellIs" dxfId="9523" priority="217" operator="between">
      <formula>100.001%</formula>
      <formula>110%</formula>
    </cfRule>
    <cfRule type="cellIs" dxfId="9522" priority="218" operator="between">
      <formula>70.001%</formula>
      <formula>100%</formula>
    </cfRule>
    <cfRule type="cellIs" dxfId="9521" priority="219" operator="between">
      <formula>0.00001%</formula>
      <formula>70%</formula>
    </cfRule>
    <cfRule type="cellIs" dxfId="9520" priority="220" operator="equal">
      <formula>0</formula>
    </cfRule>
  </conditionalFormatting>
  <conditionalFormatting sqref="AY45">
    <cfRule type="cellIs" dxfId="9519" priority="211" operator="greaterThan">
      <formula>110%</formula>
    </cfRule>
    <cfRule type="cellIs" dxfId="9518" priority="212" operator="between">
      <formula>100.001%</formula>
      <formula>110%</formula>
    </cfRule>
    <cfRule type="cellIs" dxfId="9517" priority="213" operator="between">
      <formula>70.001%</formula>
      <formula>100%</formula>
    </cfRule>
    <cfRule type="cellIs" dxfId="9516" priority="214" operator="between">
      <formula>0.00001%</formula>
      <formula>70%</formula>
    </cfRule>
    <cfRule type="cellIs" dxfId="9515" priority="215" operator="equal">
      <formula>0</formula>
    </cfRule>
  </conditionalFormatting>
  <conditionalFormatting sqref="N45">
    <cfRule type="cellIs" dxfId="9514" priority="206" operator="greaterThan">
      <formula>110%</formula>
    </cfRule>
    <cfRule type="cellIs" dxfId="9513" priority="207" operator="between">
      <formula>100.001%</formula>
      <formula>110%</formula>
    </cfRule>
    <cfRule type="cellIs" dxfId="9512" priority="208" operator="between">
      <formula>70.001%</formula>
      <formula>100%</formula>
    </cfRule>
    <cfRule type="cellIs" dxfId="9511" priority="209" operator="between">
      <formula>0.00001%</formula>
      <formula>70%</formula>
    </cfRule>
    <cfRule type="cellIs" dxfId="9510" priority="210" operator="equal">
      <formula>0</formula>
    </cfRule>
  </conditionalFormatting>
  <conditionalFormatting sqref="Q45">
    <cfRule type="cellIs" dxfId="9509" priority="201" operator="greaterThan">
      <formula>110%</formula>
    </cfRule>
    <cfRule type="cellIs" dxfId="9508" priority="202" operator="between">
      <formula>100.001%</formula>
      <formula>110%</formula>
    </cfRule>
    <cfRule type="cellIs" dxfId="9507" priority="203" operator="between">
      <formula>70.001%</formula>
      <formula>100%</formula>
    </cfRule>
    <cfRule type="cellIs" dxfId="9506" priority="204" operator="between">
      <formula>0.00001%</formula>
      <formula>70%</formula>
    </cfRule>
    <cfRule type="cellIs" dxfId="9505" priority="205" operator="equal">
      <formula>0</formula>
    </cfRule>
  </conditionalFormatting>
  <conditionalFormatting sqref="T45">
    <cfRule type="cellIs" dxfId="9504" priority="196" operator="greaterThan">
      <formula>110%</formula>
    </cfRule>
    <cfRule type="cellIs" dxfId="9503" priority="197" operator="between">
      <formula>100.001%</formula>
      <formula>110%</formula>
    </cfRule>
    <cfRule type="cellIs" dxfId="9502" priority="198" operator="between">
      <formula>70.001%</formula>
      <formula>100%</formula>
    </cfRule>
    <cfRule type="cellIs" dxfId="9501" priority="199" operator="between">
      <formula>0.00001%</formula>
      <formula>70%</formula>
    </cfRule>
    <cfRule type="cellIs" dxfId="9500" priority="200" operator="equal">
      <formula>0</formula>
    </cfRule>
  </conditionalFormatting>
  <conditionalFormatting sqref="W45">
    <cfRule type="cellIs" dxfId="9499" priority="191" operator="greaterThan">
      <formula>110%</formula>
    </cfRule>
    <cfRule type="cellIs" dxfId="9498" priority="192" operator="between">
      <formula>100.001%</formula>
      <formula>110%</formula>
    </cfRule>
    <cfRule type="cellIs" dxfId="9497" priority="193" operator="between">
      <formula>70.001%</formula>
      <formula>100%</formula>
    </cfRule>
    <cfRule type="cellIs" dxfId="9496" priority="194" operator="between">
      <formula>0.00001%</formula>
      <formula>70%</formula>
    </cfRule>
    <cfRule type="cellIs" dxfId="9495" priority="195" operator="equal">
      <formula>0</formula>
    </cfRule>
  </conditionalFormatting>
  <conditionalFormatting sqref="Z45">
    <cfRule type="cellIs" dxfId="9494" priority="186" operator="greaterThan">
      <formula>110%</formula>
    </cfRule>
    <cfRule type="cellIs" dxfId="9493" priority="187" operator="between">
      <formula>100.001%</formula>
      <formula>110%</formula>
    </cfRule>
    <cfRule type="cellIs" dxfId="9492" priority="188" operator="between">
      <formula>70.001%</formula>
      <formula>100%</formula>
    </cfRule>
    <cfRule type="cellIs" dxfId="9491" priority="189" operator="between">
      <formula>0.00001%</formula>
      <formula>70%</formula>
    </cfRule>
    <cfRule type="cellIs" dxfId="9490" priority="190" operator="equal">
      <formula>0</formula>
    </cfRule>
  </conditionalFormatting>
  <conditionalFormatting sqref="AC45">
    <cfRule type="cellIs" dxfId="9489" priority="181" operator="greaterThan">
      <formula>110%</formula>
    </cfRule>
    <cfRule type="cellIs" dxfId="9488" priority="182" operator="between">
      <formula>100.001%</formula>
      <formula>110%</formula>
    </cfRule>
    <cfRule type="cellIs" dxfId="9487" priority="183" operator="between">
      <formula>70.001%</formula>
      <formula>100%</formula>
    </cfRule>
    <cfRule type="cellIs" dxfId="9486" priority="184" operator="between">
      <formula>0.00001%</formula>
      <formula>70%</formula>
    </cfRule>
    <cfRule type="cellIs" dxfId="9485" priority="185" operator="equal">
      <formula>0</formula>
    </cfRule>
  </conditionalFormatting>
  <conditionalFormatting sqref="AH45">
    <cfRule type="cellIs" dxfId="9484" priority="176" operator="greaterThan">
      <formula>110%</formula>
    </cfRule>
    <cfRule type="cellIs" dxfId="9483" priority="177" operator="between">
      <formula>100.001%</formula>
      <formula>110%</formula>
    </cfRule>
    <cfRule type="cellIs" dxfId="9482" priority="178" operator="between">
      <formula>70.001%</formula>
      <formula>100%</formula>
    </cfRule>
    <cfRule type="cellIs" dxfId="9481" priority="179" operator="between">
      <formula>0.00001%</formula>
      <formula>70%</formula>
    </cfRule>
    <cfRule type="cellIs" dxfId="9480" priority="180" operator="equal">
      <formula>0</formula>
    </cfRule>
  </conditionalFormatting>
  <conditionalFormatting sqref="AK45">
    <cfRule type="cellIs" dxfId="9479" priority="171" operator="greaterThan">
      <formula>110%</formula>
    </cfRule>
    <cfRule type="cellIs" dxfId="9478" priority="172" operator="between">
      <formula>100.001%</formula>
      <formula>110%</formula>
    </cfRule>
    <cfRule type="cellIs" dxfId="9477" priority="173" operator="between">
      <formula>70.001%</formula>
      <formula>100%</formula>
    </cfRule>
    <cfRule type="cellIs" dxfId="9476" priority="174" operator="between">
      <formula>0.00001%</formula>
      <formula>70%</formula>
    </cfRule>
    <cfRule type="cellIs" dxfId="9475" priority="175" operator="equal">
      <formula>0</formula>
    </cfRule>
  </conditionalFormatting>
  <conditionalFormatting sqref="AN45">
    <cfRule type="cellIs" dxfId="9474" priority="166" operator="greaterThan">
      <formula>110%</formula>
    </cfRule>
    <cfRule type="cellIs" dxfId="9473" priority="167" operator="between">
      <formula>100.001%</formula>
      <formula>110%</formula>
    </cfRule>
    <cfRule type="cellIs" dxfId="9472" priority="168" operator="between">
      <formula>70.001%</formula>
      <formula>100%</formula>
    </cfRule>
    <cfRule type="cellIs" dxfId="9471" priority="169" operator="between">
      <formula>0.00001%</formula>
      <formula>70%</formula>
    </cfRule>
    <cfRule type="cellIs" dxfId="9470" priority="170" operator="equal">
      <formula>0</formula>
    </cfRule>
  </conditionalFormatting>
  <conditionalFormatting sqref="AQ45">
    <cfRule type="cellIs" dxfId="9469" priority="161" operator="greaterThan">
      <formula>110%</formula>
    </cfRule>
    <cfRule type="cellIs" dxfId="9468" priority="162" operator="between">
      <formula>100.001%</formula>
      <formula>110%</formula>
    </cfRule>
    <cfRule type="cellIs" dxfId="9467" priority="163" operator="between">
      <formula>70.001%</formula>
      <formula>100%</formula>
    </cfRule>
    <cfRule type="cellIs" dxfId="9466" priority="164" operator="between">
      <formula>0.00001%</formula>
      <formula>70%</formula>
    </cfRule>
    <cfRule type="cellIs" dxfId="9465" priority="165" operator="equal">
      <formula>0</formula>
    </cfRule>
  </conditionalFormatting>
  <conditionalFormatting sqref="AT45">
    <cfRule type="cellIs" dxfId="9464" priority="156" operator="greaterThan">
      <formula>110%</formula>
    </cfRule>
    <cfRule type="cellIs" dxfId="9463" priority="157" operator="between">
      <formula>100.001%</formula>
      <formula>110%</formula>
    </cfRule>
    <cfRule type="cellIs" dxfId="9462" priority="158" operator="between">
      <formula>70.001%</formula>
      <formula>100%</formula>
    </cfRule>
    <cfRule type="cellIs" dxfId="9461" priority="159" operator="between">
      <formula>0.00001%</formula>
      <formula>70%</formula>
    </cfRule>
    <cfRule type="cellIs" dxfId="9460" priority="160" operator="equal">
      <formula>0</formula>
    </cfRule>
  </conditionalFormatting>
  <conditionalFormatting sqref="AW45">
    <cfRule type="cellIs" dxfId="9459" priority="151" operator="greaterThan">
      <formula>110%</formula>
    </cfRule>
    <cfRule type="cellIs" dxfId="9458" priority="152" operator="between">
      <formula>100.001%</formula>
      <formula>110%</formula>
    </cfRule>
    <cfRule type="cellIs" dxfId="9457" priority="153" operator="between">
      <formula>70.001%</formula>
      <formula>100%</formula>
    </cfRule>
    <cfRule type="cellIs" dxfId="9456" priority="154" operator="between">
      <formula>0.00001%</formula>
      <formula>70%</formula>
    </cfRule>
    <cfRule type="cellIs" dxfId="9455" priority="155" operator="equal">
      <formula>0</formula>
    </cfRule>
  </conditionalFormatting>
  <conditionalFormatting sqref="N33">
    <cfRule type="cellIs" dxfId="9454" priority="146" operator="greaterThan">
      <formula>110%</formula>
    </cfRule>
    <cfRule type="cellIs" dxfId="9453" priority="147" operator="between">
      <formula>100.001%</formula>
      <formula>110%</formula>
    </cfRule>
    <cfRule type="cellIs" dxfId="9452" priority="148" operator="between">
      <formula>70.001%</formula>
      <formula>100%</formula>
    </cfRule>
    <cfRule type="cellIs" dxfId="9451" priority="149" operator="between">
      <formula>0.00001%</formula>
      <formula>70%</formula>
    </cfRule>
    <cfRule type="cellIs" dxfId="9450" priority="150" operator="equal">
      <formula>0%</formula>
    </cfRule>
  </conditionalFormatting>
  <conditionalFormatting sqref="Q33">
    <cfRule type="cellIs" dxfId="9449" priority="141" operator="greaterThan">
      <formula>110%</formula>
    </cfRule>
    <cfRule type="cellIs" dxfId="9448" priority="142" operator="between">
      <formula>100.001%</formula>
      <formula>110%</formula>
    </cfRule>
    <cfRule type="cellIs" dxfId="9447" priority="143" operator="between">
      <formula>70.001%</formula>
      <formula>100%</formula>
    </cfRule>
    <cfRule type="cellIs" dxfId="9446" priority="144" operator="between">
      <formula>0.00001%</formula>
      <formula>70%</formula>
    </cfRule>
    <cfRule type="cellIs" dxfId="9445" priority="145" operator="equal">
      <formula>0%</formula>
    </cfRule>
  </conditionalFormatting>
  <conditionalFormatting sqref="T33">
    <cfRule type="cellIs" dxfId="9444" priority="136" operator="greaterThan">
      <formula>110%</formula>
    </cfRule>
    <cfRule type="cellIs" dxfId="9443" priority="137" operator="between">
      <formula>100.001%</formula>
      <formula>110%</formula>
    </cfRule>
    <cfRule type="cellIs" dxfId="9442" priority="138" operator="between">
      <formula>70.001%</formula>
      <formula>100%</formula>
    </cfRule>
    <cfRule type="cellIs" dxfId="9441" priority="139" operator="between">
      <formula>0.00001%</formula>
      <formula>70%</formula>
    </cfRule>
    <cfRule type="cellIs" dxfId="9440" priority="140" operator="equal">
      <formula>0%</formula>
    </cfRule>
  </conditionalFormatting>
  <conditionalFormatting sqref="W33">
    <cfRule type="cellIs" dxfId="9439" priority="131" operator="greaterThan">
      <formula>110%</formula>
    </cfRule>
    <cfRule type="cellIs" dxfId="9438" priority="132" operator="between">
      <formula>100.001%</formula>
      <formula>110%</formula>
    </cfRule>
    <cfRule type="cellIs" dxfId="9437" priority="133" operator="between">
      <formula>70.001%</formula>
      <formula>100%</formula>
    </cfRule>
    <cfRule type="cellIs" dxfId="9436" priority="134" operator="between">
      <formula>0.00001%</formula>
      <formula>70%</formula>
    </cfRule>
    <cfRule type="cellIs" dxfId="9435" priority="135" operator="equal">
      <formula>0%</formula>
    </cfRule>
  </conditionalFormatting>
  <conditionalFormatting sqref="Z33">
    <cfRule type="cellIs" dxfId="9434" priority="126" operator="greaterThan">
      <formula>110%</formula>
    </cfRule>
    <cfRule type="cellIs" dxfId="9433" priority="127" operator="between">
      <formula>100.001%</formula>
      <formula>110%</formula>
    </cfRule>
    <cfRule type="cellIs" dxfId="9432" priority="128" operator="between">
      <formula>70.001%</formula>
      <formula>100%</formula>
    </cfRule>
    <cfRule type="cellIs" dxfId="9431" priority="129" operator="between">
      <formula>0.00001%</formula>
      <formula>70%</formula>
    </cfRule>
    <cfRule type="cellIs" dxfId="9430" priority="130" operator="equal">
      <formula>0%</formula>
    </cfRule>
  </conditionalFormatting>
  <conditionalFormatting sqref="AC33">
    <cfRule type="cellIs" dxfId="9429" priority="121" operator="greaterThan">
      <formula>110%</formula>
    </cfRule>
    <cfRule type="cellIs" dxfId="9428" priority="122" operator="between">
      <formula>100.001%</formula>
      <formula>110%</formula>
    </cfRule>
    <cfRule type="cellIs" dxfId="9427" priority="123" operator="between">
      <formula>70.001%</formula>
      <formula>100%</formula>
    </cfRule>
    <cfRule type="cellIs" dxfId="9426" priority="124" operator="between">
      <formula>0.00001%</formula>
      <formula>70%</formula>
    </cfRule>
    <cfRule type="cellIs" dxfId="9425" priority="125" operator="equal">
      <formula>0%</formula>
    </cfRule>
  </conditionalFormatting>
  <conditionalFormatting sqref="AE33">
    <cfRule type="cellIs" dxfId="9424" priority="116" operator="greaterThan">
      <formula>110%</formula>
    </cfRule>
    <cfRule type="cellIs" dxfId="9423" priority="117" operator="between">
      <formula>100.001%</formula>
      <formula>110%</formula>
    </cfRule>
    <cfRule type="cellIs" dxfId="9422" priority="118" operator="between">
      <formula>70.001%</formula>
      <formula>100%</formula>
    </cfRule>
    <cfRule type="cellIs" dxfId="9421" priority="119" operator="between">
      <formula>0.00001%</formula>
      <formula>70%</formula>
    </cfRule>
    <cfRule type="cellIs" dxfId="9420" priority="120" operator="equal">
      <formula>0%</formula>
    </cfRule>
  </conditionalFormatting>
  <conditionalFormatting sqref="AH33">
    <cfRule type="cellIs" dxfId="9419" priority="111" operator="greaterThan">
      <formula>110%</formula>
    </cfRule>
    <cfRule type="cellIs" dxfId="9418" priority="112" operator="between">
      <formula>100.001%</formula>
      <formula>110%</formula>
    </cfRule>
    <cfRule type="cellIs" dxfId="9417" priority="113" operator="between">
      <formula>70.001%</formula>
      <formula>100%</formula>
    </cfRule>
    <cfRule type="cellIs" dxfId="9416" priority="114" operator="between">
      <formula>0.00001%</formula>
      <formula>70%</formula>
    </cfRule>
    <cfRule type="cellIs" dxfId="9415" priority="115" operator="equal">
      <formula>0%</formula>
    </cfRule>
  </conditionalFormatting>
  <conditionalFormatting sqref="AK33">
    <cfRule type="cellIs" dxfId="9414" priority="106" operator="greaterThan">
      <formula>110%</formula>
    </cfRule>
    <cfRule type="cellIs" dxfId="9413" priority="107" operator="between">
      <formula>100.001%</formula>
      <formula>110%</formula>
    </cfRule>
    <cfRule type="cellIs" dxfId="9412" priority="108" operator="between">
      <formula>70.001%</formula>
      <formula>100%</formula>
    </cfRule>
    <cfRule type="cellIs" dxfId="9411" priority="109" operator="between">
      <formula>0.00001%</formula>
      <formula>70%</formula>
    </cfRule>
    <cfRule type="cellIs" dxfId="9410" priority="110" operator="equal">
      <formula>0%</formula>
    </cfRule>
  </conditionalFormatting>
  <conditionalFormatting sqref="AN33">
    <cfRule type="cellIs" dxfId="9409" priority="101" operator="greaterThan">
      <formula>110%</formula>
    </cfRule>
    <cfRule type="cellIs" dxfId="9408" priority="102" operator="between">
      <formula>100.001%</formula>
      <formula>110%</formula>
    </cfRule>
    <cfRule type="cellIs" dxfId="9407" priority="103" operator="between">
      <formula>70.001%</formula>
      <formula>100%</formula>
    </cfRule>
    <cfRule type="cellIs" dxfId="9406" priority="104" operator="between">
      <formula>0.00001%</formula>
      <formula>70%</formula>
    </cfRule>
    <cfRule type="cellIs" dxfId="9405" priority="105" operator="equal">
      <formula>0%</formula>
    </cfRule>
  </conditionalFormatting>
  <conditionalFormatting sqref="AQ33">
    <cfRule type="cellIs" dxfId="9404" priority="96" operator="greaterThan">
      <formula>110%</formula>
    </cfRule>
    <cfRule type="cellIs" dxfId="9403" priority="97" operator="between">
      <formula>100.001%</formula>
      <formula>110%</formula>
    </cfRule>
    <cfRule type="cellIs" dxfId="9402" priority="98" operator="between">
      <formula>70.001%</formula>
      <formula>100%</formula>
    </cfRule>
    <cfRule type="cellIs" dxfId="9401" priority="99" operator="between">
      <formula>0.00001%</formula>
      <formula>70%</formula>
    </cfRule>
    <cfRule type="cellIs" dxfId="9400" priority="100" operator="equal">
      <formula>0%</formula>
    </cfRule>
  </conditionalFormatting>
  <conditionalFormatting sqref="AT33">
    <cfRule type="cellIs" dxfId="9399" priority="91" operator="greaterThan">
      <formula>110%</formula>
    </cfRule>
    <cfRule type="cellIs" dxfId="9398" priority="92" operator="between">
      <formula>100.001%</formula>
      <formula>110%</formula>
    </cfRule>
    <cfRule type="cellIs" dxfId="9397" priority="93" operator="between">
      <formula>70.001%</formula>
      <formula>100%</formula>
    </cfRule>
    <cfRule type="cellIs" dxfId="9396" priority="94" operator="between">
      <formula>0.00001%</formula>
      <formula>70%</formula>
    </cfRule>
    <cfRule type="cellIs" dxfId="9395" priority="95" operator="equal">
      <formula>0%</formula>
    </cfRule>
  </conditionalFormatting>
  <conditionalFormatting sqref="AW33">
    <cfRule type="cellIs" dxfId="9394" priority="86" operator="greaterThan">
      <formula>110%</formula>
    </cfRule>
    <cfRule type="cellIs" dxfId="9393" priority="87" operator="between">
      <formula>100.001%</formula>
      <formula>110%</formula>
    </cfRule>
    <cfRule type="cellIs" dxfId="9392" priority="88" operator="between">
      <formula>70.001%</formula>
      <formula>100%</formula>
    </cfRule>
    <cfRule type="cellIs" dxfId="9391" priority="89" operator="between">
      <formula>0.00001%</formula>
      <formula>70%</formula>
    </cfRule>
    <cfRule type="cellIs" dxfId="9390" priority="90" operator="equal">
      <formula>0%</formula>
    </cfRule>
  </conditionalFormatting>
  <conditionalFormatting sqref="AY33">
    <cfRule type="cellIs" dxfId="9389" priority="81" operator="greaterThan">
      <formula>110%</formula>
    </cfRule>
    <cfRule type="cellIs" dxfId="9388" priority="82" operator="between">
      <formula>100.001%</formula>
      <formula>110%</formula>
    </cfRule>
    <cfRule type="cellIs" dxfId="9387" priority="83" operator="between">
      <formula>70.001%</formula>
      <formula>100%</formula>
    </cfRule>
    <cfRule type="cellIs" dxfId="9386" priority="84" operator="between">
      <formula>0.00001%</formula>
      <formula>70%</formula>
    </cfRule>
    <cfRule type="cellIs" dxfId="9385" priority="85" operator="equal">
      <formula>0%</formula>
    </cfRule>
  </conditionalFormatting>
  <conditionalFormatting sqref="N34">
    <cfRule type="cellIs" dxfId="9384" priority="76" operator="greaterThan">
      <formula>110%</formula>
    </cfRule>
    <cfRule type="cellIs" dxfId="9383" priority="77" operator="between">
      <formula>100.001%</formula>
      <formula>110%</formula>
    </cfRule>
    <cfRule type="cellIs" dxfId="9382" priority="78" operator="between">
      <formula>70.001%</formula>
      <formula>100%</formula>
    </cfRule>
    <cfRule type="cellIs" dxfId="9381" priority="79" operator="between">
      <formula>0.00001%</formula>
      <formula>70%</formula>
    </cfRule>
    <cfRule type="cellIs" dxfId="9380" priority="80" operator="equal">
      <formula>0%</formula>
    </cfRule>
  </conditionalFormatting>
  <conditionalFormatting sqref="Q34">
    <cfRule type="cellIs" dxfId="9379" priority="71" operator="greaterThan">
      <formula>110%</formula>
    </cfRule>
    <cfRule type="cellIs" dxfId="9378" priority="72" operator="between">
      <formula>100.001%</formula>
      <formula>110%</formula>
    </cfRule>
    <cfRule type="cellIs" dxfId="9377" priority="73" operator="between">
      <formula>70.001%</formula>
      <formula>100%</formula>
    </cfRule>
    <cfRule type="cellIs" dxfId="9376" priority="74" operator="between">
      <formula>0.00001%</formula>
      <formula>70%</formula>
    </cfRule>
    <cfRule type="cellIs" dxfId="9375" priority="75" operator="equal">
      <formula>0%</formula>
    </cfRule>
  </conditionalFormatting>
  <conditionalFormatting sqref="T34">
    <cfRule type="cellIs" dxfId="9374" priority="66" operator="greaterThan">
      <formula>110%</formula>
    </cfRule>
    <cfRule type="cellIs" dxfId="9373" priority="67" operator="between">
      <formula>100.001%</formula>
      <formula>110%</formula>
    </cfRule>
    <cfRule type="cellIs" dxfId="9372" priority="68" operator="between">
      <formula>70.001%</formula>
      <formula>100%</formula>
    </cfRule>
    <cfRule type="cellIs" dxfId="9371" priority="69" operator="between">
      <formula>0.00001%</formula>
      <formula>70%</formula>
    </cfRule>
    <cfRule type="cellIs" dxfId="9370" priority="70" operator="equal">
      <formula>0%</formula>
    </cfRule>
  </conditionalFormatting>
  <conditionalFormatting sqref="W34">
    <cfRule type="cellIs" dxfId="9369" priority="61" operator="greaterThan">
      <formula>110%</formula>
    </cfRule>
    <cfRule type="cellIs" dxfId="9368" priority="62" operator="between">
      <formula>100.001%</formula>
      <formula>110%</formula>
    </cfRule>
    <cfRule type="cellIs" dxfId="9367" priority="63" operator="between">
      <formula>70.001%</formula>
      <formula>100%</formula>
    </cfRule>
    <cfRule type="cellIs" dxfId="9366" priority="64" operator="between">
      <formula>0.00001%</formula>
      <formula>70%</formula>
    </cfRule>
    <cfRule type="cellIs" dxfId="9365" priority="65" operator="equal">
      <formula>0%</formula>
    </cfRule>
  </conditionalFormatting>
  <conditionalFormatting sqref="Z34">
    <cfRule type="cellIs" dxfId="9364" priority="56" operator="greaterThan">
      <formula>110%</formula>
    </cfRule>
    <cfRule type="cellIs" dxfId="9363" priority="57" operator="between">
      <formula>100.001%</formula>
      <formula>110%</formula>
    </cfRule>
    <cfRule type="cellIs" dxfId="9362" priority="58" operator="between">
      <formula>70.001%</formula>
      <formula>100%</formula>
    </cfRule>
    <cfRule type="cellIs" dxfId="9361" priority="59" operator="between">
      <formula>0.00001%</formula>
      <formula>70%</formula>
    </cfRule>
    <cfRule type="cellIs" dxfId="9360" priority="60" operator="equal">
      <formula>0%</formula>
    </cfRule>
  </conditionalFormatting>
  <conditionalFormatting sqref="AC34">
    <cfRule type="cellIs" dxfId="9359" priority="51" operator="greaterThan">
      <formula>110%</formula>
    </cfRule>
    <cfRule type="cellIs" dxfId="9358" priority="52" operator="between">
      <formula>100.001%</formula>
      <formula>110%</formula>
    </cfRule>
    <cfRule type="cellIs" dxfId="9357" priority="53" operator="between">
      <formula>70.001%</formula>
      <formula>100%</formula>
    </cfRule>
    <cfRule type="cellIs" dxfId="9356" priority="54" operator="between">
      <formula>0.00001%</formula>
      <formula>70%</formula>
    </cfRule>
    <cfRule type="cellIs" dxfId="9355" priority="55" operator="equal">
      <formula>0%</formula>
    </cfRule>
  </conditionalFormatting>
  <conditionalFormatting sqref="AE34">
    <cfRule type="cellIs" dxfId="9354" priority="46" operator="greaterThan">
      <formula>110%</formula>
    </cfRule>
    <cfRule type="cellIs" dxfId="9353" priority="47" operator="between">
      <formula>100.001%</formula>
      <formula>110%</formula>
    </cfRule>
    <cfRule type="cellIs" dxfId="9352" priority="48" operator="between">
      <formula>70.001%</formula>
      <formula>100%</formula>
    </cfRule>
    <cfRule type="cellIs" dxfId="9351" priority="49" operator="between">
      <formula>0.00001%</formula>
      <formula>70%</formula>
    </cfRule>
    <cfRule type="cellIs" dxfId="9350" priority="50" operator="equal">
      <formula>0%</formula>
    </cfRule>
  </conditionalFormatting>
  <conditionalFormatting sqref="AH34">
    <cfRule type="cellIs" dxfId="9349" priority="41" operator="greaterThan">
      <formula>110%</formula>
    </cfRule>
    <cfRule type="cellIs" dxfId="9348" priority="42" operator="between">
      <formula>100.001%</formula>
      <formula>110%</formula>
    </cfRule>
    <cfRule type="cellIs" dxfId="9347" priority="43" operator="between">
      <formula>70.001%</formula>
      <formula>100%</formula>
    </cfRule>
    <cfRule type="cellIs" dxfId="9346" priority="44" operator="between">
      <formula>0.00001%</formula>
      <formula>70%</formula>
    </cfRule>
    <cfRule type="cellIs" dxfId="9345" priority="45" operator="equal">
      <formula>0%</formula>
    </cfRule>
  </conditionalFormatting>
  <conditionalFormatting sqref="AK34">
    <cfRule type="cellIs" dxfId="9344" priority="36" operator="greaterThan">
      <formula>110%</formula>
    </cfRule>
    <cfRule type="cellIs" dxfId="9343" priority="37" operator="between">
      <formula>100.001%</formula>
      <formula>110%</formula>
    </cfRule>
    <cfRule type="cellIs" dxfId="9342" priority="38" operator="between">
      <formula>70.001%</formula>
      <formula>100%</formula>
    </cfRule>
    <cfRule type="cellIs" dxfId="9341" priority="39" operator="between">
      <formula>0.00001%</formula>
      <formula>70%</formula>
    </cfRule>
    <cfRule type="cellIs" dxfId="9340" priority="40" operator="equal">
      <formula>0%</formula>
    </cfRule>
  </conditionalFormatting>
  <conditionalFormatting sqref="AN34">
    <cfRule type="cellIs" dxfId="9339" priority="31" operator="greaterThan">
      <formula>110%</formula>
    </cfRule>
    <cfRule type="cellIs" dxfId="9338" priority="32" operator="between">
      <formula>100.001%</formula>
      <formula>110%</formula>
    </cfRule>
    <cfRule type="cellIs" dxfId="9337" priority="33" operator="between">
      <formula>70.001%</formula>
      <formula>100%</formula>
    </cfRule>
    <cfRule type="cellIs" dxfId="9336" priority="34" operator="between">
      <formula>0.00001%</formula>
      <formula>70%</formula>
    </cfRule>
    <cfRule type="cellIs" dxfId="9335" priority="35" operator="equal">
      <formula>0%</formula>
    </cfRule>
  </conditionalFormatting>
  <conditionalFormatting sqref="AQ34">
    <cfRule type="cellIs" dxfId="9334" priority="26" operator="greaterThan">
      <formula>110%</formula>
    </cfRule>
    <cfRule type="cellIs" dxfId="9333" priority="27" operator="between">
      <formula>100.001%</formula>
      <formula>110%</formula>
    </cfRule>
    <cfRule type="cellIs" dxfId="9332" priority="28" operator="between">
      <formula>70.001%</formula>
      <formula>100%</formula>
    </cfRule>
    <cfRule type="cellIs" dxfId="9331" priority="29" operator="between">
      <formula>0.00001%</formula>
      <formula>70%</formula>
    </cfRule>
    <cfRule type="cellIs" dxfId="9330" priority="30" operator="equal">
      <formula>0%</formula>
    </cfRule>
  </conditionalFormatting>
  <conditionalFormatting sqref="AT34">
    <cfRule type="cellIs" dxfId="9329" priority="21" operator="greaterThan">
      <formula>110%</formula>
    </cfRule>
    <cfRule type="cellIs" dxfId="9328" priority="22" operator="between">
      <formula>100.001%</formula>
      <formula>110%</formula>
    </cfRule>
    <cfRule type="cellIs" dxfId="9327" priority="23" operator="between">
      <formula>70.001%</formula>
      <formula>100%</formula>
    </cfRule>
    <cfRule type="cellIs" dxfId="9326" priority="24" operator="between">
      <formula>0.00001%</formula>
      <formula>70%</formula>
    </cfRule>
    <cfRule type="cellIs" dxfId="9325" priority="25" operator="equal">
      <formula>0%</formula>
    </cfRule>
  </conditionalFormatting>
  <conditionalFormatting sqref="AW34">
    <cfRule type="cellIs" dxfId="9324" priority="16" operator="greaterThan">
      <formula>110%</formula>
    </cfRule>
    <cfRule type="cellIs" dxfId="9323" priority="17" operator="between">
      <formula>100.001%</formula>
      <formula>110%</formula>
    </cfRule>
    <cfRule type="cellIs" dxfId="9322" priority="18" operator="between">
      <formula>70.001%</formula>
      <formula>100%</formula>
    </cfRule>
    <cfRule type="cellIs" dxfId="9321" priority="19" operator="between">
      <formula>0.00001%</formula>
      <formula>70%</formula>
    </cfRule>
    <cfRule type="cellIs" dxfId="9320" priority="20" operator="equal">
      <formula>0%</formula>
    </cfRule>
  </conditionalFormatting>
  <conditionalFormatting sqref="AY34">
    <cfRule type="cellIs" dxfId="9319" priority="11" operator="greaterThan">
      <formula>110%</formula>
    </cfRule>
    <cfRule type="cellIs" dxfId="9318" priority="12" operator="between">
      <formula>100.001%</formula>
      <formula>110%</formula>
    </cfRule>
    <cfRule type="cellIs" dxfId="9317" priority="13" operator="between">
      <formula>70.001%</formula>
      <formula>100%</formula>
    </cfRule>
    <cfRule type="cellIs" dxfId="9316" priority="14" operator="between">
      <formula>0.00001%</formula>
      <formula>70%</formula>
    </cfRule>
    <cfRule type="cellIs" dxfId="9315" priority="15" operator="equal">
      <formula>0%</formula>
    </cfRule>
  </conditionalFormatting>
  <conditionalFormatting sqref="Q9">
    <cfRule type="cellIs" dxfId="9314" priority="6" operator="greaterThan">
      <formula>110%</formula>
    </cfRule>
    <cfRule type="cellIs" dxfId="9313" priority="7" operator="between">
      <formula>100.001%</formula>
      <formula>110%</formula>
    </cfRule>
    <cfRule type="cellIs" dxfId="9312" priority="8" operator="between">
      <formula>70.001%</formula>
      <formula>100%</formula>
    </cfRule>
    <cfRule type="cellIs" dxfId="9311" priority="9" operator="between">
      <formula>0.00001%</formula>
      <formula>70%</formula>
    </cfRule>
    <cfRule type="cellIs" dxfId="9310" priority="10" operator="equal">
      <formula>0</formula>
    </cfRule>
  </conditionalFormatting>
  <conditionalFormatting sqref="AY29">
    <cfRule type="cellIs" dxfId="9309" priority="1" operator="greaterThan">
      <formula>110%</formula>
    </cfRule>
    <cfRule type="cellIs" dxfId="9308" priority="2" operator="between">
      <formula>100.001%</formula>
      <formula>110%</formula>
    </cfRule>
    <cfRule type="cellIs" dxfId="9307" priority="3" operator="between">
      <formula>70.001%</formula>
      <formula>100%</formula>
    </cfRule>
    <cfRule type="cellIs" dxfId="9306" priority="4" operator="between">
      <formula>0.00001%</formula>
      <formula>70%</formula>
    </cfRule>
    <cfRule type="cellIs" dxfId="9305" priority="5" operator="equal">
      <formula>0</formula>
    </cfRule>
  </conditionalFormatting>
  <hyperlinks>
    <hyperlink ref="D11" location="'FIS-5'!Área_de_impresión" display="FIS-5  Gestión efectiva de Fiscalización Aduanera" xr:uid="{00000000-0004-0000-0A00-000000000000}"/>
    <hyperlink ref="D12" location="'FIS-7'!Área_de_impresión" display="FIS-7  Gestión efectiva de Control Cambiario" xr:uid="{00000000-0004-0000-0A00-000001000000}"/>
    <hyperlink ref="D13" location="'FIS-8'!Área_de_impresión" display="FIS-8  Gestión aceptada de Fiscalización aduanera (Recaudo) " xr:uid="{00000000-0004-0000-0A00-000002000000}"/>
    <hyperlink ref="D14" location="'FIS-9'!Área_de_impresión" display="FIS-9  Gestión aceptada de Fiscalización Aduanera (Resoluciones en firme)" xr:uid="{00000000-0004-0000-0A00-000003000000}"/>
    <hyperlink ref="D15" location="'FIS-11'!Área_de_impresión" display="FIS-11  Gestión aceptada cambiaria (Recaudo)" xr:uid="{00000000-0004-0000-0A00-000004000000}"/>
    <hyperlink ref="D16" location="'FIS-12'!Área_de_impresión" display="FIS-12  Gestión aceptada cambiaria (Resoluciones en firme)" xr:uid="{00000000-0004-0000-0A00-000005000000}"/>
    <hyperlink ref="D17" location="'FIS-16'!Área_de_impresión" display="FIS-16 Visitas de control a personas que hacen la venta y compra de divisas sin estar autorizados" xr:uid="{00000000-0004-0000-0A00-000006000000}"/>
    <hyperlink ref="D18" location="'FIS-15'!Área_de_impresión" display="FIS-15  Visitas de control a profesionales de cambio" xr:uid="{00000000-0004-0000-0A00-000007000000}"/>
    <hyperlink ref="D19" location="'FIS-18'!Área_de_impresión" display="FIS-18  Evacuación de expedientes en fiscalización cambiaria" xr:uid="{00000000-0004-0000-0A00-000008000000}"/>
    <hyperlink ref="D20" location="'FIS-21'!Área_de_impresión" display="FIS-21 Propuestas de Programas de control posterior de fiscalización  aduanera (Sanciones, LOC, LOR, Origen)" xr:uid="{00000000-0004-0000-0A00-000009000000}"/>
    <hyperlink ref="D21" location="'FIS-14'!Área_de_impresión" display="FIS-14 Propuestas acciones aduaneras de control posterior contra el contrabando técnico (Sanciones, LOC, LOR, origen)" xr:uid="{00000000-0004-0000-0A00-00000A000000}"/>
    <hyperlink ref="D22" location="'JUR-3.1'!Área_de_impresión" display="JUR-3.1  Porcentaje de éxito de litigiosidad" xr:uid="{00000000-0004-0000-0A00-00000B000000}"/>
    <hyperlink ref="D23" location="'JUR-3.2'!Área_de_impresión" display="JUR-3.2  Porcentaje procesos judiciales revisados con mayor riesgo en Ekogui" xr:uid="{00000000-0004-0000-0A00-00000C000000}"/>
    <hyperlink ref="D24" location="'JUR-3.3'!Área_de_impresión" display="JUR-3.3  Porcentaje de análisis de jurisprudencia remitidos junto con la copia de la sentencia " xr:uid="{00000000-0004-0000-0A00-00000D000000}"/>
    <hyperlink ref="D25" location="'JUR-3.4'!Área_de_impresión" display="JUR-3.4  Porcentaje de procesos revisados con VoBo del Jefe " xr:uid="{00000000-0004-0000-0A00-00000E000000}"/>
    <hyperlink ref="D26" location="'JUR-3.5'!Área_de_impresión" display="JUR-3.5  Porcentaje de requerimientos atendidos en oportunidad" xr:uid="{00000000-0004-0000-0A00-00000F000000}"/>
    <hyperlink ref="D27" location="'JUR-3.6'!Área_de_impresión" display="JUR-3.6  Porcentaje de funcionarios capacitaciones en cursos virtuales de la ANDJE" xr:uid="{00000000-0004-0000-0A00-000010000000}"/>
    <hyperlink ref="D28" location="'JUR-4'!Área_de_impresión" display="JUR-4 Porcentaje funcionarios que participaron en el concurso de escritura jurídica" xr:uid="{00000000-0004-0000-0A00-000011000000}"/>
    <hyperlink ref="D29" location="'ADU-3'!Área_de_impresión" display="ADU-3  Monto de la recaudación total de Aduanas" xr:uid="{00000000-0004-0000-0A00-000012000000}"/>
    <hyperlink ref="D30" location="'FIS-24'!Área_de_impresión" display="FIS-24  Valor Decomisos de mercancías en firme" xr:uid="{00000000-0004-0000-0A00-000013000000}"/>
    <hyperlink ref="D31" location="'FIS-32'!Área_de_impresión" display="FIS-32  Valor Aprehensiones sectores de Licores, Cigarrillos, Calzado y Confecciones" xr:uid="{00000000-0004-0000-0A00-000014000000}"/>
    <hyperlink ref="D32" location="'POLFA-3'!Área_de_impresión" display="POLFA-3 Acciones de control de fiscalización contra el contrabando" xr:uid="{00000000-0004-0000-0A00-000015000000}"/>
    <hyperlink ref="D35" location="'ADU-10.1'!Área_de_impresión" display="ADU-10.1 Efectividad en el control de pasajeros" xr:uid="{00000000-0004-0000-0A00-000016000000}"/>
    <hyperlink ref="D42" location="'POLFA-7'!Área_de_impresión" display="POLFA-7 Implementación programa zonas de comercio legal (Formalización)" xr:uid="{00000000-0004-0000-0A00-000017000000}"/>
    <hyperlink ref="D43" location="'POLFA-8'!Área_de_impresión" display="POLFA-8 Porcentaje de cumplimiento programa semilleros de la legalidad" xr:uid="{00000000-0004-0000-0A00-000018000000}"/>
    <hyperlink ref="D38" location="'ADU-29'!Área_de_impresión" display="ADU-29 Eficacia en la toma de muestras de las mercancías presentadas e identificadas por posibles desviaciones de la clasificación arancelaria u otro tipo de incumplimiento de restricciones legales y administrativas, entre otras." xr:uid="{00000000-0004-0000-0A00-000019000000}"/>
    <hyperlink ref="D39" location="'ADU-30'!Área_de_impresión" display="ADU-30 Eficacia visitas de verificación y control a los productores  y/o exportadores colombianos" xr:uid="{00000000-0004-0000-0A00-00001A000000}"/>
    <hyperlink ref="D40" location="'ADU-31'!Área_de_impresión" display="ADU-31 Eficacia en la revisión de criterios de origen de los productos colombianos" xr:uid="{00000000-0004-0000-0A00-00001B000000}"/>
    <hyperlink ref="D9" location="'DGRAE-1'!A1" display="DGRAE-1 Nivel de Ejecución del presupuesto " xr:uid="{00000000-0004-0000-0A00-00001C000000}"/>
    <hyperlink ref="D10" location="'DGRAE-2'!A1" display="DGRAE-2 Nivel de ejecución del PAA de la Dirección" xr:uid="{00000000-0004-0000-0A00-00001D000000}"/>
    <hyperlink ref="D45" location="'DGRAE-25'!A1" display="DGRAE-25 Actividades que componen el  PIC para la Dirección de Gestión" xr:uid="{00000000-0004-0000-0A00-00001E000000}"/>
    <hyperlink ref="D36" location="'ADU-12'!A1" display="ADU-12  Efectividad en los Controles a los  usuarios de comercio - Visitas con hallazgos en usuarios visitados" xr:uid="{00000000-0004-0000-0A00-00001F000000}"/>
    <hyperlink ref="D37" location="'ADU-13'!A1" display="ADU-13 Efectividad en los Controles a los  usuarios de comercio - Hallazgos en visitas de usuarios no visitados anteriormente" xr:uid="{00000000-0004-0000-0A00-000020000000}"/>
    <hyperlink ref="D33" location="'ADU-9'!A1" display="ADU-9 Efectividad en el control simultaneo - Lucha contra el Contrabando" xr:uid="{00000000-0004-0000-0A00-000021000000}"/>
    <hyperlink ref="D34" location="'ADU-9.1'!A1" display="ADU-9.1 Efectividad en el control simultaneo - Lucha contra el Contrabando - Documental" xr:uid="{00000000-0004-0000-0A00-000022000000}"/>
    <hyperlink ref="AZ5" location="'Consolidado '!A1" display="VOLVER" xr:uid="{00000000-0004-0000-0A00-000023000000}"/>
  </hyperlink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A48"/>
  <sheetViews>
    <sheetView zoomScale="70" zoomScaleNormal="70" workbookViewId="0">
      <selection activeCell="AX10" sqref="AX10"/>
    </sheetView>
  </sheetViews>
  <sheetFormatPr baseColWidth="10" defaultColWidth="11.42578125" defaultRowHeight="16.5"/>
  <cols>
    <col min="1" max="1" width="21.85546875" style="8" customWidth="1"/>
    <col min="2" max="2" width="37" style="8" customWidth="1"/>
    <col min="3" max="3" width="59.28515625" style="63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5" style="8" customWidth="1"/>
    <col min="8" max="8" width="11.85546875" style="8" hidden="1" customWidth="1"/>
    <col min="9" max="9" width="8.28515625" style="8" hidden="1" customWidth="1"/>
    <col min="10" max="10" width="13.7109375" style="8" hidden="1" customWidth="1"/>
    <col min="11" max="11" width="25.85546875" style="8" customWidth="1"/>
    <col min="12" max="13" width="20.7109375" style="8" hidden="1" customWidth="1"/>
    <col min="14" max="14" width="20.7109375" style="842" hidden="1" customWidth="1"/>
    <col min="15" max="16" width="20.7109375" style="8" hidden="1" customWidth="1"/>
    <col min="17" max="17" width="20.7109375" style="842" hidden="1" customWidth="1"/>
    <col min="18" max="19" width="20.7109375" style="8" hidden="1" customWidth="1"/>
    <col min="20" max="20" width="20.7109375" style="842" hidden="1" customWidth="1"/>
    <col min="21" max="22" width="20.7109375" style="8" hidden="1" customWidth="1"/>
    <col min="23" max="23" width="20.7109375" style="842" hidden="1" customWidth="1"/>
    <col min="24" max="25" width="20.7109375" style="8" hidden="1" customWidth="1"/>
    <col min="26" max="26" width="20.7109375" style="842" hidden="1" customWidth="1"/>
    <col min="27" max="28" width="20.7109375" style="8" hidden="1" customWidth="1"/>
    <col min="29" max="29" width="20.7109375" style="842" hidden="1" customWidth="1"/>
    <col min="30" max="30" width="20.7109375" style="8" hidden="1" customWidth="1"/>
    <col min="31" max="31" width="20.7109375" style="620" hidden="1" customWidth="1"/>
    <col min="32" max="33" width="20.7109375" style="8" hidden="1" customWidth="1"/>
    <col min="34" max="34" width="20.7109375" style="842" hidden="1" customWidth="1"/>
    <col min="35" max="36" width="20.7109375" style="8" hidden="1" customWidth="1"/>
    <col min="37" max="37" width="20.7109375" style="842" hidden="1" customWidth="1"/>
    <col min="38" max="39" width="20.7109375" style="8" hidden="1" customWidth="1"/>
    <col min="40" max="40" width="20.7109375" style="842" hidden="1" customWidth="1"/>
    <col min="41" max="42" width="20.7109375" style="8" hidden="1" customWidth="1"/>
    <col min="43" max="43" width="20.7109375" style="842" hidden="1" customWidth="1"/>
    <col min="44" max="45" width="20.7109375" style="8" hidden="1" customWidth="1"/>
    <col min="46" max="46" width="20.7109375" style="842" hidden="1" customWidth="1"/>
    <col min="47" max="48" width="20.7109375" style="8" hidden="1" customWidth="1"/>
    <col min="49" max="49" width="20.7109375" style="842" hidden="1" customWidth="1"/>
    <col min="50" max="50" width="28.42578125" style="8" customWidth="1"/>
    <col min="51" max="51" width="11.42578125" style="377"/>
    <col min="52" max="52" width="26.140625" style="8" customWidth="1"/>
    <col min="53" max="16384" width="11.42578125" style="8"/>
  </cols>
  <sheetData>
    <row r="1" spans="1:52" ht="29.25" customHeight="1">
      <c r="A1" s="101"/>
      <c r="B1" s="101"/>
      <c r="C1" s="2885" t="s">
        <v>427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3002" t="s">
        <v>69</v>
      </c>
      <c r="D2" s="3002"/>
      <c r="E2" s="3002"/>
      <c r="F2" s="3002"/>
      <c r="G2" s="3002"/>
      <c r="H2" s="3002"/>
      <c r="I2" s="3002"/>
      <c r="J2" s="3002"/>
      <c r="K2" s="3002"/>
    </row>
    <row r="3" spans="1:52" ht="18.75">
      <c r="A3" s="107"/>
      <c r="B3" s="105"/>
      <c r="C3" s="2973" t="s">
        <v>428</v>
      </c>
      <c r="D3" s="2973"/>
      <c r="E3" s="2973"/>
      <c r="F3" s="2973"/>
      <c r="G3" s="2973"/>
      <c r="H3" s="2973"/>
      <c r="I3" s="2973"/>
      <c r="J3" s="2973"/>
      <c r="K3" s="2973"/>
    </row>
    <row r="4" spans="1:52" ht="17.25" thickBot="1">
      <c r="A4" s="70"/>
      <c r="B4" s="109"/>
      <c r="C4" s="3003"/>
      <c r="D4" s="3003"/>
      <c r="E4" s="3003"/>
      <c r="F4" s="3003"/>
      <c r="G4" s="3003"/>
      <c r="H4" s="3003"/>
      <c r="I4" s="3003"/>
      <c r="J4" s="3003"/>
      <c r="K4" s="3003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3004"/>
      <c r="AR5" s="2840" t="s">
        <v>80</v>
      </c>
      <c r="AS5" s="2841"/>
      <c r="AT5" s="3004"/>
      <c r="AU5" s="2840" t="s">
        <v>81</v>
      </c>
      <c r="AV5" s="2841"/>
      <c r="AW5" s="3004"/>
      <c r="AX5" s="2840" t="s">
        <v>397</v>
      </c>
      <c r="AY5" s="2841"/>
      <c r="AZ5" s="670" t="s">
        <v>185</v>
      </c>
    </row>
    <row r="6" spans="1:52" ht="18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3004"/>
      <c r="AR6" s="2840"/>
      <c r="AS6" s="2841"/>
      <c r="AT6" s="3004"/>
      <c r="AU6" s="2840"/>
      <c r="AV6" s="2841"/>
      <c r="AW6" s="3004"/>
      <c r="AX6" s="2840"/>
      <c r="AY6" s="2841"/>
    </row>
    <row r="7" spans="1:52" s="12" customFormat="1" ht="31.9" customHeight="1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3005"/>
      <c r="AR7" s="2836"/>
      <c r="AS7" s="2837"/>
      <c r="AT7" s="3005"/>
      <c r="AU7" s="2836"/>
      <c r="AV7" s="2837"/>
      <c r="AW7" s="3005"/>
      <c r="AX7" s="2840"/>
      <c r="AY7" s="2841"/>
      <c r="AZ7" s="898">
        <f>(+AY9+AY10+AY11+AY12+AY13+AY14+AY15+AY16+AY17+AY18+AY19+AY20+AY21+AY22+AY23+AY24+AY25+AY26+AY27+AY28+AY30+AY31+AY32+AY33+AY34+AY36+AY37+AY38+AY39+AY40+AY41+AY42+AY45+AY47)/34</f>
        <v>1.3006203778678254</v>
      </c>
    </row>
    <row r="8" spans="1:52" customFormat="1" ht="29.25" customHeight="1" thickTop="1" thickBot="1">
      <c r="A8" s="2839" t="s">
        <v>165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71" t="s">
        <v>86</v>
      </c>
      <c r="O8" s="13" t="s">
        <v>84</v>
      </c>
      <c r="P8" s="14" t="s">
        <v>85</v>
      </c>
      <c r="Q8" s="71" t="s">
        <v>86</v>
      </c>
      <c r="R8" s="16" t="s">
        <v>84</v>
      </c>
      <c r="S8" s="16" t="s">
        <v>85</v>
      </c>
      <c r="T8" s="71" t="s">
        <v>86</v>
      </c>
      <c r="U8" s="16" t="s">
        <v>84</v>
      </c>
      <c r="V8" s="16" t="s">
        <v>85</v>
      </c>
      <c r="W8" s="71" t="s">
        <v>86</v>
      </c>
      <c r="X8" s="16" t="s">
        <v>84</v>
      </c>
      <c r="Y8" s="16" t="s">
        <v>85</v>
      </c>
      <c r="Z8" s="71" t="s">
        <v>86</v>
      </c>
      <c r="AA8" s="16" t="s">
        <v>84</v>
      </c>
      <c r="AB8" s="16" t="s">
        <v>85</v>
      </c>
      <c r="AC8" s="71" t="s">
        <v>86</v>
      </c>
      <c r="AD8" s="16" t="s">
        <v>87</v>
      </c>
      <c r="AE8" s="71" t="s">
        <v>6</v>
      </c>
      <c r="AF8" s="13" t="s">
        <v>84</v>
      </c>
      <c r="AG8" s="14" t="s">
        <v>85</v>
      </c>
      <c r="AH8" s="71" t="s">
        <v>86</v>
      </c>
      <c r="AI8" s="16" t="s">
        <v>84</v>
      </c>
      <c r="AJ8" s="13" t="s">
        <v>85</v>
      </c>
      <c r="AK8" s="71" t="s">
        <v>86</v>
      </c>
      <c r="AL8" s="14" t="s">
        <v>84</v>
      </c>
      <c r="AM8" s="16" t="s">
        <v>85</v>
      </c>
      <c r="AN8" s="71" t="s">
        <v>86</v>
      </c>
      <c r="AO8" s="16" t="s">
        <v>84</v>
      </c>
      <c r="AP8" s="16" t="s">
        <v>85</v>
      </c>
      <c r="AQ8" s="71" t="s">
        <v>86</v>
      </c>
      <c r="AR8" s="16" t="s">
        <v>84</v>
      </c>
      <c r="AS8" s="13" t="s">
        <v>85</v>
      </c>
      <c r="AT8" s="71" t="s">
        <v>86</v>
      </c>
      <c r="AU8" s="13" t="s">
        <v>84</v>
      </c>
      <c r="AV8" s="14" t="s">
        <v>85</v>
      </c>
      <c r="AW8" s="71" t="s">
        <v>86</v>
      </c>
      <c r="AX8" s="13" t="s">
        <v>87</v>
      </c>
      <c r="AY8" s="14" t="s">
        <v>6</v>
      </c>
    </row>
    <row r="9" spans="1:52" customFormat="1" ht="39.75" customHeight="1" thickTop="1" thickBot="1">
      <c r="A9" s="2943" t="s">
        <v>88</v>
      </c>
      <c r="B9" s="2848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764">
        <f>4557506342/1000000</f>
        <v>4557.5063419999997</v>
      </c>
      <c r="H9" s="74" t="s">
        <v>25</v>
      </c>
      <c r="I9" s="79"/>
      <c r="J9" s="78"/>
      <c r="K9" s="76" t="s">
        <v>25</v>
      </c>
      <c r="L9" s="765">
        <v>416.754592</v>
      </c>
      <c r="M9" s="567">
        <v>471</v>
      </c>
      <c r="N9" s="19">
        <f>+M9/L9</f>
        <v>1.1301615124135214</v>
      </c>
      <c r="O9" s="765">
        <v>621.80448100000001</v>
      </c>
      <c r="P9" s="567">
        <v>495</v>
      </c>
      <c r="Q9" s="19">
        <f>+P9/O9</f>
        <v>0.79607017177478334</v>
      </c>
      <c r="R9" s="765">
        <v>89.401666000000006</v>
      </c>
      <c r="S9" s="567">
        <v>83</v>
      </c>
      <c r="T9" s="19">
        <f>+S9/R9</f>
        <v>0.92839433215931344</v>
      </c>
      <c r="U9" s="765">
        <v>105.001666</v>
      </c>
      <c r="V9" s="567">
        <v>97</v>
      </c>
      <c r="W9" s="19">
        <f>+V9/U9</f>
        <v>0.9237948662643124</v>
      </c>
      <c r="X9" s="765">
        <v>89.401666000000006</v>
      </c>
      <c r="Y9" s="567">
        <v>59</v>
      </c>
      <c r="Z9" s="19">
        <f>+Y9/X9</f>
        <v>0.65994295900481315</v>
      </c>
      <c r="AA9" s="765">
        <v>93.401666000000006</v>
      </c>
      <c r="AB9" s="567">
        <v>76</v>
      </c>
      <c r="AC9" s="19">
        <f>+AB9/AA9</f>
        <v>0.81368998278895788</v>
      </c>
      <c r="AD9" s="566">
        <f>+AB9+Y9+V9+S9+P9+M9</f>
        <v>1281</v>
      </c>
      <c r="AE9" s="121">
        <f>+AD9/G9</f>
        <v>0.28107475971999429</v>
      </c>
      <c r="AF9" s="765">
        <v>93.401666000000006</v>
      </c>
      <c r="AG9" s="567">
        <v>228</v>
      </c>
      <c r="AH9" s="19">
        <f>+AG9/AF9</f>
        <v>2.4410699483668736</v>
      </c>
      <c r="AI9" s="765">
        <v>89.401666000000006</v>
      </c>
      <c r="AJ9" s="567">
        <v>74</v>
      </c>
      <c r="AK9" s="19">
        <f>+AJ9/AI9</f>
        <v>0.82772506722637584</v>
      </c>
      <c r="AL9" s="765">
        <v>89.401666000000006</v>
      </c>
      <c r="AM9" s="567">
        <v>94</v>
      </c>
      <c r="AN9" s="19">
        <f>+AM9/AL9</f>
        <v>1.0514345448551261</v>
      </c>
      <c r="AO9" s="765">
        <v>89.401666000000006</v>
      </c>
      <c r="AP9" s="567">
        <v>143</v>
      </c>
      <c r="AQ9" s="19">
        <f>+AP9/AO9</f>
        <v>1.5995227650455641</v>
      </c>
      <c r="AR9" s="765">
        <v>89.401666000000006</v>
      </c>
      <c r="AS9" s="567">
        <v>62</v>
      </c>
      <c r="AT9" s="19">
        <f>+AS9/AR9</f>
        <v>0.69349938064912564</v>
      </c>
      <c r="AU9" s="765">
        <v>73.041674</v>
      </c>
      <c r="AV9" s="567">
        <v>2546.6799999999998</v>
      </c>
      <c r="AW9" s="19">
        <f>+AV9/AU9</f>
        <v>34.866123139510741</v>
      </c>
      <c r="AX9" s="747">
        <f>4498675309.39/1000000</f>
        <v>4498.6753093900006</v>
      </c>
      <c r="AY9" s="19">
        <f>+AX9/G9</f>
        <v>0.98709139863002759</v>
      </c>
    </row>
    <row r="10" spans="1:52" customFormat="1" ht="47.25" customHeight="1" thickTop="1" thickBot="1">
      <c r="A10" s="2944"/>
      <c r="B10" s="2850"/>
      <c r="C10" s="74" t="s">
        <v>169</v>
      </c>
      <c r="D10" s="111" t="s">
        <v>92</v>
      </c>
      <c r="E10" s="74" t="s">
        <v>170</v>
      </c>
      <c r="F10" s="74" t="s">
        <v>17</v>
      </c>
      <c r="G10" s="117">
        <v>14</v>
      </c>
      <c r="H10" s="118" t="s">
        <v>26</v>
      </c>
      <c r="I10" s="79"/>
      <c r="J10" s="78"/>
      <c r="K10" s="76" t="s">
        <v>26</v>
      </c>
      <c r="L10" s="119">
        <v>10</v>
      </c>
      <c r="M10" s="120">
        <v>4</v>
      </c>
      <c r="N10" s="19">
        <f>+M10/L10</f>
        <v>0.4</v>
      </c>
      <c r="O10" s="119">
        <v>3</v>
      </c>
      <c r="P10" s="120">
        <v>3</v>
      </c>
      <c r="Q10" s="19">
        <f>+P10/O10</f>
        <v>1</v>
      </c>
      <c r="R10" s="119">
        <v>2</v>
      </c>
      <c r="S10" s="120">
        <v>1</v>
      </c>
      <c r="T10" s="19">
        <f>+S10/R10</f>
        <v>0.5</v>
      </c>
      <c r="U10" s="119">
        <v>1</v>
      </c>
      <c r="V10" s="120">
        <v>1</v>
      </c>
      <c r="W10" s="19">
        <f>+V10/U10</f>
        <v>1</v>
      </c>
      <c r="X10" s="119">
        <v>2</v>
      </c>
      <c r="Y10" s="120">
        <v>1</v>
      </c>
      <c r="Z10" s="121">
        <f>+Y10/X10</f>
        <v>0.5</v>
      </c>
      <c r="AA10" s="119">
        <v>2</v>
      </c>
      <c r="AB10" s="120">
        <v>0</v>
      </c>
      <c r="AC10" s="19">
        <f>+AB10/AA10</f>
        <v>0</v>
      </c>
      <c r="AD10" s="122">
        <f>+AB10+Y10+V10+S10+P10+M10</f>
        <v>10</v>
      </c>
      <c r="AE10" s="19">
        <f t="shared" ref="AE10" si="0">+AD10/G10</f>
        <v>0.7142857142857143</v>
      </c>
      <c r="AF10" s="119">
        <v>1</v>
      </c>
      <c r="AG10" s="120">
        <v>2</v>
      </c>
      <c r="AH10" s="19">
        <f>+AG10/AF10</f>
        <v>2</v>
      </c>
      <c r="AI10" s="119">
        <v>0</v>
      </c>
      <c r="AJ10" s="120">
        <v>0</v>
      </c>
      <c r="AK10" s="19" t="e">
        <f>+AJ10/AI10</f>
        <v>#DIV/0!</v>
      </c>
      <c r="AL10" s="119">
        <v>3</v>
      </c>
      <c r="AM10" s="120">
        <v>1</v>
      </c>
      <c r="AN10" s="19">
        <f>+AM10/AL10</f>
        <v>0.33333333333333331</v>
      </c>
      <c r="AO10" s="119">
        <v>2</v>
      </c>
      <c r="AP10" s="120">
        <v>1</v>
      </c>
      <c r="AQ10" s="121">
        <f>+AP10/AO10</f>
        <v>0.5</v>
      </c>
      <c r="AR10" s="119">
        <v>0</v>
      </c>
      <c r="AS10" s="120">
        <v>0</v>
      </c>
      <c r="AT10" s="19" t="e">
        <f>+AS10/AR10</f>
        <v>#DIV/0!</v>
      </c>
      <c r="AU10" s="119">
        <v>0</v>
      </c>
      <c r="AV10" s="120"/>
      <c r="AW10" s="19" t="e">
        <f>+AV10/AU10</f>
        <v>#DIV/0!</v>
      </c>
      <c r="AX10" s="123">
        <f t="shared" ref="AX10:AX13" si="1">+M10+P10+S10+V10+Y10+AB10+AG10+AJ10+AM10+AP10+AS10+AV10</f>
        <v>14</v>
      </c>
      <c r="AY10" s="19">
        <f t="shared" ref="AY10:AY13" si="2">+AX10/G10</f>
        <v>1</v>
      </c>
      <c r="AZ10" s="760"/>
    </row>
    <row r="11" spans="1:52" s="22" customFormat="1" ht="69.75" customHeight="1" thickTop="1" thickBot="1">
      <c r="A11" s="2944"/>
      <c r="B11" s="3006" t="s">
        <v>94</v>
      </c>
      <c r="C11" s="3008" t="s">
        <v>429</v>
      </c>
      <c r="D11" s="627" t="s">
        <v>430</v>
      </c>
      <c r="E11" s="25" t="s">
        <v>192</v>
      </c>
      <c r="F11" s="25" t="s">
        <v>101</v>
      </c>
      <c r="G11" s="843">
        <v>40000000000</v>
      </c>
      <c r="H11" s="386"/>
      <c r="I11" s="671"/>
      <c r="J11" s="386"/>
      <c r="K11" s="25" t="s">
        <v>140</v>
      </c>
      <c r="L11" s="765">
        <v>2666666666.6666665</v>
      </c>
      <c r="M11" s="567">
        <v>5764612970</v>
      </c>
      <c r="N11" s="73">
        <f>+M11/L11</f>
        <v>2.1617298637500002</v>
      </c>
      <c r="O11" s="765">
        <v>2666666666.6666665</v>
      </c>
      <c r="P11" s="567">
        <v>4269723612</v>
      </c>
      <c r="Q11" s="73">
        <f>+P11/O11</f>
        <v>1.6011463545000002</v>
      </c>
      <c r="R11" s="765">
        <v>2666666666.6666665</v>
      </c>
      <c r="S11" s="567">
        <v>3678044246</v>
      </c>
      <c r="T11" s="73">
        <f>+S11/R11</f>
        <v>1.37926659225</v>
      </c>
      <c r="U11" s="765">
        <v>4000000000</v>
      </c>
      <c r="V11" s="567">
        <v>456000</v>
      </c>
      <c r="W11" s="73">
        <f>+V11/U11</f>
        <v>1.1400000000000001E-4</v>
      </c>
      <c r="X11" s="765">
        <v>4000000000</v>
      </c>
      <c r="Y11" s="567">
        <v>114523000</v>
      </c>
      <c r="Z11" s="73">
        <f>+Y11/X11</f>
        <v>2.863075E-2</v>
      </c>
      <c r="AA11" s="765">
        <v>4000000000</v>
      </c>
      <c r="AB11" s="567">
        <v>2161909530</v>
      </c>
      <c r="AC11" s="73">
        <f>+AB11/AA11</f>
        <v>0.54047738249999999</v>
      </c>
      <c r="AD11" s="566">
        <f>+M11+P11+S11+V11+Y11+AB11</f>
        <v>15989269358</v>
      </c>
      <c r="AE11" s="73">
        <f>+AD11/G11</f>
        <v>0.39973173395</v>
      </c>
      <c r="AF11" s="765">
        <v>4000000000</v>
      </c>
      <c r="AG11" s="567">
        <v>5251693088</v>
      </c>
      <c r="AH11" s="73">
        <f>+AG11/AF11</f>
        <v>1.3129232719999999</v>
      </c>
      <c r="AI11" s="765">
        <v>4000000000</v>
      </c>
      <c r="AJ11" s="567">
        <v>6267245000</v>
      </c>
      <c r="AK11" s="73">
        <f>+AJ11/AI11</f>
        <v>1.56681125</v>
      </c>
      <c r="AL11" s="765">
        <v>4000000000</v>
      </c>
      <c r="AM11" s="567">
        <v>3013716050</v>
      </c>
      <c r="AN11" s="73">
        <f>+AM11/AL11</f>
        <v>0.75342901250000005</v>
      </c>
      <c r="AO11" s="765">
        <v>2666666666.6666665</v>
      </c>
      <c r="AP11" s="567">
        <v>5505499000</v>
      </c>
      <c r="AQ11" s="73">
        <f>+AP11/AO11</f>
        <v>2.0645621250000001</v>
      </c>
      <c r="AR11" s="765">
        <v>2666666666.6666665</v>
      </c>
      <c r="AS11" s="567">
        <v>12767558000</v>
      </c>
      <c r="AT11" s="73">
        <f>+AS11/AR11</f>
        <v>4.7878342500000004</v>
      </c>
      <c r="AU11" s="765">
        <v>2666666666.6666665</v>
      </c>
      <c r="AV11" s="567">
        <v>765412000</v>
      </c>
      <c r="AW11" s="73">
        <f>+AV11/AU11</f>
        <v>0.28702949999999999</v>
      </c>
      <c r="AX11" s="747">
        <f t="shared" si="1"/>
        <v>49560392496</v>
      </c>
      <c r="AY11" s="73">
        <f t="shared" si="2"/>
        <v>1.2390098124</v>
      </c>
    </row>
    <row r="12" spans="1:52" s="22" customFormat="1" ht="51" customHeight="1" thickTop="1" thickBot="1">
      <c r="A12" s="2944"/>
      <c r="B12" s="3007"/>
      <c r="C12" s="3008"/>
      <c r="D12" s="623" t="s">
        <v>400</v>
      </c>
      <c r="E12" s="561" t="s">
        <v>302</v>
      </c>
      <c r="F12" s="561" t="s">
        <v>101</v>
      </c>
      <c r="G12" s="844">
        <v>1559625393</v>
      </c>
      <c r="H12" s="85"/>
      <c r="I12" s="674"/>
      <c r="J12" s="85"/>
      <c r="K12" s="561" t="s">
        <v>196</v>
      </c>
      <c r="L12" s="776">
        <v>51987513</v>
      </c>
      <c r="M12" s="769">
        <v>6338975</v>
      </c>
      <c r="N12" s="73">
        <f t="shared" ref="N12:N45" si="3">+M12/L12</f>
        <v>0.12193264563357743</v>
      </c>
      <c r="O12" s="776">
        <v>51987513</v>
      </c>
      <c r="P12" s="769">
        <v>0</v>
      </c>
      <c r="Q12" s="73">
        <f t="shared" ref="Q12:Q45" si="4">+P12/O12</f>
        <v>0</v>
      </c>
      <c r="R12" s="776">
        <v>51987513</v>
      </c>
      <c r="S12" s="769">
        <v>0</v>
      </c>
      <c r="T12" s="73">
        <f t="shared" ref="T12:T45" si="5">+S12/R12</f>
        <v>0</v>
      </c>
      <c r="U12" s="776">
        <v>207950052</v>
      </c>
      <c r="V12" s="769">
        <v>12396500</v>
      </c>
      <c r="W12" s="73">
        <f t="shared" ref="W12:W45" si="6">+V12/U12</f>
        <v>5.9612872806591076E-2</v>
      </c>
      <c r="X12" s="776">
        <v>207950052</v>
      </c>
      <c r="Y12" s="769">
        <v>0</v>
      </c>
      <c r="Z12" s="73">
        <f t="shared" ref="Z12:Z45" si="7">+Y12/X12</f>
        <v>0</v>
      </c>
      <c r="AA12" s="776">
        <v>207950052</v>
      </c>
      <c r="AB12" s="769">
        <v>6686900</v>
      </c>
      <c r="AC12" s="73">
        <f t="shared" ref="AC12:AC45" si="8">+AB12/AA12</f>
        <v>3.215627952812438E-2</v>
      </c>
      <c r="AD12" s="777">
        <f t="shared" ref="AD12:AD45" si="9">+M12+P12+S12+V12+Y12+AB12</f>
        <v>25422375</v>
      </c>
      <c r="AE12" s="73">
        <f t="shared" ref="AE12:AE45" si="10">+AD12/G12</f>
        <v>1.6300308467727034E-2</v>
      </c>
      <c r="AF12" s="776">
        <v>207950052</v>
      </c>
      <c r="AG12" s="769">
        <v>36127525</v>
      </c>
      <c r="AH12" s="73">
        <f t="shared" ref="AH12:AH45" si="11">+AG12/AF12</f>
        <v>0.17373174304375744</v>
      </c>
      <c r="AI12" s="776">
        <v>207950052</v>
      </c>
      <c r="AJ12" s="769">
        <v>0</v>
      </c>
      <c r="AK12" s="73">
        <f>+AJ12/AI12</f>
        <v>0</v>
      </c>
      <c r="AL12" s="776">
        <v>207950052</v>
      </c>
      <c r="AM12" s="769">
        <v>16027600</v>
      </c>
      <c r="AN12" s="73">
        <f t="shared" ref="AN12:AN45" si="12">+AM12/AL12</f>
        <v>7.7074277432736593E-2</v>
      </c>
      <c r="AO12" s="776">
        <v>51987514</v>
      </c>
      <c r="AP12" s="769">
        <v>34748950</v>
      </c>
      <c r="AQ12" s="73">
        <f t="shared" ref="AQ12:AQ45" si="13">+AP12/AO12</f>
        <v>0.66840953387384516</v>
      </c>
      <c r="AR12" s="776">
        <v>51987514</v>
      </c>
      <c r="AS12" s="769">
        <v>1199434881</v>
      </c>
      <c r="AT12" s="73">
        <f t="shared" ref="AT12:AT45" si="14">+AS12/AR12</f>
        <v>23.071595248813011</v>
      </c>
      <c r="AU12" s="776">
        <v>51987514</v>
      </c>
      <c r="AV12" s="769">
        <v>450165450</v>
      </c>
      <c r="AW12" s="73">
        <f t="shared" ref="AW12:AW45" si="15">+AV12/AU12</f>
        <v>8.6591070694397896</v>
      </c>
      <c r="AX12" s="845">
        <f t="shared" si="1"/>
        <v>1761926781</v>
      </c>
      <c r="AY12" s="73">
        <f t="shared" si="2"/>
        <v>1.1297115249007748</v>
      </c>
    </row>
    <row r="13" spans="1:52" s="22" customFormat="1" ht="131.25" customHeight="1" thickTop="1" thickBot="1">
      <c r="A13" s="2944"/>
      <c r="B13" s="3007"/>
      <c r="C13" s="3008"/>
      <c r="D13" s="627" t="s">
        <v>431</v>
      </c>
      <c r="E13" s="25" t="s">
        <v>198</v>
      </c>
      <c r="F13" s="25" t="s">
        <v>101</v>
      </c>
      <c r="G13" s="843">
        <v>2795031055.90062</v>
      </c>
      <c r="H13" s="98"/>
      <c r="I13" s="671"/>
      <c r="J13" s="98"/>
      <c r="K13" s="25" t="s">
        <v>140</v>
      </c>
      <c r="L13" s="765">
        <v>186335403.72670805</v>
      </c>
      <c r="M13" s="567">
        <v>43888940</v>
      </c>
      <c r="N13" s="73">
        <f t="shared" si="3"/>
        <v>0.23553731133333336</v>
      </c>
      <c r="O13" s="765">
        <v>186335403.72670805</v>
      </c>
      <c r="P13" s="567">
        <v>120227878</v>
      </c>
      <c r="Q13" s="73">
        <f t="shared" si="4"/>
        <v>0.64522294526666668</v>
      </c>
      <c r="R13" s="765">
        <v>186335403.72670805</v>
      </c>
      <c r="S13" s="567">
        <v>62032900</v>
      </c>
      <c r="T13" s="73">
        <f t="shared" si="5"/>
        <v>0.3329098966666667</v>
      </c>
      <c r="U13" s="765">
        <v>279503105.59006208</v>
      </c>
      <c r="V13" s="567">
        <v>50511804</v>
      </c>
      <c r="W13" s="73">
        <f t="shared" si="6"/>
        <v>0.1807200098666667</v>
      </c>
      <c r="X13" s="765">
        <v>279503105.59006208</v>
      </c>
      <c r="Y13" s="567">
        <v>223036310</v>
      </c>
      <c r="Z13" s="73">
        <f t="shared" si="7"/>
        <v>0.79797435355555568</v>
      </c>
      <c r="AA13" s="765">
        <v>279503105.59006208</v>
      </c>
      <c r="AB13" s="567">
        <v>151436000</v>
      </c>
      <c r="AC13" s="73">
        <f t="shared" si="8"/>
        <v>0.54180435555555562</v>
      </c>
      <c r="AD13" s="566">
        <f t="shared" si="9"/>
        <v>651133832</v>
      </c>
      <c r="AE13" s="73">
        <f t="shared" si="10"/>
        <v>0.23296121544888898</v>
      </c>
      <c r="AF13" s="765">
        <v>279503105.59006208</v>
      </c>
      <c r="AG13" s="567">
        <v>102062552</v>
      </c>
      <c r="AH13" s="73">
        <f t="shared" si="11"/>
        <v>0.36515713048888893</v>
      </c>
      <c r="AI13" s="765">
        <v>279503105.59006208</v>
      </c>
      <c r="AJ13" s="567">
        <v>402322048</v>
      </c>
      <c r="AK13" s="73">
        <f t="shared" ref="AK13:AK45" si="16">+AJ13/AI13</f>
        <v>1.4394188828444445</v>
      </c>
      <c r="AL13" s="765">
        <v>279503105.59006208</v>
      </c>
      <c r="AM13" s="567">
        <v>282943000</v>
      </c>
      <c r="AN13" s="73">
        <f t="shared" si="12"/>
        <v>1.0123071777777779</v>
      </c>
      <c r="AO13" s="765">
        <v>186335403.72670805</v>
      </c>
      <c r="AP13" s="567">
        <v>316525048</v>
      </c>
      <c r="AQ13" s="73">
        <f t="shared" si="13"/>
        <v>1.6986844242666668</v>
      </c>
      <c r="AR13" s="765">
        <v>186335403.72670805</v>
      </c>
      <c r="AS13" s="567">
        <v>833450500</v>
      </c>
      <c r="AT13" s="73">
        <f t="shared" si="14"/>
        <v>4.4728510166666675</v>
      </c>
      <c r="AU13" s="765">
        <v>186335403.72670805</v>
      </c>
      <c r="AV13" s="567">
        <v>205486500</v>
      </c>
      <c r="AW13" s="73">
        <f t="shared" si="15"/>
        <v>1.1027775500000001</v>
      </c>
      <c r="AX13" s="747">
        <f t="shared" si="1"/>
        <v>2793923480</v>
      </c>
      <c r="AY13" s="73">
        <f t="shared" si="2"/>
        <v>0.99960373395555591</v>
      </c>
    </row>
    <row r="14" spans="1:52" s="22" customFormat="1" ht="70.5" customHeight="1" thickTop="1" thickBot="1">
      <c r="A14" s="2944"/>
      <c r="B14" s="3007"/>
      <c r="C14" s="3008"/>
      <c r="D14" s="623" t="s">
        <v>402</v>
      </c>
      <c r="E14" s="561" t="s">
        <v>200</v>
      </c>
      <c r="F14" s="561" t="s">
        <v>101</v>
      </c>
      <c r="G14" s="844">
        <v>29100000000</v>
      </c>
      <c r="H14" s="85"/>
      <c r="I14" s="674"/>
      <c r="J14" s="85"/>
      <c r="K14" s="561" t="s">
        <v>140</v>
      </c>
      <c r="L14" s="846">
        <v>1940000000</v>
      </c>
      <c r="M14" s="847">
        <v>2789760465</v>
      </c>
      <c r="N14" s="73">
        <f t="shared" si="3"/>
        <v>1.4380208582474228</v>
      </c>
      <c r="O14" s="846">
        <v>1940000000</v>
      </c>
      <c r="P14" s="847">
        <v>2222328303</v>
      </c>
      <c r="Q14" s="73">
        <f t="shared" si="4"/>
        <v>1.1455300530927834</v>
      </c>
      <c r="R14" s="846">
        <v>1940000000</v>
      </c>
      <c r="S14" s="847">
        <v>516531754</v>
      </c>
      <c r="T14" s="73">
        <f t="shared" si="5"/>
        <v>0.26625348144329897</v>
      </c>
      <c r="U14" s="846">
        <v>2910000000</v>
      </c>
      <c r="V14" s="847">
        <v>19458000</v>
      </c>
      <c r="W14" s="73">
        <f t="shared" si="6"/>
        <v>6.6865979381443303E-3</v>
      </c>
      <c r="X14" s="846">
        <v>2910000000</v>
      </c>
      <c r="Y14" s="847">
        <v>113618941</v>
      </c>
      <c r="Z14" s="73">
        <f t="shared" si="7"/>
        <v>3.904430962199313E-2</v>
      </c>
      <c r="AA14" s="846">
        <v>2910000000</v>
      </c>
      <c r="AB14" s="847">
        <v>0</v>
      </c>
      <c r="AC14" s="73">
        <f t="shared" si="8"/>
        <v>0</v>
      </c>
      <c r="AD14" s="848">
        <f t="shared" si="9"/>
        <v>5661697463</v>
      </c>
      <c r="AE14" s="73">
        <f t="shared" si="10"/>
        <v>0.19456005027491408</v>
      </c>
      <c r="AF14" s="846">
        <v>2910000000</v>
      </c>
      <c r="AG14" s="847">
        <v>4840533627</v>
      </c>
      <c r="AH14" s="73">
        <f t="shared" si="11"/>
        <v>1.6634136175257732</v>
      </c>
      <c r="AI14" s="846">
        <v>2910000000</v>
      </c>
      <c r="AJ14" s="847">
        <v>23220000</v>
      </c>
      <c r="AK14" s="73">
        <f t="shared" si="16"/>
        <v>7.9793814432989694E-3</v>
      </c>
      <c r="AL14" s="846">
        <v>2910000000</v>
      </c>
      <c r="AM14" s="847">
        <v>0</v>
      </c>
      <c r="AN14" s="73">
        <f t="shared" si="12"/>
        <v>0</v>
      </c>
      <c r="AO14" s="846">
        <v>1940000000</v>
      </c>
      <c r="AP14" s="847">
        <v>2442874828</v>
      </c>
      <c r="AQ14" s="73">
        <f t="shared" si="13"/>
        <v>1.2592138288659793</v>
      </c>
      <c r="AR14" s="846">
        <v>1940000000</v>
      </c>
      <c r="AS14" s="847">
        <v>518670000</v>
      </c>
      <c r="AT14" s="73">
        <f t="shared" si="14"/>
        <v>0.2673556701030928</v>
      </c>
      <c r="AU14" s="846">
        <v>1940000000</v>
      </c>
      <c r="AV14" s="847">
        <v>918700000</v>
      </c>
      <c r="AW14" s="73">
        <f t="shared" si="15"/>
        <v>0.47355670103092784</v>
      </c>
      <c r="AX14" s="846">
        <f>+M14+P14+S14+V14+Y14+AB14+AG14+AJ14+AM14+AP14+AS14+AV14</f>
        <v>14405695918</v>
      </c>
      <c r="AY14" s="73">
        <f>+AX14/G14</f>
        <v>0.49504109683848796</v>
      </c>
    </row>
    <row r="15" spans="1:52" s="22" customFormat="1" ht="51.75" customHeight="1" thickTop="1" thickBot="1">
      <c r="A15" s="2944"/>
      <c r="B15" s="3007"/>
      <c r="C15" s="3008"/>
      <c r="D15" s="627" t="s">
        <v>403</v>
      </c>
      <c r="E15" s="25" t="s">
        <v>274</v>
      </c>
      <c r="F15" s="25" t="s">
        <v>101</v>
      </c>
      <c r="G15" s="843">
        <v>172200000</v>
      </c>
      <c r="H15" s="98"/>
      <c r="I15" s="671"/>
      <c r="J15" s="98"/>
      <c r="K15" s="25" t="s">
        <v>196</v>
      </c>
      <c r="L15" s="849">
        <v>5740000</v>
      </c>
      <c r="M15" s="850">
        <v>1911540</v>
      </c>
      <c r="N15" s="851">
        <f t="shared" si="3"/>
        <v>0.33302090592334493</v>
      </c>
      <c r="O15" s="849">
        <v>5740000</v>
      </c>
      <c r="P15" s="850">
        <v>8348360</v>
      </c>
      <c r="Q15" s="851">
        <f t="shared" si="4"/>
        <v>1.4544181184668989</v>
      </c>
      <c r="R15" s="849">
        <v>5740000</v>
      </c>
      <c r="S15" s="850">
        <v>343000</v>
      </c>
      <c r="T15" s="851">
        <f t="shared" si="5"/>
        <v>5.9756097560975607E-2</v>
      </c>
      <c r="U15" s="849">
        <v>22960000</v>
      </c>
      <c r="V15" s="850">
        <v>0</v>
      </c>
      <c r="W15" s="851">
        <f t="shared" si="6"/>
        <v>0</v>
      </c>
      <c r="X15" s="849">
        <v>22960000</v>
      </c>
      <c r="Y15" s="850">
        <v>0</v>
      </c>
      <c r="Z15" s="851">
        <f t="shared" si="7"/>
        <v>0</v>
      </c>
      <c r="AA15" s="849">
        <v>22960000</v>
      </c>
      <c r="AB15" s="850">
        <v>10970240</v>
      </c>
      <c r="AC15" s="851">
        <f t="shared" si="8"/>
        <v>0.47779790940766548</v>
      </c>
      <c r="AD15" s="852">
        <v>21571140</v>
      </c>
      <c r="AE15" s="851">
        <f t="shared" si="10"/>
        <v>0.12526794425087109</v>
      </c>
      <c r="AF15" s="849">
        <v>22960000</v>
      </c>
      <c r="AG15" s="850">
        <v>28253800</v>
      </c>
      <c r="AH15" s="851">
        <f t="shared" si="11"/>
        <v>1.2305662020905923</v>
      </c>
      <c r="AI15" s="849">
        <v>22960000</v>
      </c>
      <c r="AJ15" s="850">
        <v>27324490</v>
      </c>
      <c r="AK15" s="851">
        <f t="shared" si="16"/>
        <v>1.1900910278745644</v>
      </c>
      <c r="AL15" s="849">
        <v>22960000</v>
      </c>
      <c r="AM15" s="850">
        <v>21330520</v>
      </c>
      <c r="AN15" s="851">
        <f t="shared" si="12"/>
        <v>0.92902961672473872</v>
      </c>
      <c r="AO15" s="849">
        <v>5740000</v>
      </c>
      <c r="AP15" s="850">
        <v>8153800</v>
      </c>
      <c r="AQ15" s="851">
        <f t="shared" si="13"/>
        <v>1.4205226480836237</v>
      </c>
      <c r="AR15" s="849">
        <v>5740000</v>
      </c>
      <c r="AS15" s="850">
        <v>535000</v>
      </c>
      <c r="AT15" s="851">
        <f t="shared" si="14"/>
        <v>9.3205574912891984E-2</v>
      </c>
      <c r="AU15" s="849">
        <v>5740000</v>
      </c>
      <c r="AV15" s="850">
        <v>5592105</v>
      </c>
      <c r="AW15" s="851">
        <f t="shared" si="15"/>
        <v>0.97423432055749126</v>
      </c>
      <c r="AX15" s="747">
        <f t="shared" ref="AX15:AX40" si="17">+M15+P15+S15+V15+Y15+AB15+AG15+AJ15+AM15+AP15+AS15+AV15</f>
        <v>112762855</v>
      </c>
      <c r="AY15" s="73">
        <f t="shared" ref="AY15:AY42" si="18">+AX15/G15</f>
        <v>0.65483655632984905</v>
      </c>
    </row>
    <row r="16" spans="1:52" s="22" customFormat="1" ht="57.75" customHeight="1" thickTop="1" thickBot="1">
      <c r="A16" s="2944"/>
      <c r="B16" s="3007"/>
      <c r="C16" s="3008"/>
      <c r="D16" s="623" t="s">
        <v>405</v>
      </c>
      <c r="E16" s="561" t="s">
        <v>202</v>
      </c>
      <c r="F16" s="561" t="s">
        <v>101</v>
      </c>
      <c r="G16" s="844">
        <v>792120000</v>
      </c>
      <c r="H16" s="85"/>
      <c r="I16" s="674"/>
      <c r="J16" s="85"/>
      <c r="K16" s="561" t="s">
        <v>196</v>
      </c>
      <c r="L16" s="846">
        <v>26404000</v>
      </c>
      <c r="M16" s="847">
        <v>0</v>
      </c>
      <c r="N16" s="73">
        <f t="shared" si="3"/>
        <v>0</v>
      </c>
      <c r="O16" s="846">
        <v>26404000</v>
      </c>
      <c r="P16" s="847">
        <v>0</v>
      </c>
      <c r="Q16" s="73">
        <f t="shared" si="4"/>
        <v>0</v>
      </c>
      <c r="R16" s="846">
        <v>26404000</v>
      </c>
      <c r="S16" s="847">
        <v>3824425</v>
      </c>
      <c r="T16" s="73">
        <f t="shared" si="5"/>
        <v>0.14484263747916981</v>
      </c>
      <c r="U16" s="846">
        <v>105616000</v>
      </c>
      <c r="V16" s="847">
        <v>2514550</v>
      </c>
      <c r="W16" s="73">
        <f t="shared" si="6"/>
        <v>2.3808419178912285E-2</v>
      </c>
      <c r="X16" s="846">
        <v>105616000</v>
      </c>
      <c r="Y16" s="847">
        <v>0</v>
      </c>
      <c r="Z16" s="73">
        <f t="shared" si="7"/>
        <v>0</v>
      </c>
      <c r="AA16" s="846">
        <v>105616000</v>
      </c>
      <c r="AB16" s="847">
        <v>0</v>
      </c>
      <c r="AC16" s="73">
        <f t="shared" si="8"/>
        <v>0</v>
      </c>
      <c r="AD16" s="848">
        <f t="shared" ref="AD16" si="19">+M16+P16+S16+V16+Y16+AB16</f>
        <v>6338975</v>
      </c>
      <c r="AE16" s="73">
        <f t="shared" si="10"/>
        <v>8.0025438064939662E-3</v>
      </c>
      <c r="AF16" s="846">
        <v>105616000</v>
      </c>
      <c r="AG16" s="847">
        <v>0</v>
      </c>
      <c r="AH16" s="73">
        <f t="shared" si="11"/>
        <v>0</v>
      </c>
      <c r="AI16" s="846">
        <v>105616000</v>
      </c>
      <c r="AJ16" s="847">
        <v>0</v>
      </c>
      <c r="AK16" s="73">
        <f t="shared" si="16"/>
        <v>0</v>
      </c>
      <c r="AL16" s="846">
        <v>105616000</v>
      </c>
      <c r="AM16" s="847">
        <v>0</v>
      </c>
      <c r="AN16" s="73">
        <f t="shared" si="12"/>
        <v>0</v>
      </c>
      <c r="AO16" s="846">
        <v>26404000</v>
      </c>
      <c r="AP16" s="847">
        <v>15712100</v>
      </c>
      <c r="AQ16" s="73">
        <f t="shared" si="13"/>
        <v>0.5950651416452053</v>
      </c>
      <c r="AR16" s="846">
        <v>26404000</v>
      </c>
      <c r="AS16" s="847">
        <v>47181725</v>
      </c>
      <c r="AT16" s="73">
        <f t="shared" si="14"/>
        <v>1.7869158082108771</v>
      </c>
      <c r="AU16" s="846">
        <v>26404000</v>
      </c>
      <c r="AV16" s="847">
        <v>1131689227</v>
      </c>
      <c r="AW16" s="73">
        <f t="shared" si="15"/>
        <v>42.860522155733982</v>
      </c>
      <c r="AX16" s="846">
        <f t="shared" si="17"/>
        <v>1200922027</v>
      </c>
      <c r="AY16" s="73">
        <f t="shared" si="18"/>
        <v>1.516085980659496</v>
      </c>
    </row>
    <row r="17" spans="1:51" s="22" customFormat="1" ht="77.25" customHeight="1" thickTop="1" thickBot="1">
      <c r="A17" s="2944"/>
      <c r="B17" s="3007"/>
      <c r="C17" s="2928" t="s">
        <v>432</v>
      </c>
      <c r="D17" s="627" t="s">
        <v>205</v>
      </c>
      <c r="E17" s="25" t="s">
        <v>206</v>
      </c>
      <c r="F17" s="25" t="s">
        <v>24</v>
      </c>
      <c r="G17" s="853">
        <v>8</v>
      </c>
      <c r="H17" s="98"/>
      <c r="I17" s="671"/>
      <c r="J17" s="98"/>
      <c r="K17" s="25" t="s">
        <v>196</v>
      </c>
      <c r="L17" s="854">
        <v>1</v>
      </c>
      <c r="M17" s="855">
        <v>2</v>
      </c>
      <c r="N17" s="851">
        <f t="shared" si="3"/>
        <v>2</v>
      </c>
      <c r="O17" s="854">
        <v>0</v>
      </c>
      <c r="P17" s="855"/>
      <c r="Q17" s="851" t="e">
        <f t="shared" si="4"/>
        <v>#DIV/0!</v>
      </c>
      <c r="R17" s="854">
        <v>0</v>
      </c>
      <c r="S17" s="855"/>
      <c r="T17" s="851" t="e">
        <f t="shared" si="5"/>
        <v>#DIV/0!</v>
      </c>
      <c r="U17" s="854">
        <v>0</v>
      </c>
      <c r="V17" s="855"/>
      <c r="W17" s="851" t="e">
        <f t="shared" si="6"/>
        <v>#DIV/0!</v>
      </c>
      <c r="X17" s="854">
        <v>5</v>
      </c>
      <c r="Y17" s="855"/>
      <c r="Z17" s="851">
        <f t="shared" si="7"/>
        <v>0</v>
      </c>
      <c r="AA17" s="854">
        <v>0</v>
      </c>
      <c r="AB17" s="855">
        <v>0</v>
      </c>
      <c r="AC17" s="851" t="e">
        <f t="shared" si="8"/>
        <v>#DIV/0!</v>
      </c>
      <c r="AD17" s="856">
        <f>+Y17</f>
        <v>0</v>
      </c>
      <c r="AE17" s="851">
        <f t="shared" si="10"/>
        <v>0</v>
      </c>
      <c r="AF17" s="854">
        <v>0</v>
      </c>
      <c r="AG17" s="855"/>
      <c r="AH17" s="851" t="e">
        <f t="shared" si="11"/>
        <v>#DIV/0!</v>
      </c>
      <c r="AI17" s="854">
        <v>0</v>
      </c>
      <c r="AJ17" s="855"/>
      <c r="AK17" s="851" t="e">
        <f t="shared" si="16"/>
        <v>#DIV/0!</v>
      </c>
      <c r="AL17" s="854"/>
      <c r="AM17" s="855">
        <v>1</v>
      </c>
      <c r="AN17" s="851" t="e">
        <f t="shared" si="12"/>
        <v>#DIV/0!</v>
      </c>
      <c r="AO17" s="854"/>
      <c r="AP17" s="855"/>
      <c r="AQ17" s="851" t="e">
        <f t="shared" si="13"/>
        <v>#DIV/0!</v>
      </c>
      <c r="AR17" s="857">
        <v>0</v>
      </c>
      <c r="AS17" s="496"/>
      <c r="AT17" s="73" t="e">
        <f t="shared" si="14"/>
        <v>#DIV/0!</v>
      </c>
      <c r="AU17" s="854">
        <v>8</v>
      </c>
      <c r="AV17" s="855">
        <v>5</v>
      </c>
      <c r="AW17" s="851">
        <f t="shared" si="15"/>
        <v>0.625</v>
      </c>
      <c r="AX17" s="857">
        <f>+AM17+Y17</f>
        <v>1</v>
      </c>
      <c r="AY17" s="73">
        <f t="shared" si="18"/>
        <v>0.125</v>
      </c>
    </row>
    <row r="18" spans="1:51" s="22" customFormat="1" ht="60" customHeight="1" thickTop="1" thickBot="1">
      <c r="A18" s="2944"/>
      <c r="B18" s="3007"/>
      <c r="C18" s="2929"/>
      <c r="D18" s="623" t="s">
        <v>406</v>
      </c>
      <c r="E18" s="561" t="s">
        <v>206</v>
      </c>
      <c r="F18" s="561" t="s">
        <v>24</v>
      </c>
      <c r="G18" s="625">
        <v>15</v>
      </c>
      <c r="H18" s="85"/>
      <c r="I18" s="674"/>
      <c r="J18" s="85"/>
      <c r="K18" s="561" t="s">
        <v>196</v>
      </c>
      <c r="L18" s="858">
        <v>0</v>
      </c>
      <c r="M18" s="859"/>
      <c r="N18" s="851" t="e">
        <f t="shared" si="3"/>
        <v>#DIV/0!</v>
      </c>
      <c r="O18" s="858">
        <v>0</v>
      </c>
      <c r="P18" s="859"/>
      <c r="Q18" s="851" t="e">
        <f t="shared" si="4"/>
        <v>#DIV/0!</v>
      </c>
      <c r="R18" s="858">
        <v>0</v>
      </c>
      <c r="S18" s="859"/>
      <c r="T18" s="851" t="e">
        <f t="shared" si="5"/>
        <v>#DIV/0!</v>
      </c>
      <c r="U18" s="858">
        <v>0</v>
      </c>
      <c r="V18" s="859"/>
      <c r="W18" s="851" t="e">
        <f t="shared" si="6"/>
        <v>#DIV/0!</v>
      </c>
      <c r="X18" s="858">
        <v>8</v>
      </c>
      <c r="Y18" s="859"/>
      <c r="Z18" s="851">
        <f t="shared" si="7"/>
        <v>0</v>
      </c>
      <c r="AA18" s="858">
        <v>0</v>
      </c>
      <c r="AB18" s="859"/>
      <c r="AC18" s="851" t="e">
        <f t="shared" si="8"/>
        <v>#DIV/0!</v>
      </c>
      <c r="AD18" s="860">
        <f>+Y18</f>
        <v>0</v>
      </c>
      <c r="AE18" s="851">
        <f t="shared" si="10"/>
        <v>0</v>
      </c>
      <c r="AF18" s="858">
        <v>0</v>
      </c>
      <c r="AG18" s="859"/>
      <c r="AH18" s="851" t="e">
        <f t="shared" si="11"/>
        <v>#DIV/0!</v>
      </c>
      <c r="AI18" s="858">
        <v>0</v>
      </c>
      <c r="AJ18" s="859"/>
      <c r="AK18" s="851" t="e">
        <f t="shared" si="16"/>
        <v>#DIV/0!</v>
      </c>
      <c r="AL18" s="858">
        <v>7</v>
      </c>
      <c r="AM18" s="859"/>
      <c r="AN18" s="851">
        <f t="shared" si="12"/>
        <v>0</v>
      </c>
      <c r="AO18" s="858">
        <v>0</v>
      </c>
      <c r="AP18" s="859"/>
      <c r="AQ18" s="851" t="e">
        <f t="shared" si="13"/>
        <v>#DIV/0!</v>
      </c>
      <c r="AR18" s="861">
        <v>0</v>
      </c>
      <c r="AS18" s="862"/>
      <c r="AT18" s="73" t="e">
        <f t="shared" si="14"/>
        <v>#DIV/0!</v>
      </c>
      <c r="AU18" s="861">
        <v>0</v>
      </c>
      <c r="AV18" s="862">
        <v>15</v>
      </c>
      <c r="AW18" s="73" t="e">
        <f t="shared" si="15"/>
        <v>#DIV/0!</v>
      </c>
      <c r="AX18" s="861">
        <v>15</v>
      </c>
      <c r="AY18" s="73">
        <f t="shared" si="18"/>
        <v>1</v>
      </c>
    </row>
    <row r="19" spans="1:51" s="22" customFormat="1" ht="56.25" customHeight="1" thickTop="1" thickBot="1">
      <c r="A19" s="2944"/>
      <c r="B19" s="3007"/>
      <c r="C19" s="2930"/>
      <c r="D19" s="627" t="s">
        <v>433</v>
      </c>
      <c r="E19" s="25" t="s">
        <v>209</v>
      </c>
      <c r="F19" s="25" t="s">
        <v>10</v>
      </c>
      <c r="G19" s="43">
        <v>0.68</v>
      </c>
      <c r="H19" s="98"/>
      <c r="I19" s="671"/>
      <c r="J19" s="98"/>
      <c r="K19" s="25" t="s">
        <v>196</v>
      </c>
      <c r="L19" s="863">
        <v>0.68</v>
      </c>
      <c r="M19" s="864">
        <v>6.3899999999999998E-2</v>
      </c>
      <c r="N19" s="851">
        <f>M19/L19</f>
        <v>9.3970588235294111E-2</v>
      </c>
      <c r="O19" s="863">
        <v>0.68</v>
      </c>
      <c r="P19" s="864">
        <v>0.31509999999999999</v>
      </c>
      <c r="Q19" s="851">
        <f t="shared" si="4"/>
        <v>0.46338235294117641</v>
      </c>
      <c r="R19" s="863">
        <v>0.68</v>
      </c>
      <c r="S19" s="864">
        <v>0.15790000000000001</v>
      </c>
      <c r="T19" s="851">
        <f t="shared" si="5"/>
        <v>0.23220588235294118</v>
      </c>
      <c r="U19" s="863">
        <v>0.68</v>
      </c>
      <c r="V19" s="864">
        <v>0</v>
      </c>
      <c r="W19" s="851">
        <f t="shared" si="6"/>
        <v>0</v>
      </c>
      <c r="X19" s="863">
        <v>0.68</v>
      </c>
      <c r="Y19" s="864">
        <v>0</v>
      </c>
      <c r="Z19" s="865">
        <f t="shared" si="7"/>
        <v>0</v>
      </c>
      <c r="AA19" s="863">
        <v>0.68</v>
      </c>
      <c r="AB19" s="864">
        <v>0.85389999999999999</v>
      </c>
      <c r="AC19" s="851">
        <f t="shared" si="8"/>
        <v>1.2557352941176469</v>
      </c>
      <c r="AD19" s="866">
        <f>+(AB19+Y19+V19+S19+P19+M19)/6</f>
        <v>0.23180000000000001</v>
      </c>
      <c r="AE19" s="851">
        <f t="shared" si="10"/>
        <v>0.34088235294117647</v>
      </c>
      <c r="AF19" s="863">
        <v>0.68</v>
      </c>
      <c r="AG19" s="864">
        <v>0.68930000000000002</v>
      </c>
      <c r="AH19" s="851">
        <f t="shared" si="11"/>
        <v>1.0136764705882353</v>
      </c>
      <c r="AI19" s="867">
        <v>0.68</v>
      </c>
      <c r="AJ19" s="868">
        <v>0.55779999999999996</v>
      </c>
      <c r="AK19" s="851">
        <f t="shared" si="16"/>
        <v>0.82029411764705873</v>
      </c>
      <c r="AL19" s="867">
        <v>0.68</v>
      </c>
      <c r="AM19" s="868">
        <v>0.4325</v>
      </c>
      <c r="AN19" s="851">
        <f t="shared" si="12"/>
        <v>0.63602941176470584</v>
      </c>
      <c r="AO19" s="867">
        <v>0.68</v>
      </c>
      <c r="AP19" s="868">
        <v>0.71740000000000004</v>
      </c>
      <c r="AQ19" s="851">
        <f t="shared" si="13"/>
        <v>1.0549999999999999</v>
      </c>
      <c r="AR19" s="867">
        <v>0.68</v>
      </c>
      <c r="AS19" s="868">
        <v>0.32679738562091504</v>
      </c>
      <c r="AT19" s="851">
        <f t="shared" si="14"/>
        <v>0.48058439061899266</v>
      </c>
      <c r="AU19" s="867">
        <v>0.68</v>
      </c>
      <c r="AV19" s="868">
        <v>0.27700000000000002</v>
      </c>
      <c r="AW19" s="851">
        <f t="shared" si="15"/>
        <v>0.40735294117647058</v>
      </c>
      <c r="AX19" s="869">
        <f>(M19+P19+S19+V19+Y19+AB19+AG19+AJ19+AM19+AP19+AS19+AV19)/12</f>
        <v>0.36596644880174289</v>
      </c>
      <c r="AY19" s="73">
        <f t="shared" si="18"/>
        <v>0.53818595412021009</v>
      </c>
    </row>
    <row r="20" spans="1:51" s="22" customFormat="1" ht="102" customHeight="1" thickTop="1" thickBot="1">
      <c r="A20" s="2944"/>
      <c r="B20" s="3007"/>
      <c r="C20" s="25" t="s">
        <v>434</v>
      </c>
      <c r="D20" s="623" t="s">
        <v>435</v>
      </c>
      <c r="E20" s="561" t="s">
        <v>212</v>
      </c>
      <c r="F20" s="561" t="s">
        <v>24</v>
      </c>
      <c r="G20" s="625">
        <v>1</v>
      </c>
      <c r="H20" s="85"/>
      <c r="I20" s="674"/>
      <c r="J20" s="85"/>
      <c r="K20" s="561" t="s">
        <v>140</v>
      </c>
      <c r="L20" s="123">
        <v>0</v>
      </c>
      <c r="M20" s="120"/>
      <c r="N20" s="73" t="e">
        <f t="shared" si="3"/>
        <v>#DIV/0!</v>
      </c>
      <c r="O20" s="123">
        <v>0</v>
      </c>
      <c r="P20" s="120"/>
      <c r="Q20" s="73" t="e">
        <f t="shared" si="4"/>
        <v>#DIV/0!</v>
      </c>
      <c r="R20" s="123">
        <v>1</v>
      </c>
      <c r="S20" s="120">
        <v>1</v>
      </c>
      <c r="T20" s="73">
        <f t="shared" si="5"/>
        <v>1</v>
      </c>
      <c r="U20" s="123">
        <v>0</v>
      </c>
      <c r="V20" s="120"/>
      <c r="W20" s="73" t="e">
        <f t="shared" si="6"/>
        <v>#DIV/0!</v>
      </c>
      <c r="X20" s="123">
        <v>0</v>
      </c>
      <c r="Y20" s="120"/>
      <c r="Z20" s="73" t="e">
        <f t="shared" si="7"/>
        <v>#DIV/0!</v>
      </c>
      <c r="AA20" s="123">
        <v>0</v>
      </c>
      <c r="AB20" s="120"/>
      <c r="AC20" s="73" t="e">
        <f t="shared" si="8"/>
        <v>#DIV/0!</v>
      </c>
      <c r="AD20" s="870">
        <f>+S20</f>
        <v>1</v>
      </c>
      <c r="AE20" s="73">
        <f t="shared" si="10"/>
        <v>1</v>
      </c>
      <c r="AF20" s="123">
        <v>0</v>
      </c>
      <c r="AG20" s="120"/>
      <c r="AH20" s="73" t="e">
        <f t="shared" si="11"/>
        <v>#DIV/0!</v>
      </c>
      <c r="AI20" s="123">
        <v>0</v>
      </c>
      <c r="AJ20" s="120"/>
      <c r="AK20" s="73" t="e">
        <f t="shared" si="16"/>
        <v>#DIV/0!</v>
      </c>
      <c r="AL20" s="123">
        <v>0</v>
      </c>
      <c r="AM20" s="120"/>
      <c r="AN20" s="73" t="e">
        <f t="shared" si="12"/>
        <v>#DIV/0!</v>
      </c>
      <c r="AO20" s="123">
        <v>0</v>
      </c>
      <c r="AP20" s="120"/>
      <c r="AQ20" s="73" t="e">
        <f t="shared" si="13"/>
        <v>#DIV/0!</v>
      </c>
      <c r="AR20" s="123">
        <v>0</v>
      </c>
      <c r="AS20" s="120"/>
      <c r="AT20" s="73" t="e">
        <f t="shared" si="14"/>
        <v>#DIV/0!</v>
      </c>
      <c r="AU20" s="123">
        <v>0</v>
      </c>
      <c r="AV20" s="120"/>
      <c r="AW20" s="73" t="e">
        <f t="shared" si="15"/>
        <v>#DIV/0!</v>
      </c>
      <c r="AX20" s="123">
        <f>S20</f>
        <v>1</v>
      </c>
      <c r="AY20" s="73">
        <f t="shared" si="18"/>
        <v>1</v>
      </c>
    </row>
    <row r="21" spans="1:51" s="22" customFormat="1" ht="131.25" customHeight="1" thickTop="1" thickBot="1">
      <c r="A21" s="2944"/>
      <c r="B21" s="3007"/>
      <c r="C21" s="561" t="s">
        <v>436</v>
      </c>
      <c r="D21" s="627" t="s">
        <v>214</v>
      </c>
      <c r="E21" s="25" t="s">
        <v>215</v>
      </c>
      <c r="F21" s="25" t="s">
        <v>24</v>
      </c>
      <c r="G21" s="665">
        <v>2</v>
      </c>
      <c r="H21" s="98"/>
      <c r="I21" s="671"/>
      <c r="J21" s="98"/>
      <c r="K21" s="25" t="s">
        <v>140</v>
      </c>
      <c r="L21" s="857">
        <v>0</v>
      </c>
      <c r="M21" s="496"/>
      <c r="N21" s="73" t="e">
        <f t="shared" si="3"/>
        <v>#DIV/0!</v>
      </c>
      <c r="O21" s="857">
        <v>0</v>
      </c>
      <c r="P21" s="496"/>
      <c r="Q21" s="73" t="e">
        <f t="shared" si="4"/>
        <v>#DIV/0!</v>
      </c>
      <c r="R21" s="857">
        <v>0</v>
      </c>
      <c r="S21" s="496"/>
      <c r="T21" s="73" t="e">
        <f t="shared" si="5"/>
        <v>#DIV/0!</v>
      </c>
      <c r="U21" s="857">
        <v>0</v>
      </c>
      <c r="V21" s="496"/>
      <c r="W21" s="73" t="e">
        <f t="shared" si="6"/>
        <v>#DIV/0!</v>
      </c>
      <c r="X21" s="857">
        <v>1</v>
      </c>
      <c r="Y21" s="496">
        <v>1</v>
      </c>
      <c r="Z21" s="73">
        <f t="shared" si="7"/>
        <v>1</v>
      </c>
      <c r="AA21" s="857">
        <v>0</v>
      </c>
      <c r="AB21" s="496"/>
      <c r="AC21" s="73" t="e">
        <f t="shared" si="8"/>
        <v>#DIV/0!</v>
      </c>
      <c r="AD21" s="782">
        <f>Y21</f>
        <v>1</v>
      </c>
      <c r="AE21" s="73">
        <f t="shared" si="10"/>
        <v>0.5</v>
      </c>
      <c r="AF21" s="857">
        <v>0</v>
      </c>
      <c r="AG21" s="496"/>
      <c r="AH21" s="73" t="e">
        <f t="shared" si="11"/>
        <v>#DIV/0!</v>
      </c>
      <c r="AI21" s="857">
        <v>1</v>
      </c>
      <c r="AJ21" s="496">
        <v>1</v>
      </c>
      <c r="AK21" s="73">
        <f t="shared" si="16"/>
        <v>1</v>
      </c>
      <c r="AL21" s="857">
        <v>0</v>
      </c>
      <c r="AM21" s="496"/>
      <c r="AN21" s="73" t="e">
        <f t="shared" si="12"/>
        <v>#DIV/0!</v>
      </c>
      <c r="AO21" s="857">
        <v>0</v>
      </c>
      <c r="AP21" s="496"/>
      <c r="AQ21" s="73" t="e">
        <f t="shared" si="13"/>
        <v>#DIV/0!</v>
      </c>
      <c r="AR21" s="857">
        <v>0</v>
      </c>
      <c r="AS21" s="496"/>
      <c r="AT21" s="73" t="e">
        <f t="shared" si="14"/>
        <v>#DIV/0!</v>
      </c>
      <c r="AU21" s="857">
        <v>0</v>
      </c>
      <c r="AV21" s="496"/>
      <c r="AW21" s="73" t="e">
        <f t="shared" si="15"/>
        <v>#DIV/0!</v>
      </c>
      <c r="AX21" s="857">
        <f>Y21+AJ21</f>
        <v>2</v>
      </c>
      <c r="AY21" s="73">
        <f t="shared" si="18"/>
        <v>1</v>
      </c>
    </row>
    <row r="22" spans="1:51" s="22" customFormat="1" ht="76.5" customHeight="1" thickTop="1" thickBot="1">
      <c r="A22" s="2944"/>
      <c r="B22" s="3007"/>
      <c r="C22" s="2854" t="s">
        <v>437</v>
      </c>
      <c r="D22" s="623" t="s">
        <v>120</v>
      </c>
      <c r="E22" s="561" t="s">
        <v>218</v>
      </c>
      <c r="F22" s="561" t="s">
        <v>10</v>
      </c>
      <c r="G22" s="653">
        <v>0.64100000000000001</v>
      </c>
      <c r="H22" s="85"/>
      <c r="I22" s="674"/>
      <c r="J22" s="85"/>
      <c r="K22" s="561" t="s">
        <v>7</v>
      </c>
      <c r="L22" s="871">
        <v>0</v>
      </c>
      <c r="M22" s="145"/>
      <c r="N22" s="73" t="e">
        <f t="shared" si="3"/>
        <v>#DIV/0!</v>
      </c>
      <c r="O22" s="871">
        <v>0</v>
      </c>
      <c r="P22" s="145"/>
      <c r="Q22" s="73" t="e">
        <f t="shared" si="4"/>
        <v>#DIV/0!</v>
      </c>
      <c r="R22" s="871">
        <v>0</v>
      </c>
      <c r="S22" s="145"/>
      <c r="T22" s="73" t="e">
        <f t="shared" si="5"/>
        <v>#DIV/0!</v>
      </c>
      <c r="U22" s="871">
        <v>0</v>
      </c>
      <c r="V22" s="145">
        <v>1</v>
      </c>
      <c r="W22" s="73" t="e">
        <f t="shared" si="6"/>
        <v>#DIV/0!</v>
      </c>
      <c r="X22" s="871">
        <v>0</v>
      </c>
      <c r="Y22" s="145"/>
      <c r="Z22" s="73" t="e">
        <f t="shared" si="7"/>
        <v>#DIV/0!</v>
      </c>
      <c r="AA22" s="871">
        <v>0</v>
      </c>
      <c r="AB22" s="145"/>
      <c r="AC22" s="73" t="e">
        <f t="shared" si="8"/>
        <v>#DIV/0!</v>
      </c>
      <c r="AD22" s="597">
        <f t="shared" ref="AD22" si="20">+M22+P22+S22+V22+Y22+AB22</f>
        <v>1</v>
      </c>
      <c r="AE22" s="73">
        <f t="shared" si="10"/>
        <v>1.5600624024960998</v>
      </c>
      <c r="AF22" s="871">
        <v>0</v>
      </c>
      <c r="AG22" s="145"/>
      <c r="AH22" s="73" t="e">
        <f t="shared" si="11"/>
        <v>#DIV/0!</v>
      </c>
      <c r="AI22" s="871">
        <v>0</v>
      </c>
      <c r="AJ22" s="145">
        <v>0.71</v>
      </c>
      <c r="AK22" s="73" t="e">
        <f t="shared" si="16"/>
        <v>#DIV/0!</v>
      </c>
      <c r="AL22" s="871">
        <v>0</v>
      </c>
      <c r="AM22" s="145"/>
      <c r="AN22" s="73" t="e">
        <f t="shared" si="12"/>
        <v>#DIV/0!</v>
      </c>
      <c r="AO22" s="871">
        <v>0</v>
      </c>
      <c r="AP22" s="145"/>
      <c r="AQ22" s="73" t="e">
        <f t="shared" si="13"/>
        <v>#DIV/0!</v>
      </c>
      <c r="AR22" s="871">
        <v>0</v>
      </c>
      <c r="AS22" s="145"/>
      <c r="AT22" s="73">
        <v>0.75</v>
      </c>
      <c r="AU22" s="871">
        <v>0.64100000000000001</v>
      </c>
      <c r="AV22" s="145">
        <v>1</v>
      </c>
      <c r="AW22" s="73">
        <v>1</v>
      </c>
      <c r="AX22" s="871">
        <f>+AV22</f>
        <v>1</v>
      </c>
      <c r="AY22" s="73">
        <f t="shared" si="18"/>
        <v>1.5600624024960998</v>
      </c>
    </row>
    <row r="23" spans="1:51" s="22" customFormat="1" ht="71.25" customHeight="1" thickTop="1" thickBot="1">
      <c r="A23" s="2944"/>
      <c r="B23" s="3007"/>
      <c r="C23" s="2855"/>
      <c r="D23" s="627" t="s">
        <v>122</v>
      </c>
      <c r="E23" s="25" t="s">
        <v>123</v>
      </c>
      <c r="F23" s="25" t="s">
        <v>10</v>
      </c>
      <c r="G23" s="591">
        <v>1</v>
      </c>
      <c r="H23" s="98"/>
      <c r="I23" s="671"/>
      <c r="J23" s="98"/>
      <c r="K23" s="25" t="s">
        <v>7</v>
      </c>
      <c r="L23" s="869">
        <v>0</v>
      </c>
      <c r="M23" s="527"/>
      <c r="N23" s="73" t="e">
        <f t="shared" si="3"/>
        <v>#DIV/0!</v>
      </c>
      <c r="O23" s="869">
        <v>0</v>
      </c>
      <c r="P23" s="527"/>
      <c r="Q23" s="73" t="e">
        <f t="shared" si="4"/>
        <v>#DIV/0!</v>
      </c>
      <c r="R23" s="869">
        <v>0</v>
      </c>
      <c r="S23" s="527"/>
      <c r="T23" s="73" t="e">
        <f t="shared" si="5"/>
        <v>#DIV/0!</v>
      </c>
      <c r="U23" s="869">
        <v>1</v>
      </c>
      <c r="V23" s="527">
        <v>1</v>
      </c>
      <c r="W23" s="73"/>
      <c r="X23" s="869"/>
      <c r="Y23" s="527"/>
      <c r="Z23" s="73" t="e">
        <f t="shared" si="7"/>
        <v>#DIV/0!</v>
      </c>
      <c r="AA23" s="869">
        <v>0</v>
      </c>
      <c r="AB23" s="527"/>
      <c r="AC23" s="73" t="e">
        <f t="shared" si="8"/>
        <v>#DIV/0!</v>
      </c>
      <c r="AD23" s="596">
        <f>+V23</f>
        <v>1</v>
      </c>
      <c r="AE23" s="73">
        <f t="shared" si="10"/>
        <v>1</v>
      </c>
      <c r="AF23" s="869">
        <v>0</v>
      </c>
      <c r="AG23" s="527"/>
      <c r="AH23" s="73" t="e">
        <f t="shared" si="11"/>
        <v>#DIV/0!</v>
      </c>
      <c r="AI23" s="869">
        <v>0</v>
      </c>
      <c r="AJ23" s="527"/>
      <c r="AK23" s="73" t="e">
        <f t="shared" si="16"/>
        <v>#DIV/0!</v>
      </c>
      <c r="AL23" s="869">
        <v>0</v>
      </c>
      <c r="AM23" s="527"/>
      <c r="AN23" s="73" t="e">
        <f t="shared" si="12"/>
        <v>#DIV/0!</v>
      </c>
      <c r="AO23" s="869">
        <v>1</v>
      </c>
      <c r="AP23" s="527">
        <v>1</v>
      </c>
      <c r="AQ23" s="73">
        <f t="shared" si="13"/>
        <v>1</v>
      </c>
      <c r="AR23" s="869">
        <v>0</v>
      </c>
      <c r="AS23" s="527"/>
      <c r="AT23" s="73" t="e">
        <f t="shared" ref="AT23:AT28" si="21">+AS23/AR23</f>
        <v>#DIV/0!</v>
      </c>
      <c r="AU23" s="869">
        <v>0</v>
      </c>
      <c r="AV23" s="527"/>
      <c r="AW23" s="73" t="e">
        <f t="shared" ref="AW23:AW28" si="22">+AV23/AU23</f>
        <v>#DIV/0!</v>
      </c>
      <c r="AX23" s="869">
        <f>+(AP23+V23)/2</f>
        <v>1</v>
      </c>
      <c r="AY23" s="73">
        <f t="shared" si="18"/>
        <v>1</v>
      </c>
    </row>
    <row r="24" spans="1:51" s="22" customFormat="1" ht="84" customHeight="1" thickTop="1" thickBot="1">
      <c r="A24" s="2944"/>
      <c r="B24" s="3007"/>
      <c r="C24" s="2855"/>
      <c r="D24" s="623" t="s">
        <v>124</v>
      </c>
      <c r="E24" s="561" t="s">
        <v>176</v>
      </c>
      <c r="F24" s="561" t="s">
        <v>10</v>
      </c>
      <c r="G24" s="872">
        <v>1</v>
      </c>
      <c r="H24" s="85"/>
      <c r="I24" s="674"/>
      <c r="J24" s="85"/>
      <c r="K24" s="561" t="s">
        <v>7</v>
      </c>
      <c r="L24" s="871">
        <v>0</v>
      </c>
      <c r="M24" s="145"/>
      <c r="N24" s="73" t="e">
        <f t="shared" si="3"/>
        <v>#DIV/0!</v>
      </c>
      <c r="O24" s="871">
        <v>0</v>
      </c>
      <c r="P24" s="145"/>
      <c r="Q24" s="73" t="e">
        <f t="shared" si="4"/>
        <v>#DIV/0!</v>
      </c>
      <c r="R24" s="871">
        <v>1</v>
      </c>
      <c r="S24" s="145">
        <v>1</v>
      </c>
      <c r="T24" s="73">
        <f t="shared" si="5"/>
        <v>1</v>
      </c>
      <c r="U24" s="871">
        <v>0</v>
      </c>
      <c r="V24" s="145"/>
      <c r="W24" s="73" t="e">
        <f t="shared" ref="W24:W28" si="23">+V24/U24</f>
        <v>#DIV/0!</v>
      </c>
      <c r="X24" s="871">
        <v>0</v>
      </c>
      <c r="Y24" s="145"/>
      <c r="Z24" s="73" t="e">
        <f t="shared" si="7"/>
        <v>#DIV/0!</v>
      </c>
      <c r="AA24" s="871">
        <v>1</v>
      </c>
      <c r="AB24" s="145">
        <v>1</v>
      </c>
      <c r="AC24" s="73">
        <f t="shared" si="8"/>
        <v>1</v>
      </c>
      <c r="AD24" s="597">
        <f>(S24+AB24)/2</f>
        <v>1</v>
      </c>
      <c r="AE24" s="73">
        <f t="shared" si="10"/>
        <v>1</v>
      </c>
      <c r="AF24" s="871">
        <v>0</v>
      </c>
      <c r="AG24" s="145"/>
      <c r="AH24" s="73" t="e">
        <f t="shared" si="11"/>
        <v>#DIV/0!</v>
      </c>
      <c r="AI24" s="871">
        <v>0</v>
      </c>
      <c r="AJ24" s="145"/>
      <c r="AK24" s="73" t="e">
        <f t="shared" si="16"/>
        <v>#DIV/0!</v>
      </c>
      <c r="AL24" s="871">
        <v>1</v>
      </c>
      <c r="AM24" s="145">
        <v>1</v>
      </c>
      <c r="AN24" s="73">
        <f t="shared" si="12"/>
        <v>1</v>
      </c>
      <c r="AO24" s="871">
        <v>0</v>
      </c>
      <c r="AP24" s="145"/>
      <c r="AQ24" s="73" t="e">
        <f t="shared" si="13"/>
        <v>#DIV/0!</v>
      </c>
      <c r="AR24" s="871">
        <v>0</v>
      </c>
      <c r="AS24" s="145"/>
      <c r="AT24" s="73">
        <v>1</v>
      </c>
      <c r="AU24" s="871">
        <v>1</v>
      </c>
      <c r="AV24" s="145">
        <v>1</v>
      </c>
      <c r="AW24" s="73">
        <v>1</v>
      </c>
      <c r="AX24" s="871">
        <f>+(AV24+AM24+AB24+S24)/4</f>
        <v>1</v>
      </c>
      <c r="AY24" s="73">
        <f t="shared" si="18"/>
        <v>1</v>
      </c>
    </row>
    <row r="25" spans="1:51" s="22" customFormat="1" ht="54.75" customHeight="1" thickTop="1" thickBot="1">
      <c r="A25" s="2944"/>
      <c r="B25" s="3007"/>
      <c r="C25" s="2855"/>
      <c r="D25" s="627" t="s">
        <v>438</v>
      </c>
      <c r="E25" s="25" t="s">
        <v>439</v>
      </c>
      <c r="F25" s="25" t="s">
        <v>10</v>
      </c>
      <c r="G25" s="591">
        <v>0.4</v>
      </c>
      <c r="H25" s="98"/>
      <c r="I25" s="671"/>
      <c r="J25" s="98"/>
      <c r="K25" s="25" t="s">
        <v>7</v>
      </c>
      <c r="L25" s="869">
        <v>0.4</v>
      </c>
      <c r="M25" s="527">
        <v>0.4</v>
      </c>
      <c r="N25" s="73">
        <f t="shared" si="3"/>
        <v>1</v>
      </c>
      <c r="O25" s="869">
        <v>0.4</v>
      </c>
      <c r="P25" s="527">
        <v>0.4</v>
      </c>
      <c r="Q25" s="73">
        <f t="shared" si="4"/>
        <v>1</v>
      </c>
      <c r="R25" s="869">
        <v>0.4</v>
      </c>
      <c r="S25" s="527">
        <v>0.4</v>
      </c>
      <c r="T25" s="73">
        <f t="shared" si="5"/>
        <v>1</v>
      </c>
      <c r="U25" s="869">
        <v>0.4</v>
      </c>
      <c r="V25" s="527">
        <v>0.4</v>
      </c>
      <c r="W25" s="73">
        <f t="shared" si="23"/>
        <v>1</v>
      </c>
      <c r="X25" s="869">
        <v>0.4</v>
      </c>
      <c r="Y25" s="527">
        <v>0.4</v>
      </c>
      <c r="Z25" s="73">
        <f t="shared" si="7"/>
        <v>1</v>
      </c>
      <c r="AA25" s="869">
        <v>0.4</v>
      </c>
      <c r="AB25" s="527">
        <v>0.4</v>
      </c>
      <c r="AC25" s="73">
        <f t="shared" si="8"/>
        <v>1</v>
      </c>
      <c r="AD25" s="596">
        <f>(M25+P25+S25+V25+Y25+AB25)/6</f>
        <v>0.39999999999999997</v>
      </c>
      <c r="AE25" s="73">
        <f t="shared" si="10"/>
        <v>0.99999999999999989</v>
      </c>
      <c r="AF25" s="869">
        <v>0.4</v>
      </c>
      <c r="AG25" s="527">
        <v>0.4</v>
      </c>
      <c r="AH25" s="73">
        <f t="shared" si="11"/>
        <v>1</v>
      </c>
      <c r="AI25" s="869">
        <v>0.4</v>
      </c>
      <c r="AJ25" s="527">
        <v>0.4</v>
      </c>
      <c r="AK25" s="73">
        <f t="shared" si="16"/>
        <v>1</v>
      </c>
      <c r="AL25" s="869">
        <v>0.4</v>
      </c>
      <c r="AM25" s="527">
        <v>0.4</v>
      </c>
      <c r="AN25" s="73">
        <f t="shared" si="12"/>
        <v>1</v>
      </c>
      <c r="AO25" s="869">
        <v>0.4</v>
      </c>
      <c r="AP25" s="527">
        <v>0.4</v>
      </c>
      <c r="AQ25" s="73">
        <f t="shared" si="13"/>
        <v>1</v>
      </c>
      <c r="AR25" s="869">
        <v>0.4</v>
      </c>
      <c r="AS25" s="527"/>
      <c r="AT25" s="73">
        <v>1</v>
      </c>
      <c r="AU25" s="869">
        <v>0.4</v>
      </c>
      <c r="AV25" s="527">
        <v>0.4</v>
      </c>
      <c r="AW25" s="73">
        <v>1</v>
      </c>
      <c r="AX25" s="869">
        <f>(M25+P25+S25+V25+Y25+AB25+AG25+AJ25+AM25+AP25+AS25+AV25)/12</f>
        <v>0.36666666666666664</v>
      </c>
      <c r="AY25" s="73">
        <f t="shared" si="18"/>
        <v>0.91666666666666652</v>
      </c>
    </row>
    <row r="26" spans="1:51" s="22" customFormat="1" ht="72.75" customHeight="1" thickTop="1" thickBot="1">
      <c r="A26" s="2944"/>
      <c r="B26" s="3007"/>
      <c r="C26" s="2855"/>
      <c r="D26" s="623" t="s">
        <v>128</v>
      </c>
      <c r="E26" s="561" t="s">
        <v>220</v>
      </c>
      <c r="F26" s="561" t="s">
        <v>10</v>
      </c>
      <c r="G26" s="872">
        <v>1</v>
      </c>
      <c r="H26" s="85"/>
      <c r="I26" s="674"/>
      <c r="J26" s="85"/>
      <c r="K26" s="561" t="s">
        <v>7</v>
      </c>
      <c r="L26" s="873">
        <v>1</v>
      </c>
      <c r="M26" s="873">
        <v>1</v>
      </c>
      <c r="N26" s="73">
        <f t="shared" si="3"/>
        <v>1</v>
      </c>
      <c r="O26" s="873">
        <v>1</v>
      </c>
      <c r="P26" s="873">
        <v>1</v>
      </c>
      <c r="Q26" s="73">
        <f t="shared" si="4"/>
        <v>1</v>
      </c>
      <c r="R26" s="873">
        <v>1</v>
      </c>
      <c r="S26" s="873">
        <v>1</v>
      </c>
      <c r="T26" s="73">
        <f t="shared" si="5"/>
        <v>1</v>
      </c>
      <c r="U26" s="873">
        <v>1</v>
      </c>
      <c r="V26" s="873">
        <v>1</v>
      </c>
      <c r="W26" s="73">
        <f t="shared" si="23"/>
        <v>1</v>
      </c>
      <c r="X26" s="873">
        <v>1</v>
      </c>
      <c r="Y26" s="873">
        <v>1</v>
      </c>
      <c r="Z26" s="73">
        <f t="shared" si="7"/>
        <v>1</v>
      </c>
      <c r="AA26" s="873">
        <v>1</v>
      </c>
      <c r="AB26" s="873">
        <v>1</v>
      </c>
      <c r="AC26" s="73">
        <f t="shared" si="8"/>
        <v>1</v>
      </c>
      <c r="AD26" s="92">
        <f>(M26+P26+S26+V26+Y26+AB26)/6</f>
        <v>1</v>
      </c>
      <c r="AE26" s="73">
        <f t="shared" si="10"/>
        <v>1</v>
      </c>
      <c r="AF26" s="873">
        <v>1</v>
      </c>
      <c r="AG26" s="873">
        <v>1</v>
      </c>
      <c r="AH26" s="73">
        <f t="shared" si="11"/>
        <v>1</v>
      </c>
      <c r="AI26" s="873">
        <v>1</v>
      </c>
      <c r="AJ26" s="873">
        <v>1</v>
      </c>
      <c r="AK26" s="73">
        <f t="shared" si="16"/>
        <v>1</v>
      </c>
      <c r="AL26" s="873">
        <v>1</v>
      </c>
      <c r="AM26" s="873">
        <v>1</v>
      </c>
      <c r="AN26" s="73">
        <f t="shared" si="12"/>
        <v>1</v>
      </c>
      <c r="AO26" s="873">
        <v>1</v>
      </c>
      <c r="AP26" s="873">
        <v>1</v>
      </c>
      <c r="AQ26" s="73">
        <f t="shared" si="13"/>
        <v>1</v>
      </c>
      <c r="AR26" s="873">
        <v>1</v>
      </c>
      <c r="AS26" s="873"/>
      <c r="AT26" s="73">
        <v>1</v>
      </c>
      <c r="AU26" s="873">
        <v>1</v>
      </c>
      <c r="AV26" s="873">
        <v>1</v>
      </c>
      <c r="AW26" s="73">
        <v>1</v>
      </c>
      <c r="AX26" s="873">
        <f>(M26+P26+S26+V26+Y26+AB26+AG26+AJ26+AM26+AP26+AS26+AV26)/12</f>
        <v>0.91666666666666663</v>
      </c>
      <c r="AY26" s="73">
        <f t="shared" si="18"/>
        <v>0.91666666666666663</v>
      </c>
    </row>
    <row r="27" spans="1:51" s="22" customFormat="1" ht="75" customHeight="1" thickTop="1" thickBot="1">
      <c r="A27" s="2944"/>
      <c r="B27" s="3007"/>
      <c r="C27" s="2855"/>
      <c r="D27" s="627" t="s">
        <v>179</v>
      </c>
      <c r="E27" s="25" t="s">
        <v>131</v>
      </c>
      <c r="F27" s="25" t="s">
        <v>10</v>
      </c>
      <c r="G27" s="591">
        <v>1</v>
      </c>
      <c r="H27" s="98"/>
      <c r="I27" s="671"/>
      <c r="J27" s="98"/>
      <c r="K27" s="25" t="s">
        <v>7</v>
      </c>
      <c r="L27" s="647">
        <v>1</v>
      </c>
      <c r="M27" s="647">
        <v>1</v>
      </c>
      <c r="N27" s="73">
        <f t="shared" si="3"/>
        <v>1</v>
      </c>
      <c r="O27" s="647">
        <v>1</v>
      </c>
      <c r="P27" s="647">
        <v>1</v>
      </c>
      <c r="Q27" s="73">
        <f t="shared" si="4"/>
        <v>1</v>
      </c>
      <c r="R27" s="647">
        <v>1</v>
      </c>
      <c r="S27" s="647">
        <v>1</v>
      </c>
      <c r="T27" s="73">
        <f t="shared" si="5"/>
        <v>1</v>
      </c>
      <c r="U27" s="647">
        <v>1</v>
      </c>
      <c r="V27" s="647">
        <v>1</v>
      </c>
      <c r="W27" s="73">
        <f t="shared" si="23"/>
        <v>1</v>
      </c>
      <c r="X27" s="647">
        <v>1</v>
      </c>
      <c r="Y27" s="647">
        <v>1</v>
      </c>
      <c r="Z27" s="73">
        <f t="shared" si="7"/>
        <v>1</v>
      </c>
      <c r="AA27" s="647">
        <v>1</v>
      </c>
      <c r="AB27" s="647">
        <v>1</v>
      </c>
      <c r="AC27" s="73">
        <f t="shared" si="8"/>
        <v>1</v>
      </c>
      <c r="AD27" s="83">
        <f>(M27+P27+S27+V27+Y27+AB27)/6</f>
        <v>1</v>
      </c>
      <c r="AE27" s="73">
        <f t="shared" si="10"/>
        <v>1</v>
      </c>
      <c r="AF27" s="647">
        <v>1</v>
      </c>
      <c r="AG27" s="647">
        <v>1</v>
      </c>
      <c r="AH27" s="73">
        <f t="shared" si="11"/>
        <v>1</v>
      </c>
      <c r="AI27" s="647">
        <v>1</v>
      </c>
      <c r="AJ27" s="647">
        <v>1</v>
      </c>
      <c r="AK27" s="73">
        <f t="shared" si="16"/>
        <v>1</v>
      </c>
      <c r="AL27" s="647">
        <v>1</v>
      </c>
      <c r="AM27" s="647">
        <v>1</v>
      </c>
      <c r="AN27" s="73">
        <f t="shared" si="12"/>
        <v>1</v>
      </c>
      <c r="AO27" s="647">
        <v>1</v>
      </c>
      <c r="AP27" s="647">
        <v>1</v>
      </c>
      <c r="AQ27" s="73">
        <f t="shared" si="13"/>
        <v>1</v>
      </c>
      <c r="AR27" s="647">
        <v>1</v>
      </c>
      <c r="AS27" s="647"/>
      <c r="AT27" s="73">
        <v>1</v>
      </c>
      <c r="AU27" s="647">
        <v>1</v>
      </c>
      <c r="AV27" s="647">
        <v>1</v>
      </c>
      <c r="AW27" s="73">
        <v>1</v>
      </c>
      <c r="AX27" s="647">
        <f>(M27+P27+S27+V27+Y27+AB27+AG27+AJ27+AM27+AP27+AS27+AV27)/12</f>
        <v>0.91666666666666663</v>
      </c>
      <c r="AY27" s="73">
        <f t="shared" si="18"/>
        <v>0.91666666666666663</v>
      </c>
    </row>
    <row r="28" spans="1:51" s="22" customFormat="1" ht="80.25" customHeight="1" thickTop="1" thickBot="1">
      <c r="A28" s="2944"/>
      <c r="B28" s="3007"/>
      <c r="C28" s="2856"/>
      <c r="D28" s="623" t="s">
        <v>440</v>
      </c>
      <c r="E28" s="561" t="s">
        <v>133</v>
      </c>
      <c r="F28" s="561" t="s">
        <v>10</v>
      </c>
      <c r="G28" s="872">
        <v>1</v>
      </c>
      <c r="H28" s="85"/>
      <c r="I28" s="674"/>
      <c r="J28" s="85"/>
      <c r="K28" s="561" t="s">
        <v>7</v>
      </c>
      <c r="L28" s="873">
        <v>0</v>
      </c>
      <c r="M28" s="873"/>
      <c r="N28" s="73" t="e">
        <f t="shared" si="3"/>
        <v>#DIV/0!</v>
      </c>
      <c r="O28" s="873">
        <v>0</v>
      </c>
      <c r="P28" s="873"/>
      <c r="Q28" s="73" t="e">
        <f t="shared" si="4"/>
        <v>#DIV/0!</v>
      </c>
      <c r="R28" s="873">
        <v>0</v>
      </c>
      <c r="S28" s="873"/>
      <c r="T28" s="73" t="e">
        <f t="shared" si="5"/>
        <v>#DIV/0!</v>
      </c>
      <c r="U28" s="873">
        <v>0</v>
      </c>
      <c r="V28" s="873"/>
      <c r="W28" s="73" t="e">
        <f t="shared" si="23"/>
        <v>#DIV/0!</v>
      </c>
      <c r="X28" s="873">
        <v>0</v>
      </c>
      <c r="Y28" s="873"/>
      <c r="Z28" s="73" t="e">
        <f t="shared" si="7"/>
        <v>#DIV/0!</v>
      </c>
      <c r="AA28" s="873">
        <v>0</v>
      </c>
      <c r="AB28" s="873"/>
      <c r="AC28" s="73" t="e">
        <f t="shared" si="8"/>
        <v>#DIV/0!</v>
      </c>
      <c r="AD28" s="92">
        <f t="shared" ref="AD28" si="24">+M28+P28+S28+V28+Y28+AB28</f>
        <v>0</v>
      </c>
      <c r="AE28" s="73">
        <f t="shared" si="10"/>
        <v>0</v>
      </c>
      <c r="AF28" s="873">
        <v>0</v>
      </c>
      <c r="AG28" s="873"/>
      <c r="AH28" s="73" t="e">
        <f t="shared" si="11"/>
        <v>#DIV/0!</v>
      </c>
      <c r="AI28" s="873">
        <v>1</v>
      </c>
      <c r="AJ28" s="873">
        <v>1</v>
      </c>
      <c r="AK28" s="73">
        <f t="shared" si="16"/>
        <v>1</v>
      </c>
      <c r="AL28" s="873">
        <v>0</v>
      </c>
      <c r="AM28" s="873"/>
      <c r="AN28" s="73" t="e">
        <f t="shared" si="12"/>
        <v>#DIV/0!</v>
      </c>
      <c r="AO28" s="873">
        <v>0</v>
      </c>
      <c r="AP28" s="873"/>
      <c r="AQ28" s="73" t="e">
        <f t="shared" si="13"/>
        <v>#DIV/0!</v>
      </c>
      <c r="AR28" s="873">
        <v>0</v>
      </c>
      <c r="AS28" s="873"/>
      <c r="AT28" s="73" t="e">
        <f t="shared" si="21"/>
        <v>#DIV/0!</v>
      </c>
      <c r="AU28" s="873">
        <v>0</v>
      </c>
      <c r="AV28" s="873"/>
      <c r="AW28" s="73" t="e">
        <f t="shared" si="22"/>
        <v>#DIV/0!</v>
      </c>
      <c r="AX28" s="873">
        <f>AJ28</f>
        <v>1</v>
      </c>
      <c r="AY28" s="73">
        <f t="shared" si="18"/>
        <v>1</v>
      </c>
    </row>
    <row r="29" spans="1:51" s="22" customFormat="1" ht="49.5" customHeight="1" thickTop="1" thickBot="1">
      <c r="A29" s="2944"/>
      <c r="B29" s="3007"/>
      <c r="C29" s="25" t="s">
        <v>134</v>
      </c>
      <c r="D29" s="627" t="s">
        <v>417</v>
      </c>
      <c r="E29" s="25" t="s">
        <v>22</v>
      </c>
      <c r="F29" s="25" t="s">
        <v>300</v>
      </c>
      <c r="G29" s="591" t="s">
        <v>136</v>
      </c>
      <c r="H29" s="98"/>
      <c r="I29" s="671"/>
      <c r="J29" s="98"/>
      <c r="K29" s="25" t="s">
        <v>23</v>
      </c>
      <c r="L29" s="874">
        <v>0</v>
      </c>
      <c r="M29" s="874"/>
      <c r="N29" s="73" t="e">
        <f t="shared" si="3"/>
        <v>#DIV/0!</v>
      </c>
      <c r="O29" s="874">
        <v>0</v>
      </c>
      <c r="P29" s="874"/>
      <c r="Q29" s="73" t="e">
        <f t="shared" si="4"/>
        <v>#DIV/0!</v>
      </c>
      <c r="R29" s="874">
        <v>0</v>
      </c>
      <c r="S29" s="874"/>
      <c r="T29" s="73" t="e">
        <f t="shared" si="5"/>
        <v>#DIV/0!</v>
      </c>
      <c r="U29" s="874">
        <v>0</v>
      </c>
      <c r="V29" s="874"/>
      <c r="W29" s="73" t="e">
        <f t="shared" si="6"/>
        <v>#DIV/0!</v>
      </c>
      <c r="X29" s="874">
        <v>0</v>
      </c>
      <c r="Y29" s="874"/>
      <c r="Z29" s="73" t="e">
        <f t="shared" si="7"/>
        <v>#DIV/0!</v>
      </c>
      <c r="AA29" s="874">
        <v>0</v>
      </c>
      <c r="AB29" s="874"/>
      <c r="AC29" s="73" t="e">
        <f t="shared" si="8"/>
        <v>#DIV/0!</v>
      </c>
      <c r="AD29" s="875">
        <f t="shared" si="9"/>
        <v>0</v>
      </c>
      <c r="AE29" s="73" t="e">
        <f t="shared" si="10"/>
        <v>#VALUE!</v>
      </c>
      <c r="AF29" s="874">
        <v>0</v>
      </c>
      <c r="AG29" s="874"/>
      <c r="AH29" s="73" t="e">
        <f t="shared" si="11"/>
        <v>#DIV/0!</v>
      </c>
      <c r="AI29" s="874">
        <v>0</v>
      </c>
      <c r="AJ29" s="874"/>
      <c r="AK29" s="73" t="e">
        <f t="shared" si="16"/>
        <v>#DIV/0!</v>
      </c>
      <c r="AL29" s="874">
        <v>0</v>
      </c>
      <c r="AM29" s="874"/>
      <c r="AN29" s="73" t="e">
        <f t="shared" si="12"/>
        <v>#DIV/0!</v>
      </c>
      <c r="AO29" s="874">
        <v>0</v>
      </c>
      <c r="AP29" s="874"/>
      <c r="AQ29" s="73" t="e">
        <f t="shared" si="13"/>
        <v>#DIV/0!</v>
      </c>
      <c r="AR29" s="874">
        <v>0</v>
      </c>
      <c r="AS29" s="874"/>
      <c r="AT29" s="73" t="e">
        <f t="shared" si="14"/>
        <v>#DIV/0!</v>
      </c>
      <c r="AU29" s="874">
        <v>0</v>
      </c>
      <c r="AV29" s="874"/>
      <c r="AW29" s="73" t="e">
        <f t="shared" si="15"/>
        <v>#DIV/0!</v>
      </c>
      <c r="AX29" s="874">
        <f t="shared" si="17"/>
        <v>0</v>
      </c>
      <c r="AY29" s="73"/>
    </row>
    <row r="30" spans="1:51" s="22" customFormat="1" ht="63.6" customHeight="1" thickTop="1" thickBot="1">
      <c r="A30" s="2944"/>
      <c r="B30" s="2863" t="s">
        <v>137</v>
      </c>
      <c r="C30" s="561" t="s">
        <v>420</v>
      </c>
      <c r="D30" s="623" t="s">
        <v>224</v>
      </c>
      <c r="E30" s="561" t="s">
        <v>421</v>
      </c>
      <c r="F30" s="561" t="s">
        <v>17</v>
      </c>
      <c r="G30" s="625">
        <v>906</v>
      </c>
      <c r="H30" s="85"/>
      <c r="I30" s="674"/>
      <c r="J30" s="85"/>
      <c r="K30" s="561" t="s">
        <v>226</v>
      </c>
      <c r="L30" s="876">
        <v>59</v>
      </c>
      <c r="M30" s="876">
        <v>59</v>
      </c>
      <c r="N30" s="73">
        <f t="shared" si="3"/>
        <v>1</v>
      </c>
      <c r="O30" s="876">
        <v>64</v>
      </c>
      <c r="P30" s="876">
        <v>64</v>
      </c>
      <c r="Q30" s="73">
        <f t="shared" si="4"/>
        <v>1</v>
      </c>
      <c r="R30" s="876">
        <v>42</v>
      </c>
      <c r="S30" s="876">
        <v>42</v>
      </c>
      <c r="T30" s="73">
        <f t="shared" si="5"/>
        <v>1</v>
      </c>
      <c r="U30" s="876">
        <v>24</v>
      </c>
      <c r="V30" s="876">
        <v>24</v>
      </c>
      <c r="W30" s="73">
        <f t="shared" si="6"/>
        <v>1</v>
      </c>
      <c r="X30" s="876">
        <v>65</v>
      </c>
      <c r="Y30" s="876">
        <v>65</v>
      </c>
      <c r="Z30" s="73">
        <f t="shared" si="7"/>
        <v>1</v>
      </c>
      <c r="AA30" s="876">
        <v>78</v>
      </c>
      <c r="AB30" s="876">
        <v>78</v>
      </c>
      <c r="AC30" s="73">
        <f t="shared" si="8"/>
        <v>1</v>
      </c>
      <c r="AD30" s="877">
        <f>+M30+P30+S30+V30+Y30+AB30</f>
        <v>332</v>
      </c>
      <c r="AE30" s="73">
        <f t="shared" si="10"/>
        <v>0.36644591611479027</v>
      </c>
      <c r="AF30" s="876">
        <v>103</v>
      </c>
      <c r="AG30" s="876">
        <v>103</v>
      </c>
      <c r="AH30" s="73">
        <f t="shared" si="11"/>
        <v>1</v>
      </c>
      <c r="AI30" s="876">
        <v>60</v>
      </c>
      <c r="AJ30" s="876">
        <v>60</v>
      </c>
      <c r="AK30" s="73">
        <f t="shared" si="16"/>
        <v>1</v>
      </c>
      <c r="AL30" s="876">
        <v>53</v>
      </c>
      <c r="AM30" s="876">
        <v>53</v>
      </c>
      <c r="AN30" s="73">
        <f t="shared" si="12"/>
        <v>1</v>
      </c>
      <c r="AO30" s="876">
        <v>97</v>
      </c>
      <c r="AP30" s="876">
        <v>97</v>
      </c>
      <c r="AQ30" s="73">
        <f t="shared" si="13"/>
        <v>1</v>
      </c>
      <c r="AR30" s="876">
        <v>161</v>
      </c>
      <c r="AS30" s="876">
        <v>161</v>
      </c>
      <c r="AT30" s="73">
        <f t="shared" si="14"/>
        <v>1</v>
      </c>
      <c r="AU30" s="876">
        <v>100</v>
      </c>
      <c r="AV30" s="876">
        <v>100</v>
      </c>
      <c r="AW30" s="73">
        <f t="shared" si="15"/>
        <v>1</v>
      </c>
      <c r="AX30" s="876">
        <f t="shared" si="17"/>
        <v>906</v>
      </c>
      <c r="AY30" s="73">
        <f t="shared" si="18"/>
        <v>1</v>
      </c>
    </row>
    <row r="31" spans="1:51" s="22" customFormat="1" ht="81" customHeight="1" thickTop="1" thickBot="1">
      <c r="A31" s="2944"/>
      <c r="B31" s="2942"/>
      <c r="C31" s="878" t="s">
        <v>441</v>
      </c>
      <c r="D31" s="627" t="s">
        <v>138</v>
      </c>
      <c r="E31" s="25" t="s">
        <v>228</v>
      </c>
      <c r="F31" s="25" t="s">
        <v>101</v>
      </c>
      <c r="G31" s="843">
        <v>28666666666.666698</v>
      </c>
      <c r="H31" s="98"/>
      <c r="I31" s="671"/>
      <c r="J31" s="98"/>
      <c r="K31" s="25" t="s">
        <v>140</v>
      </c>
      <c r="L31" s="879">
        <v>1433333333.3333337</v>
      </c>
      <c r="M31" s="879">
        <v>344557463</v>
      </c>
      <c r="N31" s="73">
        <f t="shared" si="3"/>
        <v>0.24038892767441855</v>
      </c>
      <c r="O31" s="879">
        <v>1433333333.3333337</v>
      </c>
      <c r="P31" s="879">
        <v>108431344</v>
      </c>
      <c r="Q31" s="73">
        <f t="shared" si="4"/>
        <v>7.5649774883720905E-2</v>
      </c>
      <c r="R31" s="879">
        <v>1433333333.3333337</v>
      </c>
      <c r="S31" s="879">
        <v>796749461</v>
      </c>
      <c r="T31" s="73">
        <f t="shared" si="5"/>
        <v>0.55587171697674398</v>
      </c>
      <c r="U31" s="879">
        <v>2842777777.7777781</v>
      </c>
      <c r="V31" s="879">
        <v>0</v>
      </c>
      <c r="W31" s="73">
        <f t="shared" si="6"/>
        <v>0</v>
      </c>
      <c r="X31" s="879">
        <v>2842777777.7777781</v>
      </c>
      <c r="Y31" s="879">
        <v>96736309</v>
      </c>
      <c r="Z31" s="73">
        <f t="shared" si="7"/>
        <v>3.4028797381278085E-2</v>
      </c>
      <c r="AA31" s="879">
        <v>2842777777.7777781</v>
      </c>
      <c r="AB31" s="879">
        <v>551564488</v>
      </c>
      <c r="AC31" s="73">
        <f t="shared" si="8"/>
        <v>0.19402307570842287</v>
      </c>
      <c r="AD31" s="880">
        <f t="shared" si="9"/>
        <v>1898039065</v>
      </c>
      <c r="AE31" s="73">
        <f t="shared" si="10"/>
        <v>6.6210665058139467E-2</v>
      </c>
      <c r="AF31" s="879">
        <v>2842777777.7777781</v>
      </c>
      <c r="AG31" s="879">
        <v>3644061542</v>
      </c>
      <c r="AH31" s="73">
        <f t="shared" si="11"/>
        <v>1.2818664794997068</v>
      </c>
      <c r="AI31" s="879">
        <v>2842777777.7777781</v>
      </c>
      <c r="AJ31" s="879">
        <v>651442103</v>
      </c>
      <c r="AK31" s="73">
        <f t="shared" si="16"/>
        <v>0.2291568859487981</v>
      </c>
      <c r="AL31" s="879">
        <v>2842777777.7777781</v>
      </c>
      <c r="AM31" s="879">
        <v>235478574</v>
      </c>
      <c r="AN31" s="73">
        <f t="shared" si="12"/>
        <v>8.2833971702169232E-2</v>
      </c>
      <c r="AO31" s="879">
        <v>2436666666.666667</v>
      </c>
      <c r="AP31" s="879">
        <v>1248178861</v>
      </c>
      <c r="AQ31" s="73">
        <f t="shared" si="13"/>
        <v>0.51224850656634735</v>
      </c>
      <c r="AR31" s="879">
        <v>2436666666.666667</v>
      </c>
      <c r="AS31" s="879">
        <v>639682263</v>
      </c>
      <c r="AT31" s="73">
        <f t="shared" si="14"/>
        <v>0.26252350054719559</v>
      </c>
      <c r="AU31" s="879">
        <v>2436666666.666667</v>
      </c>
      <c r="AV31" s="879">
        <v>671384617</v>
      </c>
      <c r="AW31" s="73">
        <f t="shared" si="15"/>
        <v>0.27553404254445962</v>
      </c>
      <c r="AX31" s="879">
        <f t="shared" si="17"/>
        <v>8988267025</v>
      </c>
      <c r="AY31" s="73">
        <f t="shared" si="18"/>
        <v>0.31354419854651128</v>
      </c>
    </row>
    <row r="32" spans="1:51" s="22" customFormat="1" ht="101.25" customHeight="1" thickTop="1" thickBot="1">
      <c r="A32" s="2944"/>
      <c r="B32" s="2942"/>
      <c r="C32" s="881" t="s">
        <v>442</v>
      </c>
      <c r="D32" s="623" t="s">
        <v>443</v>
      </c>
      <c r="E32" s="561" t="s">
        <v>231</v>
      </c>
      <c r="F32" s="561" t="s">
        <v>101</v>
      </c>
      <c r="G32" s="844">
        <v>1213810500</v>
      </c>
      <c r="H32" s="85"/>
      <c r="I32" s="674"/>
      <c r="J32" s="85"/>
      <c r="K32" s="561" t="s">
        <v>140</v>
      </c>
      <c r="L32" s="879">
        <v>80920700</v>
      </c>
      <c r="M32" s="879">
        <v>2287814062</v>
      </c>
      <c r="N32" s="73">
        <f t="shared" si="3"/>
        <v>28.272296977164064</v>
      </c>
      <c r="O32" s="879">
        <v>80920700</v>
      </c>
      <c r="P32" s="879">
        <v>84951161</v>
      </c>
      <c r="Q32" s="73">
        <f t="shared" si="4"/>
        <v>1.0498075399743205</v>
      </c>
      <c r="R32" s="879">
        <v>80920700</v>
      </c>
      <c r="S32" s="879">
        <v>64904257</v>
      </c>
      <c r="T32" s="73">
        <f t="shared" si="5"/>
        <v>0.80207236220151334</v>
      </c>
      <c r="U32" s="879">
        <v>121381050</v>
      </c>
      <c r="V32" s="879">
        <v>13767636</v>
      </c>
      <c r="W32" s="73">
        <f t="shared" si="6"/>
        <v>0.1134249209411189</v>
      </c>
      <c r="X32" s="879">
        <v>121381050</v>
      </c>
      <c r="Y32" s="879">
        <v>108504416</v>
      </c>
      <c r="Z32" s="73">
        <f t="shared" si="7"/>
        <v>0.89391561532875186</v>
      </c>
      <c r="AA32" s="879">
        <v>121381050</v>
      </c>
      <c r="AB32" s="879">
        <v>35403735</v>
      </c>
      <c r="AC32" s="73">
        <f t="shared" si="8"/>
        <v>0.29167431819052481</v>
      </c>
      <c r="AD32" s="880">
        <f t="shared" si="9"/>
        <v>2595345267</v>
      </c>
      <c r="AE32" s="73">
        <f t="shared" si="10"/>
        <v>2.1381799440686993</v>
      </c>
      <c r="AF32" s="879">
        <v>121381050</v>
      </c>
      <c r="AG32" s="879">
        <v>141661716</v>
      </c>
      <c r="AH32" s="73">
        <f t="shared" si="11"/>
        <v>1.1670826376934456</v>
      </c>
      <c r="AI32" s="879">
        <v>121381050</v>
      </c>
      <c r="AJ32" s="879">
        <v>59929312</v>
      </c>
      <c r="AK32" s="73">
        <f t="shared" si="16"/>
        <v>0.49372873277995205</v>
      </c>
      <c r="AL32" s="879">
        <v>121381050</v>
      </c>
      <c r="AM32" s="879">
        <v>2992539753</v>
      </c>
      <c r="AN32" s="73">
        <f t="shared" si="12"/>
        <v>24.65409347670003</v>
      </c>
      <c r="AO32" s="879">
        <v>80920700</v>
      </c>
      <c r="AP32" s="879">
        <v>3268106942</v>
      </c>
      <c r="AQ32" s="73">
        <f t="shared" si="13"/>
        <v>40.386538203451032</v>
      </c>
      <c r="AR32" s="879">
        <v>80920700</v>
      </c>
      <c r="AS32" s="879">
        <v>1637971204</v>
      </c>
      <c r="AT32" s="73">
        <f t="shared" si="14"/>
        <v>20.241683574165819</v>
      </c>
      <c r="AU32" s="879">
        <v>80920700</v>
      </c>
      <c r="AV32" s="879">
        <v>440451817</v>
      </c>
      <c r="AW32" s="73">
        <f t="shared" si="15"/>
        <v>5.4430055226907328</v>
      </c>
      <c r="AX32" s="879">
        <f t="shared" si="17"/>
        <v>11136006011</v>
      </c>
      <c r="AY32" s="73">
        <f t="shared" si="18"/>
        <v>9.1744189154732148</v>
      </c>
    </row>
    <row r="33" spans="1:53" s="22" customFormat="1" ht="63.6" customHeight="1" thickTop="1" thickBot="1">
      <c r="A33" s="2944"/>
      <c r="B33" s="2942"/>
      <c r="C33" s="2854" t="s">
        <v>444</v>
      </c>
      <c r="D33" s="627" t="s">
        <v>445</v>
      </c>
      <c r="E33" s="25" t="s">
        <v>234</v>
      </c>
      <c r="F33" s="25" t="s">
        <v>10</v>
      </c>
      <c r="G33" s="591">
        <v>0.02</v>
      </c>
      <c r="H33" s="98"/>
      <c r="I33" s="671"/>
      <c r="J33" s="98"/>
      <c r="K33" s="25" t="s">
        <v>23</v>
      </c>
      <c r="L33" s="882">
        <v>0</v>
      </c>
      <c r="M33" s="882"/>
      <c r="N33" s="73" t="e">
        <f t="shared" si="3"/>
        <v>#DIV/0!</v>
      </c>
      <c r="O33" s="882">
        <v>0</v>
      </c>
      <c r="P33" s="882"/>
      <c r="Q33" s="73" t="e">
        <f t="shared" si="4"/>
        <v>#DIV/0!</v>
      </c>
      <c r="R33" s="882">
        <v>0</v>
      </c>
      <c r="S33" s="882"/>
      <c r="T33" s="73" t="e">
        <f t="shared" si="5"/>
        <v>#DIV/0!</v>
      </c>
      <c r="U33" s="882">
        <v>0.02</v>
      </c>
      <c r="V33" s="882">
        <v>2.1052631578947399E-2</v>
      </c>
      <c r="W33" s="73">
        <f t="shared" si="6"/>
        <v>1.0526315789473699</v>
      </c>
      <c r="X33" s="882">
        <v>0.02</v>
      </c>
      <c r="Y33" s="882">
        <v>0</v>
      </c>
      <c r="Z33" s="73">
        <f t="shared" si="7"/>
        <v>0</v>
      </c>
      <c r="AA33" s="882">
        <v>0.02</v>
      </c>
      <c r="AB33" s="882">
        <v>3.2258064516128997E-2</v>
      </c>
      <c r="AC33" s="73">
        <f t="shared" si="8"/>
        <v>1.6129032258064497</v>
      </c>
      <c r="AD33" s="883">
        <f>(M33+P33+S33+V33+Y33+AB33)/6</f>
        <v>8.885116015846066E-3</v>
      </c>
      <c r="AE33" s="73">
        <f t="shared" si="10"/>
        <v>0.44425580079230331</v>
      </c>
      <c r="AF33" s="882">
        <v>0.02</v>
      </c>
      <c r="AG33" s="882">
        <v>0</v>
      </c>
      <c r="AH33" s="73">
        <f t="shared" si="11"/>
        <v>0</v>
      </c>
      <c r="AI33" s="882">
        <v>0.02</v>
      </c>
      <c r="AJ33" s="882">
        <v>0</v>
      </c>
      <c r="AK33" s="73">
        <f t="shared" si="16"/>
        <v>0</v>
      </c>
      <c r="AL33" s="882">
        <v>0.02</v>
      </c>
      <c r="AM33" s="882">
        <v>4.0650406504064998E-2</v>
      </c>
      <c r="AN33" s="73">
        <f t="shared" si="12"/>
        <v>2.03252032520325</v>
      </c>
      <c r="AO33" s="882">
        <v>0.02</v>
      </c>
      <c r="AP33" s="882">
        <v>0.12666666666666701</v>
      </c>
      <c r="AQ33" s="73">
        <f t="shared" si="13"/>
        <v>6.3333333333333508</v>
      </c>
      <c r="AR33" s="882">
        <v>0.02</v>
      </c>
      <c r="AS33" s="882">
        <v>2.6490066225165601E-2</v>
      </c>
      <c r="AT33" s="73">
        <f t="shared" si="14"/>
        <v>1.32450331125828</v>
      </c>
      <c r="AU33" s="882">
        <v>0.02</v>
      </c>
      <c r="AV33" s="882">
        <v>7.4999999999999997E-2</v>
      </c>
      <c r="AW33" s="73">
        <f t="shared" si="15"/>
        <v>3.75</v>
      </c>
      <c r="AX33" s="882">
        <f>(M33+P33+S33+V33+Y33+AB33+AG33+AJ33+AM33+AP33+AS33+AV33)/12</f>
        <v>2.6843152957581166E-2</v>
      </c>
      <c r="AY33" s="73">
        <f t="shared" si="18"/>
        <v>1.3421576478790582</v>
      </c>
    </row>
    <row r="34" spans="1:53" s="22" customFormat="1" ht="93.75" customHeight="1" thickTop="1" thickBot="1">
      <c r="A34" s="2944"/>
      <c r="B34" s="2942"/>
      <c r="C34" s="2855"/>
      <c r="D34" s="86" t="s">
        <v>236</v>
      </c>
      <c r="E34" s="81" t="s">
        <v>237</v>
      </c>
      <c r="F34" s="88" t="s">
        <v>10</v>
      </c>
      <c r="G34" s="167">
        <v>0.02</v>
      </c>
      <c r="H34" s="88"/>
      <c r="I34" s="81"/>
      <c r="J34" s="81"/>
      <c r="K34" s="87" t="s">
        <v>23</v>
      </c>
      <c r="L34" s="163">
        <v>0</v>
      </c>
      <c r="M34" s="164"/>
      <c r="N34" s="19" t="e">
        <f t="shared" si="3"/>
        <v>#DIV/0!</v>
      </c>
      <c r="O34" s="163">
        <v>0</v>
      </c>
      <c r="P34" s="164"/>
      <c r="Q34" s="19" t="e">
        <f t="shared" si="4"/>
        <v>#DIV/0!</v>
      </c>
      <c r="R34" s="163">
        <v>0</v>
      </c>
      <c r="S34" s="164"/>
      <c r="T34" s="19" t="e">
        <f t="shared" si="5"/>
        <v>#DIV/0!</v>
      </c>
      <c r="U34" s="163">
        <v>0.03</v>
      </c>
      <c r="V34" s="164">
        <v>9.4774590163934393E-3</v>
      </c>
      <c r="W34" s="19">
        <f t="shared" si="6"/>
        <v>0.31591530054644801</v>
      </c>
      <c r="X34" s="163">
        <v>0.03</v>
      </c>
      <c r="Y34" s="164">
        <v>5.2910052910052898E-3</v>
      </c>
      <c r="Z34" s="19">
        <f t="shared" si="7"/>
        <v>0.17636684303350966</v>
      </c>
      <c r="AA34" s="163">
        <v>0.03</v>
      </c>
      <c r="AB34" s="164">
        <v>1.08225108225108E-2</v>
      </c>
      <c r="AC34" s="19">
        <f t="shared" si="8"/>
        <v>0.36075036075035999</v>
      </c>
      <c r="AD34" s="165">
        <f>(V34+Y34+AB34)/3</f>
        <v>8.5303250433031771E-3</v>
      </c>
      <c r="AE34" s="19">
        <f t="shared" si="10"/>
        <v>0.42651625216515887</v>
      </c>
      <c r="AF34" s="163">
        <v>0.03</v>
      </c>
      <c r="AG34" s="164">
        <v>1.60659114315139E-2</v>
      </c>
      <c r="AH34" s="19">
        <f t="shared" si="11"/>
        <v>0.53553038105046336</v>
      </c>
      <c r="AI34" s="163">
        <v>0.03</v>
      </c>
      <c r="AJ34" s="164">
        <v>1.51721014492754E-2</v>
      </c>
      <c r="AK34" s="19">
        <f t="shared" si="16"/>
        <v>0.50573671497584671</v>
      </c>
      <c r="AL34" s="163">
        <v>0.02</v>
      </c>
      <c r="AM34" s="164">
        <v>7.3543642345655098E-3</v>
      </c>
      <c r="AN34" s="19">
        <f t="shared" si="12"/>
        <v>0.36771821172827546</v>
      </c>
      <c r="AO34" s="163">
        <v>0.02</v>
      </c>
      <c r="AP34" s="164">
        <v>4.6108704764566202E-3</v>
      </c>
      <c r="AQ34" s="19">
        <f t="shared" si="13"/>
        <v>0.230543523822831</v>
      </c>
      <c r="AR34" s="163">
        <v>0.02</v>
      </c>
      <c r="AS34" s="164">
        <v>5.3798500163025802E-3</v>
      </c>
      <c r="AT34" s="19">
        <f t="shared" si="14"/>
        <v>0.26899250081512899</v>
      </c>
      <c r="AU34" s="163">
        <v>0.02</v>
      </c>
      <c r="AV34" s="164">
        <v>1.14819350887936E-2</v>
      </c>
      <c r="AW34" s="19">
        <f t="shared" si="15"/>
        <v>0.57409675443968</v>
      </c>
      <c r="AX34" s="163">
        <f>+((AG34+AJ34)/2+(AM34+AP34+AS34+AV34)/4)</f>
        <v>2.2825761394424226E-2</v>
      </c>
      <c r="AY34" s="19">
        <f t="shared" si="18"/>
        <v>1.1412880697212113</v>
      </c>
    </row>
    <row r="35" spans="1:53" s="22" customFormat="1" ht="99" customHeight="1" thickTop="1" thickBot="1">
      <c r="A35" s="2944"/>
      <c r="B35" s="2942"/>
      <c r="C35" s="2855"/>
      <c r="D35" s="86" t="s">
        <v>238</v>
      </c>
      <c r="E35" s="81" t="s">
        <v>239</v>
      </c>
      <c r="F35" s="88" t="s">
        <v>10</v>
      </c>
      <c r="G35" s="167">
        <v>0.01</v>
      </c>
      <c r="H35" s="88"/>
      <c r="I35" s="81"/>
      <c r="J35" s="81"/>
      <c r="K35" s="87" t="s">
        <v>23</v>
      </c>
      <c r="L35" s="163">
        <v>0</v>
      </c>
      <c r="M35" s="164"/>
      <c r="N35" s="19" t="e">
        <f t="shared" si="3"/>
        <v>#DIV/0!</v>
      </c>
      <c r="O35" s="163">
        <v>0</v>
      </c>
      <c r="P35" s="164"/>
      <c r="Q35" s="19" t="e">
        <f t="shared" si="4"/>
        <v>#DIV/0!</v>
      </c>
      <c r="R35" s="163">
        <v>0</v>
      </c>
      <c r="S35" s="164"/>
      <c r="T35" s="19" t="e">
        <f t="shared" si="5"/>
        <v>#DIV/0!</v>
      </c>
      <c r="U35" s="163">
        <v>0</v>
      </c>
      <c r="V35" s="164"/>
      <c r="W35" s="19" t="e">
        <f t="shared" si="6"/>
        <v>#DIV/0!</v>
      </c>
      <c r="X35" s="163">
        <v>0</v>
      </c>
      <c r="Y35" s="164"/>
      <c r="Z35" s="19" t="e">
        <f t="shared" si="7"/>
        <v>#DIV/0!</v>
      </c>
      <c r="AA35" s="163">
        <v>0</v>
      </c>
      <c r="AB35" s="164"/>
      <c r="AC35" s="19" t="e">
        <f t="shared" si="8"/>
        <v>#DIV/0!</v>
      </c>
      <c r="AD35" s="165">
        <f t="shared" ref="AD35" si="25">(V35+Y35+AB35)/3</f>
        <v>0</v>
      </c>
      <c r="AE35" s="19">
        <f>+AD35/G35</f>
        <v>0</v>
      </c>
      <c r="AF35" s="163">
        <v>0</v>
      </c>
      <c r="AG35" s="164"/>
      <c r="AH35" s="19" t="e">
        <f t="shared" si="11"/>
        <v>#DIV/0!</v>
      </c>
      <c r="AI35" s="163">
        <v>0</v>
      </c>
      <c r="AJ35" s="164"/>
      <c r="AK35" s="19" t="e">
        <f t="shared" si="16"/>
        <v>#DIV/0!</v>
      </c>
      <c r="AL35" s="163">
        <v>0.01</v>
      </c>
      <c r="AM35" s="164">
        <v>0</v>
      </c>
      <c r="AN35" s="19">
        <f t="shared" si="12"/>
        <v>0</v>
      </c>
      <c r="AO35" s="163">
        <v>0.01</v>
      </c>
      <c r="AP35" s="164">
        <v>0</v>
      </c>
      <c r="AQ35" s="19">
        <f t="shared" si="13"/>
        <v>0</v>
      </c>
      <c r="AR35" s="163">
        <v>0.01</v>
      </c>
      <c r="AS35" s="164">
        <v>0</v>
      </c>
      <c r="AT35" s="19">
        <f t="shared" si="14"/>
        <v>0</v>
      </c>
      <c r="AU35" s="163">
        <v>0.01</v>
      </c>
      <c r="AV35" s="164">
        <v>0</v>
      </c>
      <c r="AW35" s="19">
        <f t="shared" si="15"/>
        <v>0</v>
      </c>
      <c r="AX35" s="163">
        <f>+(AV35+AS35+AP35+AM35)/4</f>
        <v>0</v>
      </c>
      <c r="AY35" s="19">
        <f t="shared" si="18"/>
        <v>0</v>
      </c>
    </row>
    <row r="36" spans="1:53" s="22" customFormat="1" ht="63.6" customHeight="1" thickTop="1" thickBot="1">
      <c r="A36" s="2944"/>
      <c r="B36" s="2942"/>
      <c r="C36" s="2855"/>
      <c r="D36" s="124" t="s">
        <v>240</v>
      </c>
      <c r="E36" s="25" t="s">
        <v>423</v>
      </c>
      <c r="F36" s="25" t="s">
        <v>10</v>
      </c>
      <c r="G36" s="591">
        <v>0.01</v>
      </c>
      <c r="H36" s="98"/>
      <c r="I36" s="671"/>
      <c r="J36" s="98"/>
      <c r="K36" s="25" t="s">
        <v>235</v>
      </c>
      <c r="L36" s="882">
        <v>0</v>
      </c>
      <c r="M36" s="882"/>
      <c r="N36" s="73" t="e">
        <f t="shared" si="3"/>
        <v>#DIV/0!</v>
      </c>
      <c r="O36" s="882">
        <v>0</v>
      </c>
      <c r="P36" s="882"/>
      <c r="Q36" s="73" t="e">
        <f t="shared" si="4"/>
        <v>#DIV/0!</v>
      </c>
      <c r="R36" s="882">
        <v>0</v>
      </c>
      <c r="S36" s="882"/>
      <c r="T36" s="73" t="e">
        <f t="shared" si="5"/>
        <v>#DIV/0!</v>
      </c>
      <c r="U36" s="882">
        <v>0.01</v>
      </c>
      <c r="V36" s="882">
        <v>0</v>
      </c>
      <c r="W36" s="73">
        <f t="shared" si="6"/>
        <v>0</v>
      </c>
      <c r="X36" s="882">
        <v>0.01</v>
      </c>
      <c r="Y36" s="882">
        <v>0</v>
      </c>
      <c r="Z36" s="73">
        <f t="shared" si="7"/>
        <v>0</v>
      </c>
      <c r="AA36" s="882">
        <v>0.01</v>
      </c>
      <c r="AB36" s="882">
        <v>0</v>
      </c>
      <c r="AC36" s="73">
        <f t="shared" si="8"/>
        <v>0</v>
      </c>
      <c r="AD36" s="883">
        <f>(M36+P36+S36+V36+Y36+AB36)/6</f>
        <v>0</v>
      </c>
      <c r="AE36" s="73">
        <f t="shared" ref="AE36" si="26">+AD36/G36</f>
        <v>0</v>
      </c>
      <c r="AF36" s="882">
        <v>0.01</v>
      </c>
      <c r="AG36" s="882">
        <v>0</v>
      </c>
      <c r="AH36" s="73">
        <f t="shared" si="11"/>
        <v>0</v>
      </c>
      <c r="AI36" s="882">
        <v>0.01</v>
      </c>
      <c r="AJ36" s="882">
        <v>0</v>
      </c>
      <c r="AK36" s="73">
        <f t="shared" si="16"/>
        <v>0</v>
      </c>
      <c r="AL36" s="882">
        <v>0.01</v>
      </c>
      <c r="AM36" s="884">
        <v>6.3E-5</v>
      </c>
      <c r="AN36" s="73">
        <f t="shared" si="12"/>
        <v>6.3E-3</v>
      </c>
      <c r="AO36" s="882">
        <v>0.01</v>
      </c>
      <c r="AP36" s="885">
        <v>2.6999999999999999E-5</v>
      </c>
      <c r="AQ36" s="73">
        <f t="shared" si="13"/>
        <v>2.6999999999999997E-3</v>
      </c>
      <c r="AR36" s="882">
        <v>0.01</v>
      </c>
      <c r="AS36" s="886">
        <v>2.1999999999999999E-5</v>
      </c>
      <c r="AT36" s="73">
        <f t="shared" si="14"/>
        <v>2.1999999999999997E-3</v>
      </c>
      <c r="AU36" s="882">
        <v>0.01</v>
      </c>
      <c r="AV36" s="882">
        <v>2.8E-5</v>
      </c>
      <c r="AW36" s="73">
        <f t="shared" si="15"/>
        <v>2.8E-3</v>
      </c>
      <c r="AX36" s="886">
        <f>(M36+P36+S36+V36+Y36+AB36+AG36+AJ36+AM36+AP36+AS36+AV36)/12</f>
        <v>1.1666666666666666E-5</v>
      </c>
      <c r="AY36" s="887">
        <f t="shared" si="18"/>
        <v>1.1666666666666665E-3</v>
      </c>
    </row>
    <row r="37" spans="1:53" s="22" customFormat="1" ht="127.5" customHeight="1" thickTop="1" thickBot="1">
      <c r="A37" s="2944"/>
      <c r="B37" s="2942"/>
      <c r="C37" s="2855"/>
      <c r="D37" s="171" t="s">
        <v>242</v>
      </c>
      <c r="E37" s="172" t="s">
        <v>243</v>
      </c>
      <c r="F37" s="172" t="s">
        <v>10</v>
      </c>
      <c r="G37" s="173">
        <v>0.3</v>
      </c>
      <c r="H37" s="88"/>
      <c r="I37" s="81"/>
      <c r="J37" s="81"/>
      <c r="K37" s="172" t="s">
        <v>244</v>
      </c>
      <c r="L37" s="882">
        <v>0</v>
      </c>
      <c r="M37" s="882"/>
      <c r="N37" s="73" t="e">
        <f t="shared" si="3"/>
        <v>#DIV/0!</v>
      </c>
      <c r="O37" s="882">
        <v>0</v>
      </c>
      <c r="P37" s="882"/>
      <c r="Q37" s="73" t="e">
        <f t="shared" si="4"/>
        <v>#DIV/0!</v>
      </c>
      <c r="R37" s="882">
        <v>0</v>
      </c>
      <c r="S37" s="882"/>
      <c r="T37" s="73" t="e">
        <f t="shared" si="5"/>
        <v>#DIV/0!</v>
      </c>
      <c r="U37" s="882">
        <v>0</v>
      </c>
      <c r="V37" s="882"/>
      <c r="W37" s="73" t="e">
        <f t="shared" si="6"/>
        <v>#DIV/0!</v>
      </c>
      <c r="X37" s="882">
        <v>0.3</v>
      </c>
      <c r="Y37" s="882">
        <v>0</v>
      </c>
      <c r="Z37" s="73">
        <f t="shared" si="7"/>
        <v>0</v>
      </c>
      <c r="AA37" s="882">
        <v>0</v>
      </c>
      <c r="AB37" s="882"/>
      <c r="AC37" s="73" t="e">
        <f t="shared" si="8"/>
        <v>#DIV/0!</v>
      </c>
      <c r="AD37" s="883">
        <f>+Y37</f>
        <v>0</v>
      </c>
      <c r="AE37" s="73">
        <f t="shared" si="10"/>
        <v>0</v>
      </c>
      <c r="AF37" s="882">
        <v>0</v>
      </c>
      <c r="AG37" s="882"/>
      <c r="AH37" s="73" t="e">
        <f t="shared" si="11"/>
        <v>#DIV/0!</v>
      </c>
      <c r="AI37" s="882">
        <v>0</v>
      </c>
      <c r="AJ37" s="882"/>
      <c r="AK37" s="73" t="e">
        <f t="shared" si="16"/>
        <v>#DIV/0!</v>
      </c>
      <c r="AL37" s="882">
        <v>0</v>
      </c>
      <c r="AM37" s="882"/>
      <c r="AN37" s="73" t="e">
        <f t="shared" si="12"/>
        <v>#DIV/0!</v>
      </c>
      <c r="AO37" s="882">
        <v>0.3</v>
      </c>
      <c r="AP37" s="882">
        <v>1</v>
      </c>
      <c r="AQ37" s="73">
        <f t="shared" si="13"/>
        <v>3.3333333333333335</v>
      </c>
      <c r="AR37" s="882">
        <v>0</v>
      </c>
      <c r="AS37" s="882"/>
      <c r="AT37" s="73" t="e">
        <f t="shared" si="14"/>
        <v>#DIV/0!</v>
      </c>
      <c r="AU37" s="882">
        <v>0.3</v>
      </c>
      <c r="AV37" s="882">
        <v>0.375</v>
      </c>
      <c r="AW37" s="73">
        <f t="shared" si="15"/>
        <v>1.25</v>
      </c>
      <c r="AX37" s="882">
        <f>+(AV37+AP37)/2</f>
        <v>0.6875</v>
      </c>
      <c r="AY37" s="73">
        <f t="shared" si="18"/>
        <v>2.291666666666667</v>
      </c>
    </row>
    <row r="38" spans="1:53" s="22" customFormat="1" ht="127.5" customHeight="1" thickTop="1" thickBot="1">
      <c r="A38" s="2944"/>
      <c r="B38" s="2942"/>
      <c r="C38" s="2855"/>
      <c r="D38" s="111" t="s">
        <v>245</v>
      </c>
      <c r="E38" s="177" t="s">
        <v>246</v>
      </c>
      <c r="F38" s="177" t="s">
        <v>10</v>
      </c>
      <c r="G38" s="888">
        <v>0.1</v>
      </c>
      <c r="H38" s="88"/>
      <c r="I38" s="81"/>
      <c r="J38" s="81"/>
      <c r="K38" s="179" t="s">
        <v>244</v>
      </c>
      <c r="L38" s="882">
        <v>0</v>
      </c>
      <c r="M38" s="882"/>
      <c r="N38" s="73" t="e">
        <f t="shared" si="3"/>
        <v>#DIV/0!</v>
      </c>
      <c r="O38" s="882">
        <v>0</v>
      </c>
      <c r="P38" s="882"/>
      <c r="Q38" s="73" t="e">
        <f t="shared" si="4"/>
        <v>#DIV/0!</v>
      </c>
      <c r="R38" s="882">
        <v>0</v>
      </c>
      <c r="S38" s="882"/>
      <c r="T38" s="73" t="e">
        <f t="shared" si="5"/>
        <v>#DIV/0!</v>
      </c>
      <c r="U38" s="882">
        <v>0.5</v>
      </c>
      <c r="V38" s="882">
        <v>0</v>
      </c>
      <c r="W38" s="73">
        <f t="shared" si="6"/>
        <v>0</v>
      </c>
      <c r="X38" s="882">
        <v>0</v>
      </c>
      <c r="Y38" s="882"/>
      <c r="Z38" s="73" t="e">
        <f t="shared" si="7"/>
        <v>#DIV/0!</v>
      </c>
      <c r="AA38" s="882">
        <v>0</v>
      </c>
      <c r="AB38" s="882"/>
      <c r="AC38" s="73" t="e">
        <f t="shared" si="8"/>
        <v>#DIV/0!</v>
      </c>
      <c r="AD38" s="883">
        <f>+V38</f>
        <v>0</v>
      </c>
      <c r="AE38" s="73">
        <f>+AD38/50%</f>
        <v>0</v>
      </c>
      <c r="AF38" s="882">
        <v>0</v>
      </c>
      <c r="AG38" s="882"/>
      <c r="AH38" s="73" t="e">
        <f t="shared" si="11"/>
        <v>#DIV/0!</v>
      </c>
      <c r="AI38" s="882">
        <v>0</v>
      </c>
      <c r="AJ38" s="882"/>
      <c r="AK38" s="73" t="e">
        <f t="shared" si="16"/>
        <v>#DIV/0!</v>
      </c>
      <c r="AL38" s="882">
        <v>0</v>
      </c>
      <c r="AM38" s="882"/>
      <c r="AN38" s="73" t="e">
        <f t="shared" si="12"/>
        <v>#DIV/0!</v>
      </c>
      <c r="AO38" s="882">
        <v>0.1</v>
      </c>
      <c r="AP38" s="882">
        <v>0</v>
      </c>
      <c r="AQ38" s="73">
        <f t="shared" si="13"/>
        <v>0</v>
      </c>
      <c r="AR38" s="882">
        <v>0</v>
      </c>
      <c r="AS38" s="882"/>
      <c r="AT38" s="73" t="e">
        <f t="shared" si="14"/>
        <v>#DIV/0!</v>
      </c>
      <c r="AU38" s="882">
        <v>0.1</v>
      </c>
      <c r="AV38" s="882">
        <v>1</v>
      </c>
      <c r="AW38" s="73">
        <f t="shared" si="15"/>
        <v>10</v>
      </c>
      <c r="AX38" s="882">
        <f>+(AP38+AV38)/2</f>
        <v>0.5</v>
      </c>
      <c r="AY38" s="73">
        <f>+AX38/G38</f>
        <v>5</v>
      </c>
    </row>
    <row r="39" spans="1:53" s="22" customFormat="1" ht="172.5" customHeight="1" thickTop="1" thickBot="1">
      <c r="A39" s="2944"/>
      <c r="B39" s="2942"/>
      <c r="C39" s="2855"/>
      <c r="D39" s="623" t="s">
        <v>446</v>
      </c>
      <c r="E39" s="561" t="s">
        <v>447</v>
      </c>
      <c r="F39" s="561" t="s">
        <v>24</v>
      </c>
      <c r="G39" s="889">
        <v>900</v>
      </c>
      <c r="H39" s="85"/>
      <c r="I39" s="674"/>
      <c r="J39" s="85"/>
      <c r="K39" s="561" t="s">
        <v>249</v>
      </c>
      <c r="L39" s="890">
        <v>0</v>
      </c>
      <c r="M39" s="890"/>
      <c r="N39" s="73" t="e">
        <f t="shared" si="3"/>
        <v>#DIV/0!</v>
      </c>
      <c r="O39" s="890">
        <v>0</v>
      </c>
      <c r="P39" s="890"/>
      <c r="Q39" s="73" t="e">
        <f t="shared" si="4"/>
        <v>#DIV/0!</v>
      </c>
      <c r="R39" s="890">
        <v>0</v>
      </c>
      <c r="S39" s="890"/>
      <c r="T39" s="73" t="e">
        <f t="shared" si="5"/>
        <v>#DIV/0!</v>
      </c>
      <c r="U39" s="890">
        <v>0</v>
      </c>
      <c r="V39" s="890"/>
      <c r="W39" s="73" t="e">
        <f t="shared" si="6"/>
        <v>#DIV/0!</v>
      </c>
      <c r="X39" s="890">
        <v>100</v>
      </c>
      <c r="Y39" s="890">
        <v>243</v>
      </c>
      <c r="Z39" s="73">
        <f t="shared" si="7"/>
        <v>2.4300000000000002</v>
      </c>
      <c r="AA39" s="890">
        <v>100</v>
      </c>
      <c r="AB39" s="890">
        <v>20</v>
      </c>
      <c r="AC39" s="73">
        <f t="shared" si="8"/>
        <v>0.2</v>
      </c>
      <c r="AD39" s="890">
        <f>+Y39+AB39</f>
        <v>263</v>
      </c>
      <c r="AE39" s="73">
        <f t="shared" si="10"/>
        <v>0.29222222222222222</v>
      </c>
      <c r="AF39" s="890">
        <v>100</v>
      </c>
      <c r="AG39" s="890">
        <v>34</v>
      </c>
      <c r="AH39" s="73">
        <f t="shared" si="11"/>
        <v>0.34</v>
      </c>
      <c r="AI39" s="890">
        <v>120</v>
      </c>
      <c r="AJ39" s="890">
        <v>79</v>
      </c>
      <c r="AK39" s="73">
        <f t="shared" si="16"/>
        <v>0.65833333333333333</v>
      </c>
      <c r="AL39" s="890">
        <v>120</v>
      </c>
      <c r="AM39" s="890">
        <v>33</v>
      </c>
      <c r="AN39" s="73">
        <f t="shared" si="12"/>
        <v>0.27500000000000002</v>
      </c>
      <c r="AO39" s="890">
        <v>120</v>
      </c>
      <c r="AP39" s="890">
        <v>71</v>
      </c>
      <c r="AQ39" s="73">
        <f t="shared" si="13"/>
        <v>0.59166666666666667</v>
      </c>
      <c r="AR39" s="890">
        <v>120</v>
      </c>
      <c r="AS39" s="890">
        <v>12</v>
      </c>
      <c r="AT39" s="73">
        <f t="shared" si="14"/>
        <v>0.1</v>
      </c>
      <c r="AU39" s="890">
        <v>120</v>
      </c>
      <c r="AV39" s="890">
        <v>14</v>
      </c>
      <c r="AW39" s="73">
        <f t="shared" si="15"/>
        <v>0.11666666666666667</v>
      </c>
      <c r="AX39" s="890">
        <f>Y39+AB39+AG39+AJ39+AM39+AP39+AS39+AV39</f>
        <v>506</v>
      </c>
      <c r="AY39" s="73">
        <f t="shared" si="18"/>
        <v>0.56222222222222218</v>
      </c>
      <c r="AZ39" s="891"/>
      <c r="BA39" s="891"/>
    </row>
    <row r="40" spans="1:53" s="22" customFormat="1" ht="127.5" customHeight="1" thickTop="1" thickBot="1">
      <c r="A40" s="2944"/>
      <c r="B40" s="2942"/>
      <c r="C40" s="2855"/>
      <c r="D40" s="627" t="s">
        <v>448</v>
      </c>
      <c r="E40" s="25" t="s">
        <v>449</v>
      </c>
      <c r="F40" s="25" t="s">
        <v>24</v>
      </c>
      <c r="G40" s="853">
        <v>25</v>
      </c>
      <c r="H40" s="98"/>
      <c r="I40" s="671"/>
      <c r="J40" s="98"/>
      <c r="K40" s="25" t="s">
        <v>249</v>
      </c>
      <c r="L40" s="890">
        <v>0</v>
      </c>
      <c r="M40" s="890"/>
      <c r="N40" s="73" t="e">
        <f t="shared" si="3"/>
        <v>#DIV/0!</v>
      </c>
      <c r="O40" s="890">
        <v>0</v>
      </c>
      <c r="P40" s="890"/>
      <c r="Q40" s="73" t="e">
        <f t="shared" si="4"/>
        <v>#DIV/0!</v>
      </c>
      <c r="R40" s="890">
        <v>0</v>
      </c>
      <c r="S40" s="890"/>
      <c r="T40" s="73" t="e">
        <f t="shared" si="5"/>
        <v>#DIV/0!</v>
      </c>
      <c r="U40" s="890">
        <v>0</v>
      </c>
      <c r="V40" s="890"/>
      <c r="W40" s="73" t="e">
        <f t="shared" si="6"/>
        <v>#DIV/0!</v>
      </c>
      <c r="X40" s="890">
        <v>3</v>
      </c>
      <c r="Y40" s="890">
        <v>3</v>
      </c>
      <c r="Z40" s="73">
        <f t="shared" si="7"/>
        <v>1</v>
      </c>
      <c r="AA40" s="890">
        <v>3</v>
      </c>
      <c r="AB40" s="890">
        <v>0</v>
      </c>
      <c r="AC40" s="73">
        <f t="shared" si="8"/>
        <v>0</v>
      </c>
      <c r="AD40" s="890">
        <f t="shared" ref="AD40" si="27">+M40+P40+S40+V40+Y40+AB40</f>
        <v>3</v>
      </c>
      <c r="AE40" s="73">
        <f t="shared" si="10"/>
        <v>0.12</v>
      </c>
      <c r="AF40" s="890">
        <v>3</v>
      </c>
      <c r="AG40" s="890">
        <v>0</v>
      </c>
      <c r="AH40" s="73">
        <f t="shared" si="11"/>
        <v>0</v>
      </c>
      <c r="AI40" s="890">
        <v>3</v>
      </c>
      <c r="AJ40" s="890">
        <v>0</v>
      </c>
      <c r="AK40" s="73">
        <f t="shared" si="16"/>
        <v>0</v>
      </c>
      <c r="AL40" s="890">
        <v>3</v>
      </c>
      <c r="AM40" s="890">
        <v>2</v>
      </c>
      <c r="AN40" s="73">
        <f t="shared" si="12"/>
        <v>0.66666666666666663</v>
      </c>
      <c r="AO40" s="890">
        <v>4</v>
      </c>
      <c r="AP40" s="890">
        <v>3</v>
      </c>
      <c r="AQ40" s="73">
        <f t="shared" si="13"/>
        <v>0.75</v>
      </c>
      <c r="AR40" s="890">
        <v>3</v>
      </c>
      <c r="AS40" s="890">
        <v>0</v>
      </c>
      <c r="AT40" s="73">
        <f t="shared" si="14"/>
        <v>0</v>
      </c>
      <c r="AU40" s="890">
        <v>3</v>
      </c>
      <c r="AV40" s="890">
        <v>2</v>
      </c>
      <c r="AW40" s="73">
        <f t="shared" si="15"/>
        <v>0.66666666666666663</v>
      </c>
      <c r="AX40" s="890">
        <f t="shared" si="17"/>
        <v>10</v>
      </c>
      <c r="AY40" s="73">
        <f t="shared" si="18"/>
        <v>0.4</v>
      </c>
      <c r="AZ40" s="891"/>
      <c r="BA40" s="891"/>
    </row>
    <row r="41" spans="1:53" s="22" customFormat="1" ht="127.5" customHeight="1" thickTop="1" thickBot="1">
      <c r="A41" s="2944"/>
      <c r="B41" s="2942"/>
      <c r="C41" s="2855"/>
      <c r="D41" s="623" t="s">
        <v>252</v>
      </c>
      <c r="E41" s="561" t="s">
        <v>450</v>
      </c>
      <c r="F41" s="561" t="s">
        <v>24</v>
      </c>
      <c r="G41" s="889">
        <v>152</v>
      </c>
      <c r="H41" s="85"/>
      <c r="I41" s="674"/>
      <c r="J41" s="85"/>
      <c r="K41" s="561" t="s">
        <v>249</v>
      </c>
      <c r="L41" s="890">
        <v>0</v>
      </c>
      <c r="M41" s="890"/>
      <c r="N41" s="73" t="e">
        <f t="shared" si="3"/>
        <v>#DIV/0!</v>
      </c>
      <c r="O41" s="890">
        <v>0</v>
      </c>
      <c r="P41" s="890"/>
      <c r="Q41" s="73" t="e">
        <f t="shared" si="4"/>
        <v>#DIV/0!</v>
      </c>
      <c r="R41" s="890">
        <v>0</v>
      </c>
      <c r="S41" s="890"/>
      <c r="T41" s="73" t="e">
        <f t="shared" si="5"/>
        <v>#DIV/0!</v>
      </c>
      <c r="U41" s="890">
        <v>0</v>
      </c>
      <c r="V41" s="890"/>
      <c r="W41" s="73" t="e">
        <f t="shared" si="6"/>
        <v>#DIV/0!</v>
      </c>
      <c r="X41" s="890">
        <v>19</v>
      </c>
      <c r="Y41" s="890">
        <v>19</v>
      </c>
      <c r="Z41" s="73">
        <f t="shared" si="7"/>
        <v>1</v>
      </c>
      <c r="AA41" s="890">
        <v>19</v>
      </c>
      <c r="AB41" s="890">
        <v>19</v>
      </c>
      <c r="AC41" s="73">
        <f t="shared" si="8"/>
        <v>1</v>
      </c>
      <c r="AD41" s="890">
        <f>+Y41+AB41</f>
        <v>38</v>
      </c>
      <c r="AE41" s="73">
        <f t="shared" si="10"/>
        <v>0.25</v>
      </c>
      <c r="AF41" s="890">
        <v>19</v>
      </c>
      <c r="AG41" s="890">
        <v>19</v>
      </c>
      <c r="AH41" s="73">
        <f t="shared" si="11"/>
        <v>1</v>
      </c>
      <c r="AI41" s="890">
        <v>19</v>
      </c>
      <c r="AJ41" s="890">
        <v>19</v>
      </c>
      <c r="AK41" s="73">
        <f t="shared" si="16"/>
        <v>1</v>
      </c>
      <c r="AL41" s="890">
        <v>19</v>
      </c>
      <c r="AM41" s="890">
        <v>19</v>
      </c>
      <c r="AN41" s="73">
        <f t="shared" si="12"/>
        <v>1</v>
      </c>
      <c r="AO41" s="890">
        <v>19</v>
      </c>
      <c r="AP41" s="890">
        <v>19</v>
      </c>
      <c r="AQ41" s="73">
        <f t="shared" si="13"/>
        <v>1</v>
      </c>
      <c r="AR41" s="890">
        <v>19</v>
      </c>
      <c r="AS41" s="890">
        <v>19</v>
      </c>
      <c r="AT41" s="73">
        <f t="shared" si="14"/>
        <v>1</v>
      </c>
      <c r="AU41" s="890">
        <v>19</v>
      </c>
      <c r="AV41" s="890">
        <v>19</v>
      </c>
      <c r="AW41" s="73">
        <f t="shared" si="15"/>
        <v>1</v>
      </c>
      <c r="AX41" s="890">
        <f>Y41+AB41+AG41+AJ41+AM41+AP41+AS41+AV41</f>
        <v>152</v>
      </c>
      <c r="AY41" s="73">
        <f t="shared" si="18"/>
        <v>1</v>
      </c>
      <c r="AZ41" s="891"/>
      <c r="BA41" s="891"/>
    </row>
    <row r="42" spans="1:53" s="22" customFormat="1" ht="153.75" customHeight="1" thickTop="1" thickBot="1">
      <c r="A42" s="2945"/>
      <c r="B42" s="2864"/>
      <c r="C42" s="2856"/>
      <c r="D42" s="627" t="s">
        <v>451</v>
      </c>
      <c r="E42" s="25" t="s">
        <v>255</v>
      </c>
      <c r="F42" s="25" t="s">
        <v>10</v>
      </c>
      <c r="G42" s="43">
        <v>1</v>
      </c>
      <c r="H42" s="98"/>
      <c r="I42" s="671"/>
      <c r="J42" s="98"/>
      <c r="K42" s="25" t="s">
        <v>249</v>
      </c>
      <c r="L42" s="892">
        <v>1</v>
      </c>
      <c r="M42" s="892">
        <v>1</v>
      </c>
      <c r="N42" s="73">
        <f t="shared" si="3"/>
        <v>1</v>
      </c>
      <c r="O42" s="892">
        <v>1</v>
      </c>
      <c r="P42" s="892">
        <v>1</v>
      </c>
      <c r="Q42" s="73">
        <f t="shared" si="4"/>
        <v>1</v>
      </c>
      <c r="R42" s="892">
        <v>1</v>
      </c>
      <c r="S42" s="892">
        <v>1</v>
      </c>
      <c r="T42" s="73">
        <f t="shared" si="5"/>
        <v>1</v>
      </c>
      <c r="U42" s="892">
        <v>1</v>
      </c>
      <c r="V42" s="892">
        <v>1</v>
      </c>
      <c r="W42" s="73">
        <f t="shared" si="6"/>
        <v>1</v>
      </c>
      <c r="X42" s="893">
        <v>1</v>
      </c>
      <c r="Y42" s="893">
        <v>1</v>
      </c>
      <c r="Z42" s="73">
        <f t="shared" si="7"/>
        <v>1</v>
      </c>
      <c r="AA42" s="893">
        <v>1</v>
      </c>
      <c r="AB42" s="893">
        <v>1</v>
      </c>
      <c r="AC42" s="73">
        <f t="shared" si="8"/>
        <v>1</v>
      </c>
      <c r="AD42" s="893">
        <f>(M42+P42+S42+V42+Y42+AB42)/6</f>
        <v>1</v>
      </c>
      <c r="AE42" s="73">
        <f t="shared" si="10"/>
        <v>1</v>
      </c>
      <c r="AF42" s="893">
        <v>1</v>
      </c>
      <c r="AG42" s="893">
        <v>1</v>
      </c>
      <c r="AH42" s="73">
        <f t="shared" si="11"/>
        <v>1</v>
      </c>
      <c r="AI42" s="893">
        <v>1</v>
      </c>
      <c r="AJ42" s="893">
        <v>1</v>
      </c>
      <c r="AK42" s="73">
        <f t="shared" si="16"/>
        <v>1</v>
      </c>
      <c r="AL42" s="893">
        <v>1</v>
      </c>
      <c r="AM42" s="893">
        <v>1</v>
      </c>
      <c r="AN42" s="73">
        <f t="shared" si="12"/>
        <v>1</v>
      </c>
      <c r="AO42" s="893">
        <v>1</v>
      </c>
      <c r="AP42" s="893">
        <v>1</v>
      </c>
      <c r="AQ42" s="73">
        <f t="shared" si="13"/>
        <v>1</v>
      </c>
      <c r="AR42" s="893">
        <v>1</v>
      </c>
      <c r="AS42" s="893">
        <v>1</v>
      </c>
      <c r="AT42" s="73">
        <f t="shared" si="14"/>
        <v>1</v>
      </c>
      <c r="AU42" s="893">
        <v>1</v>
      </c>
      <c r="AV42" s="893">
        <v>1</v>
      </c>
      <c r="AW42" s="73">
        <f t="shared" si="15"/>
        <v>1</v>
      </c>
      <c r="AX42" s="893">
        <f>(M42+P42+S42+V42+Y42+AB42+AG42+AJ42+AM42+AP42+AS42+AV42)/12</f>
        <v>1</v>
      </c>
      <c r="AY42" s="73">
        <f t="shared" si="18"/>
        <v>1</v>
      </c>
      <c r="AZ42" s="891"/>
      <c r="BA42" s="891"/>
    </row>
    <row r="43" spans="1:53" s="22" customFormat="1" ht="22.5" thickTop="1" thickBot="1">
      <c r="A43" s="2857" t="s">
        <v>141</v>
      </c>
      <c r="B43" s="2858"/>
      <c r="C43" s="2858"/>
      <c r="D43" s="2858"/>
      <c r="E43" s="2858"/>
      <c r="F43" s="2858"/>
      <c r="G43" s="2858"/>
      <c r="H43" s="2858"/>
      <c r="I43" s="2858"/>
      <c r="J43" s="2858"/>
      <c r="K43" s="2859"/>
      <c r="L43" s="894"/>
      <c r="M43" s="895"/>
      <c r="N43" s="896"/>
      <c r="O43" s="895"/>
      <c r="P43" s="895"/>
      <c r="Q43" s="896"/>
      <c r="R43" s="895"/>
      <c r="S43" s="895"/>
      <c r="T43" s="896"/>
      <c r="U43" s="895"/>
      <c r="V43" s="895"/>
      <c r="W43" s="896"/>
      <c r="X43" s="896"/>
      <c r="Y43" s="896"/>
      <c r="Z43" s="896"/>
      <c r="AA43" s="897"/>
      <c r="AB43" s="897"/>
      <c r="AC43" s="896"/>
      <c r="AD43" s="897"/>
      <c r="AE43" s="897"/>
      <c r="AF43" s="897"/>
      <c r="AG43" s="897"/>
      <c r="AH43" s="896"/>
      <c r="AI43" s="897"/>
      <c r="AJ43" s="897"/>
      <c r="AK43" s="896"/>
      <c r="AL43" s="897"/>
      <c r="AM43" s="897"/>
      <c r="AN43" s="896"/>
      <c r="AO43" s="897"/>
      <c r="AP43" s="897"/>
      <c r="AQ43" s="896"/>
      <c r="AR43" s="897"/>
      <c r="AS43" s="897"/>
      <c r="AT43" s="896"/>
      <c r="AU43" s="897"/>
      <c r="AV43" s="897"/>
      <c r="AW43" s="896"/>
      <c r="AX43" s="897"/>
      <c r="AY43" s="897"/>
    </row>
    <row r="44" spans="1:53" ht="93.75" customHeight="1" thickTop="1" thickBot="1">
      <c r="A44" s="2861" t="s">
        <v>181</v>
      </c>
      <c r="B44" s="3009" t="s">
        <v>314</v>
      </c>
      <c r="C44" s="2854" t="s">
        <v>452</v>
      </c>
      <c r="D44" s="627" t="s">
        <v>261</v>
      </c>
      <c r="E44" s="25" t="s">
        <v>262</v>
      </c>
      <c r="F44" s="25" t="s">
        <v>10</v>
      </c>
      <c r="G44" s="43">
        <v>0.03</v>
      </c>
      <c r="H44" s="386"/>
      <c r="I44" s="30"/>
      <c r="J44" s="386"/>
      <c r="K44" s="25" t="s">
        <v>226</v>
      </c>
      <c r="L44" s="647">
        <v>0</v>
      </c>
      <c r="M44" s="45"/>
      <c r="N44" s="73" t="e">
        <f t="shared" si="3"/>
        <v>#DIV/0!</v>
      </c>
      <c r="O44" s="647">
        <v>0</v>
      </c>
      <c r="P44" s="45"/>
      <c r="Q44" s="73" t="e">
        <f t="shared" si="4"/>
        <v>#DIV/0!</v>
      </c>
      <c r="R44" s="647">
        <v>0</v>
      </c>
      <c r="S44" s="45"/>
      <c r="T44" s="73" t="e">
        <f t="shared" si="5"/>
        <v>#DIV/0!</v>
      </c>
      <c r="U44" s="647">
        <v>0</v>
      </c>
      <c r="V44" s="45"/>
      <c r="W44" s="73" t="e">
        <f t="shared" si="6"/>
        <v>#DIV/0!</v>
      </c>
      <c r="X44" s="647">
        <v>0</v>
      </c>
      <c r="Y44" s="45"/>
      <c r="Z44" s="73" t="e">
        <f t="shared" si="7"/>
        <v>#DIV/0!</v>
      </c>
      <c r="AA44" s="647">
        <v>0</v>
      </c>
      <c r="AB44" s="45"/>
      <c r="AC44" s="73" t="e">
        <f t="shared" si="8"/>
        <v>#DIV/0!</v>
      </c>
      <c r="AD44" s="44">
        <f t="shared" si="9"/>
        <v>0</v>
      </c>
      <c r="AE44" s="73">
        <f t="shared" si="10"/>
        <v>0</v>
      </c>
      <c r="AF44" s="647">
        <v>0</v>
      </c>
      <c r="AG44" s="45"/>
      <c r="AH44" s="73" t="e">
        <f t="shared" si="11"/>
        <v>#DIV/0!</v>
      </c>
      <c r="AI44" s="647">
        <v>0</v>
      </c>
      <c r="AJ44" s="45"/>
      <c r="AK44" s="73" t="e">
        <f t="shared" si="16"/>
        <v>#DIV/0!</v>
      </c>
      <c r="AL44" s="647">
        <v>0</v>
      </c>
      <c r="AM44" s="45"/>
      <c r="AN44" s="73" t="e">
        <f t="shared" si="12"/>
        <v>#DIV/0!</v>
      </c>
      <c r="AO44" s="647">
        <v>0</v>
      </c>
      <c r="AP44" s="45"/>
      <c r="AQ44" s="73" t="e">
        <f t="shared" si="13"/>
        <v>#DIV/0!</v>
      </c>
      <c r="AR44" s="647">
        <v>0</v>
      </c>
      <c r="AS44" s="45"/>
      <c r="AT44" s="73" t="e">
        <f t="shared" si="14"/>
        <v>#DIV/0!</v>
      </c>
      <c r="AU44" s="647">
        <v>0.03</v>
      </c>
      <c r="AV44" s="45"/>
      <c r="AW44" s="73">
        <f t="shared" si="15"/>
        <v>0</v>
      </c>
      <c r="AX44" s="647">
        <f>+AV44</f>
        <v>0</v>
      </c>
      <c r="AY44" s="73">
        <f t="shared" ref="AY44:AY45" si="28">+AX44/G44</f>
        <v>0</v>
      </c>
    </row>
    <row r="45" spans="1:53" ht="87.75" customHeight="1" thickTop="1" thickBot="1">
      <c r="A45" s="2861"/>
      <c r="B45" s="3010"/>
      <c r="C45" s="2856"/>
      <c r="D45" s="623" t="s">
        <v>263</v>
      </c>
      <c r="E45" s="561" t="s">
        <v>264</v>
      </c>
      <c r="F45" s="561" t="s">
        <v>10</v>
      </c>
      <c r="G45" s="48">
        <v>1</v>
      </c>
      <c r="H45" s="96"/>
      <c r="I45" s="33"/>
      <c r="J45" s="96"/>
      <c r="K45" s="561" t="s">
        <v>226</v>
      </c>
      <c r="L45" s="873">
        <v>0</v>
      </c>
      <c r="M45" s="50"/>
      <c r="N45" s="73" t="e">
        <f t="shared" si="3"/>
        <v>#DIV/0!</v>
      </c>
      <c r="O45" s="873">
        <v>0</v>
      </c>
      <c r="P45" s="50"/>
      <c r="Q45" s="73" t="e">
        <f t="shared" si="4"/>
        <v>#DIV/0!</v>
      </c>
      <c r="R45" s="873">
        <v>0</v>
      </c>
      <c r="S45" s="50"/>
      <c r="T45" s="73" t="e">
        <f t="shared" si="5"/>
        <v>#DIV/0!</v>
      </c>
      <c r="U45" s="873">
        <v>0</v>
      </c>
      <c r="V45" s="50"/>
      <c r="W45" s="73" t="e">
        <f t="shared" si="6"/>
        <v>#DIV/0!</v>
      </c>
      <c r="X45" s="873">
        <v>0</v>
      </c>
      <c r="Y45" s="50"/>
      <c r="Z45" s="73" t="e">
        <f t="shared" si="7"/>
        <v>#DIV/0!</v>
      </c>
      <c r="AA45" s="873">
        <v>0</v>
      </c>
      <c r="AB45" s="50"/>
      <c r="AC45" s="73" t="e">
        <f t="shared" si="8"/>
        <v>#DIV/0!</v>
      </c>
      <c r="AD45" s="49">
        <f t="shared" si="9"/>
        <v>0</v>
      </c>
      <c r="AE45" s="73">
        <f t="shared" si="10"/>
        <v>0</v>
      </c>
      <c r="AF45" s="873">
        <v>0</v>
      </c>
      <c r="AG45" s="50"/>
      <c r="AH45" s="73" t="e">
        <f t="shared" si="11"/>
        <v>#DIV/0!</v>
      </c>
      <c r="AI45" s="873">
        <v>0</v>
      </c>
      <c r="AJ45" s="50"/>
      <c r="AK45" s="73" t="e">
        <f t="shared" si="16"/>
        <v>#DIV/0!</v>
      </c>
      <c r="AL45" s="873">
        <v>0.5</v>
      </c>
      <c r="AM45" s="50">
        <v>0.5</v>
      </c>
      <c r="AN45" s="73">
        <f t="shared" si="12"/>
        <v>1</v>
      </c>
      <c r="AO45" s="873">
        <v>0</v>
      </c>
      <c r="AP45" s="50"/>
      <c r="AQ45" s="73" t="e">
        <f t="shared" si="13"/>
        <v>#DIV/0!</v>
      </c>
      <c r="AR45" s="873">
        <v>0</v>
      </c>
      <c r="AS45" s="50"/>
      <c r="AT45" s="73" t="e">
        <f t="shared" si="14"/>
        <v>#DIV/0!</v>
      </c>
      <c r="AU45" s="873">
        <v>0.5</v>
      </c>
      <c r="AV45" s="50">
        <v>0.5</v>
      </c>
      <c r="AW45" s="73">
        <f t="shared" si="15"/>
        <v>1</v>
      </c>
      <c r="AX45" s="873">
        <f>+AV45+AM45</f>
        <v>1</v>
      </c>
      <c r="AY45" s="73">
        <f t="shared" si="28"/>
        <v>1</v>
      </c>
    </row>
    <row r="46" spans="1:53" ht="22.5" customHeight="1" thickTop="1" thickBot="1">
      <c r="A46" s="2843" t="s">
        <v>154</v>
      </c>
      <c r="B46" s="2843"/>
      <c r="C46" s="2843"/>
      <c r="D46" s="2843"/>
      <c r="E46" s="2843"/>
      <c r="F46" s="2843"/>
      <c r="G46" s="2843"/>
      <c r="H46" s="2843"/>
      <c r="I46" s="2843"/>
      <c r="J46" s="2843"/>
      <c r="K46" s="2843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1"/>
      <c r="AY46" s="201"/>
    </row>
    <row r="47" spans="1:53" ht="75" customHeight="1" thickTop="1" thickBot="1">
      <c r="A47" s="202" t="s">
        <v>155</v>
      </c>
      <c r="B47" s="97" t="s">
        <v>156</v>
      </c>
      <c r="C47" s="74" t="s">
        <v>157</v>
      </c>
      <c r="D47" s="111" t="s">
        <v>158</v>
      </c>
      <c r="E47" s="74" t="s">
        <v>159</v>
      </c>
      <c r="F47" s="74" t="s">
        <v>265</v>
      </c>
      <c r="G47" s="203">
        <v>14</v>
      </c>
      <c r="H47" s="99">
        <v>10</v>
      </c>
      <c r="I47" s="204"/>
      <c r="J47" s="204"/>
      <c r="K47" s="25" t="s">
        <v>27</v>
      </c>
      <c r="L47" s="205">
        <v>0</v>
      </c>
      <c r="M47" s="206"/>
      <c r="N47" s="19" t="e">
        <f t="shared" ref="N47" si="29">+M47/L47</f>
        <v>#DIV/0!</v>
      </c>
      <c r="O47" s="205">
        <v>0</v>
      </c>
      <c r="P47" s="206"/>
      <c r="Q47" s="19" t="e">
        <f>+P47/O47</f>
        <v>#DIV/0!</v>
      </c>
      <c r="R47" s="205">
        <v>0</v>
      </c>
      <c r="S47" s="206"/>
      <c r="T47" s="19" t="e">
        <f t="shared" ref="T47" si="30">+S47/R47</f>
        <v>#DIV/0!</v>
      </c>
      <c r="U47" s="205">
        <v>0</v>
      </c>
      <c r="V47" s="206"/>
      <c r="W47" s="19" t="e">
        <f t="shared" ref="W47" si="31">+V47/U47</f>
        <v>#DIV/0!</v>
      </c>
      <c r="X47" s="205">
        <v>2</v>
      </c>
      <c r="Y47" s="206">
        <v>2</v>
      </c>
      <c r="Z47" s="19">
        <f t="shared" ref="Z47" si="32">+Y47/X47</f>
        <v>1</v>
      </c>
      <c r="AA47" s="205">
        <v>0</v>
      </c>
      <c r="AB47" s="206"/>
      <c r="AC47" s="19" t="e">
        <f t="shared" ref="AC47" si="33">+AB47/AA47</f>
        <v>#DIV/0!</v>
      </c>
      <c r="AD47" s="207">
        <f>+AB47+Y47+V47+S47+P47+M47</f>
        <v>2</v>
      </c>
      <c r="AE47" s="19">
        <f t="shared" ref="AE47" si="34">+AD47/G47</f>
        <v>0.14285714285714285</v>
      </c>
      <c r="AF47" s="205">
        <v>2</v>
      </c>
      <c r="AG47" s="206">
        <v>2</v>
      </c>
      <c r="AH47" s="208">
        <f t="shared" ref="AH47" si="35">+AG47/AF47</f>
        <v>1</v>
      </c>
      <c r="AI47" s="205">
        <v>3</v>
      </c>
      <c r="AJ47" s="206">
        <v>3</v>
      </c>
      <c r="AK47" s="208">
        <f t="shared" ref="AK47" si="36">+AJ47/AI47</f>
        <v>1</v>
      </c>
      <c r="AL47" s="205">
        <v>3</v>
      </c>
      <c r="AM47" s="206">
        <v>3</v>
      </c>
      <c r="AN47" s="208">
        <f t="shared" ref="AN47" si="37">+AM47/AL47</f>
        <v>1</v>
      </c>
      <c r="AO47" s="205">
        <v>4</v>
      </c>
      <c r="AP47" s="206">
        <v>4</v>
      </c>
      <c r="AQ47" s="19">
        <f t="shared" ref="AQ47" si="38">+AP47/AO47</f>
        <v>1</v>
      </c>
      <c r="AR47" s="205">
        <v>0</v>
      </c>
      <c r="AS47" s="206"/>
      <c r="AT47" s="19" t="e">
        <f t="shared" ref="AT47" si="39">+AS47/AR47</f>
        <v>#DIV/0!</v>
      </c>
      <c r="AU47" s="205">
        <v>0</v>
      </c>
      <c r="AV47" s="206"/>
      <c r="AW47" s="19" t="e">
        <f t="shared" ref="AW47" si="40">+AV47/AU47</f>
        <v>#DIV/0!</v>
      </c>
      <c r="AX47" s="209">
        <f t="shared" ref="AX47" si="41">+M47+P47+S47+V47+Y47+AB47+AG47+AJ47+AM47+AP47+AS47+AV47</f>
        <v>14</v>
      </c>
      <c r="AY47" s="19">
        <f>+AX47/G47</f>
        <v>1</v>
      </c>
    </row>
    <row r="48" spans="1:53" ht="17.25" thickTop="1"/>
  </sheetData>
  <sheetProtection algorithmName="SHA-512" hashValue="KTyCw3HnPXeyl5c6V119CzEuaTxGDtocEy+3RykYsuhX2nX8JbY40CrVdMnbVS4GQnGGi4IGsnPe3VwNDiMujw==" saltValue="TJS+3oLfCJmVxfZ+BEGIPQ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37:K38" name="Rango1_1"/>
    <protectedRange algorithmName="SHA-512" hashValue="Uds9cYMsxnQI1SjFHe8NNqfDC/fFeray9QhmtAdG/GCgT0L97QBkFAQ9tCw5vTy3J/lQFdDpBTyQoZDg0KZNmQ==" saltValue="0HoWkw5WsZ+PdZDtJpkerg==" spinCount="100000" sqref="AX34:AX35" name="Rango1_1_1_1"/>
    <protectedRange algorithmName="SHA-512" hashValue="Uds9cYMsxnQI1SjFHe8NNqfDC/fFeray9QhmtAdG/GCgT0L97QBkFAQ9tCw5vTy3J/lQFdDpBTyQoZDg0KZNmQ==" saltValue="0HoWkw5WsZ+PdZDtJpkerg==" spinCount="100000" sqref="AD34:AD35" name="Rango1_1_2_1"/>
  </protectedRanges>
  <mergeCells count="41">
    <mergeCell ref="A43:K43"/>
    <mergeCell ref="A44:A45"/>
    <mergeCell ref="B44:B45"/>
    <mergeCell ref="C44:C45"/>
    <mergeCell ref="A46:K46"/>
    <mergeCell ref="A9:A42"/>
    <mergeCell ref="B9:B10"/>
    <mergeCell ref="B11:B29"/>
    <mergeCell ref="C11:C16"/>
    <mergeCell ref="C17:C19"/>
    <mergeCell ref="C22:C28"/>
    <mergeCell ref="B30:B42"/>
    <mergeCell ref="C33:C42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AE44 AE13 AY11:AY33 N13 Q13 T13 W13 Z13 AC13 AQ13 AN13 AK13 AH13 AH20:AH21 AK20:AK21 AN20:AN21 AQ20:AQ21 AC20:AC21 Z20:Z21 W20:W21 T20:T21 Q20:Q21 N20:N21 AE20:AE21 AE29 N29 Q29 T29 W29 Z29 AC29 AQ29 AN29 AK29 AH29 AH31:AH32 AK31:AK32 AN31:AN32 AQ31:AQ32 AC31:AC32 Z31:Z32 W31:W32 T31:T32 Q31:Q32 N31:N32 AE31:AE32 AT17:AT18 AT20:AT21 AT29:AT30 AT32 AW18 AW20:AW21 AW29">
    <cfRule type="cellIs" dxfId="9304" priority="776" operator="greaterThan">
      <formula>110%</formula>
    </cfRule>
    <cfRule type="cellIs" dxfId="9303" priority="777" operator="between">
      <formula>100.001%</formula>
      <formula>110%</formula>
    </cfRule>
    <cfRule type="cellIs" dxfId="9302" priority="778" operator="between">
      <formula>70.001%</formula>
      <formula>100%</formula>
    </cfRule>
    <cfRule type="cellIs" dxfId="9301" priority="779" operator="between">
      <formula>0.00001%</formula>
      <formula>70%</formula>
    </cfRule>
    <cfRule type="cellIs" dxfId="9300" priority="780" operator="equal">
      <formula>0</formula>
    </cfRule>
  </conditionalFormatting>
  <conditionalFormatting sqref="AY44:AY45 AY37:AY42">
    <cfRule type="cellIs" dxfId="9299" priority="771" operator="greaterThan">
      <formula>110%</formula>
    </cfRule>
    <cfRule type="cellIs" dxfId="9298" priority="772" operator="between">
      <formula>100.001%</formula>
      <formula>110%</formula>
    </cfRule>
    <cfRule type="cellIs" dxfId="9297" priority="773" operator="between">
      <formula>70.001%</formula>
      <formula>100%</formula>
    </cfRule>
    <cfRule type="cellIs" dxfId="9296" priority="774" operator="between">
      <formula>0.00001%</formula>
      <formula>70%</formula>
    </cfRule>
    <cfRule type="cellIs" dxfId="9295" priority="775" operator="equal">
      <formula>0</formula>
    </cfRule>
  </conditionalFormatting>
  <conditionalFormatting sqref="N44">
    <cfRule type="cellIs" dxfId="9294" priority="766" operator="greaterThan">
      <formula>110%</formula>
    </cfRule>
    <cfRule type="cellIs" dxfId="9293" priority="767" operator="between">
      <formula>100.001%</formula>
      <formula>110%</formula>
    </cfRule>
    <cfRule type="cellIs" dxfId="9292" priority="768" operator="between">
      <formula>70.001%</formula>
      <formula>100%</formula>
    </cfRule>
    <cfRule type="cellIs" dxfId="9291" priority="769" operator="between">
      <formula>0.00001%</formula>
      <formula>70%</formula>
    </cfRule>
    <cfRule type="cellIs" dxfId="9290" priority="770" operator="equal">
      <formula>0</formula>
    </cfRule>
  </conditionalFormatting>
  <conditionalFormatting sqref="Q44">
    <cfRule type="cellIs" dxfId="9289" priority="761" operator="greaterThan">
      <formula>110%</formula>
    </cfRule>
    <cfRule type="cellIs" dxfId="9288" priority="762" operator="between">
      <formula>100.001%</formula>
      <formula>110%</formula>
    </cfRule>
    <cfRule type="cellIs" dxfId="9287" priority="763" operator="between">
      <formula>70.001%</formula>
      <formula>100%</formula>
    </cfRule>
    <cfRule type="cellIs" dxfId="9286" priority="764" operator="between">
      <formula>0.00001%</formula>
      <formula>70%</formula>
    </cfRule>
    <cfRule type="cellIs" dxfId="9285" priority="765" operator="equal">
      <formula>0</formula>
    </cfRule>
  </conditionalFormatting>
  <conditionalFormatting sqref="T44">
    <cfRule type="cellIs" dxfId="9284" priority="756" operator="greaterThan">
      <formula>110%</formula>
    </cfRule>
    <cfRule type="cellIs" dxfId="9283" priority="757" operator="between">
      <formula>100.001%</formula>
      <formula>110%</formula>
    </cfRule>
    <cfRule type="cellIs" dxfId="9282" priority="758" operator="between">
      <formula>70.001%</formula>
      <formula>100%</formula>
    </cfRule>
    <cfRule type="cellIs" dxfId="9281" priority="759" operator="between">
      <formula>0.00001%</formula>
      <formula>70%</formula>
    </cfRule>
    <cfRule type="cellIs" dxfId="9280" priority="760" operator="equal">
      <formula>0</formula>
    </cfRule>
  </conditionalFormatting>
  <conditionalFormatting sqref="W44">
    <cfRule type="cellIs" dxfId="9279" priority="751" operator="greaterThan">
      <formula>110%</formula>
    </cfRule>
    <cfRule type="cellIs" dxfId="9278" priority="752" operator="between">
      <formula>100.001%</formula>
      <formula>110%</formula>
    </cfRule>
    <cfRule type="cellIs" dxfId="9277" priority="753" operator="between">
      <formula>70.001%</formula>
      <formula>100%</formula>
    </cfRule>
    <cfRule type="cellIs" dxfId="9276" priority="754" operator="between">
      <formula>0.00001%</formula>
      <formula>70%</formula>
    </cfRule>
    <cfRule type="cellIs" dxfId="9275" priority="755" operator="equal">
      <formula>0</formula>
    </cfRule>
  </conditionalFormatting>
  <conditionalFormatting sqref="Z44">
    <cfRule type="cellIs" dxfId="9274" priority="746" operator="greaterThan">
      <formula>110%</formula>
    </cfRule>
    <cfRule type="cellIs" dxfId="9273" priority="747" operator="between">
      <formula>100.001%</formula>
      <formula>110%</formula>
    </cfRule>
    <cfRule type="cellIs" dxfId="9272" priority="748" operator="between">
      <formula>70.001%</formula>
      <formula>100%</formula>
    </cfRule>
    <cfRule type="cellIs" dxfId="9271" priority="749" operator="between">
      <formula>0.00001%</formula>
      <formula>70%</formula>
    </cfRule>
    <cfRule type="cellIs" dxfId="9270" priority="750" operator="equal">
      <formula>0</formula>
    </cfRule>
  </conditionalFormatting>
  <conditionalFormatting sqref="AC44">
    <cfRule type="cellIs" dxfId="9269" priority="741" operator="greaterThan">
      <formula>110%</formula>
    </cfRule>
    <cfRule type="cellIs" dxfId="9268" priority="742" operator="between">
      <formula>100.001%</formula>
      <formula>110%</formula>
    </cfRule>
    <cfRule type="cellIs" dxfId="9267" priority="743" operator="between">
      <formula>70.001%</formula>
      <formula>100%</formula>
    </cfRule>
    <cfRule type="cellIs" dxfId="9266" priority="744" operator="between">
      <formula>0.00001%</formula>
      <formula>70%</formula>
    </cfRule>
    <cfRule type="cellIs" dxfId="9265" priority="745" operator="equal">
      <formula>0</formula>
    </cfRule>
  </conditionalFormatting>
  <conditionalFormatting sqref="AW44">
    <cfRule type="cellIs" dxfId="9264" priority="736" operator="greaterThan">
      <formula>110%</formula>
    </cfRule>
    <cfRule type="cellIs" dxfId="9263" priority="737" operator="between">
      <formula>100.001%</formula>
      <formula>110%</formula>
    </cfRule>
    <cfRule type="cellIs" dxfId="9262" priority="738" operator="between">
      <formula>70.001%</formula>
      <formula>100%</formula>
    </cfRule>
    <cfRule type="cellIs" dxfId="9261" priority="739" operator="between">
      <formula>0.00001%</formula>
      <formula>70%</formula>
    </cfRule>
    <cfRule type="cellIs" dxfId="9260" priority="740" operator="equal">
      <formula>0</formula>
    </cfRule>
  </conditionalFormatting>
  <conditionalFormatting sqref="AT44:AT45 AT37:AT38 AT41:AT42">
    <cfRule type="cellIs" dxfId="9259" priority="731" operator="greaterThan">
      <formula>110%</formula>
    </cfRule>
    <cfRule type="cellIs" dxfId="9258" priority="732" operator="between">
      <formula>100.001%</formula>
      <formula>110%</formula>
    </cfRule>
    <cfRule type="cellIs" dxfId="9257" priority="733" operator="between">
      <formula>70.001%</formula>
      <formula>100%</formula>
    </cfRule>
    <cfRule type="cellIs" dxfId="9256" priority="734" operator="between">
      <formula>0.00001%</formula>
      <formula>70%</formula>
    </cfRule>
    <cfRule type="cellIs" dxfId="9255" priority="735" operator="equal">
      <formula>0</formula>
    </cfRule>
  </conditionalFormatting>
  <conditionalFormatting sqref="AQ44">
    <cfRule type="cellIs" dxfId="9254" priority="726" operator="greaterThan">
      <formula>110%</formula>
    </cfRule>
    <cfRule type="cellIs" dxfId="9253" priority="727" operator="between">
      <formula>100.001%</formula>
      <formula>110%</formula>
    </cfRule>
    <cfRule type="cellIs" dxfId="9252" priority="728" operator="between">
      <formula>70.001%</formula>
      <formula>100%</formula>
    </cfRule>
    <cfRule type="cellIs" dxfId="9251" priority="729" operator="between">
      <formula>0.00001%</formula>
      <formula>70%</formula>
    </cfRule>
    <cfRule type="cellIs" dxfId="9250" priority="730" operator="equal">
      <formula>0</formula>
    </cfRule>
  </conditionalFormatting>
  <conditionalFormatting sqref="AN44">
    <cfRule type="cellIs" dxfId="9249" priority="721" operator="greaterThan">
      <formula>110%</formula>
    </cfRule>
    <cfRule type="cellIs" dxfId="9248" priority="722" operator="between">
      <formula>100.001%</formula>
      <formula>110%</formula>
    </cfRule>
    <cfRule type="cellIs" dxfId="9247" priority="723" operator="between">
      <formula>70.001%</formula>
      <formula>100%</formula>
    </cfRule>
    <cfRule type="cellIs" dxfId="9246" priority="724" operator="between">
      <formula>0.00001%</formula>
      <formula>70%</formula>
    </cfRule>
    <cfRule type="cellIs" dxfId="9245" priority="725" operator="equal">
      <formula>0</formula>
    </cfRule>
  </conditionalFormatting>
  <conditionalFormatting sqref="AK44">
    <cfRule type="cellIs" dxfId="9244" priority="716" operator="greaterThan">
      <formula>110%</formula>
    </cfRule>
    <cfRule type="cellIs" dxfId="9243" priority="717" operator="between">
      <formula>100.001%</formula>
      <formula>110%</formula>
    </cfRule>
    <cfRule type="cellIs" dxfId="9242" priority="718" operator="between">
      <formula>70.001%</formula>
      <formula>100%</formula>
    </cfRule>
    <cfRule type="cellIs" dxfId="9241" priority="719" operator="between">
      <formula>0.00001%</formula>
      <formula>70%</formula>
    </cfRule>
    <cfRule type="cellIs" dxfId="9240" priority="720" operator="equal">
      <formula>0</formula>
    </cfRule>
  </conditionalFormatting>
  <conditionalFormatting sqref="AH44">
    <cfRule type="cellIs" dxfId="9239" priority="711" operator="greaterThan">
      <formula>110%</formula>
    </cfRule>
    <cfRule type="cellIs" dxfId="9238" priority="712" operator="between">
      <formula>100.001%</formula>
      <formula>110%</formula>
    </cfRule>
    <cfRule type="cellIs" dxfId="9237" priority="713" operator="between">
      <formula>70.001%</formula>
      <formula>100%</formula>
    </cfRule>
    <cfRule type="cellIs" dxfId="9236" priority="714" operator="between">
      <formula>0.00001%</formula>
      <formula>70%</formula>
    </cfRule>
    <cfRule type="cellIs" dxfId="9235" priority="715" operator="equal">
      <formula>0</formula>
    </cfRule>
  </conditionalFormatting>
  <conditionalFormatting sqref="AE9">
    <cfRule type="cellIs" dxfId="9234" priority="706" operator="greaterThan">
      <formula>110%</formula>
    </cfRule>
    <cfRule type="cellIs" dxfId="9233" priority="707" operator="between">
      <formula>100.001%</formula>
      <formula>110%</formula>
    </cfRule>
    <cfRule type="cellIs" dxfId="9232" priority="708" operator="between">
      <formula>70.001%</formula>
      <formula>100%</formula>
    </cfRule>
    <cfRule type="cellIs" dxfId="9231" priority="709" operator="between">
      <formula>0.00001%</formula>
      <formula>70%</formula>
    </cfRule>
    <cfRule type="cellIs" dxfId="9230" priority="710" operator="equal">
      <formula>0</formula>
    </cfRule>
  </conditionalFormatting>
  <conditionalFormatting sqref="AY9:AY10">
    <cfRule type="cellIs" dxfId="9229" priority="701" operator="greaterThan">
      <formula>110%</formula>
    </cfRule>
    <cfRule type="cellIs" dxfId="9228" priority="702" operator="between">
      <formula>100.001%</formula>
      <formula>110%</formula>
    </cfRule>
    <cfRule type="cellIs" dxfId="9227" priority="703" operator="between">
      <formula>70.001%</formula>
      <formula>100%</formula>
    </cfRule>
    <cfRule type="cellIs" dxfId="9226" priority="704" operator="between">
      <formula>0.00001%</formula>
      <formula>70%</formula>
    </cfRule>
    <cfRule type="cellIs" dxfId="9225" priority="705" operator="equal">
      <formula>0</formula>
    </cfRule>
  </conditionalFormatting>
  <conditionalFormatting sqref="N9">
    <cfRule type="cellIs" dxfId="9224" priority="696" operator="greaterThan">
      <formula>110%</formula>
    </cfRule>
    <cfRule type="cellIs" dxfId="9223" priority="697" operator="between">
      <formula>100.001%</formula>
      <formula>110%</formula>
    </cfRule>
    <cfRule type="cellIs" dxfId="9222" priority="698" operator="between">
      <formula>70.001%</formula>
      <formula>100%</formula>
    </cfRule>
    <cfRule type="cellIs" dxfId="9221" priority="699" operator="between">
      <formula>0.00001%</formula>
      <formula>70%</formula>
    </cfRule>
    <cfRule type="cellIs" dxfId="9220" priority="700" operator="equal">
      <formula>0</formula>
    </cfRule>
  </conditionalFormatting>
  <conditionalFormatting sqref="Q9">
    <cfRule type="cellIs" dxfId="9219" priority="691" operator="greaterThan">
      <formula>110%</formula>
    </cfRule>
    <cfRule type="cellIs" dxfId="9218" priority="692" operator="between">
      <formula>100.001%</formula>
      <formula>110%</formula>
    </cfRule>
    <cfRule type="cellIs" dxfId="9217" priority="693" operator="between">
      <formula>70.001%</formula>
      <formula>100%</formula>
    </cfRule>
    <cfRule type="cellIs" dxfId="9216" priority="694" operator="between">
      <formula>0.00001%</formula>
      <formula>70%</formula>
    </cfRule>
    <cfRule type="cellIs" dxfId="9215" priority="695" operator="equal">
      <formula>0</formula>
    </cfRule>
  </conditionalFormatting>
  <conditionalFormatting sqref="T9">
    <cfRule type="cellIs" dxfId="9214" priority="686" operator="greaterThan">
      <formula>110%</formula>
    </cfRule>
    <cfRule type="cellIs" dxfId="9213" priority="687" operator="between">
      <formula>100.001%</formula>
      <formula>110%</formula>
    </cfRule>
    <cfRule type="cellIs" dxfId="9212" priority="688" operator="between">
      <formula>70.001%</formula>
      <formula>100%</formula>
    </cfRule>
    <cfRule type="cellIs" dxfId="9211" priority="689" operator="between">
      <formula>0.00001%</formula>
      <formula>70%</formula>
    </cfRule>
    <cfRule type="cellIs" dxfId="9210" priority="690" operator="equal">
      <formula>0</formula>
    </cfRule>
  </conditionalFormatting>
  <conditionalFormatting sqref="W9">
    <cfRule type="cellIs" dxfId="9209" priority="681" operator="greaterThan">
      <formula>110%</formula>
    </cfRule>
    <cfRule type="cellIs" dxfId="9208" priority="682" operator="between">
      <formula>100.001%</formula>
      <formula>110%</formula>
    </cfRule>
    <cfRule type="cellIs" dxfId="9207" priority="683" operator="between">
      <formula>70.001%</formula>
      <formula>100%</formula>
    </cfRule>
    <cfRule type="cellIs" dxfId="9206" priority="684" operator="between">
      <formula>0.00001%</formula>
      <formula>70%</formula>
    </cfRule>
    <cfRule type="cellIs" dxfId="9205" priority="685" operator="equal">
      <formula>0</formula>
    </cfRule>
  </conditionalFormatting>
  <conditionalFormatting sqref="Z9">
    <cfRule type="cellIs" dxfId="9204" priority="676" operator="greaterThan">
      <formula>110%</formula>
    </cfRule>
    <cfRule type="cellIs" dxfId="9203" priority="677" operator="between">
      <formula>100.001%</formula>
      <formula>110%</formula>
    </cfRule>
    <cfRule type="cellIs" dxfId="9202" priority="678" operator="between">
      <formula>70.001%</formula>
      <formula>100%</formula>
    </cfRule>
    <cfRule type="cellIs" dxfId="9201" priority="679" operator="between">
      <formula>0.00001%</formula>
      <formula>70%</formula>
    </cfRule>
    <cfRule type="cellIs" dxfId="9200" priority="680" operator="equal">
      <formula>0</formula>
    </cfRule>
  </conditionalFormatting>
  <conditionalFormatting sqref="AC9">
    <cfRule type="cellIs" dxfId="9199" priority="671" operator="greaterThan">
      <formula>110%</formula>
    </cfRule>
    <cfRule type="cellIs" dxfId="9198" priority="672" operator="between">
      <formula>100.001%</formula>
      <formula>110%</formula>
    </cfRule>
    <cfRule type="cellIs" dxfId="9197" priority="673" operator="between">
      <formula>70.001%</formula>
      <formula>100%</formula>
    </cfRule>
    <cfRule type="cellIs" dxfId="9196" priority="674" operator="between">
      <formula>0.00001%</formula>
      <formula>70%</formula>
    </cfRule>
    <cfRule type="cellIs" dxfId="9195" priority="675" operator="equal">
      <formula>0</formula>
    </cfRule>
  </conditionalFormatting>
  <conditionalFormatting sqref="AH9">
    <cfRule type="cellIs" dxfId="9194" priority="666" operator="greaterThan">
      <formula>110%</formula>
    </cfRule>
    <cfRule type="cellIs" dxfId="9193" priority="667" operator="between">
      <formula>100.001%</formula>
      <formula>110%</formula>
    </cfRule>
    <cfRule type="cellIs" dxfId="9192" priority="668" operator="between">
      <formula>70.001%</formula>
      <formula>100%</formula>
    </cfRule>
    <cfRule type="cellIs" dxfId="9191" priority="669" operator="between">
      <formula>0.00001%</formula>
      <formula>70%</formula>
    </cfRule>
    <cfRule type="cellIs" dxfId="9190" priority="670" operator="equal">
      <formula>0</formula>
    </cfRule>
  </conditionalFormatting>
  <conditionalFormatting sqref="AK9">
    <cfRule type="cellIs" dxfId="9189" priority="661" operator="greaterThan">
      <formula>110%</formula>
    </cfRule>
    <cfRule type="cellIs" dxfId="9188" priority="662" operator="between">
      <formula>100.001%</formula>
      <formula>110%</formula>
    </cfRule>
    <cfRule type="cellIs" dxfId="9187" priority="663" operator="between">
      <formula>70.001%</formula>
      <formula>100%</formula>
    </cfRule>
    <cfRule type="cellIs" dxfId="9186" priority="664" operator="between">
      <formula>0.00001%</formula>
      <formula>70%</formula>
    </cfRule>
    <cfRule type="cellIs" dxfId="9185" priority="665" operator="equal">
      <formula>0</formula>
    </cfRule>
  </conditionalFormatting>
  <conditionalFormatting sqref="AN9">
    <cfRule type="cellIs" dxfId="9184" priority="656" operator="greaterThan">
      <formula>110%</formula>
    </cfRule>
    <cfRule type="cellIs" dxfId="9183" priority="657" operator="between">
      <formula>100.001%</formula>
      <formula>110%</formula>
    </cfRule>
    <cfRule type="cellIs" dxfId="9182" priority="658" operator="between">
      <formula>70.001%</formula>
      <formula>100%</formula>
    </cfRule>
    <cfRule type="cellIs" dxfId="9181" priority="659" operator="between">
      <formula>0.00001%</formula>
      <formula>70%</formula>
    </cfRule>
    <cfRule type="cellIs" dxfId="9180" priority="660" operator="equal">
      <formula>0</formula>
    </cfRule>
  </conditionalFormatting>
  <conditionalFormatting sqref="AQ9">
    <cfRule type="cellIs" dxfId="9179" priority="651" operator="greaterThan">
      <formula>110%</formula>
    </cfRule>
    <cfRule type="cellIs" dxfId="9178" priority="652" operator="between">
      <formula>100.001%</formula>
      <formula>110%</formula>
    </cfRule>
    <cfRule type="cellIs" dxfId="9177" priority="653" operator="between">
      <formula>70.001%</formula>
      <formula>100%</formula>
    </cfRule>
    <cfRule type="cellIs" dxfId="9176" priority="654" operator="between">
      <formula>0.00001%</formula>
      <formula>70%</formula>
    </cfRule>
    <cfRule type="cellIs" dxfId="9175" priority="655" operator="equal">
      <formula>0</formula>
    </cfRule>
  </conditionalFormatting>
  <conditionalFormatting sqref="AW10">
    <cfRule type="cellIs" dxfId="9174" priority="646" operator="greaterThan">
      <formula>110%</formula>
    </cfRule>
    <cfRule type="cellIs" dxfId="9173" priority="647" operator="between">
      <formula>100.001%</formula>
      <formula>110%</formula>
    </cfRule>
    <cfRule type="cellIs" dxfId="9172" priority="648" operator="between">
      <formula>70.001%</formula>
      <formula>100%</formula>
    </cfRule>
    <cfRule type="cellIs" dxfId="9171" priority="649" operator="between">
      <formula>0.00001%</formula>
      <formula>70%</formula>
    </cfRule>
    <cfRule type="cellIs" dxfId="9170" priority="650" operator="equal">
      <formula>0</formula>
    </cfRule>
  </conditionalFormatting>
  <conditionalFormatting sqref="AE47">
    <cfRule type="cellIs" dxfId="9169" priority="641" operator="greaterThan">
      <formula>110%</formula>
    </cfRule>
    <cfRule type="cellIs" dxfId="9168" priority="642" operator="between">
      <formula>100.001%</formula>
      <formula>110%</formula>
    </cfRule>
    <cfRule type="cellIs" dxfId="9167" priority="643" operator="between">
      <formula>70.001%</formula>
      <formula>100%</formula>
    </cfRule>
    <cfRule type="cellIs" dxfId="9166" priority="644" operator="between">
      <formula>0.00001%</formula>
      <formula>70%</formula>
    </cfRule>
    <cfRule type="cellIs" dxfId="9165" priority="645" operator="equal">
      <formula>0</formula>
    </cfRule>
  </conditionalFormatting>
  <conditionalFormatting sqref="AY47">
    <cfRule type="cellIs" dxfId="9164" priority="636" operator="greaterThan">
      <formula>110%</formula>
    </cfRule>
    <cfRule type="cellIs" dxfId="9163" priority="637" operator="between">
      <formula>100.001%</formula>
      <formula>110%</formula>
    </cfRule>
    <cfRule type="cellIs" dxfId="9162" priority="638" operator="between">
      <formula>70.001%</formula>
      <formula>100%</formula>
    </cfRule>
    <cfRule type="cellIs" dxfId="9161" priority="639" operator="between">
      <formula>0.00001%</formula>
      <formula>70%</formula>
    </cfRule>
    <cfRule type="cellIs" dxfId="9160" priority="640" operator="equal">
      <formula>0</formula>
    </cfRule>
  </conditionalFormatting>
  <conditionalFormatting sqref="N47">
    <cfRule type="cellIs" dxfId="9159" priority="631" operator="greaterThan">
      <formula>110%</formula>
    </cfRule>
    <cfRule type="cellIs" dxfId="9158" priority="632" operator="between">
      <formula>100.001%</formula>
      <formula>110%</formula>
    </cfRule>
    <cfRule type="cellIs" dxfId="9157" priority="633" operator="between">
      <formula>70.001%</formula>
      <formula>100%</formula>
    </cfRule>
    <cfRule type="cellIs" dxfId="9156" priority="634" operator="between">
      <formula>0.00001%</formula>
      <formula>70%</formula>
    </cfRule>
    <cfRule type="cellIs" dxfId="9155" priority="635" operator="equal">
      <formula>0</formula>
    </cfRule>
  </conditionalFormatting>
  <conditionalFormatting sqref="Q47">
    <cfRule type="cellIs" dxfId="9154" priority="626" operator="greaterThan">
      <formula>110%</formula>
    </cfRule>
    <cfRule type="cellIs" dxfId="9153" priority="627" operator="between">
      <formula>100.001%</formula>
      <formula>110%</formula>
    </cfRule>
    <cfRule type="cellIs" dxfId="9152" priority="628" operator="between">
      <formula>70.001%</formula>
      <formula>100%</formula>
    </cfRule>
    <cfRule type="cellIs" dxfId="9151" priority="629" operator="between">
      <formula>0.00001%</formula>
      <formula>70%</formula>
    </cfRule>
    <cfRule type="cellIs" dxfId="9150" priority="630" operator="equal">
      <formula>0</formula>
    </cfRule>
  </conditionalFormatting>
  <conditionalFormatting sqref="T47">
    <cfRule type="cellIs" dxfId="9149" priority="621" operator="greaterThan">
      <formula>110%</formula>
    </cfRule>
    <cfRule type="cellIs" dxfId="9148" priority="622" operator="between">
      <formula>100.001%</formula>
      <formula>110%</formula>
    </cfRule>
    <cfRule type="cellIs" dxfId="9147" priority="623" operator="between">
      <formula>70.001%</formula>
      <formula>100%</formula>
    </cfRule>
    <cfRule type="cellIs" dxfId="9146" priority="624" operator="between">
      <formula>0.00001%</formula>
      <formula>70%</formula>
    </cfRule>
    <cfRule type="cellIs" dxfId="9145" priority="625" operator="equal">
      <formula>0</formula>
    </cfRule>
  </conditionalFormatting>
  <conditionalFormatting sqref="W47">
    <cfRule type="cellIs" dxfId="9144" priority="616" operator="greaterThan">
      <formula>110%</formula>
    </cfRule>
    <cfRule type="cellIs" dxfId="9143" priority="617" operator="between">
      <formula>100.001%</formula>
      <formula>110%</formula>
    </cfRule>
    <cfRule type="cellIs" dxfId="9142" priority="618" operator="between">
      <formula>70.001%</formula>
      <formula>100%</formula>
    </cfRule>
    <cfRule type="cellIs" dxfId="9141" priority="619" operator="between">
      <formula>0.00001%</formula>
      <formula>70%</formula>
    </cfRule>
    <cfRule type="cellIs" dxfId="9140" priority="620" operator="equal">
      <formula>0</formula>
    </cfRule>
  </conditionalFormatting>
  <conditionalFormatting sqref="Z47">
    <cfRule type="cellIs" dxfId="9139" priority="611" operator="greaterThan">
      <formula>110%</formula>
    </cfRule>
    <cfRule type="cellIs" dxfId="9138" priority="612" operator="between">
      <formula>100.001%</formula>
      <formula>110%</formula>
    </cfRule>
    <cfRule type="cellIs" dxfId="9137" priority="613" operator="between">
      <formula>70.001%</formula>
      <formula>100%</formula>
    </cfRule>
    <cfRule type="cellIs" dxfId="9136" priority="614" operator="between">
      <formula>0.00001%</formula>
      <formula>70%</formula>
    </cfRule>
    <cfRule type="cellIs" dxfId="9135" priority="615" operator="equal">
      <formula>0</formula>
    </cfRule>
  </conditionalFormatting>
  <conditionalFormatting sqref="AC47">
    <cfRule type="cellIs" dxfId="9134" priority="606" operator="greaterThan">
      <formula>110%</formula>
    </cfRule>
    <cfRule type="cellIs" dxfId="9133" priority="607" operator="between">
      <formula>100.001%</formula>
      <formula>110%</formula>
    </cfRule>
    <cfRule type="cellIs" dxfId="9132" priority="608" operator="between">
      <formula>70.001%</formula>
      <formula>100%</formula>
    </cfRule>
    <cfRule type="cellIs" dxfId="9131" priority="609" operator="between">
      <formula>0.00001%</formula>
      <formula>70%</formula>
    </cfRule>
    <cfRule type="cellIs" dxfId="9130" priority="610" operator="equal">
      <formula>0</formula>
    </cfRule>
  </conditionalFormatting>
  <conditionalFormatting sqref="AH47">
    <cfRule type="cellIs" dxfId="9129" priority="601" operator="greaterThan">
      <formula>110%</formula>
    </cfRule>
    <cfRule type="cellIs" dxfId="9128" priority="602" operator="between">
      <formula>100.001%</formula>
      <formula>110%</formula>
    </cfRule>
    <cfRule type="cellIs" dxfId="9127" priority="603" operator="between">
      <formula>70.001%</formula>
      <formula>100%</formula>
    </cfRule>
    <cfRule type="cellIs" dxfId="9126" priority="604" operator="between">
      <formula>0.00001%</formula>
      <formula>70%</formula>
    </cfRule>
    <cfRule type="cellIs" dxfId="9125" priority="605" operator="equal">
      <formula>0</formula>
    </cfRule>
  </conditionalFormatting>
  <conditionalFormatting sqref="AK47">
    <cfRule type="cellIs" dxfId="9124" priority="596" operator="greaterThan">
      <formula>110%</formula>
    </cfRule>
    <cfRule type="cellIs" dxfId="9123" priority="597" operator="between">
      <formula>100.001%</formula>
      <formula>110%</formula>
    </cfRule>
    <cfRule type="cellIs" dxfId="9122" priority="598" operator="between">
      <formula>70.001%</formula>
      <formula>100%</formula>
    </cfRule>
    <cfRule type="cellIs" dxfId="9121" priority="599" operator="between">
      <formula>0.00001%</formula>
      <formula>70%</formula>
    </cfRule>
    <cfRule type="cellIs" dxfId="9120" priority="600" operator="equal">
      <formula>0</formula>
    </cfRule>
  </conditionalFormatting>
  <conditionalFormatting sqref="AN47">
    <cfRule type="cellIs" dxfId="9119" priority="591" operator="greaterThan">
      <formula>110%</formula>
    </cfRule>
    <cfRule type="cellIs" dxfId="9118" priority="592" operator="between">
      <formula>100.001%</formula>
      <formula>110%</formula>
    </cfRule>
    <cfRule type="cellIs" dxfId="9117" priority="593" operator="between">
      <formula>70.001%</formula>
      <formula>100%</formula>
    </cfRule>
    <cfRule type="cellIs" dxfId="9116" priority="594" operator="between">
      <formula>0.00001%</formula>
      <formula>70%</formula>
    </cfRule>
    <cfRule type="cellIs" dxfId="9115" priority="595" operator="equal">
      <formula>0</formula>
    </cfRule>
  </conditionalFormatting>
  <conditionalFormatting sqref="AQ47">
    <cfRule type="cellIs" dxfId="9114" priority="586" operator="greaterThan">
      <formula>110%</formula>
    </cfRule>
    <cfRule type="cellIs" dxfId="9113" priority="587" operator="between">
      <formula>100.001%</formula>
      <formula>110%</formula>
    </cfRule>
    <cfRule type="cellIs" dxfId="9112" priority="588" operator="between">
      <formula>70.001%</formula>
      <formula>100%</formula>
    </cfRule>
    <cfRule type="cellIs" dxfId="9111" priority="589" operator="between">
      <formula>0.00001%</formula>
      <formula>70%</formula>
    </cfRule>
    <cfRule type="cellIs" dxfId="9110" priority="590" operator="equal">
      <formula>0</formula>
    </cfRule>
  </conditionalFormatting>
  <conditionalFormatting sqref="AT47">
    <cfRule type="cellIs" dxfId="9109" priority="581" operator="greaterThan">
      <formula>110%</formula>
    </cfRule>
    <cfRule type="cellIs" dxfId="9108" priority="582" operator="between">
      <formula>100.001%</formula>
      <formula>110%</formula>
    </cfRule>
    <cfRule type="cellIs" dxfId="9107" priority="583" operator="between">
      <formula>70.001%</formula>
      <formula>100%</formula>
    </cfRule>
    <cfRule type="cellIs" dxfId="9106" priority="584" operator="between">
      <formula>0.00001%</formula>
      <formula>70%</formula>
    </cfRule>
    <cfRule type="cellIs" dxfId="9105" priority="585" operator="equal">
      <formula>0</formula>
    </cfRule>
  </conditionalFormatting>
  <conditionalFormatting sqref="AW47">
    <cfRule type="cellIs" dxfId="9104" priority="576" operator="greaterThan">
      <formula>110%</formula>
    </cfRule>
    <cfRule type="cellIs" dxfId="9103" priority="577" operator="between">
      <formula>100.001%</formula>
      <formula>110%</formula>
    </cfRule>
    <cfRule type="cellIs" dxfId="9102" priority="578" operator="between">
      <formula>70.001%</formula>
      <formula>100%</formula>
    </cfRule>
    <cfRule type="cellIs" dxfId="9101" priority="579" operator="between">
      <formula>0.00001%</formula>
      <formula>70%</formula>
    </cfRule>
    <cfRule type="cellIs" dxfId="9100" priority="580" operator="equal">
      <formula>0</formula>
    </cfRule>
  </conditionalFormatting>
  <conditionalFormatting sqref="AY34">
    <cfRule type="cellIs" dxfId="9099" priority="571" operator="greaterThan">
      <formula>110%</formula>
    </cfRule>
    <cfRule type="cellIs" dxfId="9098" priority="572" operator="between">
      <formula>100.001%</formula>
      <formula>110%</formula>
    </cfRule>
    <cfRule type="cellIs" dxfId="9097" priority="573" operator="between">
      <formula>70.001%</formula>
      <formula>100%</formula>
    </cfRule>
    <cfRule type="cellIs" dxfId="9096" priority="574" operator="between">
      <formula>0.00001%</formula>
      <formula>70%</formula>
    </cfRule>
    <cfRule type="cellIs" dxfId="9095" priority="575" operator="equal">
      <formula>0%</formula>
    </cfRule>
  </conditionalFormatting>
  <conditionalFormatting sqref="AY35">
    <cfRule type="cellIs" dxfId="9094" priority="566" operator="greaterThan">
      <formula>110%</formula>
    </cfRule>
    <cfRule type="cellIs" dxfId="9093" priority="567" operator="between">
      <formula>100.001%</formula>
      <formula>110%</formula>
    </cfRule>
    <cfRule type="cellIs" dxfId="9092" priority="568" operator="between">
      <formula>70.001%</formula>
      <formula>100%</formula>
    </cfRule>
    <cfRule type="cellIs" dxfId="9091" priority="569" operator="between">
      <formula>0.00001%</formula>
      <formula>70%</formula>
    </cfRule>
    <cfRule type="cellIs" dxfId="9090" priority="570" operator="equal">
      <formula>0%</formula>
    </cfRule>
  </conditionalFormatting>
  <conditionalFormatting sqref="AE10">
    <cfRule type="cellIs" dxfId="9089" priority="561" operator="greaterThan">
      <formula>110%</formula>
    </cfRule>
    <cfRule type="cellIs" dxfId="9088" priority="562" operator="between">
      <formula>100.001%</formula>
      <formula>110%</formula>
    </cfRule>
    <cfRule type="cellIs" dxfId="9087" priority="563" operator="between">
      <formula>70.001%</formula>
      <formula>100%</formula>
    </cfRule>
    <cfRule type="cellIs" dxfId="9086" priority="564" operator="between">
      <formula>0.00001%</formula>
      <formula>70%</formula>
    </cfRule>
    <cfRule type="cellIs" dxfId="9085" priority="565" operator="equal">
      <formula>0</formula>
    </cfRule>
  </conditionalFormatting>
  <conditionalFormatting sqref="N10">
    <cfRule type="cellIs" dxfId="9084" priority="556" operator="greaterThan">
      <formula>110%</formula>
    </cfRule>
    <cfRule type="cellIs" dxfId="9083" priority="557" operator="between">
      <formula>100.001%</formula>
      <formula>110%</formula>
    </cfRule>
    <cfRule type="cellIs" dxfId="9082" priority="558" operator="between">
      <formula>70.001%</formula>
      <formula>100%</formula>
    </cfRule>
    <cfRule type="cellIs" dxfId="9081" priority="559" operator="between">
      <formula>0.00001%</formula>
      <formula>70%</formula>
    </cfRule>
    <cfRule type="cellIs" dxfId="9080" priority="560" operator="equal">
      <formula>0</formula>
    </cfRule>
  </conditionalFormatting>
  <conditionalFormatting sqref="Q10">
    <cfRule type="cellIs" dxfId="9079" priority="551" operator="greaterThan">
      <formula>110%</formula>
    </cfRule>
    <cfRule type="cellIs" dxfId="9078" priority="552" operator="between">
      <formula>100.001%</formula>
      <formula>110%</formula>
    </cfRule>
    <cfRule type="cellIs" dxfId="9077" priority="553" operator="between">
      <formula>70.001%</formula>
      <formula>100%</formula>
    </cfRule>
    <cfRule type="cellIs" dxfId="9076" priority="554" operator="between">
      <formula>0.00001%</formula>
      <formula>70%</formula>
    </cfRule>
    <cfRule type="cellIs" dxfId="9075" priority="555" operator="equal">
      <formula>0</formula>
    </cfRule>
  </conditionalFormatting>
  <conditionalFormatting sqref="T10">
    <cfRule type="cellIs" dxfId="9074" priority="546" operator="greaterThan">
      <formula>110%</formula>
    </cfRule>
    <cfRule type="cellIs" dxfId="9073" priority="547" operator="between">
      <formula>100.001%</formula>
      <formula>110%</formula>
    </cfRule>
    <cfRule type="cellIs" dxfId="9072" priority="548" operator="between">
      <formula>70.001%</formula>
      <formula>100%</formula>
    </cfRule>
    <cfRule type="cellIs" dxfId="9071" priority="549" operator="between">
      <formula>0.00001%</formula>
      <formula>70%</formula>
    </cfRule>
    <cfRule type="cellIs" dxfId="9070" priority="550" operator="equal">
      <formula>0</formula>
    </cfRule>
  </conditionalFormatting>
  <conditionalFormatting sqref="W10">
    <cfRule type="cellIs" dxfId="9069" priority="541" operator="greaterThan">
      <formula>110%</formula>
    </cfRule>
    <cfRule type="cellIs" dxfId="9068" priority="542" operator="between">
      <formula>100.001%</formula>
      <formula>110%</formula>
    </cfRule>
    <cfRule type="cellIs" dxfId="9067" priority="543" operator="between">
      <formula>70.001%</formula>
      <formula>100%</formula>
    </cfRule>
    <cfRule type="cellIs" dxfId="9066" priority="544" operator="between">
      <formula>0.00001%</formula>
      <formula>70%</formula>
    </cfRule>
    <cfRule type="cellIs" dxfId="9065" priority="545" operator="equal">
      <formula>0</formula>
    </cfRule>
  </conditionalFormatting>
  <conditionalFormatting sqref="Z10">
    <cfRule type="cellIs" dxfId="9064" priority="536" operator="greaterThan">
      <formula>110%</formula>
    </cfRule>
    <cfRule type="cellIs" dxfId="9063" priority="537" operator="between">
      <formula>100.001%</formula>
      <formula>110%</formula>
    </cfRule>
    <cfRule type="cellIs" dxfId="9062" priority="538" operator="between">
      <formula>70.001%</formula>
      <formula>100%</formula>
    </cfRule>
    <cfRule type="cellIs" dxfId="9061" priority="539" operator="between">
      <formula>0.00001%</formula>
      <formula>70%</formula>
    </cfRule>
    <cfRule type="cellIs" dxfId="9060" priority="540" operator="equal">
      <formula>0</formula>
    </cfRule>
  </conditionalFormatting>
  <conditionalFormatting sqref="AC10">
    <cfRule type="cellIs" dxfId="9059" priority="531" operator="greaterThan">
      <formula>110%</formula>
    </cfRule>
    <cfRule type="cellIs" dxfId="9058" priority="532" operator="between">
      <formula>100.001%</formula>
      <formula>110%</formula>
    </cfRule>
    <cfRule type="cellIs" dxfId="9057" priority="533" operator="between">
      <formula>70.001%</formula>
      <formula>100%</formula>
    </cfRule>
    <cfRule type="cellIs" dxfId="9056" priority="534" operator="between">
      <formula>0.00001%</formula>
      <formula>70%</formula>
    </cfRule>
    <cfRule type="cellIs" dxfId="9055" priority="535" operator="equal">
      <formula>0</formula>
    </cfRule>
  </conditionalFormatting>
  <conditionalFormatting sqref="AH10">
    <cfRule type="cellIs" dxfId="9054" priority="526" operator="greaterThan">
      <formula>110%</formula>
    </cfRule>
    <cfRule type="cellIs" dxfId="9053" priority="527" operator="between">
      <formula>100.001%</formula>
      <formula>110%</formula>
    </cfRule>
    <cfRule type="cellIs" dxfId="9052" priority="528" operator="between">
      <formula>70.001%</formula>
      <formula>100%</formula>
    </cfRule>
    <cfRule type="cellIs" dxfId="9051" priority="529" operator="between">
      <formula>0.00001%</formula>
      <formula>70%</formula>
    </cfRule>
    <cfRule type="cellIs" dxfId="9050" priority="530" operator="equal">
      <formula>0</formula>
    </cfRule>
  </conditionalFormatting>
  <conditionalFormatting sqref="AK10">
    <cfRule type="cellIs" dxfId="9049" priority="521" operator="greaterThan">
      <formula>110%</formula>
    </cfRule>
    <cfRule type="cellIs" dxfId="9048" priority="522" operator="between">
      <formula>100.001%</formula>
      <formula>110%</formula>
    </cfRule>
    <cfRule type="cellIs" dxfId="9047" priority="523" operator="between">
      <formula>70.001%</formula>
      <formula>100%</formula>
    </cfRule>
    <cfRule type="cellIs" dxfId="9046" priority="524" operator="between">
      <formula>0.00001%</formula>
      <formula>70%</formula>
    </cfRule>
    <cfRule type="cellIs" dxfId="9045" priority="525" operator="equal">
      <formula>0</formula>
    </cfRule>
  </conditionalFormatting>
  <conditionalFormatting sqref="AN10">
    <cfRule type="cellIs" dxfId="9044" priority="516" operator="greaterThan">
      <formula>110%</formula>
    </cfRule>
    <cfRule type="cellIs" dxfId="9043" priority="517" operator="between">
      <formula>100.001%</formula>
      <formula>110%</formula>
    </cfRule>
    <cfRule type="cellIs" dxfId="9042" priority="518" operator="between">
      <formula>70.001%</formula>
      <formula>100%</formula>
    </cfRule>
    <cfRule type="cellIs" dxfId="9041" priority="519" operator="between">
      <formula>0.00001%</formula>
      <formula>70%</formula>
    </cfRule>
    <cfRule type="cellIs" dxfId="9040" priority="520" operator="equal">
      <formula>0</formula>
    </cfRule>
  </conditionalFormatting>
  <conditionalFormatting sqref="AQ10">
    <cfRule type="cellIs" dxfId="9039" priority="511" operator="greaterThan">
      <formula>110%</formula>
    </cfRule>
    <cfRule type="cellIs" dxfId="9038" priority="512" operator="between">
      <formula>100.001%</formula>
      <formula>110%</formula>
    </cfRule>
    <cfRule type="cellIs" dxfId="9037" priority="513" operator="between">
      <formula>70.001%</formula>
      <formula>100%</formula>
    </cfRule>
    <cfRule type="cellIs" dxfId="9036" priority="514" operator="between">
      <formula>0.00001%</formula>
      <formula>70%</formula>
    </cfRule>
    <cfRule type="cellIs" dxfId="9035" priority="515" operator="equal">
      <formula>0</formula>
    </cfRule>
  </conditionalFormatting>
  <conditionalFormatting sqref="AE11 N11 Q11 T11 W11 Z11 AC11 AQ11 AN11 AK11 AH11">
    <cfRule type="cellIs" dxfId="9034" priority="506" operator="greaterThan">
      <formula>110%</formula>
    </cfRule>
    <cfRule type="cellIs" dxfId="9033" priority="507" operator="between">
      <formula>100.001%</formula>
      <formula>110%</formula>
    </cfRule>
    <cfRule type="cellIs" dxfId="9032" priority="508" operator="between">
      <formula>70.001%</formula>
      <formula>100%</formula>
    </cfRule>
    <cfRule type="cellIs" dxfId="9031" priority="509" operator="between">
      <formula>0.00001%</formula>
      <formula>70%</formula>
    </cfRule>
    <cfRule type="cellIs" dxfId="9030" priority="510" operator="equal">
      <formula>0</formula>
    </cfRule>
  </conditionalFormatting>
  <conditionalFormatting sqref="AE14 N14 Q14 T14 W14 Z14 AC14 AQ14 AN14 AK14 AH14">
    <cfRule type="cellIs" dxfId="9029" priority="501" operator="greaterThan">
      <formula>110%</formula>
    </cfRule>
    <cfRule type="cellIs" dxfId="9028" priority="502" operator="between">
      <formula>100.001%</formula>
      <formula>110%</formula>
    </cfRule>
    <cfRule type="cellIs" dxfId="9027" priority="503" operator="between">
      <formula>70.001%</formula>
      <formula>100%</formula>
    </cfRule>
    <cfRule type="cellIs" dxfId="9026" priority="504" operator="between">
      <formula>0.00001%</formula>
      <formula>70%</formula>
    </cfRule>
    <cfRule type="cellIs" dxfId="9025" priority="505" operator="equal">
      <formula>0</formula>
    </cfRule>
  </conditionalFormatting>
  <conditionalFormatting sqref="AE22 N22 Q22 T22 W22 Z22 AC22 AQ22 AN22 AK22 AH22">
    <cfRule type="cellIs" dxfId="9024" priority="496" operator="greaterThan">
      <formula>110%</formula>
    </cfRule>
    <cfRule type="cellIs" dxfId="9023" priority="497" operator="between">
      <formula>100.001%</formula>
      <formula>110%</formula>
    </cfRule>
    <cfRule type="cellIs" dxfId="9022" priority="498" operator="between">
      <formula>70.001%</formula>
      <formula>100%</formula>
    </cfRule>
    <cfRule type="cellIs" dxfId="9021" priority="499" operator="between">
      <formula>0.00001%</formula>
      <formula>70%</formula>
    </cfRule>
    <cfRule type="cellIs" dxfId="9020" priority="500" operator="equal">
      <formula>0</formula>
    </cfRule>
  </conditionalFormatting>
  <conditionalFormatting sqref="AE23 N23 Q23 T23 W23 Z23 AC23 AQ23 AN23 AK23 AH23">
    <cfRule type="cellIs" dxfId="9019" priority="491" operator="greaterThan">
      <formula>110%</formula>
    </cfRule>
    <cfRule type="cellIs" dxfId="9018" priority="492" operator="between">
      <formula>100.001%</formula>
      <formula>110%</formula>
    </cfRule>
    <cfRule type="cellIs" dxfId="9017" priority="493" operator="between">
      <formula>70.001%</formula>
      <formula>100%</formula>
    </cfRule>
    <cfRule type="cellIs" dxfId="9016" priority="494" operator="between">
      <formula>0.00001%</formula>
      <formula>70%</formula>
    </cfRule>
    <cfRule type="cellIs" dxfId="9015" priority="495" operator="equal">
      <formula>0</formula>
    </cfRule>
  </conditionalFormatting>
  <conditionalFormatting sqref="AE24 N24 Q24 T24 W24 Z24 AC24 AQ24 AN24 AK24 AH24">
    <cfRule type="cellIs" dxfId="9014" priority="486" operator="greaterThan">
      <formula>110%</formula>
    </cfRule>
    <cfRule type="cellIs" dxfId="9013" priority="487" operator="between">
      <formula>100.001%</formula>
      <formula>110%</formula>
    </cfRule>
    <cfRule type="cellIs" dxfId="9012" priority="488" operator="between">
      <formula>70.001%</formula>
      <formula>100%</formula>
    </cfRule>
    <cfRule type="cellIs" dxfId="9011" priority="489" operator="between">
      <formula>0.00001%</formula>
      <formula>70%</formula>
    </cfRule>
    <cfRule type="cellIs" dxfId="9010" priority="490" operator="equal">
      <formula>0</formula>
    </cfRule>
  </conditionalFormatting>
  <conditionalFormatting sqref="AE25 N25 Q25 T25 W25 Z25 AC25 AQ25 AN25 AK25 AH25">
    <cfRule type="cellIs" dxfId="9009" priority="481" operator="greaterThan">
      <formula>110%</formula>
    </cfRule>
    <cfRule type="cellIs" dxfId="9008" priority="482" operator="between">
      <formula>100.001%</formula>
      <formula>110%</formula>
    </cfRule>
    <cfRule type="cellIs" dxfId="9007" priority="483" operator="between">
      <formula>70.001%</formula>
      <formula>100%</formula>
    </cfRule>
    <cfRule type="cellIs" dxfId="9006" priority="484" operator="between">
      <formula>0.00001%</formula>
      <formula>70%</formula>
    </cfRule>
    <cfRule type="cellIs" dxfId="9005" priority="485" operator="equal">
      <formula>0</formula>
    </cfRule>
  </conditionalFormatting>
  <conditionalFormatting sqref="AE26 N26 Q26 T26 W26 Z26 AC26 AQ26 AN26 AK26 AH26">
    <cfRule type="cellIs" dxfId="9004" priority="476" operator="greaterThan">
      <formula>110%</formula>
    </cfRule>
    <cfRule type="cellIs" dxfId="9003" priority="477" operator="between">
      <formula>100.001%</formula>
      <formula>110%</formula>
    </cfRule>
    <cfRule type="cellIs" dxfId="9002" priority="478" operator="between">
      <formula>70.001%</formula>
      <formula>100%</formula>
    </cfRule>
    <cfRule type="cellIs" dxfId="9001" priority="479" operator="between">
      <formula>0.00001%</formula>
      <formula>70%</formula>
    </cfRule>
    <cfRule type="cellIs" dxfId="9000" priority="480" operator="equal">
      <formula>0</formula>
    </cfRule>
  </conditionalFormatting>
  <conditionalFormatting sqref="AE27 N27 Q27 T27 W27 Z27 AC27 AQ27 AN27 AK27 AH27">
    <cfRule type="cellIs" dxfId="8999" priority="471" operator="greaterThan">
      <formula>110%</formula>
    </cfRule>
    <cfRule type="cellIs" dxfId="8998" priority="472" operator="between">
      <formula>100.001%</formula>
      <formula>110%</formula>
    </cfRule>
    <cfRule type="cellIs" dxfId="8997" priority="473" operator="between">
      <formula>70.001%</formula>
      <formula>100%</formula>
    </cfRule>
    <cfRule type="cellIs" dxfId="8996" priority="474" operator="between">
      <formula>0.00001%</formula>
      <formula>70%</formula>
    </cfRule>
    <cfRule type="cellIs" dxfId="8995" priority="475" operator="equal">
      <formula>0</formula>
    </cfRule>
  </conditionalFormatting>
  <conditionalFormatting sqref="AE28 N28 Q28 T28 W28 Z28 AC28 AQ28 AN28 AK28 AH28">
    <cfRule type="cellIs" dxfId="8994" priority="466" operator="greaterThan">
      <formula>110%</formula>
    </cfRule>
    <cfRule type="cellIs" dxfId="8993" priority="467" operator="between">
      <formula>100.001%</formula>
      <formula>110%</formula>
    </cfRule>
    <cfRule type="cellIs" dxfId="8992" priority="468" operator="between">
      <formula>70.001%</formula>
      <formula>100%</formula>
    </cfRule>
    <cfRule type="cellIs" dxfId="8991" priority="469" operator="between">
      <formula>0.00001%</formula>
      <formula>70%</formula>
    </cfRule>
    <cfRule type="cellIs" dxfId="8990" priority="470" operator="equal">
      <formula>0</formula>
    </cfRule>
  </conditionalFormatting>
  <conditionalFormatting sqref="AE12 N12 Q12 T12 W12 Z12 AC12 AQ12 AN12 AK12 AH12">
    <cfRule type="cellIs" dxfId="8989" priority="461" operator="greaterThan">
      <formula>110%</formula>
    </cfRule>
    <cfRule type="cellIs" dxfId="8988" priority="462" operator="between">
      <formula>100.001%</formula>
      <formula>110%</formula>
    </cfRule>
    <cfRule type="cellIs" dxfId="8987" priority="463" operator="between">
      <formula>70.001%</formula>
      <formula>100%</formula>
    </cfRule>
    <cfRule type="cellIs" dxfId="8986" priority="464" operator="between">
      <formula>0.00001%</formula>
      <formula>70%</formula>
    </cfRule>
    <cfRule type="cellIs" dxfId="8985" priority="465" operator="equal">
      <formula>0</formula>
    </cfRule>
  </conditionalFormatting>
  <conditionalFormatting sqref="AE15 Q15 T15 W15 Z15 AC15 AQ15 AN15 AK15 AH15 N15 N17:N19 AH17:AH19 AK17:AK19 AN17:AN19 AQ17:AQ19 AC17:AC19 Z17:Z19 W17:W19 T17:T19 Q17:Q19 AE17:AE19">
    <cfRule type="cellIs" dxfId="8984" priority="456" operator="greaterThan">
      <formula>110%</formula>
    </cfRule>
    <cfRule type="cellIs" dxfId="8983" priority="457" operator="between">
      <formula>100.001%</formula>
      <formula>110%</formula>
    </cfRule>
    <cfRule type="cellIs" dxfId="8982" priority="458" operator="between">
      <formula>70.001%</formula>
      <formula>100%</formula>
    </cfRule>
    <cfRule type="cellIs" dxfId="8981" priority="459" operator="between">
      <formula>0.00001%</formula>
      <formula>70%</formula>
    </cfRule>
    <cfRule type="cellIs" dxfId="8980" priority="460" operator="equal">
      <formula>0</formula>
    </cfRule>
  </conditionalFormatting>
  <conditionalFormatting sqref="AE37:AE42 AE33 N33 Q33 T33 W33 Z33 AC33 AQ33 AN33 AK33 AH33">
    <cfRule type="cellIs" dxfId="8979" priority="451" operator="greaterThan">
      <formula>110%</formula>
    </cfRule>
    <cfRule type="cellIs" dxfId="8978" priority="452" operator="between">
      <formula>100.001%</formula>
      <formula>110%</formula>
    </cfRule>
    <cfRule type="cellIs" dxfId="8977" priority="453" operator="between">
      <formula>70.001%</formula>
      <formula>100%</formula>
    </cfRule>
    <cfRule type="cellIs" dxfId="8976" priority="454" operator="between">
      <formula>0.00001%</formula>
      <formula>70%</formula>
    </cfRule>
    <cfRule type="cellIs" dxfId="8975" priority="455" operator="equal">
      <formula>0</formula>
    </cfRule>
  </conditionalFormatting>
  <conditionalFormatting sqref="N37:N42">
    <cfRule type="cellIs" dxfId="8974" priority="446" operator="greaterThan">
      <formula>110%</formula>
    </cfRule>
    <cfRule type="cellIs" dxfId="8973" priority="447" operator="between">
      <formula>100.001%</formula>
      <formula>110%</formula>
    </cfRule>
    <cfRule type="cellIs" dxfId="8972" priority="448" operator="between">
      <formula>70.001%</formula>
      <formula>100%</formula>
    </cfRule>
    <cfRule type="cellIs" dxfId="8971" priority="449" operator="between">
      <formula>0.00001%</formula>
      <formula>70%</formula>
    </cfRule>
    <cfRule type="cellIs" dxfId="8970" priority="450" operator="equal">
      <formula>0</formula>
    </cfRule>
  </conditionalFormatting>
  <conditionalFormatting sqref="Q37:Q42">
    <cfRule type="cellIs" dxfId="8969" priority="441" operator="greaterThan">
      <formula>110%</formula>
    </cfRule>
    <cfRule type="cellIs" dxfId="8968" priority="442" operator="between">
      <formula>100.001%</formula>
      <formula>110%</formula>
    </cfRule>
    <cfRule type="cellIs" dxfId="8967" priority="443" operator="between">
      <formula>70.001%</formula>
      <formula>100%</formula>
    </cfRule>
    <cfRule type="cellIs" dxfId="8966" priority="444" operator="between">
      <formula>0.00001%</formula>
      <formula>70%</formula>
    </cfRule>
    <cfRule type="cellIs" dxfId="8965" priority="445" operator="equal">
      <formula>0</formula>
    </cfRule>
  </conditionalFormatting>
  <conditionalFormatting sqref="T37:T42">
    <cfRule type="cellIs" dxfId="8964" priority="436" operator="greaterThan">
      <formula>110%</formula>
    </cfRule>
    <cfRule type="cellIs" dxfId="8963" priority="437" operator="between">
      <formula>100.001%</formula>
      <formula>110%</formula>
    </cfRule>
    <cfRule type="cellIs" dxfId="8962" priority="438" operator="between">
      <formula>70.001%</formula>
      <formula>100%</formula>
    </cfRule>
    <cfRule type="cellIs" dxfId="8961" priority="439" operator="between">
      <formula>0.00001%</formula>
      <formula>70%</formula>
    </cfRule>
    <cfRule type="cellIs" dxfId="8960" priority="440" operator="equal">
      <formula>0</formula>
    </cfRule>
  </conditionalFormatting>
  <conditionalFormatting sqref="W37:W42">
    <cfRule type="cellIs" dxfId="8959" priority="431" operator="greaterThan">
      <formula>110%</formula>
    </cfRule>
    <cfRule type="cellIs" dxfId="8958" priority="432" operator="between">
      <formula>100.001%</formula>
      <formula>110%</formula>
    </cfRule>
    <cfRule type="cellIs" dxfId="8957" priority="433" operator="between">
      <formula>70.001%</formula>
      <formula>100%</formula>
    </cfRule>
    <cfRule type="cellIs" dxfId="8956" priority="434" operator="between">
      <formula>0.00001%</formula>
      <formula>70%</formula>
    </cfRule>
    <cfRule type="cellIs" dxfId="8955" priority="435" operator="equal">
      <formula>0</formula>
    </cfRule>
  </conditionalFormatting>
  <conditionalFormatting sqref="Z37:Z42">
    <cfRule type="cellIs" dxfId="8954" priority="426" operator="greaterThan">
      <formula>110%</formula>
    </cfRule>
    <cfRule type="cellIs" dxfId="8953" priority="427" operator="between">
      <formula>100.001%</formula>
      <formula>110%</formula>
    </cfRule>
    <cfRule type="cellIs" dxfId="8952" priority="428" operator="between">
      <formula>70.001%</formula>
      <formula>100%</formula>
    </cfRule>
    <cfRule type="cellIs" dxfId="8951" priority="429" operator="between">
      <formula>0.00001%</formula>
      <formula>70%</formula>
    </cfRule>
    <cfRule type="cellIs" dxfId="8950" priority="430" operator="equal">
      <formula>0</formula>
    </cfRule>
  </conditionalFormatting>
  <conditionalFormatting sqref="AC37:AC42">
    <cfRule type="cellIs" dxfId="8949" priority="421" operator="greaterThan">
      <formula>110%</formula>
    </cfRule>
    <cfRule type="cellIs" dxfId="8948" priority="422" operator="between">
      <formula>100.001%</formula>
      <formula>110%</formula>
    </cfRule>
    <cfRule type="cellIs" dxfId="8947" priority="423" operator="between">
      <formula>70.001%</formula>
      <formula>100%</formula>
    </cfRule>
    <cfRule type="cellIs" dxfId="8946" priority="424" operator="between">
      <formula>0.00001%</formula>
      <formula>70%</formula>
    </cfRule>
    <cfRule type="cellIs" dxfId="8945" priority="425" operator="equal">
      <formula>0</formula>
    </cfRule>
  </conditionalFormatting>
  <conditionalFormatting sqref="AQ37:AQ42">
    <cfRule type="cellIs" dxfId="8944" priority="416" operator="greaterThan">
      <formula>110%</formula>
    </cfRule>
    <cfRule type="cellIs" dxfId="8943" priority="417" operator="between">
      <formula>100.001%</formula>
      <formula>110%</formula>
    </cfRule>
    <cfRule type="cellIs" dxfId="8942" priority="418" operator="between">
      <formula>70.001%</formula>
      <formula>100%</formula>
    </cfRule>
    <cfRule type="cellIs" dxfId="8941" priority="419" operator="between">
      <formula>0.00001%</formula>
      <formula>70%</formula>
    </cfRule>
    <cfRule type="cellIs" dxfId="8940" priority="420" operator="equal">
      <formula>0</formula>
    </cfRule>
  </conditionalFormatting>
  <conditionalFormatting sqref="AN37:AN42">
    <cfRule type="cellIs" dxfId="8939" priority="411" operator="greaterThan">
      <formula>110%</formula>
    </cfRule>
    <cfRule type="cellIs" dxfId="8938" priority="412" operator="between">
      <formula>100.001%</formula>
      <formula>110%</formula>
    </cfRule>
    <cfRule type="cellIs" dxfId="8937" priority="413" operator="between">
      <formula>70.001%</formula>
      <formula>100%</formula>
    </cfRule>
    <cfRule type="cellIs" dxfId="8936" priority="414" operator="between">
      <formula>0.00001%</formula>
      <formula>70%</formula>
    </cfRule>
    <cfRule type="cellIs" dxfId="8935" priority="415" operator="equal">
      <formula>0</formula>
    </cfRule>
  </conditionalFormatting>
  <conditionalFormatting sqref="AK37:AK42">
    <cfRule type="cellIs" dxfId="8934" priority="406" operator="greaterThan">
      <formula>110%</formula>
    </cfRule>
    <cfRule type="cellIs" dxfId="8933" priority="407" operator="between">
      <formula>100.001%</formula>
      <formula>110%</formula>
    </cfRule>
    <cfRule type="cellIs" dxfId="8932" priority="408" operator="between">
      <formula>70.001%</formula>
      <formula>100%</formula>
    </cfRule>
    <cfRule type="cellIs" dxfId="8931" priority="409" operator="between">
      <formula>0.00001%</formula>
      <formula>70%</formula>
    </cfRule>
    <cfRule type="cellIs" dxfId="8930" priority="410" operator="equal">
      <formula>0</formula>
    </cfRule>
  </conditionalFormatting>
  <conditionalFormatting sqref="AH37:AH42">
    <cfRule type="cellIs" dxfId="8929" priority="401" operator="greaterThan">
      <formula>110%</formula>
    </cfRule>
    <cfRule type="cellIs" dxfId="8928" priority="402" operator="between">
      <formula>100.001%</formula>
      <formula>110%</formula>
    </cfRule>
    <cfRule type="cellIs" dxfId="8927" priority="403" operator="between">
      <formula>70.001%</formula>
      <formula>100%</formula>
    </cfRule>
    <cfRule type="cellIs" dxfId="8926" priority="404" operator="between">
      <formula>0.00001%</formula>
      <formula>70%</formula>
    </cfRule>
    <cfRule type="cellIs" dxfId="8925" priority="405" operator="equal">
      <formula>0</formula>
    </cfRule>
  </conditionalFormatting>
  <conditionalFormatting sqref="N34">
    <cfRule type="cellIs" dxfId="8924" priority="396" operator="greaterThan">
      <formula>110%</formula>
    </cfRule>
    <cfRule type="cellIs" dxfId="8923" priority="397" operator="between">
      <formula>100.001%</formula>
      <formula>110%</formula>
    </cfRule>
    <cfRule type="cellIs" dxfId="8922" priority="398" operator="between">
      <formula>70.001%</formula>
      <formula>100%</formula>
    </cfRule>
    <cfRule type="cellIs" dxfId="8921" priority="399" operator="between">
      <formula>0.00001%</formula>
      <formula>70%</formula>
    </cfRule>
    <cfRule type="cellIs" dxfId="8920" priority="400" operator="equal">
      <formula>0%</formula>
    </cfRule>
  </conditionalFormatting>
  <conditionalFormatting sqref="Q34">
    <cfRule type="cellIs" dxfId="8919" priority="391" operator="greaterThan">
      <formula>110%</formula>
    </cfRule>
    <cfRule type="cellIs" dxfId="8918" priority="392" operator="between">
      <formula>100.001%</formula>
      <formula>110%</formula>
    </cfRule>
    <cfRule type="cellIs" dxfId="8917" priority="393" operator="between">
      <formula>70.001%</formula>
      <formula>100%</formula>
    </cfRule>
    <cfRule type="cellIs" dxfId="8916" priority="394" operator="between">
      <formula>0.00001%</formula>
      <formula>70%</formula>
    </cfRule>
    <cfRule type="cellIs" dxfId="8915" priority="395" operator="equal">
      <formula>0%</formula>
    </cfRule>
  </conditionalFormatting>
  <conditionalFormatting sqref="T34">
    <cfRule type="cellIs" dxfId="8914" priority="386" operator="greaterThan">
      <formula>110%</formula>
    </cfRule>
    <cfRule type="cellIs" dxfId="8913" priority="387" operator="between">
      <formula>100.001%</formula>
      <formula>110%</formula>
    </cfRule>
    <cfRule type="cellIs" dxfId="8912" priority="388" operator="between">
      <formula>70.001%</formula>
      <formula>100%</formula>
    </cfRule>
    <cfRule type="cellIs" dxfId="8911" priority="389" operator="between">
      <formula>0.00001%</formula>
      <formula>70%</formula>
    </cfRule>
    <cfRule type="cellIs" dxfId="8910" priority="390" operator="equal">
      <formula>0%</formula>
    </cfRule>
  </conditionalFormatting>
  <conditionalFormatting sqref="W34">
    <cfRule type="cellIs" dxfId="8909" priority="381" operator="greaterThan">
      <formula>110%</formula>
    </cfRule>
    <cfRule type="cellIs" dxfId="8908" priority="382" operator="between">
      <formula>100.001%</formula>
      <formula>110%</formula>
    </cfRule>
    <cfRule type="cellIs" dxfId="8907" priority="383" operator="between">
      <formula>70.001%</formula>
      <formula>100%</formula>
    </cfRule>
    <cfRule type="cellIs" dxfId="8906" priority="384" operator="between">
      <formula>0.00001%</formula>
      <formula>70%</formula>
    </cfRule>
    <cfRule type="cellIs" dxfId="8905" priority="385" operator="equal">
      <formula>0%</formula>
    </cfRule>
  </conditionalFormatting>
  <conditionalFormatting sqref="Z34">
    <cfRule type="cellIs" dxfId="8904" priority="376" operator="greaterThan">
      <formula>110%</formula>
    </cfRule>
    <cfRule type="cellIs" dxfId="8903" priority="377" operator="between">
      <formula>100.001%</formula>
      <formula>110%</formula>
    </cfRule>
    <cfRule type="cellIs" dxfId="8902" priority="378" operator="between">
      <formula>70.001%</formula>
      <formula>100%</formula>
    </cfRule>
    <cfRule type="cellIs" dxfId="8901" priority="379" operator="between">
      <formula>0.00001%</formula>
      <formula>70%</formula>
    </cfRule>
    <cfRule type="cellIs" dxfId="8900" priority="380" operator="equal">
      <formula>0%</formula>
    </cfRule>
  </conditionalFormatting>
  <conditionalFormatting sqref="AC34">
    <cfRule type="cellIs" dxfId="8899" priority="371" operator="greaterThan">
      <formula>110%</formula>
    </cfRule>
    <cfRule type="cellIs" dxfId="8898" priority="372" operator="between">
      <formula>100.001%</formula>
      <formula>110%</formula>
    </cfRule>
    <cfRule type="cellIs" dxfId="8897" priority="373" operator="between">
      <formula>70.001%</formula>
      <formula>100%</formula>
    </cfRule>
    <cfRule type="cellIs" dxfId="8896" priority="374" operator="between">
      <formula>0.00001%</formula>
      <formula>70%</formula>
    </cfRule>
    <cfRule type="cellIs" dxfId="8895" priority="375" operator="equal">
      <formula>0%</formula>
    </cfRule>
  </conditionalFormatting>
  <conditionalFormatting sqref="AE34">
    <cfRule type="cellIs" dxfId="8894" priority="366" operator="greaterThan">
      <formula>110%</formula>
    </cfRule>
    <cfRule type="cellIs" dxfId="8893" priority="367" operator="between">
      <formula>100.001%</formula>
      <formula>110%</formula>
    </cfRule>
    <cfRule type="cellIs" dxfId="8892" priority="368" operator="between">
      <formula>70.001%</formula>
      <formula>100%</formula>
    </cfRule>
    <cfRule type="cellIs" dxfId="8891" priority="369" operator="between">
      <formula>0.00001%</formula>
      <formula>70%</formula>
    </cfRule>
    <cfRule type="cellIs" dxfId="8890" priority="370" operator="equal">
      <formula>0%</formula>
    </cfRule>
  </conditionalFormatting>
  <conditionalFormatting sqref="AH34">
    <cfRule type="cellIs" dxfId="8889" priority="361" operator="greaterThan">
      <formula>110%</formula>
    </cfRule>
    <cfRule type="cellIs" dxfId="8888" priority="362" operator="between">
      <formula>100.001%</formula>
      <formula>110%</formula>
    </cfRule>
    <cfRule type="cellIs" dxfId="8887" priority="363" operator="between">
      <formula>70.001%</formula>
      <formula>100%</formula>
    </cfRule>
    <cfRule type="cellIs" dxfId="8886" priority="364" operator="between">
      <formula>0.00001%</formula>
      <formula>70%</formula>
    </cfRule>
    <cfRule type="cellIs" dxfId="8885" priority="365" operator="equal">
      <formula>0%</formula>
    </cfRule>
  </conditionalFormatting>
  <conditionalFormatting sqref="AK34">
    <cfRule type="cellIs" dxfId="8884" priority="356" operator="greaterThan">
      <formula>110%</formula>
    </cfRule>
    <cfRule type="cellIs" dxfId="8883" priority="357" operator="between">
      <formula>100.001%</formula>
      <formula>110%</formula>
    </cfRule>
    <cfRule type="cellIs" dxfId="8882" priority="358" operator="between">
      <formula>70.001%</formula>
      <formula>100%</formula>
    </cfRule>
    <cfRule type="cellIs" dxfId="8881" priority="359" operator="between">
      <formula>0.00001%</formula>
      <formula>70%</formula>
    </cfRule>
    <cfRule type="cellIs" dxfId="8880" priority="360" operator="equal">
      <formula>0%</formula>
    </cfRule>
  </conditionalFormatting>
  <conditionalFormatting sqref="AN34">
    <cfRule type="cellIs" dxfId="8879" priority="351" operator="greaterThan">
      <formula>110%</formula>
    </cfRule>
    <cfRule type="cellIs" dxfId="8878" priority="352" operator="between">
      <formula>100.001%</formula>
      <formula>110%</formula>
    </cfRule>
    <cfRule type="cellIs" dxfId="8877" priority="353" operator="between">
      <formula>70.001%</formula>
      <formula>100%</formula>
    </cfRule>
    <cfRule type="cellIs" dxfId="8876" priority="354" operator="between">
      <formula>0.00001%</formula>
      <formula>70%</formula>
    </cfRule>
    <cfRule type="cellIs" dxfId="8875" priority="355" operator="equal">
      <formula>0%</formula>
    </cfRule>
  </conditionalFormatting>
  <conditionalFormatting sqref="AQ34">
    <cfRule type="cellIs" dxfId="8874" priority="346" operator="greaterThan">
      <formula>110%</formula>
    </cfRule>
    <cfRule type="cellIs" dxfId="8873" priority="347" operator="between">
      <formula>100.001%</formula>
      <formula>110%</formula>
    </cfRule>
    <cfRule type="cellIs" dxfId="8872" priority="348" operator="between">
      <formula>70.001%</formula>
      <formula>100%</formula>
    </cfRule>
    <cfRule type="cellIs" dxfId="8871" priority="349" operator="between">
      <formula>0.00001%</formula>
      <formula>70%</formula>
    </cfRule>
    <cfRule type="cellIs" dxfId="8870" priority="350" operator="equal">
      <formula>0%</formula>
    </cfRule>
  </conditionalFormatting>
  <conditionalFormatting sqref="N35">
    <cfRule type="cellIs" dxfId="8869" priority="341" operator="greaterThan">
      <formula>110%</formula>
    </cfRule>
    <cfRule type="cellIs" dxfId="8868" priority="342" operator="between">
      <formula>100.001%</formula>
      <formula>110%</formula>
    </cfRule>
    <cfRule type="cellIs" dxfId="8867" priority="343" operator="between">
      <formula>70.001%</formula>
      <formula>100%</formula>
    </cfRule>
    <cfRule type="cellIs" dxfId="8866" priority="344" operator="between">
      <formula>0.00001%</formula>
      <formula>70%</formula>
    </cfRule>
    <cfRule type="cellIs" dxfId="8865" priority="345" operator="equal">
      <formula>0%</formula>
    </cfRule>
  </conditionalFormatting>
  <conditionalFormatting sqref="Q35">
    <cfRule type="cellIs" dxfId="8864" priority="336" operator="greaterThan">
      <formula>110%</formula>
    </cfRule>
    <cfRule type="cellIs" dxfId="8863" priority="337" operator="between">
      <formula>100.001%</formula>
      <formula>110%</formula>
    </cfRule>
    <cfRule type="cellIs" dxfId="8862" priority="338" operator="between">
      <formula>70.001%</formula>
      <formula>100%</formula>
    </cfRule>
    <cfRule type="cellIs" dxfId="8861" priority="339" operator="between">
      <formula>0.00001%</formula>
      <formula>70%</formula>
    </cfRule>
    <cfRule type="cellIs" dxfId="8860" priority="340" operator="equal">
      <formula>0%</formula>
    </cfRule>
  </conditionalFormatting>
  <conditionalFormatting sqref="T35">
    <cfRule type="cellIs" dxfId="8859" priority="331" operator="greaterThan">
      <formula>110%</formula>
    </cfRule>
    <cfRule type="cellIs" dxfId="8858" priority="332" operator="between">
      <formula>100.001%</formula>
      <formula>110%</formula>
    </cfRule>
    <cfRule type="cellIs" dxfId="8857" priority="333" operator="between">
      <formula>70.001%</formula>
      <formula>100%</formula>
    </cfRule>
    <cfRule type="cellIs" dxfId="8856" priority="334" operator="between">
      <formula>0.00001%</formula>
      <formula>70%</formula>
    </cfRule>
    <cfRule type="cellIs" dxfId="8855" priority="335" operator="equal">
      <formula>0%</formula>
    </cfRule>
  </conditionalFormatting>
  <conditionalFormatting sqref="W35">
    <cfRule type="cellIs" dxfId="8854" priority="326" operator="greaterThan">
      <formula>110%</formula>
    </cfRule>
    <cfRule type="cellIs" dxfId="8853" priority="327" operator="between">
      <formula>100.001%</formula>
      <formula>110%</formula>
    </cfRule>
    <cfRule type="cellIs" dxfId="8852" priority="328" operator="between">
      <formula>70.001%</formula>
      <formula>100%</formula>
    </cfRule>
    <cfRule type="cellIs" dxfId="8851" priority="329" operator="between">
      <formula>0.00001%</formula>
      <formula>70%</formula>
    </cfRule>
    <cfRule type="cellIs" dxfId="8850" priority="330" operator="equal">
      <formula>0%</formula>
    </cfRule>
  </conditionalFormatting>
  <conditionalFormatting sqref="Z35">
    <cfRule type="cellIs" dxfId="8849" priority="321" operator="greaterThan">
      <formula>110%</formula>
    </cfRule>
    <cfRule type="cellIs" dxfId="8848" priority="322" operator="between">
      <formula>100.001%</formula>
      <formula>110%</formula>
    </cfRule>
    <cfRule type="cellIs" dxfId="8847" priority="323" operator="between">
      <formula>70.001%</formula>
      <formula>100%</formula>
    </cfRule>
    <cfRule type="cellIs" dxfId="8846" priority="324" operator="between">
      <formula>0.00001%</formula>
      <formula>70%</formula>
    </cfRule>
    <cfRule type="cellIs" dxfId="8845" priority="325" operator="equal">
      <formula>0%</formula>
    </cfRule>
  </conditionalFormatting>
  <conditionalFormatting sqref="AC35">
    <cfRule type="cellIs" dxfId="8844" priority="316" operator="greaterThan">
      <formula>110%</formula>
    </cfRule>
    <cfRule type="cellIs" dxfId="8843" priority="317" operator="between">
      <formula>100.001%</formula>
      <formula>110%</formula>
    </cfRule>
    <cfRule type="cellIs" dxfId="8842" priority="318" operator="between">
      <formula>70.001%</formula>
      <formula>100%</formula>
    </cfRule>
    <cfRule type="cellIs" dxfId="8841" priority="319" operator="between">
      <formula>0.00001%</formula>
      <formula>70%</formula>
    </cfRule>
    <cfRule type="cellIs" dxfId="8840" priority="320" operator="equal">
      <formula>0%</formula>
    </cfRule>
  </conditionalFormatting>
  <conditionalFormatting sqref="AE35">
    <cfRule type="cellIs" dxfId="8839" priority="311" operator="greaterThan">
      <formula>110%</formula>
    </cfRule>
    <cfRule type="cellIs" dxfId="8838" priority="312" operator="between">
      <formula>100.001%</formula>
      <formula>110%</formula>
    </cfRule>
    <cfRule type="cellIs" dxfId="8837" priority="313" operator="between">
      <formula>70.001%</formula>
      <formula>100%</formula>
    </cfRule>
    <cfRule type="cellIs" dxfId="8836" priority="314" operator="between">
      <formula>0.00001%</formula>
      <formula>70%</formula>
    </cfRule>
    <cfRule type="cellIs" dxfId="8835" priority="315" operator="equal">
      <formula>0%</formula>
    </cfRule>
  </conditionalFormatting>
  <conditionalFormatting sqref="AH35">
    <cfRule type="cellIs" dxfId="8834" priority="306" operator="greaterThan">
      <formula>110%</formula>
    </cfRule>
    <cfRule type="cellIs" dxfId="8833" priority="307" operator="between">
      <formula>100.001%</formula>
      <formula>110%</formula>
    </cfRule>
    <cfRule type="cellIs" dxfId="8832" priority="308" operator="between">
      <formula>70.001%</formula>
      <formula>100%</formula>
    </cfRule>
    <cfRule type="cellIs" dxfId="8831" priority="309" operator="between">
      <formula>0.00001%</formula>
      <formula>70%</formula>
    </cfRule>
    <cfRule type="cellIs" dxfId="8830" priority="310" operator="equal">
      <formula>0%</formula>
    </cfRule>
  </conditionalFormatting>
  <conditionalFormatting sqref="AK35">
    <cfRule type="cellIs" dxfId="8829" priority="301" operator="greaterThan">
      <formula>110%</formula>
    </cfRule>
    <cfRule type="cellIs" dxfId="8828" priority="302" operator="between">
      <formula>100.001%</formula>
      <formula>110%</formula>
    </cfRule>
    <cfRule type="cellIs" dxfId="8827" priority="303" operator="between">
      <formula>70.001%</formula>
      <formula>100%</formula>
    </cfRule>
    <cfRule type="cellIs" dxfId="8826" priority="304" operator="between">
      <formula>0.00001%</formula>
      <formula>70%</formula>
    </cfRule>
    <cfRule type="cellIs" dxfId="8825" priority="305" operator="equal">
      <formula>0%</formula>
    </cfRule>
  </conditionalFormatting>
  <conditionalFormatting sqref="AN35">
    <cfRule type="cellIs" dxfId="8824" priority="296" operator="greaterThan">
      <formula>110%</formula>
    </cfRule>
    <cfRule type="cellIs" dxfId="8823" priority="297" operator="between">
      <formula>100.001%</formula>
      <formula>110%</formula>
    </cfRule>
    <cfRule type="cellIs" dxfId="8822" priority="298" operator="between">
      <formula>70.001%</formula>
      <formula>100%</formula>
    </cfRule>
    <cfRule type="cellIs" dxfId="8821" priority="299" operator="between">
      <formula>0.00001%</formula>
      <formula>70%</formula>
    </cfRule>
    <cfRule type="cellIs" dxfId="8820" priority="300" operator="equal">
      <formula>0%</formula>
    </cfRule>
  </conditionalFormatting>
  <conditionalFormatting sqref="AQ35">
    <cfRule type="cellIs" dxfId="8819" priority="291" operator="greaterThan">
      <formula>110%</formula>
    </cfRule>
    <cfRule type="cellIs" dxfId="8818" priority="292" operator="between">
      <formula>100.001%</formula>
      <formula>110%</formula>
    </cfRule>
    <cfRule type="cellIs" dxfId="8817" priority="293" operator="between">
      <formula>70.001%</formula>
      <formula>100%</formula>
    </cfRule>
    <cfRule type="cellIs" dxfId="8816" priority="294" operator="between">
      <formula>0.00001%</formula>
      <formula>70%</formula>
    </cfRule>
    <cfRule type="cellIs" dxfId="8815" priority="295" operator="equal">
      <formula>0%</formula>
    </cfRule>
  </conditionalFormatting>
  <conditionalFormatting sqref="AE30 N30 Q30 T30 W30 Z30 AC30 AQ30 AN30 AK30 AH30">
    <cfRule type="cellIs" dxfId="8814" priority="286" operator="greaterThan">
      <formula>110%</formula>
    </cfRule>
    <cfRule type="cellIs" dxfId="8813" priority="287" operator="between">
      <formula>100.001%</formula>
      <formula>110%</formula>
    </cfRule>
    <cfRule type="cellIs" dxfId="8812" priority="288" operator="between">
      <formula>70.001%</formula>
      <formula>100%</formula>
    </cfRule>
    <cfRule type="cellIs" dxfId="8811" priority="289" operator="between">
      <formula>0.00001%</formula>
      <formula>70%</formula>
    </cfRule>
    <cfRule type="cellIs" dxfId="8810" priority="290" operator="equal">
      <formula>0</formula>
    </cfRule>
  </conditionalFormatting>
  <conditionalFormatting sqref="AE45">
    <cfRule type="cellIs" dxfId="8809" priority="281" operator="greaterThan">
      <formula>110%</formula>
    </cfRule>
    <cfRule type="cellIs" dxfId="8808" priority="282" operator="between">
      <formula>100.001%</formula>
      <formula>110%</formula>
    </cfRule>
    <cfRule type="cellIs" dxfId="8807" priority="283" operator="between">
      <formula>70.001%</formula>
      <formula>100%</formula>
    </cfRule>
    <cfRule type="cellIs" dxfId="8806" priority="284" operator="between">
      <formula>0.00001%</formula>
      <formula>70%</formula>
    </cfRule>
    <cfRule type="cellIs" dxfId="8805" priority="285" operator="equal">
      <formula>0</formula>
    </cfRule>
  </conditionalFormatting>
  <conditionalFormatting sqref="N45">
    <cfRule type="cellIs" dxfId="8804" priority="276" operator="greaterThan">
      <formula>110%</formula>
    </cfRule>
    <cfRule type="cellIs" dxfId="8803" priority="277" operator="between">
      <formula>100.001%</formula>
      <formula>110%</formula>
    </cfRule>
    <cfRule type="cellIs" dxfId="8802" priority="278" operator="between">
      <formula>70.001%</formula>
      <formula>100%</formula>
    </cfRule>
    <cfRule type="cellIs" dxfId="8801" priority="279" operator="between">
      <formula>0.00001%</formula>
      <formula>70%</formula>
    </cfRule>
    <cfRule type="cellIs" dxfId="8800" priority="280" operator="equal">
      <formula>0</formula>
    </cfRule>
  </conditionalFormatting>
  <conditionalFormatting sqref="Q45">
    <cfRule type="cellIs" dxfId="8799" priority="271" operator="greaterThan">
      <formula>110%</formula>
    </cfRule>
    <cfRule type="cellIs" dxfId="8798" priority="272" operator="between">
      <formula>100.001%</formula>
      <formula>110%</formula>
    </cfRule>
    <cfRule type="cellIs" dxfId="8797" priority="273" operator="between">
      <formula>70.001%</formula>
      <formula>100%</formula>
    </cfRule>
    <cfRule type="cellIs" dxfId="8796" priority="274" operator="between">
      <formula>0.00001%</formula>
      <formula>70%</formula>
    </cfRule>
    <cfRule type="cellIs" dxfId="8795" priority="275" operator="equal">
      <formula>0</formula>
    </cfRule>
  </conditionalFormatting>
  <conditionalFormatting sqref="T45">
    <cfRule type="cellIs" dxfId="8794" priority="266" operator="greaterThan">
      <formula>110%</formula>
    </cfRule>
    <cfRule type="cellIs" dxfId="8793" priority="267" operator="between">
      <formula>100.001%</formula>
      <formula>110%</formula>
    </cfRule>
    <cfRule type="cellIs" dxfId="8792" priority="268" operator="between">
      <formula>70.001%</formula>
      <formula>100%</formula>
    </cfRule>
    <cfRule type="cellIs" dxfId="8791" priority="269" operator="between">
      <formula>0.00001%</formula>
      <formula>70%</formula>
    </cfRule>
    <cfRule type="cellIs" dxfId="8790" priority="270" operator="equal">
      <formula>0</formula>
    </cfRule>
  </conditionalFormatting>
  <conditionalFormatting sqref="W45">
    <cfRule type="cellIs" dxfId="8789" priority="261" operator="greaterThan">
      <formula>110%</formula>
    </cfRule>
    <cfRule type="cellIs" dxfId="8788" priority="262" operator="between">
      <formula>100.001%</formula>
      <formula>110%</formula>
    </cfRule>
    <cfRule type="cellIs" dxfId="8787" priority="263" operator="between">
      <formula>70.001%</formula>
      <formula>100%</formula>
    </cfRule>
    <cfRule type="cellIs" dxfId="8786" priority="264" operator="between">
      <formula>0.00001%</formula>
      <formula>70%</formula>
    </cfRule>
    <cfRule type="cellIs" dxfId="8785" priority="265" operator="equal">
      <formula>0</formula>
    </cfRule>
  </conditionalFormatting>
  <conditionalFormatting sqref="Z45">
    <cfRule type="cellIs" dxfId="8784" priority="256" operator="greaterThan">
      <formula>110%</formula>
    </cfRule>
    <cfRule type="cellIs" dxfId="8783" priority="257" operator="between">
      <formula>100.001%</formula>
      <formula>110%</formula>
    </cfRule>
    <cfRule type="cellIs" dxfId="8782" priority="258" operator="between">
      <formula>70.001%</formula>
      <formula>100%</formula>
    </cfRule>
    <cfRule type="cellIs" dxfId="8781" priority="259" operator="between">
      <formula>0.00001%</formula>
      <formula>70%</formula>
    </cfRule>
    <cfRule type="cellIs" dxfId="8780" priority="260" operator="equal">
      <formula>0</formula>
    </cfRule>
  </conditionalFormatting>
  <conditionalFormatting sqref="AC45">
    <cfRule type="cellIs" dxfId="8779" priority="251" operator="greaterThan">
      <formula>110%</formula>
    </cfRule>
    <cfRule type="cellIs" dxfId="8778" priority="252" operator="between">
      <formula>100.001%</formula>
      <formula>110%</formula>
    </cfRule>
    <cfRule type="cellIs" dxfId="8777" priority="253" operator="between">
      <formula>70.001%</formula>
      <formula>100%</formula>
    </cfRule>
    <cfRule type="cellIs" dxfId="8776" priority="254" operator="between">
      <formula>0.00001%</formula>
      <formula>70%</formula>
    </cfRule>
    <cfRule type="cellIs" dxfId="8775" priority="255" operator="equal">
      <formula>0</formula>
    </cfRule>
  </conditionalFormatting>
  <conditionalFormatting sqref="AQ45">
    <cfRule type="cellIs" dxfId="8774" priority="246" operator="greaterThan">
      <formula>110%</formula>
    </cfRule>
    <cfRule type="cellIs" dxfId="8773" priority="247" operator="between">
      <formula>100.001%</formula>
      <formula>110%</formula>
    </cfRule>
    <cfRule type="cellIs" dxfId="8772" priority="248" operator="between">
      <formula>70.001%</formula>
      <formula>100%</formula>
    </cfRule>
    <cfRule type="cellIs" dxfId="8771" priority="249" operator="between">
      <formula>0.00001%</formula>
      <formula>70%</formula>
    </cfRule>
    <cfRule type="cellIs" dxfId="8770" priority="250" operator="equal">
      <formula>0</formula>
    </cfRule>
  </conditionalFormatting>
  <conditionalFormatting sqref="AN45">
    <cfRule type="cellIs" dxfId="8769" priority="241" operator="greaterThan">
      <formula>110%</formula>
    </cfRule>
    <cfRule type="cellIs" dxfId="8768" priority="242" operator="between">
      <formula>100.001%</formula>
      <formula>110%</formula>
    </cfRule>
    <cfRule type="cellIs" dxfId="8767" priority="243" operator="between">
      <formula>70.001%</formula>
      <formula>100%</formula>
    </cfRule>
    <cfRule type="cellIs" dxfId="8766" priority="244" operator="between">
      <formula>0.00001%</formula>
      <formula>70%</formula>
    </cfRule>
    <cfRule type="cellIs" dxfId="8765" priority="245" operator="equal">
      <formula>0</formula>
    </cfRule>
  </conditionalFormatting>
  <conditionalFormatting sqref="AK45">
    <cfRule type="cellIs" dxfId="8764" priority="236" operator="greaterThan">
      <formula>110%</formula>
    </cfRule>
    <cfRule type="cellIs" dxfId="8763" priority="237" operator="between">
      <formula>100.001%</formula>
      <formula>110%</formula>
    </cfRule>
    <cfRule type="cellIs" dxfId="8762" priority="238" operator="between">
      <formula>70.001%</formula>
      <formula>100%</formula>
    </cfRule>
    <cfRule type="cellIs" dxfId="8761" priority="239" operator="between">
      <formula>0.00001%</formula>
      <formula>70%</formula>
    </cfRule>
    <cfRule type="cellIs" dxfId="8760" priority="240" operator="equal">
      <formula>0</formula>
    </cfRule>
  </conditionalFormatting>
  <conditionalFormatting sqref="AH45">
    <cfRule type="cellIs" dxfId="8759" priority="231" operator="greaterThan">
      <formula>110%</formula>
    </cfRule>
    <cfRule type="cellIs" dxfId="8758" priority="232" operator="between">
      <formula>100.001%</formula>
      <formula>110%</formula>
    </cfRule>
    <cfRule type="cellIs" dxfId="8757" priority="233" operator="between">
      <formula>70.001%</formula>
      <formula>100%</formula>
    </cfRule>
    <cfRule type="cellIs" dxfId="8756" priority="234" operator="between">
      <formula>0.00001%</formula>
      <formula>70%</formula>
    </cfRule>
    <cfRule type="cellIs" dxfId="8755" priority="235" operator="equal">
      <formula>0</formula>
    </cfRule>
  </conditionalFormatting>
  <conditionalFormatting sqref="AT9:AT10">
    <cfRule type="cellIs" dxfId="8754" priority="226" operator="greaterThan">
      <formula>110%</formula>
    </cfRule>
    <cfRule type="cellIs" dxfId="8753" priority="227" operator="between">
      <formula>100.001%</formula>
      <formula>110%</formula>
    </cfRule>
    <cfRule type="cellIs" dxfId="8752" priority="228" operator="between">
      <formula>70.001%</formula>
      <formula>100%</formula>
    </cfRule>
    <cfRule type="cellIs" dxfId="8751" priority="229" operator="between">
      <formula>0.00001%</formula>
      <formula>70%</formula>
    </cfRule>
    <cfRule type="cellIs" dxfId="8750" priority="230" operator="equal">
      <formula>0</formula>
    </cfRule>
  </conditionalFormatting>
  <conditionalFormatting sqref="AT11">
    <cfRule type="cellIs" dxfId="8749" priority="221" operator="greaterThan">
      <formula>110%</formula>
    </cfRule>
    <cfRule type="cellIs" dxfId="8748" priority="222" operator="between">
      <formula>100.001%</formula>
      <formula>110%</formula>
    </cfRule>
    <cfRule type="cellIs" dxfId="8747" priority="223" operator="between">
      <formula>70.001%</formula>
      <formula>100%</formula>
    </cfRule>
    <cfRule type="cellIs" dxfId="8746" priority="224" operator="between">
      <formula>0.00001%</formula>
      <formula>70%</formula>
    </cfRule>
    <cfRule type="cellIs" dxfId="8745" priority="225" operator="equal">
      <formula>0</formula>
    </cfRule>
  </conditionalFormatting>
  <conditionalFormatting sqref="AT12">
    <cfRule type="cellIs" dxfId="8744" priority="216" operator="greaterThan">
      <formula>110%</formula>
    </cfRule>
    <cfRule type="cellIs" dxfId="8743" priority="217" operator="between">
      <formula>100.001%</formula>
      <formula>110%</formula>
    </cfRule>
    <cfRule type="cellIs" dxfId="8742" priority="218" operator="between">
      <formula>70.001%</formula>
      <formula>100%</formula>
    </cfRule>
    <cfRule type="cellIs" dxfId="8741" priority="219" operator="between">
      <formula>0.00001%</formula>
      <formula>70%</formula>
    </cfRule>
    <cfRule type="cellIs" dxfId="8740" priority="220" operator="equal">
      <formula>0</formula>
    </cfRule>
  </conditionalFormatting>
  <conditionalFormatting sqref="AT14">
    <cfRule type="cellIs" dxfId="8739" priority="211" operator="greaterThan">
      <formula>110%</formula>
    </cfRule>
    <cfRule type="cellIs" dxfId="8738" priority="212" operator="between">
      <formula>100.001%</formula>
      <formula>110%</formula>
    </cfRule>
    <cfRule type="cellIs" dxfId="8737" priority="213" operator="between">
      <formula>70.001%</formula>
      <formula>100%</formula>
    </cfRule>
    <cfRule type="cellIs" dxfId="8736" priority="214" operator="between">
      <formula>0.00001%</formula>
      <formula>70%</formula>
    </cfRule>
    <cfRule type="cellIs" dxfId="8735" priority="215" operator="equal">
      <formula>0</formula>
    </cfRule>
  </conditionalFormatting>
  <conditionalFormatting sqref="AT15">
    <cfRule type="cellIs" dxfId="8734" priority="206" operator="greaterThan">
      <formula>110%</formula>
    </cfRule>
    <cfRule type="cellIs" dxfId="8733" priority="207" operator="between">
      <formula>100.001%</formula>
      <formula>110%</formula>
    </cfRule>
    <cfRule type="cellIs" dxfId="8732" priority="208" operator="between">
      <formula>70.001%</formula>
      <formula>100%</formula>
    </cfRule>
    <cfRule type="cellIs" dxfId="8731" priority="209" operator="between">
      <formula>0.00001%</formula>
      <formula>70%</formula>
    </cfRule>
    <cfRule type="cellIs" dxfId="8730" priority="210" operator="equal">
      <formula>0</formula>
    </cfRule>
  </conditionalFormatting>
  <conditionalFormatting sqref="AT19">
    <cfRule type="cellIs" dxfId="8729" priority="201" operator="greaterThan">
      <formula>110%</formula>
    </cfRule>
    <cfRule type="cellIs" dxfId="8728" priority="202" operator="between">
      <formula>100.001%</formula>
      <formula>110%</formula>
    </cfRule>
    <cfRule type="cellIs" dxfId="8727" priority="203" operator="between">
      <formula>70.001%</formula>
      <formula>100%</formula>
    </cfRule>
    <cfRule type="cellIs" dxfId="8726" priority="204" operator="between">
      <formula>0.00001%</formula>
      <formula>70%</formula>
    </cfRule>
    <cfRule type="cellIs" dxfId="8725" priority="205" operator="equal">
      <formula>0</formula>
    </cfRule>
  </conditionalFormatting>
  <conditionalFormatting sqref="AT13">
    <cfRule type="cellIs" dxfId="8724" priority="196" operator="greaterThan">
      <formula>110%</formula>
    </cfRule>
    <cfRule type="cellIs" dxfId="8723" priority="197" operator="between">
      <formula>100.001%</formula>
      <formula>110%</formula>
    </cfRule>
    <cfRule type="cellIs" dxfId="8722" priority="198" operator="between">
      <formula>70.001%</formula>
      <formula>100%</formula>
    </cfRule>
    <cfRule type="cellIs" dxfId="8721" priority="199" operator="between">
      <formula>0.00001%</formula>
      <formula>70%</formula>
    </cfRule>
    <cfRule type="cellIs" dxfId="8720" priority="200" operator="equal">
      <formula>0</formula>
    </cfRule>
  </conditionalFormatting>
  <conditionalFormatting sqref="AT22:AT28">
    <cfRule type="cellIs" dxfId="8719" priority="191" operator="greaterThan">
      <formula>110%</formula>
    </cfRule>
    <cfRule type="cellIs" dxfId="8718" priority="192" operator="between">
      <formula>100.001%</formula>
      <formula>110%</formula>
    </cfRule>
    <cfRule type="cellIs" dxfId="8717" priority="193" operator="between">
      <formula>70.001%</formula>
      <formula>100%</formula>
    </cfRule>
    <cfRule type="cellIs" dxfId="8716" priority="194" operator="between">
      <formula>0.00001%</formula>
      <formula>70%</formula>
    </cfRule>
    <cfRule type="cellIs" dxfId="8715" priority="195" operator="equal">
      <formula>0</formula>
    </cfRule>
  </conditionalFormatting>
  <conditionalFormatting sqref="AT31">
    <cfRule type="cellIs" dxfId="8714" priority="186" operator="greaterThan">
      <formula>110%</formula>
    </cfRule>
    <cfRule type="cellIs" dxfId="8713" priority="187" operator="between">
      <formula>100.001%</formula>
      <formula>110%</formula>
    </cfRule>
    <cfRule type="cellIs" dxfId="8712" priority="188" operator="between">
      <formula>70.001%</formula>
      <formula>100%</formula>
    </cfRule>
    <cfRule type="cellIs" dxfId="8711" priority="189" operator="between">
      <formula>0.00001%</formula>
      <formula>70%</formula>
    </cfRule>
    <cfRule type="cellIs" dxfId="8710" priority="190" operator="equal">
      <formula>0</formula>
    </cfRule>
  </conditionalFormatting>
  <conditionalFormatting sqref="AT33">
    <cfRule type="cellIs" dxfId="8709" priority="181" operator="greaterThan">
      <formula>110%</formula>
    </cfRule>
    <cfRule type="cellIs" dxfId="8708" priority="182" operator="between">
      <formula>100.001%</formula>
      <formula>110%</formula>
    </cfRule>
    <cfRule type="cellIs" dxfId="8707" priority="183" operator="between">
      <formula>70.001%</formula>
      <formula>100%</formula>
    </cfRule>
    <cfRule type="cellIs" dxfId="8706" priority="184" operator="between">
      <formula>0.00001%</formula>
      <formula>70%</formula>
    </cfRule>
    <cfRule type="cellIs" dxfId="8705" priority="185" operator="equal">
      <formula>0</formula>
    </cfRule>
  </conditionalFormatting>
  <conditionalFormatting sqref="AT34">
    <cfRule type="cellIs" dxfId="8704" priority="176" operator="greaterThan">
      <formula>110%</formula>
    </cfRule>
    <cfRule type="cellIs" dxfId="8703" priority="177" operator="between">
      <formula>100.001%</formula>
      <formula>110%</formula>
    </cfRule>
    <cfRule type="cellIs" dxfId="8702" priority="178" operator="between">
      <formula>70.001%</formula>
      <formula>100%</formula>
    </cfRule>
    <cfRule type="cellIs" dxfId="8701" priority="179" operator="between">
      <formula>0.00001%</formula>
      <formula>70%</formula>
    </cfRule>
    <cfRule type="cellIs" dxfId="8700" priority="180" operator="equal">
      <formula>0%</formula>
    </cfRule>
  </conditionalFormatting>
  <conditionalFormatting sqref="AT35">
    <cfRule type="cellIs" dxfId="8699" priority="171" operator="greaterThan">
      <formula>110%</formula>
    </cfRule>
    <cfRule type="cellIs" dxfId="8698" priority="172" operator="between">
      <formula>100.001%</formula>
      <formula>110%</formula>
    </cfRule>
    <cfRule type="cellIs" dxfId="8697" priority="173" operator="between">
      <formula>70.001%</formula>
      <formula>100%</formula>
    </cfRule>
    <cfRule type="cellIs" dxfId="8696" priority="174" operator="between">
      <formula>0.00001%</formula>
      <formula>70%</formula>
    </cfRule>
    <cfRule type="cellIs" dxfId="8695" priority="175" operator="equal">
      <formula>0%</formula>
    </cfRule>
  </conditionalFormatting>
  <conditionalFormatting sqref="AT39">
    <cfRule type="cellIs" dxfId="8694" priority="166" operator="greaterThan">
      <formula>110%</formula>
    </cfRule>
    <cfRule type="cellIs" dxfId="8693" priority="167" operator="between">
      <formula>100.001%</formula>
      <formula>110%</formula>
    </cfRule>
    <cfRule type="cellIs" dxfId="8692" priority="168" operator="between">
      <formula>70.001%</formula>
      <formula>100%</formula>
    </cfRule>
    <cfRule type="cellIs" dxfId="8691" priority="169" operator="between">
      <formula>0.00001%</formula>
      <formula>70%</formula>
    </cfRule>
    <cfRule type="cellIs" dxfId="8690" priority="170" operator="equal">
      <formula>0</formula>
    </cfRule>
  </conditionalFormatting>
  <conditionalFormatting sqref="AT40">
    <cfRule type="cellIs" dxfId="8689" priority="161" operator="greaterThan">
      <formula>110%</formula>
    </cfRule>
    <cfRule type="cellIs" dxfId="8688" priority="162" operator="between">
      <formula>100.001%</formula>
      <formula>110%</formula>
    </cfRule>
    <cfRule type="cellIs" dxfId="8687" priority="163" operator="between">
      <formula>70.001%</formula>
      <formula>100%</formula>
    </cfRule>
    <cfRule type="cellIs" dxfId="8686" priority="164" operator="between">
      <formula>0.00001%</formula>
      <formula>70%</formula>
    </cfRule>
    <cfRule type="cellIs" dxfId="8685" priority="165" operator="equal">
      <formula>0</formula>
    </cfRule>
  </conditionalFormatting>
  <conditionalFormatting sqref="AE16 N16 Q16 T16 W16 Z16 AC16 AT16 AQ16 AN16 AK16 AH16">
    <cfRule type="cellIs" dxfId="8684" priority="156" operator="greaterThan">
      <formula>110%</formula>
    </cfRule>
    <cfRule type="cellIs" dxfId="8683" priority="157" operator="between">
      <formula>100.001%</formula>
      <formula>110%</formula>
    </cfRule>
    <cfRule type="cellIs" dxfId="8682" priority="158" operator="between">
      <formula>70.001%</formula>
      <formula>100%</formula>
    </cfRule>
    <cfRule type="cellIs" dxfId="8681" priority="159" operator="between">
      <formula>0.00001%</formula>
      <formula>70%</formula>
    </cfRule>
    <cfRule type="cellIs" dxfId="8680" priority="160" operator="equal">
      <formula>0</formula>
    </cfRule>
  </conditionalFormatting>
  <conditionalFormatting sqref="AW9">
    <cfRule type="cellIs" dxfId="8679" priority="151" operator="greaterThan">
      <formula>110%</formula>
    </cfRule>
    <cfRule type="cellIs" dxfId="8678" priority="152" operator="between">
      <formula>100.001%</formula>
      <formula>110%</formula>
    </cfRule>
    <cfRule type="cellIs" dxfId="8677" priority="153" operator="between">
      <formula>70.001%</formula>
      <formula>100%</formula>
    </cfRule>
    <cfRule type="cellIs" dxfId="8676" priority="154" operator="between">
      <formula>0.00001%</formula>
      <formula>70%</formula>
    </cfRule>
    <cfRule type="cellIs" dxfId="8675" priority="155" operator="equal">
      <formula>0</formula>
    </cfRule>
  </conditionalFormatting>
  <conditionalFormatting sqref="AW11">
    <cfRule type="cellIs" dxfId="8674" priority="146" operator="greaterThan">
      <formula>110%</formula>
    </cfRule>
    <cfRule type="cellIs" dxfId="8673" priority="147" operator="between">
      <formula>100.001%</formula>
      <formula>110%</formula>
    </cfRule>
    <cfRule type="cellIs" dxfId="8672" priority="148" operator="between">
      <formula>70.001%</formula>
      <formula>100%</formula>
    </cfRule>
    <cfRule type="cellIs" dxfId="8671" priority="149" operator="between">
      <formula>0.00001%</formula>
      <formula>70%</formula>
    </cfRule>
    <cfRule type="cellIs" dxfId="8670" priority="150" operator="equal">
      <formula>0</formula>
    </cfRule>
  </conditionalFormatting>
  <conditionalFormatting sqref="AW12">
    <cfRule type="cellIs" dxfId="8669" priority="141" operator="greaterThan">
      <formula>110%</formula>
    </cfRule>
    <cfRule type="cellIs" dxfId="8668" priority="142" operator="between">
      <formula>100.001%</formula>
      <formula>110%</formula>
    </cfRule>
    <cfRule type="cellIs" dxfId="8667" priority="143" operator="between">
      <formula>70.001%</formula>
      <formula>100%</formula>
    </cfRule>
    <cfRule type="cellIs" dxfId="8666" priority="144" operator="between">
      <formula>0.00001%</formula>
      <formula>70%</formula>
    </cfRule>
    <cfRule type="cellIs" dxfId="8665" priority="145" operator="equal">
      <formula>0</formula>
    </cfRule>
  </conditionalFormatting>
  <conditionalFormatting sqref="AW14">
    <cfRule type="cellIs" dxfId="8664" priority="136" operator="greaterThan">
      <formula>110%</formula>
    </cfRule>
    <cfRule type="cellIs" dxfId="8663" priority="137" operator="between">
      <formula>100.001%</formula>
      <formula>110%</formula>
    </cfRule>
    <cfRule type="cellIs" dxfId="8662" priority="138" operator="between">
      <formula>70.001%</formula>
      <formula>100%</formula>
    </cfRule>
    <cfRule type="cellIs" dxfId="8661" priority="139" operator="between">
      <formula>0.00001%</formula>
      <formula>70%</formula>
    </cfRule>
    <cfRule type="cellIs" dxfId="8660" priority="140" operator="equal">
      <formula>0</formula>
    </cfRule>
  </conditionalFormatting>
  <conditionalFormatting sqref="AW16">
    <cfRule type="cellIs" dxfId="8659" priority="131" operator="greaterThan">
      <formula>110%</formula>
    </cfRule>
    <cfRule type="cellIs" dxfId="8658" priority="132" operator="between">
      <formula>100.001%</formula>
      <formula>110%</formula>
    </cfRule>
    <cfRule type="cellIs" dxfId="8657" priority="133" operator="between">
      <formula>70.001%</formula>
      <formula>100%</formula>
    </cfRule>
    <cfRule type="cellIs" dxfId="8656" priority="134" operator="between">
      <formula>0.00001%</formula>
      <formula>70%</formula>
    </cfRule>
    <cfRule type="cellIs" dxfId="8655" priority="135" operator="equal">
      <formula>0</formula>
    </cfRule>
  </conditionalFormatting>
  <conditionalFormatting sqref="AW17">
    <cfRule type="cellIs" dxfId="8654" priority="126" operator="greaterThan">
      <formula>110%</formula>
    </cfRule>
    <cfRule type="cellIs" dxfId="8653" priority="127" operator="between">
      <formula>100.001%</formula>
      <formula>110%</formula>
    </cfRule>
    <cfRule type="cellIs" dxfId="8652" priority="128" operator="between">
      <formula>70.001%</formula>
      <formula>100%</formula>
    </cfRule>
    <cfRule type="cellIs" dxfId="8651" priority="129" operator="between">
      <formula>0.00001%</formula>
      <formula>70%</formula>
    </cfRule>
    <cfRule type="cellIs" dxfId="8650" priority="130" operator="equal">
      <formula>0</formula>
    </cfRule>
  </conditionalFormatting>
  <conditionalFormatting sqref="AW19">
    <cfRule type="cellIs" dxfId="8649" priority="121" operator="greaterThan">
      <formula>110%</formula>
    </cfRule>
    <cfRule type="cellIs" dxfId="8648" priority="122" operator="between">
      <formula>100.001%</formula>
      <formula>110%</formula>
    </cfRule>
    <cfRule type="cellIs" dxfId="8647" priority="123" operator="between">
      <formula>70.001%</formula>
      <formula>100%</formula>
    </cfRule>
    <cfRule type="cellIs" dxfId="8646" priority="124" operator="between">
      <formula>0.00001%</formula>
      <formula>70%</formula>
    </cfRule>
    <cfRule type="cellIs" dxfId="8645" priority="125" operator="equal">
      <formula>0</formula>
    </cfRule>
  </conditionalFormatting>
  <conditionalFormatting sqref="AW13">
    <cfRule type="cellIs" dxfId="8644" priority="116" operator="greaterThan">
      <formula>110%</formula>
    </cfRule>
    <cfRule type="cellIs" dxfId="8643" priority="117" operator="between">
      <formula>100.001%</formula>
      <formula>110%</formula>
    </cfRule>
    <cfRule type="cellIs" dxfId="8642" priority="118" operator="between">
      <formula>70.001%</formula>
      <formula>100%</formula>
    </cfRule>
    <cfRule type="cellIs" dxfId="8641" priority="119" operator="between">
      <formula>0.00001%</formula>
      <formula>70%</formula>
    </cfRule>
    <cfRule type="cellIs" dxfId="8640" priority="120" operator="equal">
      <formula>0</formula>
    </cfRule>
  </conditionalFormatting>
  <conditionalFormatting sqref="AW15">
    <cfRule type="cellIs" dxfId="8639" priority="111" operator="greaterThan">
      <formula>110%</formula>
    </cfRule>
    <cfRule type="cellIs" dxfId="8638" priority="112" operator="between">
      <formula>100.001%</formula>
      <formula>110%</formula>
    </cfRule>
    <cfRule type="cellIs" dxfId="8637" priority="113" operator="between">
      <formula>70.001%</formula>
      <formula>100%</formula>
    </cfRule>
    <cfRule type="cellIs" dxfId="8636" priority="114" operator="between">
      <formula>0.00001%</formula>
      <formula>70%</formula>
    </cfRule>
    <cfRule type="cellIs" dxfId="8635" priority="115" operator="equal">
      <formula>0</formula>
    </cfRule>
  </conditionalFormatting>
  <conditionalFormatting sqref="AW22:AW28">
    <cfRule type="cellIs" dxfId="8634" priority="106" operator="greaterThan">
      <formula>110%</formula>
    </cfRule>
    <cfRule type="cellIs" dxfId="8633" priority="107" operator="between">
      <formula>100.001%</formula>
      <formula>110%</formula>
    </cfRule>
    <cfRule type="cellIs" dxfId="8632" priority="108" operator="between">
      <formula>70.001%</formula>
      <formula>100%</formula>
    </cfRule>
    <cfRule type="cellIs" dxfId="8631" priority="109" operator="between">
      <formula>0.00001%</formula>
      <formula>70%</formula>
    </cfRule>
    <cfRule type="cellIs" dxfId="8630" priority="110" operator="equal">
      <formula>0</formula>
    </cfRule>
  </conditionalFormatting>
  <conditionalFormatting sqref="AW31:AW32">
    <cfRule type="cellIs" dxfId="8629" priority="101" operator="greaterThan">
      <formula>110%</formula>
    </cfRule>
    <cfRule type="cellIs" dxfId="8628" priority="102" operator="between">
      <formula>100.001%</formula>
      <formula>110%</formula>
    </cfRule>
    <cfRule type="cellIs" dxfId="8627" priority="103" operator="between">
      <formula>70.001%</formula>
      <formula>100%</formula>
    </cfRule>
    <cfRule type="cellIs" dxfId="8626" priority="104" operator="between">
      <formula>0.00001%</formula>
      <formula>70%</formula>
    </cfRule>
    <cfRule type="cellIs" dxfId="8625" priority="105" operator="equal">
      <formula>0</formula>
    </cfRule>
  </conditionalFormatting>
  <conditionalFormatting sqref="AW30">
    <cfRule type="cellIs" dxfId="8624" priority="96" operator="greaterThan">
      <formula>110%</formula>
    </cfRule>
    <cfRule type="cellIs" dxfId="8623" priority="97" operator="between">
      <formula>100.001%</formula>
      <formula>110%</formula>
    </cfRule>
    <cfRule type="cellIs" dxfId="8622" priority="98" operator="between">
      <formula>70.001%</formula>
      <formula>100%</formula>
    </cfRule>
    <cfRule type="cellIs" dxfId="8621" priority="99" operator="between">
      <formula>0.00001%</formula>
      <formula>70%</formula>
    </cfRule>
    <cfRule type="cellIs" dxfId="8620" priority="100" operator="equal">
      <formula>0</formula>
    </cfRule>
  </conditionalFormatting>
  <conditionalFormatting sqref="AW45">
    <cfRule type="cellIs" dxfId="8619" priority="91" operator="greaterThan">
      <formula>110%</formula>
    </cfRule>
    <cfRule type="cellIs" dxfId="8618" priority="92" operator="between">
      <formula>100.001%</formula>
      <formula>110%</formula>
    </cfRule>
    <cfRule type="cellIs" dxfId="8617" priority="93" operator="between">
      <formula>70.001%</formula>
      <formula>100%</formula>
    </cfRule>
    <cfRule type="cellIs" dxfId="8616" priority="94" operator="between">
      <formula>0.00001%</formula>
      <formula>70%</formula>
    </cfRule>
    <cfRule type="cellIs" dxfId="8615" priority="95" operator="equal">
      <formula>0</formula>
    </cfRule>
  </conditionalFormatting>
  <conditionalFormatting sqref="AW33">
    <cfRule type="cellIs" dxfId="8614" priority="86" operator="greaterThan">
      <formula>110%</formula>
    </cfRule>
    <cfRule type="cellIs" dxfId="8613" priority="87" operator="between">
      <formula>100.001%</formula>
      <formula>110%</formula>
    </cfRule>
    <cfRule type="cellIs" dxfId="8612" priority="88" operator="between">
      <formula>70.001%</formula>
      <formula>100%</formula>
    </cfRule>
    <cfRule type="cellIs" dxfId="8611" priority="89" operator="between">
      <formula>0.00001%</formula>
      <formula>70%</formula>
    </cfRule>
    <cfRule type="cellIs" dxfId="8610" priority="90" operator="equal">
      <formula>0</formula>
    </cfRule>
  </conditionalFormatting>
  <conditionalFormatting sqref="AW37:AW42">
    <cfRule type="cellIs" dxfId="8609" priority="81" operator="greaterThan">
      <formula>110%</formula>
    </cfRule>
    <cfRule type="cellIs" dxfId="8608" priority="82" operator="between">
      <formula>100.001%</formula>
      <formula>110%</formula>
    </cfRule>
    <cfRule type="cellIs" dxfId="8607" priority="83" operator="between">
      <formula>70.001%</formula>
      <formula>100%</formula>
    </cfRule>
    <cfRule type="cellIs" dxfId="8606" priority="84" operator="between">
      <formula>0.00001%</formula>
      <formula>70%</formula>
    </cfRule>
    <cfRule type="cellIs" dxfId="8605" priority="85" operator="equal">
      <formula>0</formula>
    </cfRule>
  </conditionalFormatting>
  <conditionalFormatting sqref="AW34">
    <cfRule type="cellIs" dxfId="8604" priority="76" operator="greaterThan">
      <formula>110%</formula>
    </cfRule>
    <cfRule type="cellIs" dxfId="8603" priority="77" operator="between">
      <formula>100.001%</formula>
      <formula>110%</formula>
    </cfRule>
    <cfRule type="cellIs" dxfId="8602" priority="78" operator="between">
      <formula>70.001%</formula>
      <formula>100%</formula>
    </cfRule>
    <cfRule type="cellIs" dxfId="8601" priority="79" operator="between">
      <formula>0.00001%</formula>
      <formula>70%</formula>
    </cfRule>
    <cfRule type="cellIs" dxfId="8600" priority="80" operator="equal">
      <formula>0%</formula>
    </cfRule>
  </conditionalFormatting>
  <conditionalFormatting sqref="AW35">
    <cfRule type="cellIs" dxfId="8599" priority="71" operator="greaterThan">
      <formula>110%</formula>
    </cfRule>
    <cfRule type="cellIs" dxfId="8598" priority="72" operator="between">
      <formula>100.001%</formula>
      <formula>110%</formula>
    </cfRule>
    <cfRule type="cellIs" dxfId="8597" priority="73" operator="between">
      <formula>70.001%</formula>
      <formula>100%</formula>
    </cfRule>
    <cfRule type="cellIs" dxfId="8596" priority="74" operator="between">
      <formula>0.00001%</formula>
      <formula>70%</formula>
    </cfRule>
    <cfRule type="cellIs" dxfId="8595" priority="75" operator="equal">
      <formula>0%</formula>
    </cfRule>
  </conditionalFormatting>
  <conditionalFormatting sqref="AE36">
    <cfRule type="cellIs" dxfId="8594" priority="66" operator="greaterThan">
      <formula>110%</formula>
    </cfRule>
    <cfRule type="cellIs" dxfId="8593" priority="67" operator="between">
      <formula>100.001%</formula>
      <formula>110%</formula>
    </cfRule>
    <cfRule type="cellIs" dxfId="8592" priority="68" operator="between">
      <formula>70.001%</formula>
      <formula>100%</formula>
    </cfRule>
    <cfRule type="cellIs" dxfId="8591" priority="69" operator="between">
      <formula>0.00001%</formula>
      <formula>70%</formula>
    </cfRule>
    <cfRule type="cellIs" dxfId="8590" priority="70" operator="equal">
      <formula>0</formula>
    </cfRule>
  </conditionalFormatting>
  <conditionalFormatting sqref="N36">
    <cfRule type="cellIs" dxfId="8589" priority="61" operator="greaterThan">
      <formula>110%</formula>
    </cfRule>
    <cfRule type="cellIs" dxfId="8588" priority="62" operator="between">
      <formula>100.001%</formula>
      <formula>110%</formula>
    </cfRule>
    <cfRule type="cellIs" dxfId="8587" priority="63" operator="between">
      <formula>70.001%</formula>
      <formula>100%</formula>
    </cfRule>
    <cfRule type="cellIs" dxfId="8586" priority="64" operator="between">
      <formula>0.00001%</formula>
      <formula>70%</formula>
    </cfRule>
    <cfRule type="cellIs" dxfId="8585" priority="65" operator="equal">
      <formula>0</formula>
    </cfRule>
  </conditionalFormatting>
  <conditionalFormatting sqref="Q36">
    <cfRule type="cellIs" dxfId="8584" priority="56" operator="greaterThan">
      <formula>110%</formula>
    </cfRule>
    <cfRule type="cellIs" dxfId="8583" priority="57" operator="between">
      <formula>100.001%</formula>
      <formula>110%</formula>
    </cfRule>
    <cfRule type="cellIs" dxfId="8582" priority="58" operator="between">
      <formula>70.001%</formula>
      <formula>100%</formula>
    </cfRule>
    <cfRule type="cellIs" dxfId="8581" priority="59" operator="between">
      <formula>0.00001%</formula>
      <formula>70%</formula>
    </cfRule>
    <cfRule type="cellIs" dxfId="8580" priority="60" operator="equal">
      <formula>0</formula>
    </cfRule>
  </conditionalFormatting>
  <conditionalFormatting sqref="T36">
    <cfRule type="cellIs" dxfId="8579" priority="51" operator="greaterThan">
      <formula>110%</formula>
    </cfRule>
    <cfRule type="cellIs" dxfId="8578" priority="52" operator="between">
      <formula>100.001%</formula>
      <formula>110%</formula>
    </cfRule>
    <cfRule type="cellIs" dxfId="8577" priority="53" operator="between">
      <formula>70.001%</formula>
      <formula>100%</formula>
    </cfRule>
    <cfRule type="cellIs" dxfId="8576" priority="54" operator="between">
      <formula>0.00001%</formula>
      <formula>70%</formula>
    </cfRule>
    <cfRule type="cellIs" dxfId="8575" priority="55" operator="equal">
      <formula>0</formula>
    </cfRule>
  </conditionalFormatting>
  <conditionalFormatting sqref="W36">
    <cfRule type="cellIs" dxfId="8574" priority="46" operator="greaterThan">
      <formula>110%</formula>
    </cfRule>
    <cfRule type="cellIs" dxfId="8573" priority="47" operator="between">
      <formula>100.001%</formula>
      <formula>110%</formula>
    </cfRule>
    <cfRule type="cellIs" dxfId="8572" priority="48" operator="between">
      <formula>70.001%</formula>
      <formula>100%</formula>
    </cfRule>
    <cfRule type="cellIs" dxfId="8571" priority="49" operator="between">
      <formula>0.00001%</formula>
      <formula>70%</formula>
    </cfRule>
    <cfRule type="cellIs" dxfId="8570" priority="50" operator="equal">
      <formula>0</formula>
    </cfRule>
  </conditionalFormatting>
  <conditionalFormatting sqref="Z36">
    <cfRule type="cellIs" dxfId="8569" priority="41" operator="greaterThan">
      <formula>110%</formula>
    </cfRule>
    <cfRule type="cellIs" dxfId="8568" priority="42" operator="between">
      <formula>100.001%</formula>
      <formula>110%</formula>
    </cfRule>
    <cfRule type="cellIs" dxfId="8567" priority="43" operator="between">
      <formula>70.001%</formula>
      <formula>100%</formula>
    </cfRule>
    <cfRule type="cellIs" dxfId="8566" priority="44" operator="between">
      <formula>0.00001%</formula>
      <formula>70%</formula>
    </cfRule>
    <cfRule type="cellIs" dxfId="8565" priority="45" operator="equal">
      <formula>0</formula>
    </cfRule>
  </conditionalFormatting>
  <conditionalFormatting sqref="AC36">
    <cfRule type="cellIs" dxfId="8564" priority="36" operator="greaterThan">
      <formula>110%</formula>
    </cfRule>
    <cfRule type="cellIs" dxfId="8563" priority="37" operator="between">
      <formula>100.001%</formula>
      <formula>110%</formula>
    </cfRule>
    <cfRule type="cellIs" dxfId="8562" priority="38" operator="between">
      <formula>70.001%</formula>
      <formula>100%</formula>
    </cfRule>
    <cfRule type="cellIs" dxfId="8561" priority="39" operator="between">
      <formula>0.00001%</formula>
      <formula>70%</formula>
    </cfRule>
    <cfRule type="cellIs" dxfId="8560" priority="40" operator="equal">
      <formula>0</formula>
    </cfRule>
  </conditionalFormatting>
  <conditionalFormatting sqref="AW36">
    <cfRule type="cellIs" dxfId="8559" priority="31" operator="greaterThan">
      <formula>110%</formula>
    </cfRule>
    <cfRule type="cellIs" dxfId="8558" priority="32" operator="between">
      <formula>100.001%</formula>
      <formula>110%</formula>
    </cfRule>
    <cfRule type="cellIs" dxfId="8557" priority="33" operator="between">
      <formula>70.001%</formula>
      <formula>100%</formula>
    </cfRule>
    <cfRule type="cellIs" dxfId="8556" priority="34" operator="between">
      <formula>0.00001%</formula>
      <formula>70%</formula>
    </cfRule>
    <cfRule type="cellIs" dxfId="8555" priority="35" operator="equal">
      <formula>0</formula>
    </cfRule>
  </conditionalFormatting>
  <conditionalFormatting sqref="AT36">
    <cfRule type="cellIs" dxfId="8554" priority="26" operator="greaterThan">
      <formula>110%</formula>
    </cfRule>
    <cfRule type="cellIs" dxfId="8553" priority="27" operator="between">
      <formula>100.001%</formula>
      <formula>110%</formula>
    </cfRule>
    <cfRule type="cellIs" dxfId="8552" priority="28" operator="between">
      <formula>70.001%</formula>
      <formula>100%</formula>
    </cfRule>
    <cfRule type="cellIs" dxfId="8551" priority="29" operator="between">
      <formula>0.00001%</formula>
      <formula>70%</formula>
    </cfRule>
    <cfRule type="cellIs" dxfId="8550" priority="30" operator="equal">
      <formula>0</formula>
    </cfRule>
  </conditionalFormatting>
  <conditionalFormatting sqref="AQ36">
    <cfRule type="cellIs" dxfId="8549" priority="21" operator="greaterThan">
      <formula>110%</formula>
    </cfRule>
    <cfRule type="cellIs" dxfId="8548" priority="22" operator="between">
      <formula>100.001%</formula>
      <formula>110%</formula>
    </cfRule>
    <cfRule type="cellIs" dxfId="8547" priority="23" operator="between">
      <formula>70.001%</formula>
      <formula>100%</formula>
    </cfRule>
    <cfRule type="cellIs" dxfId="8546" priority="24" operator="between">
      <formula>0.00001%</formula>
      <formula>70%</formula>
    </cfRule>
    <cfRule type="cellIs" dxfId="8545" priority="25" operator="equal">
      <formula>0</formula>
    </cfRule>
  </conditionalFormatting>
  <conditionalFormatting sqref="AN36">
    <cfRule type="cellIs" dxfId="8544" priority="16" operator="greaterThan">
      <formula>110%</formula>
    </cfRule>
    <cfRule type="cellIs" dxfId="8543" priority="17" operator="between">
      <formula>100.001%</formula>
      <formula>110%</formula>
    </cfRule>
    <cfRule type="cellIs" dxfId="8542" priority="18" operator="between">
      <formula>70.001%</formula>
      <formula>100%</formula>
    </cfRule>
    <cfRule type="cellIs" dxfId="8541" priority="19" operator="between">
      <formula>0.00001%</formula>
      <formula>70%</formula>
    </cfRule>
    <cfRule type="cellIs" dxfId="8540" priority="20" operator="equal">
      <formula>0</formula>
    </cfRule>
  </conditionalFormatting>
  <conditionalFormatting sqref="AK36">
    <cfRule type="cellIs" dxfId="8539" priority="11" operator="greaterThan">
      <formula>110%</formula>
    </cfRule>
    <cfRule type="cellIs" dxfId="8538" priority="12" operator="between">
      <formula>100.001%</formula>
      <formula>110%</formula>
    </cfRule>
    <cfRule type="cellIs" dxfId="8537" priority="13" operator="between">
      <formula>70.001%</formula>
      <formula>100%</formula>
    </cfRule>
    <cfRule type="cellIs" dxfId="8536" priority="14" operator="between">
      <formula>0.00001%</formula>
      <formula>70%</formula>
    </cfRule>
    <cfRule type="cellIs" dxfId="8535" priority="15" operator="equal">
      <formula>0</formula>
    </cfRule>
  </conditionalFormatting>
  <conditionalFormatting sqref="AH36">
    <cfRule type="cellIs" dxfId="8534" priority="6" operator="greaterThan">
      <formula>110%</formula>
    </cfRule>
    <cfRule type="cellIs" dxfId="8533" priority="7" operator="between">
      <formula>100.001%</formula>
      <formula>110%</formula>
    </cfRule>
    <cfRule type="cellIs" dxfId="8532" priority="8" operator="between">
      <formula>70.001%</formula>
      <formula>100%</formula>
    </cfRule>
    <cfRule type="cellIs" dxfId="8531" priority="9" operator="between">
      <formula>0.00001%</formula>
      <formula>70%</formula>
    </cfRule>
    <cfRule type="cellIs" dxfId="8530" priority="10" operator="equal">
      <formula>0</formula>
    </cfRule>
  </conditionalFormatting>
  <conditionalFormatting sqref="AY36">
    <cfRule type="cellIs" dxfId="8529" priority="1" operator="greaterThan">
      <formula>110%</formula>
    </cfRule>
    <cfRule type="cellIs" dxfId="8528" priority="2" operator="between">
      <formula>100.001%</formula>
      <formula>110%</formula>
    </cfRule>
    <cfRule type="cellIs" dxfId="8527" priority="3" operator="between">
      <formula>70.001%</formula>
      <formula>100%</formula>
    </cfRule>
    <cfRule type="cellIs" dxfId="8526" priority="4" operator="between">
      <formula>0.00001%</formula>
      <formula>70%</formula>
    </cfRule>
    <cfRule type="cellIs" dxfId="8525" priority="5" operator="equal">
      <formula>0</formula>
    </cfRule>
  </conditionalFormatting>
  <hyperlinks>
    <hyperlink ref="D11" location="'FIS-5'!A1" display="FIS-5 Gestión efectiva de Fiscalización Aduanera" xr:uid="{00000000-0004-0000-0B00-000000000000}"/>
    <hyperlink ref="D12" location="'FIS-7'!A1" display="FIS-7  Gestión efectiva de Control Cambiario" xr:uid="{00000000-0004-0000-0B00-000001000000}"/>
    <hyperlink ref="D13" location="'FIS-8'!A1" display="FIS-8  Gestión aceptada de Fiscalización Aduanera (Recaudo)" xr:uid="{00000000-0004-0000-0B00-000002000000}"/>
    <hyperlink ref="D14" location="'FIS-9'!A1" display="FIS-9  Gestión aceptada de Fiscalización Aduanera (Resoluciones en firme)" xr:uid="{00000000-0004-0000-0B00-000003000000}"/>
    <hyperlink ref="D15" location="'FIS-11'!A1" display="FIS-11  Gestión aceptada cambiaria (Recaudo)" xr:uid="{00000000-0004-0000-0B00-000004000000}"/>
    <hyperlink ref="D16" location="'FIS-12'!A1" display="FIS-12  Gestión aceptada cambiaria (Resoluciones en firme)" xr:uid="{00000000-0004-0000-0B00-000005000000}"/>
    <hyperlink ref="D17" location="'FIS-16'!A1" display="FIS-16 Visitas de control a personas que hacen la venta y compra de divisas sin estar autorizados" xr:uid="{00000000-0004-0000-0B00-000006000000}"/>
    <hyperlink ref="D18" location="'FIS-15'!A1" display="FIS-15  Visitas de control a profesionales de cambio" xr:uid="{00000000-0004-0000-0B00-000007000000}"/>
    <hyperlink ref="D19" location="'FIS-18'!A1" display="FIS-18 Evacuación de expedientes en fiscalización cambiaria" xr:uid="{00000000-0004-0000-0B00-000008000000}"/>
    <hyperlink ref="D20" location="'FIS-21'!A1" display="FIS-21  Propuestas de Programas de control posterior de fiscalización  aduanera (Sanciones, LOC, LOR, Origen)" xr:uid="{00000000-0004-0000-0B00-000009000000}"/>
    <hyperlink ref="D21" location="'FIS-14'!A1" display="FIS-14 Propuestas acciones aduaneras de control posterior contra el contrabando técnico(Sanciones, LOC, LOR, Origen)" xr:uid="{00000000-0004-0000-0B00-00000A000000}"/>
    <hyperlink ref="D22" location="'JUR-3.1'!A1" display="JUR-3.1 Porcentaje de éxito de litigiosidad" xr:uid="{00000000-0004-0000-0B00-00000B000000}"/>
    <hyperlink ref="D23" location="'JUR-3.2'!A1" display="JUR-3.2 Porcentaje procesos judiciales revisados con mayor riesgo en Ekogui" xr:uid="{00000000-0004-0000-0B00-00000C000000}"/>
    <hyperlink ref="D24" location="'JUR-3.3'!A1" display="JUR-3.3 Porcentaje de análisis de jurisprudencia remitidos junto con la copia de la sentencia " xr:uid="{00000000-0004-0000-0B00-00000D000000}"/>
    <hyperlink ref="D25" location="'JUR-3.4'!A1" display="JUR-3.4 Porcentaje de procesos revisados con Bobo del Jefe " xr:uid="{00000000-0004-0000-0B00-00000E000000}"/>
    <hyperlink ref="D26" location="'JUR-3.5'!A1" display="JUR-3.5 Porcentaje de requerimientos atendidos en oportunidad" xr:uid="{00000000-0004-0000-0B00-00000F000000}"/>
    <hyperlink ref="D27" location="'JUR-3.6'!A1" display="JUR-3.6 Porcentaje funcionarios capacitaciones en cursos virtuales de la ANDJE" xr:uid="{00000000-0004-0000-0B00-000010000000}"/>
    <hyperlink ref="D28" location="'JUR-4'!A1" display="JUR-4 Porcentaje de funcionarios que participaron en el concurso de escritura jurídica" xr:uid="{00000000-0004-0000-0B00-000011000000}"/>
    <hyperlink ref="D29" location="'ADU-3'!A1" display="ADU-3  Monto de la recaudación total de Aduanas" xr:uid="{00000000-0004-0000-0B00-000012000000}"/>
    <hyperlink ref="D30" location="'POLFA-3'!A1" display="POLFA-3 Acciones de control de fiscalización contra el contrabando" xr:uid="{00000000-0004-0000-0B00-000013000000}"/>
    <hyperlink ref="D31" location="'FIS-24'!A1" display="FIS-24  Valor Decomisos de mercancías en firme" xr:uid="{00000000-0004-0000-0B00-000014000000}"/>
    <hyperlink ref="D32" location="'FIS-32'!A1" display="FIS-32 Valor aprehensiones sectores de licores, cigarrillos, calzado y confecciones" xr:uid="{00000000-0004-0000-0B00-000015000000}"/>
    <hyperlink ref="D33" location="'ADU-8'!A1" display="ADU-8  Efectividad en los controles previos - Lucha contra el Contrabando" xr:uid="{00000000-0004-0000-0B00-000016000000}"/>
    <hyperlink ref="D36" location="'ADU-10.1'!A1" display="ADU-10.1 Efectividad en el control de pasajeros" xr:uid="{00000000-0004-0000-0B00-000017000000}"/>
    <hyperlink ref="D39" location="'ADU-29'!A1" display="ADU-29 Eficacia en la toma de muestras de las mercancías presentadas e identificadas por posibles desviaciones de la clasificación arancelaria u otro tipo de incumplimiento de restricciones legales y administrativas, entre otras" xr:uid="{00000000-0004-0000-0B00-000018000000}"/>
    <hyperlink ref="D40" location="'ADU-30'!A1" display="ADU-30 Eficacia Visitas de verificación y control a los productores  y/o exportadores colombianos" xr:uid="{00000000-0004-0000-0B00-000019000000}"/>
    <hyperlink ref="D41" location="'ADU-31'!A1" display="ADU-31 Eficacia en la revisión de criterios de origen de los productos colombianos" xr:uid="{00000000-0004-0000-0B00-00001A000000}"/>
    <hyperlink ref="D42" location="'ADU-32'!A1" display="ADU-32 Eficacia en la atención de solicitudes de análisis merceológicos de mercancía global" xr:uid="{00000000-0004-0000-0B00-00001B000000}"/>
    <hyperlink ref="D44" location="'POLFA-7'!A1" display="POLFA-7 Implementación programa zonas de comercio legal (Formalización)" xr:uid="{00000000-0004-0000-0B00-00001C000000}"/>
    <hyperlink ref="D45" location="'POLFA-8'!A1" display="POLFA-8 Porcentaje de cumplimiento programa semilleros de la legalidad" xr:uid="{00000000-0004-0000-0B00-00001D000000}"/>
    <hyperlink ref="D9" location="'DGRAE-1'!A1" display="DGRAE-1 Nivel de Ejecución del presupuesto " xr:uid="{00000000-0004-0000-0B00-00001E000000}"/>
    <hyperlink ref="D10" location="'DGRAE-2'!A1" display="DGRAE-2 Nivel de ejecución del PAA de la Dirección" xr:uid="{00000000-0004-0000-0B00-00001F000000}"/>
    <hyperlink ref="D47" location="'DGRAE-25'!A1" display="DGRAE-25 Actividades que componen el  PIC para la Dirección de Gestión" xr:uid="{00000000-0004-0000-0B00-000020000000}"/>
    <hyperlink ref="D37" location="'ADU-12'!A1" display="ADU-12  Efectividad en los Controles a los  usuarios de comercio - Visitas con hallazgos en usuarios visitados" xr:uid="{00000000-0004-0000-0B00-000021000000}"/>
    <hyperlink ref="D38" location="'ADU-13'!A1" display="ADU-13 Efectividad en los Controles a los  usuarios de comercio - Hallazgos en visitas de usuarios no visitados anteriormente" xr:uid="{00000000-0004-0000-0B00-000022000000}"/>
    <hyperlink ref="D34" location="'ADU-9'!A1" display="ADU-9 Efectividad en el control simultaneo - Lucha contra el Contrabando" xr:uid="{00000000-0004-0000-0B00-000023000000}"/>
    <hyperlink ref="D35" location="'ADU-9.1'!A1" display="ADU-9.1 Efectividad en el control simultaneo - Lucha contra el Contrabando - Documental" xr:uid="{00000000-0004-0000-0B00-000024000000}"/>
    <hyperlink ref="AZ5" location="'Consolidado '!A1" display="VOLVER" xr:uid="{00000000-0004-0000-0B00-000025000000}"/>
  </hyperlink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52"/>
  <sheetViews>
    <sheetView zoomScale="70" zoomScaleNormal="70" workbookViewId="0">
      <selection activeCell="BC14" sqref="BC14"/>
    </sheetView>
  </sheetViews>
  <sheetFormatPr baseColWidth="10" defaultColWidth="11.42578125" defaultRowHeight="16.5"/>
  <cols>
    <col min="1" max="1" width="25" style="8" customWidth="1"/>
    <col min="2" max="2" width="35.28515625" style="8" customWidth="1"/>
    <col min="3" max="3" width="48.28515625" style="63" customWidth="1"/>
    <col min="4" max="4" width="30.85546875" style="63" customWidth="1"/>
    <col min="5" max="5" width="80.7109375" style="8" hidden="1" customWidth="1"/>
    <col min="6" max="6" width="15.85546875" style="8" customWidth="1"/>
    <col min="7" max="7" width="21.85546875" style="210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30.5703125" style="8" customWidth="1"/>
    <col min="12" max="13" width="20.7109375" style="8" hidden="1" customWidth="1"/>
    <col min="14" max="14" width="20.7109375" style="621" hidden="1" customWidth="1"/>
    <col min="15" max="16" width="20.7109375" style="8" hidden="1" customWidth="1"/>
    <col min="17" max="17" width="20.7109375" style="621" hidden="1" customWidth="1"/>
    <col min="18" max="19" width="20.7109375" style="8" hidden="1" customWidth="1"/>
    <col min="20" max="20" width="20.7109375" style="621" hidden="1" customWidth="1"/>
    <col min="21" max="22" width="20.7109375" style="8" hidden="1" customWidth="1"/>
    <col min="23" max="23" width="20.7109375" style="621" hidden="1" customWidth="1"/>
    <col min="24" max="25" width="20.7109375" style="8" hidden="1" customWidth="1"/>
    <col min="26" max="26" width="20.7109375" style="621" hidden="1" customWidth="1"/>
    <col min="27" max="28" width="20.7109375" style="8" hidden="1" customWidth="1"/>
    <col min="29" max="29" width="20.7109375" style="621" hidden="1" customWidth="1"/>
    <col min="30" max="30" width="20.7109375" style="899" hidden="1" customWidth="1"/>
    <col min="31" max="31" width="20.7109375" style="103" hidden="1" customWidth="1"/>
    <col min="32" max="33" width="20.7109375" style="8" hidden="1" customWidth="1"/>
    <col min="34" max="34" width="20.7109375" style="621" hidden="1" customWidth="1"/>
    <col min="35" max="36" width="20.7109375" style="8" hidden="1" customWidth="1"/>
    <col min="37" max="37" width="20.7109375" style="621" hidden="1" customWidth="1"/>
    <col min="38" max="39" width="20.7109375" style="8" hidden="1" customWidth="1"/>
    <col min="40" max="40" width="20.7109375" style="621" hidden="1" customWidth="1"/>
    <col min="41" max="42" width="20.7109375" style="8" hidden="1" customWidth="1"/>
    <col min="43" max="43" width="20.7109375" style="621" hidden="1" customWidth="1"/>
    <col min="44" max="45" width="20.7109375" style="8" hidden="1" customWidth="1"/>
    <col min="46" max="46" width="20.7109375" style="842" hidden="1" customWidth="1"/>
    <col min="47" max="48" width="20.7109375" style="8" hidden="1" customWidth="1"/>
    <col min="49" max="49" width="20.7109375" style="621" hidden="1" customWidth="1"/>
    <col min="50" max="50" width="20.7109375" style="8" customWidth="1"/>
    <col min="51" max="51" width="11.42578125" style="900" customWidth="1"/>
    <col min="52" max="52" width="13.42578125" style="8" bestFit="1" customWidth="1"/>
    <col min="53" max="16384" width="11.42578125" style="8"/>
  </cols>
  <sheetData>
    <row r="1" spans="1:52" ht="29.25" customHeight="1">
      <c r="A1" s="101"/>
      <c r="B1" s="101"/>
      <c r="C1" s="2885" t="s">
        <v>453</v>
      </c>
      <c r="D1" s="2885"/>
      <c r="E1" s="2885"/>
      <c r="F1" s="2885"/>
      <c r="G1" s="2885"/>
      <c r="H1" s="2885"/>
      <c r="I1" s="2885"/>
      <c r="J1" s="2885"/>
      <c r="K1" s="2885"/>
    </row>
    <row r="2" spans="1:52" ht="21" customHeight="1">
      <c r="A2" s="105"/>
      <c r="B2" s="105"/>
      <c r="C2" s="3002" t="s">
        <v>69</v>
      </c>
      <c r="D2" s="3002"/>
      <c r="E2" s="3002"/>
      <c r="F2" s="3002"/>
      <c r="G2" s="3002"/>
      <c r="H2" s="3002"/>
      <c r="I2" s="3002"/>
      <c r="J2" s="3002"/>
      <c r="K2" s="3002"/>
    </row>
    <row r="3" spans="1:52" ht="18" customHeight="1">
      <c r="A3" s="107"/>
      <c r="B3" s="108"/>
      <c r="C3" s="2866" t="s">
        <v>454</v>
      </c>
      <c r="D3" s="2867"/>
      <c r="E3" s="2867"/>
      <c r="F3" s="2867"/>
      <c r="G3" s="2867"/>
      <c r="H3" s="2867"/>
      <c r="I3" s="2867"/>
      <c r="J3" s="2867"/>
      <c r="K3" s="2867"/>
    </row>
    <row r="4" spans="1:52" ht="9.75" customHeight="1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</row>
    <row r="5" spans="1:52" ht="18.75" customHeight="1" thickTop="1" thickBot="1">
      <c r="A5" s="2823" t="s">
        <v>0</v>
      </c>
      <c r="B5" s="2830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23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  <c r="AZ5" s="670" t="s">
        <v>185</v>
      </c>
    </row>
    <row r="6" spans="1:52" ht="14.45" customHeight="1" thickTop="1" thickBot="1">
      <c r="A6" s="2823"/>
      <c r="B6" s="2831"/>
      <c r="C6" s="2823"/>
      <c r="D6" s="2823"/>
      <c r="E6" s="2823"/>
      <c r="F6" s="2823"/>
      <c r="G6" s="2823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customHeight="1" thickTop="1" thickBot="1">
      <c r="A7" s="2823"/>
      <c r="B7" s="2832"/>
      <c r="C7" s="2823"/>
      <c r="D7" s="2823"/>
      <c r="E7" s="2823"/>
      <c r="F7" s="2823"/>
      <c r="G7" s="2823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 s="761">
        <f>+(AY9+AY10+AY11+AY12+AY13+AY14+AY15+AY16+AY17+AY18+AY19+AY20+AY21+AY22+AY23+AY24+AY25+AY26+AY27+AY28+AY29+AY30+AY31+AY32+AY35+AY36+AY39+AY41)/28</f>
        <v>1.2305189444058939</v>
      </c>
    </row>
    <row r="8" spans="1:52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71" t="s">
        <v>86</v>
      </c>
      <c r="O8" s="13" t="s">
        <v>84</v>
      </c>
      <c r="P8" s="14" t="s">
        <v>85</v>
      </c>
      <c r="Q8" s="71" t="s">
        <v>86</v>
      </c>
      <c r="R8" s="16" t="s">
        <v>84</v>
      </c>
      <c r="S8" s="16" t="s">
        <v>85</v>
      </c>
      <c r="T8" s="71" t="s">
        <v>86</v>
      </c>
      <c r="U8" s="16" t="s">
        <v>84</v>
      </c>
      <c r="V8" s="16" t="s">
        <v>85</v>
      </c>
      <c r="W8" s="71" t="s">
        <v>86</v>
      </c>
      <c r="X8" s="16" t="s">
        <v>84</v>
      </c>
      <c r="Y8" s="16" t="s">
        <v>85</v>
      </c>
      <c r="Z8" s="71" t="s">
        <v>86</v>
      </c>
      <c r="AA8" s="16" t="s">
        <v>84</v>
      </c>
      <c r="AB8" s="16" t="s">
        <v>85</v>
      </c>
      <c r="AC8" s="71" t="s">
        <v>86</v>
      </c>
      <c r="AD8" s="16" t="s">
        <v>87</v>
      </c>
      <c r="AE8" s="71" t="s">
        <v>6</v>
      </c>
      <c r="AF8" s="13" t="s">
        <v>84</v>
      </c>
      <c r="AG8" s="14" t="s">
        <v>85</v>
      </c>
      <c r="AH8" s="71" t="s">
        <v>86</v>
      </c>
      <c r="AI8" s="16" t="s">
        <v>84</v>
      </c>
      <c r="AJ8" s="13" t="s">
        <v>85</v>
      </c>
      <c r="AK8" s="71" t="s">
        <v>86</v>
      </c>
      <c r="AL8" s="14" t="s">
        <v>84</v>
      </c>
      <c r="AM8" s="16" t="s">
        <v>85</v>
      </c>
      <c r="AN8" s="71" t="s">
        <v>86</v>
      </c>
      <c r="AO8" s="16" t="s">
        <v>84</v>
      </c>
      <c r="AP8" s="16" t="s">
        <v>85</v>
      </c>
      <c r="AQ8" s="71" t="s">
        <v>86</v>
      </c>
      <c r="AR8" s="16" t="s">
        <v>84</v>
      </c>
      <c r="AS8" s="13" t="s">
        <v>85</v>
      </c>
      <c r="AT8" s="71" t="s">
        <v>86</v>
      </c>
      <c r="AU8" s="13" t="s">
        <v>84</v>
      </c>
      <c r="AV8" s="14" t="s">
        <v>85</v>
      </c>
      <c r="AW8" s="71" t="s">
        <v>86</v>
      </c>
      <c r="AX8" s="13" t="s">
        <v>87</v>
      </c>
      <c r="AY8" s="14" t="s">
        <v>6</v>
      </c>
    </row>
    <row r="9" spans="1:52" customFormat="1" ht="39.75" customHeight="1" thickTop="1" thickBot="1">
      <c r="A9" s="2943" t="s">
        <v>88</v>
      </c>
      <c r="B9" s="2848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901">
        <f>1587070135/1000000</f>
        <v>1587.0701349999999</v>
      </c>
      <c r="H9" s="74" t="s">
        <v>25</v>
      </c>
      <c r="I9" s="79"/>
      <c r="J9" s="78"/>
      <c r="K9" s="76" t="s">
        <v>25</v>
      </c>
      <c r="L9" s="765">
        <v>405.259165</v>
      </c>
      <c r="M9" s="567">
        <v>84.3</v>
      </c>
      <c r="N9" s="73">
        <f t="shared" ref="N9:N10" si="0">+M9/L9</f>
        <v>0.20801503650139536</v>
      </c>
      <c r="O9" s="765">
        <v>118.019165</v>
      </c>
      <c r="P9" s="567">
        <v>57.4</v>
      </c>
      <c r="Q9" s="73">
        <f t="shared" ref="Q9:Q10" si="1">+P9/O9</f>
        <v>0.48636168540931463</v>
      </c>
      <c r="R9" s="765">
        <v>227.182165</v>
      </c>
      <c r="S9" s="567">
        <v>246.5</v>
      </c>
      <c r="T9" s="73">
        <f t="shared" ref="T9:T10" si="2">+S9/R9</f>
        <v>1.0850323571834963</v>
      </c>
      <c r="U9" s="765">
        <v>338.38216499999999</v>
      </c>
      <c r="V9" s="567">
        <v>76.7</v>
      </c>
      <c r="W9" s="73">
        <f t="shared" ref="W9:W10" si="3">+V9/U9</f>
        <v>0.22666679255982658</v>
      </c>
      <c r="X9" s="765">
        <v>75.682164999999998</v>
      </c>
      <c r="Y9" s="567">
        <v>36.5</v>
      </c>
      <c r="Z9" s="73">
        <f t="shared" ref="Z9:Z10" si="4">+Y9/X9</f>
        <v>0.48228007219402352</v>
      </c>
      <c r="AA9" s="765">
        <v>62.182164999999998</v>
      </c>
      <c r="AB9" s="567">
        <v>123.1</v>
      </c>
      <c r="AC9" s="73">
        <f t="shared" ref="AC9:AC10" si="5">+AB9/AA9</f>
        <v>1.979667321007559</v>
      </c>
      <c r="AD9" s="566">
        <f>+AB9+Y9+V9+S9+P9+M9</f>
        <v>624.5</v>
      </c>
      <c r="AE9" s="73">
        <f t="shared" ref="AE9:AE10" si="6">+AD9/G9</f>
        <v>0.39349237707128804</v>
      </c>
      <c r="AF9" s="765">
        <v>62.182164999999998</v>
      </c>
      <c r="AG9" s="567">
        <v>166.4</v>
      </c>
      <c r="AH9" s="73">
        <f t="shared" ref="AH9:AH10" si="7">+AG9/AF9</f>
        <v>2.6760084664147672</v>
      </c>
      <c r="AI9" s="765">
        <v>62.182164999999998</v>
      </c>
      <c r="AJ9" s="567">
        <v>88.2</v>
      </c>
      <c r="AK9" s="73">
        <f t="shared" ref="AK9:AK10" si="8">+AJ9/AI9</f>
        <v>1.4184131414530197</v>
      </c>
      <c r="AL9" s="765">
        <v>65.010069999999999</v>
      </c>
      <c r="AM9" s="567">
        <v>159.9</v>
      </c>
      <c r="AN9" s="73">
        <f t="shared" ref="AN9:AN10" si="9">+AM9/AL9</f>
        <v>2.4596189482644766</v>
      </c>
      <c r="AO9" s="765">
        <v>62.182164999999998</v>
      </c>
      <c r="AP9" s="567">
        <v>118</v>
      </c>
      <c r="AQ9" s="73">
        <f>+AP9/AO9</f>
        <v>1.8976502345970103</v>
      </c>
      <c r="AR9" s="765">
        <v>63.582165000000003</v>
      </c>
      <c r="AS9" s="567">
        <v>57.3</v>
      </c>
      <c r="AT9" s="73">
        <f>+AS9/AR9</f>
        <v>0.90119611372151287</v>
      </c>
      <c r="AU9" s="765">
        <v>60.382185</v>
      </c>
      <c r="AV9" s="567">
        <v>342.45</v>
      </c>
      <c r="AW9" s="73">
        <f>+AV9/AU9</f>
        <v>5.6713747606185496</v>
      </c>
      <c r="AX9" s="747">
        <f>1551119172.16/1000000</f>
        <v>1551.1191721600001</v>
      </c>
      <c r="AY9" s="19">
        <f>+AX9/G9</f>
        <v>0.97734759035081975</v>
      </c>
    </row>
    <row r="10" spans="1:52" customFormat="1" ht="39.75" customHeight="1" thickTop="1" thickBot="1">
      <c r="A10" s="2944"/>
      <c r="B10" s="2850"/>
      <c r="C10" s="74" t="s">
        <v>169</v>
      </c>
      <c r="D10" s="111" t="s">
        <v>92</v>
      </c>
      <c r="E10" s="74" t="s">
        <v>170</v>
      </c>
      <c r="F10" s="74" t="s">
        <v>17</v>
      </c>
      <c r="G10" s="902">
        <v>9</v>
      </c>
      <c r="H10" s="118" t="s">
        <v>26</v>
      </c>
      <c r="I10" s="79"/>
      <c r="J10" s="78"/>
      <c r="K10" s="76" t="s">
        <v>26</v>
      </c>
      <c r="L10" s="119">
        <v>4</v>
      </c>
      <c r="M10" s="120">
        <v>3</v>
      </c>
      <c r="N10" s="73">
        <f t="shared" si="0"/>
        <v>0.75</v>
      </c>
      <c r="O10" s="119">
        <v>1</v>
      </c>
      <c r="P10" s="120">
        <v>1</v>
      </c>
      <c r="Q10" s="73">
        <f t="shared" si="1"/>
        <v>1</v>
      </c>
      <c r="R10" s="119">
        <v>1</v>
      </c>
      <c r="S10" s="120">
        <v>1</v>
      </c>
      <c r="T10" s="73">
        <f t="shared" si="2"/>
        <v>1</v>
      </c>
      <c r="U10" s="119"/>
      <c r="V10" s="120"/>
      <c r="W10" s="73" t="e">
        <f t="shared" si="3"/>
        <v>#DIV/0!</v>
      </c>
      <c r="X10" s="119">
        <v>1</v>
      </c>
      <c r="Y10" s="120">
        <v>1</v>
      </c>
      <c r="Z10" s="73">
        <f t="shared" si="4"/>
        <v>1</v>
      </c>
      <c r="AA10" s="119"/>
      <c r="AB10" s="120"/>
      <c r="AC10" s="73" t="e">
        <f t="shared" si="5"/>
        <v>#DIV/0!</v>
      </c>
      <c r="AD10" s="122">
        <f>+AB10+Y10+V10+S10+P10+M10</f>
        <v>6</v>
      </c>
      <c r="AE10" s="73">
        <f t="shared" si="6"/>
        <v>0.66666666666666663</v>
      </c>
      <c r="AF10" s="119">
        <v>1</v>
      </c>
      <c r="AG10" s="120">
        <v>1</v>
      </c>
      <c r="AH10" s="73">
        <f t="shared" si="7"/>
        <v>1</v>
      </c>
      <c r="AI10" s="119">
        <v>0</v>
      </c>
      <c r="AJ10" s="120"/>
      <c r="AK10" s="73" t="e">
        <f t="shared" si="8"/>
        <v>#DIV/0!</v>
      </c>
      <c r="AL10" s="119"/>
      <c r="AM10" s="120"/>
      <c r="AN10" s="73" t="e">
        <f t="shared" si="9"/>
        <v>#DIV/0!</v>
      </c>
      <c r="AO10" s="119"/>
      <c r="AP10" s="120"/>
      <c r="AQ10" s="73" t="e">
        <f>+AP10/AO10</f>
        <v>#DIV/0!</v>
      </c>
      <c r="AR10" s="119">
        <v>1</v>
      </c>
      <c r="AS10" s="120">
        <v>1</v>
      </c>
      <c r="AT10" s="73">
        <f>+AS10/AR10</f>
        <v>1</v>
      </c>
      <c r="AU10" s="119">
        <v>1</v>
      </c>
      <c r="AV10" s="120">
        <v>1</v>
      </c>
      <c r="AW10" s="73">
        <f>+AV10/AU10</f>
        <v>1</v>
      </c>
      <c r="AX10" s="123">
        <f t="shared" ref="AX10:AX31" si="10">+M10+P10+S10+V10+Y10+AB10+AG10+AJ10+AM10+AP10+AS10+AV10</f>
        <v>9</v>
      </c>
      <c r="AY10" s="19">
        <f t="shared" ref="AY10:AY36" si="11">+AX10/G10</f>
        <v>1</v>
      </c>
    </row>
    <row r="11" spans="1:52" s="22" customFormat="1" ht="39.75" customHeight="1" thickTop="1" thickBot="1">
      <c r="A11" s="2944"/>
      <c r="B11" s="3006" t="s">
        <v>94</v>
      </c>
      <c r="C11" s="3012" t="s">
        <v>455</v>
      </c>
      <c r="D11" s="171" t="s">
        <v>430</v>
      </c>
      <c r="E11" s="172" t="s">
        <v>192</v>
      </c>
      <c r="F11" s="172" t="s">
        <v>101</v>
      </c>
      <c r="G11" s="903">
        <v>12000000000</v>
      </c>
      <c r="H11" s="767"/>
      <c r="I11" s="778"/>
      <c r="J11" s="767"/>
      <c r="K11" s="172" t="s">
        <v>140</v>
      </c>
      <c r="L11" s="765">
        <v>800000000</v>
      </c>
      <c r="M11" s="765">
        <v>133761948</v>
      </c>
      <c r="N11" s="73">
        <f>+M11/L11</f>
        <v>0.16720243500000001</v>
      </c>
      <c r="O11" s="765">
        <v>800000000</v>
      </c>
      <c r="P11" s="567">
        <v>51201510</v>
      </c>
      <c r="Q11" s="73">
        <f>+P11/O11</f>
        <v>6.4001887499999993E-2</v>
      </c>
      <c r="R11" s="765">
        <v>800000000</v>
      </c>
      <c r="S11" s="567">
        <v>0</v>
      </c>
      <c r="T11" s="73">
        <f>+S11/R11</f>
        <v>0</v>
      </c>
      <c r="U11" s="765">
        <v>1200000000</v>
      </c>
      <c r="V11" s="567">
        <v>0</v>
      </c>
      <c r="W11" s="73">
        <f>+V11/U11</f>
        <v>0</v>
      </c>
      <c r="X11" s="765">
        <v>1200000000</v>
      </c>
      <c r="Y11" s="567">
        <v>0</v>
      </c>
      <c r="Z11" s="73">
        <f>+Y11/X11</f>
        <v>0</v>
      </c>
      <c r="AA11" s="765">
        <v>1200000000</v>
      </c>
      <c r="AB11" s="567">
        <v>73467086</v>
      </c>
      <c r="AC11" s="73">
        <f>+AB11/AA11</f>
        <v>6.122257166666667E-2</v>
      </c>
      <c r="AD11" s="566">
        <f>+M11+P11+S11+V11+Y11+AB11</f>
        <v>258430544</v>
      </c>
      <c r="AE11" s="73">
        <f>+AD11/G11</f>
        <v>2.1535878666666668E-2</v>
      </c>
      <c r="AF11" s="765">
        <v>1200000000</v>
      </c>
      <c r="AG11" s="567">
        <v>0</v>
      </c>
      <c r="AH11" s="73">
        <f>+AG11/AF11</f>
        <v>0</v>
      </c>
      <c r="AI11" s="765">
        <v>1200000000</v>
      </c>
      <c r="AJ11" s="567">
        <v>55233200</v>
      </c>
      <c r="AK11" s="73">
        <f>+AJ11/AI11</f>
        <v>4.6027666666666668E-2</v>
      </c>
      <c r="AL11" s="765">
        <v>1200000000</v>
      </c>
      <c r="AM11" s="567">
        <v>14242800</v>
      </c>
      <c r="AN11" s="73">
        <f>+AM11/AL11</f>
        <v>1.1868999999999999E-2</v>
      </c>
      <c r="AO11" s="765">
        <v>800000000</v>
      </c>
      <c r="AP11" s="567">
        <v>27193200</v>
      </c>
      <c r="AQ11" s="73">
        <f>+AP11/AO11</f>
        <v>3.3991500000000001E-2</v>
      </c>
      <c r="AR11" s="765">
        <v>800000000</v>
      </c>
      <c r="AS11" s="567">
        <v>22392009666</v>
      </c>
      <c r="AT11" s="73">
        <f>+AS11/AR11</f>
        <v>27.990012082500002</v>
      </c>
      <c r="AU11" s="765">
        <v>800000000</v>
      </c>
      <c r="AV11" s="567">
        <v>130687539</v>
      </c>
      <c r="AW11" s="73">
        <f>+AV11/AU11</f>
        <v>0.16335942375000001</v>
      </c>
      <c r="AX11" s="745">
        <f t="shared" si="10"/>
        <v>22877796949</v>
      </c>
      <c r="AY11" s="73">
        <f t="shared" si="11"/>
        <v>1.9064830790833334</v>
      </c>
    </row>
    <row r="12" spans="1:52" s="22" customFormat="1" ht="39.75" customHeight="1" thickTop="1" thickBot="1">
      <c r="A12" s="2944"/>
      <c r="B12" s="3007"/>
      <c r="C12" s="3013"/>
      <c r="D12" s="111" t="s">
        <v>456</v>
      </c>
      <c r="E12" s="177" t="s">
        <v>195</v>
      </c>
      <c r="F12" s="177" t="s">
        <v>101</v>
      </c>
      <c r="G12" s="904">
        <v>56835951018</v>
      </c>
      <c r="H12" s="905"/>
      <c r="I12" s="775"/>
      <c r="J12" s="905"/>
      <c r="K12" s="177" t="s">
        <v>196</v>
      </c>
      <c r="L12" s="776">
        <v>1894531701</v>
      </c>
      <c r="M12" s="776">
        <v>15613281527</v>
      </c>
      <c r="N12" s="73">
        <f t="shared" ref="N12:N39" si="12">+M12/L12</f>
        <v>8.2412352977565728</v>
      </c>
      <c r="O12" s="776">
        <v>1894531701</v>
      </c>
      <c r="P12" s="769">
        <v>71621166</v>
      </c>
      <c r="Q12" s="73">
        <f t="shared" ref="Q12:Q39" si="13">+P12/O12</f>
        <v>3.7804152848007685E-2</v>
      </c>
      <c r="R12" s="776">
        <v>1894531701</v>
      </c>
      <c r="S12" s="769">
        <v>0</v>
      </c>
      <c r="T12" s="73">
        <f t="shared" ref="T12:T39" si="14">+S12/R12</f>
        <v>0</v>
      </c>
      <c r="U12" s="776">
        <v>7578126802</v>
      </c>
      <c r="V12" s="769">
        <v>0</v>
      </c>
      <c r="W12" s="73">
        <f t="shared" ref="W12:W39" si="15">+V12/U12</f>
        <v>0</v>
      </c>
      <c r="X12" s="776">
        <v>7578126802</v>
      </c>
      <c r="Y12" s="769">
        <v>0</v>
      </c>
      <c r="Z12" s="73">
        <f t="shared" ref="Z12:Z39" si="16">+Y12/X12</f>
        <v>0</v>
      </c>
      <c r="AA12" s="776">
        <v>7578126802</v>
      </c>
      <c r="AB12" s="769">
        <v>68645023</v>
      </c>
      <c r="AC12" s="73">
        <f t="shared" ref="AC12:AC39" si="17">+AB12/AA12</f>
        <v>9.0583101594292909E-3</v>
      </c>
      <c r="AD12" s="777">
        <f t="shared" ref="AD12:AD39" si="18">+M12+P12+S12+V12+Y12+AB12</f>
        <v>15753547716</v>
      </c>
      <c r="AE12" s="73">
        <f t="shared" ref="AE12:AE41" si="19">+AD12/G12</f>
        <v>0.27717575643294567</v>
      </c>
      <c r="AF12" s="776">
        <v>7578126802</v>
      </c>
      <c r="AG12" s="769">
        <v>3404237</v>
      </c>
      <c r="AH12" s="73">
        <f t="shared" ref="AH12:AH39" si="20">+AG12/AF12</f>
        <v>4.4921879627318485E-4</v>
      </c>
      <c r="AI12" s="776">
        <v>7578126802</v>
      </c>
      <c r="AJ12" s="769">
        <v>683013098</v>
      </c>
      <c r="AK12" s="73">
        <f t="shared" ref="AK12:AK41" si="21">+AJ12/AI12</f>
        <v>9.0129542015546765E-2</v>
      </c>
      <c r="AL12" s="776">
        <v>7578126802</v>
      </c>
      <c r="AM12" s="769">
        <v>6854000</v>
      </c>
      <c r="AN12" s="73">
        <f t="shared" ref="AN12:AN39" si="22">+AM12/AL12</f>
        <v>9.0444514575701077E-4</v>
      </c>
      <c r="AO12" s="776">
        <v>1894531701</v>
      </c>
      <c r="AP12" s="769">
        <v>1908579750</v>
      </c>
      <c r="AQ12" s="73">
        <f t="shared" ref="AQ12:AQ39" si="23">+AP12/AO12</f>
        <v>1.0074150509028617</v>
      </c>
      <c r="AR12" s="776">
        <v>1894531701</v>
      </c>
      <c r="AS12" s="769">
        <v>115009342</v>
      </c>
      <c r="AT12" s="73">
        <f t="shared" ref="AT12:AT39" si="24">+AS12/AR12</f>
        <v>6.0705947511616752E-2</v>
      </c>
      <c r="AU12" s="776">
        <v>1894531701</v>
      </c>
      <c r="AV12" s="769">
        <v>269200475</v>
      </c>
      <c r="AW12" s="73">
        <f t="shared" ref="AW12:AW39" si="25">+AV12/AU12</f>
        <v>0.14209341277208853</v>
      </c>
      <c r="AX12" s="906">
        <f t="shared" si="10"/>
        <v>18739608618</v>
      </c>
      <c r="AY12" s="73">
        <f t="shared" si="11"/>
        <v>0.32971399760804826</v>
      </c>
    </row>
    <row r="13" spans="1:52" s="22" customFormat="1" ht="39.75" customHeight="1" thickTop="1" thickBot="1">
      <c r="A13" s="2944"/>
      <c r="B13" s="3007"/>
      <c r="C13" s="3013"/>
      <c r="D13" s="171" t="s">
        <v>457</v>
      </c>
      <c r="E13" s="172" t="s">
        <v>198</v>
      </c>
      <c r="F13" s="172" t="s">
        <v>101</v>
      </c>
      <c r="G13" s="903">
        <v>831342570.47300506</v>
      </c>
      <c r="H13" s="767"/>
      <c r="I13" s="778"/>
      <c r="J13" s="767"/>
      <c r="K13" s="172" t="s">
        <v>140</v>
      </c>
      <c r="L13" s="765">
        <v>55422838.031533688</v>
      </c>
      <c r="M13" s="765">
        <v>32664640</v>
      </c>
      <c r="N13" s="73">
        <f t="shared" si="12"/>
        <v>0.58937147862068962</v>
      </c>
      <c r="O13" s="765">
        <v>55422838.031533688</v>
      </c>
      <c r="P13" s="567">
        <v>5131000</v>
      </c>
      <c r="Q13" s="73">
        <f t="shared" si="13"/>
        <v>9.2579163793103436E-2</v>
      </c>
      <c r="R13" s="765">
        <v>55422838.031533688</v>
      </c>
      <c r="S13" s="567">
        <v>2678000</v>
      </c>
      <c r="T13" s="73">
        <f t="shared" si="14"/>
        <v>4.8319431034482753E-2</v>
      </c>
      <c r="U13" s="765">
        <v>83134257.047300532</v>
      </c>
      <c r="V13" s="567">
        <v>0</v>
      </c>
      <c r="W13" s="73">
        <f t="shared" si="15"/>
        <v>0</v>
      </c>
      <c r="X13" s="765">
        <v>83134257.047300532</v>
      </c>
      <c r="Y13" s="567">
        <v>0</v>
      </c>
      <c r="Z13" s="73">
        <f t="shared" si="16"/>
        <v>0</v>
      </c>
      <c r="AA13" s="765">
        <v>83134257.047300532</v>
      </c>
      <c r="AB13" s="567">
        <v>24182000</v>
      </c>
      <c r="AC13" s="73">
        <f t="shared" si="17"/>
        <v>0.29087888505747123</v>
      </c>
      <c r="AD13" s="566">
        <f t="shared" si="18"/>
        <v>64655640</v>
      </c>
      <c r="AE13" s="73">
        <f t="shared" si="19"/>
        <v>7.7772560068965532E-2</v>
      </c>
      <c r="AF13" s="765">
        <v>83134257.047300532</v>
      </c>
      <c r="AG13" s="567">
        <v>3462000</v>
      </c>
      <c r="AH13" s="73">
        <f t="shared" si="20"/>
        <v>4.164348275862069E-2</v>
      </c>
      <c r="AI13" s="765">
        <v>83134257.047300532</v>
      </c>
      <c r="AJ13" s="567">
        <v>6087000</v>
      </c>
      <c r="AK13" s="73">
        <f t="shared" si="21"/>
        <v>7.3218913793103441E-2</v>
      </c>
      <c r="AL13" s="765">
        <v>83134257.047300532</v>
      </c>
      <c r="AM13" s="567">
        <v>4408560</v>
      </c>
      <c r="AN13" s="73">
        <f t="shared" si="22"/>
        <v>5.3029402758620683E-2</v>
      </c>
      <c r="AO13" s="765">
        <v>55422838.031533688</v>
      </c>
      <c r="AP13" s="567">
        <v>4273000</v>
      </c>
      <c r="AQ13" s="73">
        <f t="shared" si="23"/>
        <v>7.7098181034482752E-2</v>
      </c>
      <c r="AR13" s="765">
        <v>55422838.031533688</v>
      </c>
      <c r="AS13" s="567">
        <v>26881000</v>
      </c>
      <c r="AT13" s="73">
        <f t="shared" si="24"/>
        <v>0.48501666379310343</v>
      </c>
      <c r="AU13" s="765">
        <v>55422838.031533688</v>
      </c>
      <c r="AV13" s="567">
        <v>13182000</v>
      </c>
      <c r="AW13" s="73">
        <f>+AV13/AU13</f>
        <v>0.2378441896551724</v>
      </c>
      <c r="AX13" s="745">
        <f>+M13+P13+S13+V13+Y13+AB13+AG13+AJ13+AM13+AP13+AS13+AV13</f>
        <v>122949200</v>
      </c>
      <c r="AY13" s="73">
        <f>+AX13/G13</f>
        <v>0.14789234229885062</v>
      </c>
    </row>
    <row r="14" spans="1:52" s="22" customFormat="1" ht="39.75" customHeight="1" thickTop="1" thickBot="1">
      <c r="A14" s="2944"/>
      <c r="B14" s="3007"/>
      <c r="C14" s="3013"/>
      <c r="D14" s="111" t="s">
        <v>458</v>
      </c>
      <c r="E14" s="177" t="s">
        <v>200</v>
      </c>
      <c r="F14" s="177" t="s">
        <v>101</v>
      </c>
      <c r="G14" s="904">
        <v>8700000000</v>
      </c>
      <c r="H14" s="905"/>
      <c r="I14" s="775"/>
      <c r="J14" s="905"/>
      <c r="K14" s="177" t="s">
        <v>140</v>
      </c>
      <c r="L14" s="907">
        <v>580000000</v>
      </c>
      <c r="M14" s="907">
        <v>41684280</v>
      </c>
      <c r="N14" s="73">
        <f t="shared" si="12"/>
        <v>7.1869448275862072E-2</v>
      </c>
      <c r="O14" s="907">
        <v>580000000</v>
      </c>
      <c r="P14" s="847">
        <v>110615282</v>
      </c>
      <c r="Q14" s="73">
        <f t="shared" si="13"/>
        <v>0.19071600344827586</v>
      </c>
      <c r="R14" s="907">
        <v>580000000</v>
      </c>
      <c r="S14" s="847">
        <v>13095786</v>
      </c>
      <c r="T14" s="73">
        <f t="shared" si="14"/>
        <v>2.2578941379310345E-2</v>
      </c>
      <c r="U14" s="907">
        <v>870000000</v>
      </c>
      <c r="V14" s="847">
        <v>12083506</v>
      </c>
      <c r="W14" s="73">
        <f t="shared" si="15"/>
        <v>1.388908735632184E-2</v>
      </c>
      <c r="X14" s="907">
        <v>870000000</v>
      </c>
      <c r="Y14" s="847">
        <v>0</v>
      </c>
      <c r="Z14" s="73">
        <f t="shared" si="16"/>
        <v>0</v>
      </c>
      <c r="AA14" s="907">
        <v>870000000</v>
      </c>
      <c r="AB14" s="847">
        <v>39527739</v>
      </c>
      <c r="AC14" s="73">
        <f t="shared" si="17"/>
        <v>4.5434182758620691E-2</v>
      </c>
      <c r="AD14" s="848">
        <f t="shared" si="18"/>
        <v>217006593</v>
      </c>
      <c r="AE14" s="73">
        <f t="shared" si="19"/>
        <v>2.4943286551724137E-2</v>
      </c>
      <c r="AF14" s="907">
        <v>870000000</v>
      </c>
      <c r="AG14" s="847">
        <v>158101309</v>
      </c>
      <c r="AH14" s="73">
        <f t="shared" si="20"/>
        <v>0.18172564252873563</v>
      </c>
      <c r="AI14" s="907">
        <v>870000000</v>
      </c>
      <c r="AJ14" s="847">
        <v>59183500</v>
      </c>
      <c r="AK14" s="73">
        <f t="shared" si="21"/>
        <v>6.8027011494252873E-2</v>
      </c>
      <c r="AL14" s="907">
        <v>870000000</v>
      </c>
      <c r="AM14" s="847">
        <v>56632889</v>
      </c>
      <c r="AN14" s="73">
        <f t="shared" si="22"/>
        <v>6.5095274712643675E-2</v>
      </c>
      <c r="AO14" s="907">
        <v>580000000</v>
      </c>
      <c r="AP14" s="847">
        <v>0</v>
      </c>
      <c r="AQ14" s="73">
        <f t="shared" si="23"/>
        <v>0</v>
      </c>
      <c r="AR14" s="907">
        <v>580000000</v>
      </c>
      <c r="AS14" s="847">
        <v>13485200</v>
      </c>
      <c r="AT14" s="73">
        <f t="shared" si="24"/>
        <v>2.3250344827586207E-2</v>
      </c>
      <c r="AU14" s="907">
        <v>580000000</v>
      </c>
      <c r="AV14" s="847">
        <v>22181674016</v>
      </c>
      <c r="AW14" s="73">
        <f t="shared" si="25"/>
        <v>38.244265544827584</v>
      </c>
      <c r="AX14" s="908">
        <f t="shared" si="10"/>
        <v>22686083507</v>
      </c>
      <c r="AY14" s="73">
        <f t="shared" si="11"/>
        <v>2.607595805402299</v>
      </c>
    </row>
    <row r="15" spans="1:52" s="22" customFormat="1" ht="39.75" customHeight="1" thickTop="1" thickBot="1">
      <c r="A15" s="2944"/>
      <c r="B15" s="3007"/>
      <c r="C15" s="3013"/>
      <c r="D15" s="171" t="s">
        <v>459</v>
      </c>
      <c r="E15" s="172" t="s">
        <v>460</v>
      </c>
      <c r="F15" s="172" t="s">
        <v>101</v>
      </c>
      <c r="G15" s="903">
        <v>2000000000</v>
      </c>
      <c r="H15" s="767"/>
      <c r="I15" s="778"/>
      <c r="J15" s="767"/>
      <c r="K15" s="172" t="s">
        <v>196</v>
      </c>
      <c r="L15" s="765">
        <v>66666667</v>
      </c>
      <c r="M15" s="765">
        <v>13632270</v>
      </c>
      <c r="N15" s="73">
        <f t="shared" si="12"/>
        <v>0.20448404897757977</v>
      </c>
      <c r="O15" s="765">
        <v>66666667</v>
      </c>
      <c r="P15" s="567">
        <v>26325000</v>
      </c>
      <c r="Q15" s="73">
        <f t="shared" si="13"/>
        <v>0.39487499802562503</v>
      </c>
      <c r="R15" s="765">
        <v>66666667</v>
      </c>
      <c r="S15" s="567">
        <v>0</v>
      </c>
      <c r="T15" s="73">
        <f t="shared" si="14"/>
        <v>0</v>
      </c>
      <c r="U15" s="765">
        <v>266666667</v>
      </c>
      <c r="V15" s="567"/>
      <c r="W15" s="73">
        <f t="shared" si="15"/>
        <v>0</v>
      </c>
      <c r="X15" s="765">
        <v>266666667</v>
      </c>
      <c r="Y15" s="567">
        <v>0</v>
      </c>
      <c r="Z15" s="73">
        <f t="shared" si="16"/>
        <v>0</v>
      </c>
      <c r="AA15" s="765">
        <v>266666667</v>
      </c>
      <c r="AB15" s="769">
        <v>2035500</v>
      </c>
      <c r="AC15" s="73">
        <f t="shared" si="17"/>
        <v>7.6331249904585934E-3</v>
      </c>
      <c r="AD15" s="566">
        <f t="shared" si="18"/>
        <v>41992770</v>
      </c>
      <c r="AE15" s="73">
        <f t="shared" si="19"/>
        <v>2.0996384999999999E-2</v>
      </c>
      <c r="AF15" s="765">
        <v>266666667</v>
      </c>
      <c r="AG15" s="769">
        <v>24760775</v>
      </c>
      <c r="AH15" s="73">
        <f t="shared" si="20"/>
        <v>9.2852906133933863E-2</v>
      </c>
      <c r="AI15" s="765">
        <v>266666667</v>
      </c>
      <c r="AJ15" s="769">
        <v>7183050</v>
      </c>
      <c r="AK15" s="73">
        <f t="shared" si="21"/>
        <v>2.6936437466329455E-2</v>
      </c>
      <c r="AL15" s="765">
        <v>266666666</v>
      </c>
      <c r="AM15" s="769">
        <v>26763400</v>
      </c>
      <c r="AN15" s="73">
        <f t="shared" si="22"/>
        <v>0.10036275025090688</v>
      </c>
      <c r="AO15" s="765">
        <v>66666666</v>
      </c>
      <c r="AP15" s="567">
        <v>107430474</v>
      </c>
      <c r="AQ15" s="73">
        <f t="shared" si="23"/>
        <v>1.6114571261145714</v>
      </c>
      <c r="AR15" s="765">
        <v>66666666</v>
      </c>
      <c r="AS15" s="567">
        <v>57768770</v>
      </c>
      <c r="AT15" s="73">
        <f t="shared" si="24"/>
        <v>0.86653155866531562</v>
      </c>
      <c r="AU15" s="765">
        <v>66666666</v>
      </c>
      <c r="AV15" s="567">
        <v>303574500</v>
      </c>
      <c r="AW15" s="73">
        <f t="shared" si="25"/>
        <v>4.5536175455361754</v>
      </c>
      <c r="AX15" s="745">
        <f t="shared" si="10"/>
        <v>569473739</v>
      </c>
      <c r="AY15" s="73">
        <f t="shared" si="11"/>
        <v>0.28473686949999999</v>
      </c>
    </row>
    <row r="16" spans="1:52" s="22" customFormat="1" ht="39.75" customHeight="1" thickTop="1" thickBot="1">
      <c r="A16" s="2944"/>
      <c r="B16" s="3007"/>
      <c r="C16" s="3014"/>
      <c r="D16" s="111" t="s">
        <v>203</v>
      </c>
      <c r="E16" s="177" t="s">
        <v>302</v>
      </c>
      <c r="F16" s="177" t="s">
        <v>101</v>
      </c>
      <c r="G16" s="904">
        <v>9200000017</v>
      </c>
      <c r="H16" s="905"/>
      <c r="I16" s="775"/>
      <c r="J16" s="905"/>
      <c r="K16" s="177" t="s">
        <v>196</v>
      </c>
      <c r="L16" s="907">
        <v>306666667</v>
      </c>
      <c r="M16" s="907">
        <v>2284666</v>
      </c>
      <c r="N16" s="73">
        <f t="shared" si="12"/>
        <v>7.4499978179891329E-3</v>
      </c>
      <c r="O16" s="907">
        <v>306666667</v>
      </c>
      <c r="P16" s="847">
        <v>3346633</v>
      </c>
      <c r="Q16" s="73">
        <f t="shared" si="13"/>
        <v>1.091293368379029E-2</v>
      </c>
      <c r="R16" s="907">
        <v>306666667</v>
      </c>
      <c r="S16" s="847">
        <v>15605514911</v>
      </c>
      <c r="T16" s="73">
        <f t="shared" si="14"/>
        <v>50.887548567513534</v>
      </c>
      <c r="U16" s="907">
        <v>1226666669</v>
      </c>
      <c r="V16" s="567">
        <v>2734333</v>
      </c>
      <c r="W16" s="73">
        <f t="shared" si="15"/>
        <v>2.2290758109773014E-3</v>
      </c>
      <c r="X16" s="907">
        <v>1226666669</v>
      </c>
      <c r="Y16" s="847">
        <v>0</v>
      </c>
      <c r="Z16" s="73">
        <f t="shared" si="16"/>
        <v>0</v>
      </c>
      <c r="AA16" s="907">
        <v>1226666669</v>
      </c>
      <c r="AB16" s="847">
        <v>0</v>
      </c>
      <c r="AC16" s="73">
        <f t="shared" si="17"/>
        <v>0</v>
      </c>
      <c r="AD16" s="848">
        <f t="shared" si="18"/>
        <v>15613880543</v>
      </c>
      <c r="AE16" s="73">
        <f t="shared" si="19"/>
        <v>1.6971609254508984</v>
      </c>
      <c r="AF16" s="907">
        <v>1226666669</v>
      </c>
      <c r="AG16" s="847">
        <v>0</v>
      </c>
      <c r="AH16" s="73">
        <f t="shared" si="20"/>
        <v>0</v>
      </c>
      <c r="AI16" s="907">
        <v>1226666669</v>
      </c>
      <c r="AJ16" s="769">
        <v>105996189</v>
      </c>
      <c r="AK16" s="73">
        <f t="shared" si="21"/>
        <v>8.6409936520415884E-2</v>
      </c>
      <c r="AL16" s="907">
        <v>1226666669</v>
      </c>
      <c r="AM16" s="847">
        <v>585869142</v>
      </c>
      <c r="AN16" s="73">
        <f t="shared" si="22"/>
        <v>0.47761071267845789</v>
      </c>
      <c r="AO16" s="907">
        <v>306666667</v>
      </c>
      <c r="AP16" s="847">
        <v>92452419</v>
      </c>
      <c r="AQ16" s="73">
        <f t="shared" si="23"/>
        <v>0.30147527902013554</v>
      </c>
      <c r="AR16" s="907">
        <v>306666667</v>
      </c>
      <c r="AS16" s="847">
        <v>6854000</v>
      </c>
      <c r="AT16" s="73">
        <f t="shared" si="24"/>
        <v>2.2349999975706521E-2</v>
      </c>
      <c r="AU16" s="907">
        <v>306666668</v>
      </c>
      <c r="AV16" s="847">
        <v>1854395750</v>
      </c>
      <c r="AW16" s="73">
        <f t="shared" si="25"/>
        <v>6.0469426367524237</v>
      </c>
      <c r="AX16" s="908">
        <f t="shared" si="10"/>
        <v>18259448043</v>
      </c>
      <c r="AY16" s="73">
        <f t="shared" si="11"/>
        <v>1.9847226097021431</v>
      </c>
    </row>
    <row r="17" spans="1:51" s="22" customFormat="1" ht="39.75" customHeight="1" thickTop="1" thickBot="1">
      <c r="A17" s="2944"/>
      <c r="B17" s="3007"/>
      <c r="C17" s="3015" t="s">
        <v>461</v>
      </c>
      <c r="D17" s="171" t="s">
        <v>205</v>
      </c>
      <c r="E17" s="172" t="s">
        <v>206</v>
      </c>
      <c r="F17" s="172" t="s">
        <v>24</v>
      </c>
      <c r="G17" s="909">
        <v>12</v>
      </c>
      <c r="H17" s="767"/>
      <c r="I17" s="778"/>
      <c r="J17" s="767"/>
      <c r="K17" s="172" t="s">
        <v>196</v>
      </c>
      <c r="L17" s="910"/>
      <c r="M17" s="910"/>
      <c r="N17" s="73" t="e">
        <f t="shared" si="12"/>
        <v>#DIV/0!</v>
      </c>
      <c r="O17" s="910"/>
      <c r="P17" s="911"/>
      <c r="Q17" s="73" t="e">
        <f t="shared" si="13"/>
        <v>#DIV/0!</v>
      </c>
      <c r="R17" s="910"/>
      <c r="S17" s="911"/>
      <c r="T17" s="73" t="e">
        <f t="shared" si="14"/>
        <v>#DIV/0!</v>
      </c>
      <c r="U17" s="910"/>
      <c r="V17" s="911"/>
      <c r="W17" s="73" t="e">
        <f t="shared" si="15"/>
        <v>#DIV/0!</v>
      </c>
      <c r="X17" s="912">
        <v>6</v>
      </c>
      <c r="Y17" s="862">
        <v>5</v>
      </c>
      <c r="Z17" s="73">
        <f t="shared" si="16"/>
        <v>0.83333333333333337</v>
      </c>
      <c r="AA17" s="910"/>
      <c r="AB17" s="911"/>
      <c r="AC17" s="73" t="e">
        <f t="shared" si="17"/>
        <v>#DIV/0!</v>
      </c>
      <c r="AD17" s="913">
        <f>+Y17</f>
        <v>5</v>
      </c>
      <c r="AE17" s="73">
        <f t="shared" si="19"/>
        <v>0.41666666666666669</v>
      </c>
      <c r="AF17" s="910"/>
      <c r="AG17" s="911"/>
      <c r="AH17" s="73" t="e">
        <f t="shared" si="20"/>
        <v>#DIV/0!</v>
      </c>
      <c r="AI17" s="910"/>
      <c r="AJ17" s="911"/>
      <c r="AK17" s="73" t="e">
        <f t="shared" si="21"/>
        <v>#DIV/0!</v>
      </c>
      <c r="AL17" s="912">
        <v>6</v>
      </c>
      <c r="AM17" s="862">
        <v>6</v>
      </c>
      <c r="AN17" s="73">
        <f t="shared" si="22"/>
        <v>1</v>
      </c>
      <c r="AO17" s="910"/>
      <c r="AP17" s="911"/>
      <c r="AQ17" s="73" t="e">
        <f t="shared" si="23"/>
        <v>#DIV/0!</v>
      </c>
      <c r="AR17" s="910">
        <v>0</v>
      </c>
      <c r="AS17" s="911">
        <v>2</v>
      </c>
      <c r="AT17" s="73" t="e">
        <f t="shared" si="24"/>
        <v>#DIV/0!</v>
      </c>
      <c r="AU17" s="910"/>
      <c r="AV17" s="911"/>
      <c r="AW17" s="73" t="e">
        <f t="shared" si="25"/>
        <v>#DIV/0!</v>
      </c>
      <c r="AX17" s="910">
        <f>+AM17+Y17+AS17</f>
        <v>13</v>
      </c>
      <c r="AY17" s="73">
        <f t="shared" si="11"/>
        <v>1.0833333333333333</v>
      </c>
    </row>
    <row r="18" spans="1:51" s="22" customFormat="1" ht="39.75" customHeight="1" thickTop="1" thickBot="1">
      <c r="A18" s="2944"/>
      <c r="B18" s="3007"/>
      <c r="C18" s="3016"/>
      <c r="D18" s="111" t="s">
        <v>207</v>
      </c>
      <c r="E18" s="177" t="s">
        <v>206</v>
      </c>
      <c r="F18" s="177" t="s">
        <v>24</v>
      </c>
      <c r="G18" s="914">
        <v>50</v>
      </c>
      <c r="H18" s="905"/>
      <c r="I18" s="775"/>
      <c r="J18" s="905"/>
      <c r="K18" s="177" t="s">
        <v>196</v>
      </c>
      <c r="L18" s="915"/>
      <c r="M18" s="915"/>
      <c r="N18" s="73" t="e">
        <f t="shared" si="12"/>
        <v>#DIV/0!</v>
      </c>
      <c r="O18" s="915"/>
      <c r="P18" s="916"/>
      <c r="Q18" s="73" t="e">
        <f t="shared" si="13"/>
        <v>#DIV/0!</v>
      </c>
      <c r="R18" s="915"/>
      <c r="S18" s="916"/>
      <c r="T18" s="73" t="e">
        <f t="shared" si="14"/>
        <v>#DIV/0!</v>
      </c>
      <c r="U18" s="915"/>
      <c r="V18" s="916"/>
      <c r="W18" s="73" t="e">
        <f t="shared" si="15"/>
        <v>#DIV/0!</v>
      </c>
      <c r="X18" s="514">
        <v>25</v>
      </c>
      <c r="Y18" s="916">
        <v>19</v>
      </c>
      <c r="Z18" s="73">
        <f t="shared" si="16"/>
        <v>0.76</v>
      </c>
      <c r="AA18" s="915"/>
      <c r="AB18" s="916"/>
      <c r="AC18" s="73" t="e">
        <f t="shared" si="17"/>
        <v>#DIV/0!</v>
      </c>
      <c r="AD18" s="917">
        <f>+Y18</f>
        <v>19</v>
      </c>
      <c r="AE18" s="73">
        <f t="shared" si="19"/>
        <v>0.38</v>
      </c>
      <c r="AF18" s="915"/>
      <c r="AG18" s="916"/>
      <c r="AH18" s="73" t="e">
        <f t="shared" si="20"/>
        <v>#DIV/0!</v>
      </c>
      <c r="AI18" s="915"/>
      <c r="AJ18" s="916"/>
      <c r="AK18" s="73" t="e">
        <f t="shared" si="21"/>
        <v>#DIV/0!</v>
      </c>
      <c r="AL18" s="915"/>
      <c r="AM18" s="916"/>
      <c r="AN18" s="73" t="e">
        <f t="shared" si="22"/>
        <v>#DIV/0!</v>
      </c>
      <c r="AO18" s="514">
        <v>25</v>
      </c>
      <c r="AP18" s="496">
        <v>18</v>
      </c>
      <c r="AQ18" s="73">
        <f t="shared" si="23"/>
        <v>0.72</v>
      </c>
      <c r="AR18" s="915">
        <v>0</v>
      </c>
      <c r="AS18" s="916">
        <v>26</v>
      </c>
      <c r="AT18" s="73" t="e">
        <f t="shared" si="24"/>
        <v>#DIV/0!</v>
      </c>
      <c r="AU18" s="915"/>
      <c r="AV18" s="916"/>
      <c r="AW18" s="73" t="e">
        <f t="shared" si="25"/>
        <v>#DIV/0!</v>
      </c>
      <c r="AX18" s="915">
        <f>Y18+AP18+AS18</f>
        <v>63</v>
      </c>
      <c r="AY18" s="73">
        <f t="shared" si="11"/>
        <v>1.26</v>
      </c>
    </row>
    <row r="19" spans="1:51" s="22" customFormat="1" ht="39.75" customHeight="1" thickTop="1" thickBot="1">
      <c r="A19" s="2944"/>
      <c r="B19" s="3007"/>
      <c r="C19" s="3017"/>
      <c r="D19" s="171" t="s">
        <v>433</v>
      </c>
      <c r="E19" s="172" t="s">
        <v>209</v>
      </c>
      <c r="F19" s="172" t="s">
        <v>10</v>
      </c>
      <c r="G19" s="918">
        <v>0.65</v>
      </c>
      <c r="H19" s="767"/>
      <c r="I19" s="778"/>
      <c r="J19" s="767"/>
      <c r="K19" s="172" t="s">
        <v>196</v>
      </c>
      <c r="L19" s="144">
        <v>0.65</v>
      </c>
      <c r="M19" s="144">
        <v>0.02</v>
      </c>
      <c r="N19" s="73">
        <f t="shared" si="12"/>
        <v>3.0769230769230767E-2</v>
      </c>
      <c r="O19" s="144">
        <v>0.65</v>
      </c>
      <c r="P19" s="145">
        <v>0.02</v>
      </c>
      <c r="Q19" s="73">
        <f t="shared" si="13"/>
        <v>3.0769230769230767E-2</v>
      </c>
      <c r="R19" s="144">
        <v>0.65</v>
      </c>
      <c r="S19" s="145">
        <v>0</v>
      </c>
      <c r="T19" s="73">
        <f t="shared" si="14"/>
        <v>0</v>
      </c>
      <c r="U19" s="144">
        <v>0.65</v>
      </c>
      <c r="V19" s="145">
        <v>0</v>
      </c>
      <c r="W19" s="73">
        <f t="shared" si="15"/>
        <v>0</v>
      </c>
      <c r="X19" s="144">
        <v>0.65</v>
      </c>
      <c r="Y19" s="145">
        <v>0</v>
      </c>
      <c r="Z19" s="73">
        <f t="shared" si="16"/>
        <v>0</v>
      </c>
      <c r="AA19" s="144">
        <v>0.65</v>
      </c>
      <c r="AB19" s="145">
        <v>0.25</v>
      </c>
      <c r="AC19" s="73">
        <f t="shared" si="17"/>
        <v>0.38461538461538458</v>
      </c>
      <c r="AD19" s="597">
        <v>0.27</v>
      </c>
      <c r="AE19" s="73">
        <f t="shared" si="19"/>
        <v>0.41538461538461541</v>
      </c>
      <c r="AF19" s="144">
        <v>0.65</v>
      </c>
      <c r="AG19" s="145">
        <v>0.28999999999999998</v>
      </c>
      <c r="AH19" s="73">
        <f t="shared" si="20"/>
        <v>0.44615384615384612</v>
      </c>
      <c r="AI19" s="144">
        <v>0.65</v>
      </c>
      <c r="AJ19" s="145">
        <v>0.34</v>
      </c>
      <c r="AK19" s="73">
        <f t="shared" si="21"/>
        <v>0.52307692307692311</v>
      </c>
      <c r="AL19" s="144">
        <v>0.65</v>
      </c>
      <c r="AM19" s="145">
        <v>0.41</v>
      </c>
      <c r="AN19" s="73">
        <f t="shared" si="22"/>
        <v>0.63076923076923075</v>
      </c>
      <c r="AO19" s="144">
        <v>0.65</v>
      </c>
      <c r="AP19" s="145">
        <v>0.54</v>
      </c>
      <c r="AQ19" s="73">
        <f t="shared" si="23"/>
        <v>0.83076923076923082</v>
      </c>
      <c r="AR19" s="144">
        <v>0.65</v>
      </c>
      <c r="AS19" s="145">
        <v>0.53</v>
      </c>
      <c r="AT19" s="73">
        <f t="shared" si="24"/>
        <v>0.81538461538461537</v>
      </c>
      <c r="AU19" s="144">
        <v>0.65</v>
      </c>
      <c r="AV19" s="145">
        <v>0.38</v>
      </c>
      <c r="AW19" s="73">
        <f t="shared" si="25"/>
        <v>0.58461538461538465</v>
      </c>
      <c r="AX19" s="919">
        <f>(N19+Q19+AC19+AH19+AK19+AN19+AQ19+AT19+AW19)/9</f>
        <v>0.47521367521367519</v>
      </c>
      <c r="AY19" s="73">
        <f>+AX19/G19</f>
        <v>0.73109796186719256</v>
      </c>
    </row>
    <row r="20" spans="1:51" s="22" customFormat="1" ht="39.75" customHeight="1" thickTop="1" thickBot="1">
      <c r="A20" s="2944"/>
      <c r="B20" s="3007"/>
      <c r="C20" s="920" t="s">
        <v>462</v>
      </c>
      <c r="D20" s="111" t="s">
        <v>211</v>
      </c>
      <c r="E20" s="177" t="s">
        <v>212</v>
      </c>
      <c r="F20" s="177" t="s">
        <v>24</v>
      </c>
      <c r="G20" s="904">
        <v>1</v>
      </c>
      <c r="H20" s="905"/>
      <c r="I20" s="775"/>
      <c r="J20" s="905"/>
      <c r="K20" s="177" t="s">
        <v>140</v>
      </c>
      <c r="L20" s="915"/>
      <c r="M20" s="915"/>
      <c r="N20" s="73" t="e">
        <f t="shared" si="12"/>
        <v>#DIV/0!</v>
      </c>
      <c r="O20" s="915"/>
      <c r="P20" s="916"/>
      <c r="Q20" s="73" t="e">
        <f t="shared" si="13"/>
        <v>#DIV/0!</v>
      </c>
      <c r="R20" s="514">
        <v>1</v>
      </c>
      <c r="S20" s="916">
        <v>1</v>
      </c>
      <c r="T20" s="73">
        <f t="shared" si="14"/>
        <v>1</v>
      </c>
      <c r="U20" s="915"/>
      <c r="V20" s="916"/>
      <c r="W20" s="73" t="e">
        <f t="shared" si="15"/>
        <v>#DIV/0!</v>
      </c>
      <c r="X20" s="915"/>
      <c r="Y20" s="916"/>
      <c r="Z20" s="73" t="e">
        <f t="shared" si="16"/>
        <v>#DIV/0!</v>
      </c>
      <c r="AA20" s="915"/>
      <c r="AB20" s="916"/>
      <c r="AC20" s="73" t="e">
        <f t="shared" si="17"/>
        <v>#DIV/0!</v>
      </c>
      <c r="AD20" s="917">
        <f>S20</f>
        <v>1</v>
      </c>
      <c r="AE20" s="73">
        <f t="shared" si="19"/>
        <v>1</v>
      </c>
      <c r="AF20" s="915"/>
      <c r="AG20" s="916"/>
      <c r="AH20" s="73" t="e">
        <f t="shared" si="20"/>
        <v>#DIV/0!</v>
      </c>
      <c r="AI20" s="915"/>
      <c r="AJ20" s="916"/>
      <c r="AK20" s="73" t="e">
        <f t="shared" si="21"/>
        <v>#DIV/0!</v>
      </c>
      <c r="AL20" s="915"/>
      <c r="AM20" s="916"/>
      <c r="AN20" s="73" t="e">
        <f t="shared" si="22"/>
        <v>#DIV/0!</v>
      </c>
      <c r="AO20" s="915"/>
      <c r="AP20" s="916"/>
      <c r="AQ20" s="73" t="e">
        <f t="shared" si="23"/>
        <v>#DIV/0!</v>
      </c>
      <c r="AR20" s="915"/>
      <c r="AS20" s="916"/>
      <c r="AT20" s="73" t="e">
        <f t="shared" si="24"/>
        <v>#DIV/0!</v>
      </c>
      <c r="AU20" s="915"/>
      <c r="AV20" s="916"/>
      <c r="AW20" s="73" t="e">
        <f t="shared" si="25"/>
        <v>#DIV/0!</v>
      </c>
      <c r="AX20" s="915">
        <f>S20</f>
        <v>1</v>
      </c>
      <c r="AY20" s="73">
        <f t="shared" si="11"/>
        <v>1</v>
      </c>
    </row>
    <row r="21" spans="1:51" s="22" customFormat="1" ht="39.75" customHeight="1" thickTop="1" thickBot="1">
      <c r="A21" s="2944"/>
      <c r="B21" s="3007"/>
      <c r="C21" s="921" t="s">
        <v>463</v>
      </c>
      <c r="D21" s="171" t="s">
        <v>410</v>
      </c>
      <c r="E21" s="172" t="s">
        <v>215</v>
      </c>
      <c r="F21" s="172" t="s">
        <v>24</v>
      </c>
      <c r="G21" s="909">
        <v>2</v>
      </c>
      <c r="H21" s="767"/>
      <c r="I21" s="778"/>
      <c r="J21" s="767"/>
      <c r="K21" s="172" t="s">
        <v>140</v>
      </c>
      <c r="L21" s="119"/>
      <c r="M21" s="119"/>
      <c r="N21" s="73" t="e">
        <f t="shared" si="12"/>
        <v>#DIV/0!</v>
      </c>
      <c r="O21" s="119"/>
      <c r="P21" s="120"/>
      <c r="Q21" s="73" t="e">
        <f t="shared" si="13"/>
        <v>#DIV/0!</v>
      </c>
      <c r="R21" s="119"/>
      <c r="S21" s="120"/>
      <c r="T21" s="73" t="e">
        <f t="shared" si="14"/>
        <v>#DIV/0!</v>
      </c>
      <c r="U21" s="119"/>
      <c r="V21" s="120"/>
      <c r="W21" s="73" t="e">
        <f t="shared" si="15"/>
        <v>#DIV/0!</v>
      </c>
      <c r="X21" s="119">
        <v>1</v>
      </c>
      <c r="Y21" s="120">
        <v>1</v>
      </c>
      <c r="Z21" s="73">
        <f t="shared" si="16"/>
        <v>1</v>
      </c>
      <c r="AA21" s="119"/>
      <c r="AB21" s="120"/>
      <c r="AC21" s="73" t="e">
        <f t="shared" si="17"/>
        <v>#DIV/0!</v>
      </c>
      <c r="AD21" s="870">
        <f>+Y21</f>
        <v>1</v>
      </c>
      <c r="AE21" s="73">
        <f t="shared" si="19"/>
        <v>0.5</v>
      </c>
      <c r="AF21" s="119"/>
      <c r="AG21" s="120"/>
      <c r="AH21" s="73" t="e">
        <f t="shared" si="20"/>
        <v>#DIV/0!</v>
      </c>
      <c r="AI21" s="119">
        <v>1</v>
      </c>
      <c r="AJ21" s="120">
        <v>1</v>
      </c>
      <c r="AK21" s="73">
        <f t="shared" si="21"/>
        <v>1</v>
      </c>
      <c r="AL21" s="119"/>
      <c r="AM21" s="120"/>
      <c r="AN21" s="73" t="e">
        <f t="shared" si="22"/>
        <v>#DIV/0!</v>
      </c>
      <c r="AO21" s="119"/>
      <c r="AP21" s="120"/>
      <c r="AQ21" s="73" t="e">
        <f t="shared" si="23"/>
        <v>#DIV/0!</v>
      </c>
      <c r="AR21" s="119"/>
      <c r="AS21" s="120"/>
      <c r="AT21" s="73" t="e">
        <f t="shared" si="24"/>
        <v>#DIV/0!</v>
      </c>
      <c r="AU21" s="119"/>
      <c r="AV21" s="120"/>
      <c r="AW21" s="73" t="e">
        <f t="shared" si="25"/>
        <v>#DIV/0!</v>
      </c>
      <c r="AX21" s="119">
        <f>Y21+AJ21</f>
        <v>2</v>
      </c>
      <c r="AY21" s="73">
        <f t="shared" si="11"/>
        <v>1</v>
      </c>
    </row>
    <row r="22" spans="1:51" s="22" customFormat="1" ht="39.75" customHeight="1" thickTop="1" thickBot="1">
      <c r="A22" s="2944"/>
      <c r="B22" s="3007"/>
      <c r="C22" s="2993" t="s">
        <v>119</v>
      </c>
      <c r="D22" s="111" t="s">
        <v>120</v>
      </c>
      <c r="E22" s="177" t="s">
        <v>218</v>
      </c>
      <c r="F22" s="177" t="s">
        <v>10</v>
      </c>
      <c r="G22" s="922">
        <v>0.64100000000000001</v>
      </c>
      <c r="H22" s="905"/>
      <c r="I22" s="775"/>
      <c r="J22" s="905"/>
      <c r="K22" s="177" t="s">
        <v>7</v>
      </c>
      <c r="L22" s="529"/>
      <c r="M22" s="529"/>
      <c r="N22" s="73" t="e">
        <f t="shared" si="12"/>
        <v>#DIV/0!</v>
      </c>
      <c r="O22" s="529"/>
      <c r="P22" s="527"/>
      <c r="Q22" s="73" t="e">
        <f t="shared" si="13"/>
        <v>#DIV/0!</v>
      </c>
      <c r="R22" s="529"/>
      <c r="S22" s="527"/>
      <c r="T22" s="73" t="e">
        <f t="shared" si="14"/>
        <v>#DIV/0!</v>
      </c>
      <c r="U22" s="529"/>
      <c r="V22" s="527"/>
      <c r="W22" s="73" t="e">
        <f t="shared" si="15"/>
        <v>#DIV/0!</v>
      </c>
      <c r="X22" s="529"/>
      <c r="Y22" s="527"/>
      <c r="Z22" s="73" t="e">
        <f t="shared" si="16"/>
        <v>#DIV/0!</v>
      </c>
      <c r="AA22" s="529"/>
      <c r="AB22" s="527"/>
      <c r="AC22" s="73" t="e">
        <f t="shared" si="17"/>
        <v>#DIV/0!</v>
      </c>
      <c r="AD22" s="596">
        <f t="shared" si="18"/>
        <v>0</v>
      </c>
      <c r="AE22" s="73">
        <f t="shared" si="19"/>
        <v>0</v>
      </c>
      <c r="AF22" s="529"/>
      <c r="AG22" s="527"/>
      <c r="AH22" s="73" t="e">
        <f t="shared" si="20"/>
        <v>#DIV/0!</v>
      </c>
      <c r="AI22" s="529"/>
      <c r="AJ22" s="527"/>
      <c r="AK22" s="73" t="e">
        <f t="shared" si="21"/>
        <v>#DIV/0!</v>
      </c>
      <c r="AL22" s="529"/>
      <c r="AM22" s="527"/>
      <c r="AN22" s="73" t="e">
        <f t="shared" si="22"/>
        <v>#DIV/0!</v>
      </c>
      <c r="AO22" s="529"/>
      <c r="AP22" s="527"/>
      <c r="AQ22" s="73" t="e">
        <f t="shared" si="23"/>
        <v>#DIV/0!</v>
      </c>
      <c r="AR22" s="529"/>
      <c r="AS22" s="527"/>
      <c r="AT22" s="73" t="e">
        <f t="shared" si="24"/>
        <v>#DIV/0!</v>
      </c>
      <c r="AU22" s="529">
        <v>0.64100000000000001</v>
      </c>
      <c r="AV22" s="527">
        <v>0.6</v>
      </c>
      <c r="AW22" s="73">
        <f t="shared" si="25"/>
        <v>0.93603744149765988</v>
      </c>
      <c r="AX22" s="529">
        <f>+AV22</f>
        <v>0.6</v>
      </c>
      <c r="AY22" s="73">
        <f t="shared" si="11"/>
        <v>0.93603744149765988</v>
      </c>
    </row>
    <row r="23" spans="1:51" s="22" customFormat="1" ht="39.75" customHeight="1" thickTop="1" thickBot="1">
      <c r="A23" s="2944"/>
      <c r="B23" s="3007"/>
      <c r="C23" s="2958"/>
      <c r="D23" s="171" t="s">
        <v>122</v>
      </c>
      <c r="E23" s="172" t="s">
        <v>123</v>
      </c>
      <c r="F23" s="172" t="s">
        <v>10</v>
      </c>
      <c r="G23" s="918">
        <v>1</v>
      </c>
      <c r="H23" s="767"/>
      <c r="I23" s="778"/>
      <c r="J23" s="767"/>
      <c r="K23" s="172" t="s">
        <v>7</v>
      </c>
      <c r="L23" s="144">
        <v>1</v>
      </c>
      <c r="M23" s="144">
        <v>1</v>
      </c>
      <c r="N23" s="73">
        <f t="shared" si="12"/>
        <v>1</v>
      </c>
      <c r="O23" s="144">
        <v>1</v>
      </c>
      <c r="P23" s="145">
        <v>1</v>
      </c>
      <c r="Q23" s="73">
        <f t="shared" si="13"/>
        <v>1</v>
      </c>
      <c r="R23" s="144">
        <v>1</v>
      </c>
      <c r="S23" s="145">
        <v>1</v>
      </c>
      <c r="T23" s="73">
        <f t="shared" si="14"/>
        <v>1</v>
      </c>
      <c r="U23" s="144">
        <v>1</v>
      </c>
      <c r="V23" s="145">
        <v>1</v>
      </c>
      <c r="W23" s="73">
        <f t="shared" si="15"/>
        <v>1</v>
      </c>
      <c r="X23" s="144">
        <v>1</v>
      </c>
      <c r="Y23" s="145">
        <v>1</v>
      </c>
      <c r="Z23" s="73">
        <f t="shared" si="16"/>
        <v>1</v>
      </c>
      <c r="AA23" s="144">
        <v>1</v>
      </c>
      <c r="AB23" s="145">
        <v>1</v>
      </c>
      <c r="AC23" s="73">
        <f t="shared" si="17"/>
        <v>1</v>
      </c>
      <c r="AD23" s="597">
        <f>+V23</f>
        <v>1</v>
      </c>
      <c r="AE23" s="73">
        <f t="shared" si="19"/>
        <v>1</v>
      </c>
      <c r="AF23" s="144">
        <v>1</v>
      </c>
      <c r="AG23" s="145">
        <v>1</v>
      </c>
      <c r="AH23" s="73">
        <f t="shared" si="20"/>
        <v>1</v>
      </c>
      <c r="AI23" s="144">
        <v>1</v>
      </c>
      <c r="AJ23" s="145">
        <v>1</v>
      </c>
      <c r="AK23" s="73">
        <f t="shared" si="21"/>
        <v>1</v>
      </c>
      <c r="AL23" s="144">
        <v>1</v>
      </c>
      <c r="AM23" s="145">
        <v>1</v>
      </c>
      <c r="AN23" s="73">
        <f t="shared" si="22"/>
        <v>1</v>
      </c>
      <c r="AO23" s="144">
        <v>1</v>
      </c>
      <c r="AP23" s="145">
        <v>1</v>
      </c>
      <c r="AQ23" s="73">
        <f t="shared" si="23"/>
        <v>1</v>
      </c>
      <c r="AR23" s="144">
        <v>1</v>
      </c>
      <c r="AS23" s="145">
        <v>1</v>
      </c>
      <c r="AT23" s="73">
        <f t="shared" si="24"/>
        <v>1</v>
      </c>
      <c r="AU23" s="144">
        <v>1</v>
      </c>
      <c r="AV23" s="145">
        <v>1</v>
      </c>
      <c r="AW23" s="73">
        <f t="shared" si="25"/>
        <v>1</v>
      </c>
      <c r="AX23" s="144">
        <f>(M23+P23+S23+V23+Y23+AB23+AG23+AJ23+AM23+AP23+AS23+AV23)/12</f>
        <v>1</v>
      </c>
      <c r="AY23" s="73">
        <f t="shared" si="11"/>
        <v>1</v>
      </c>
    </row>
    <row r="24" spans="1:51" s="22" customFormat="1" ht="39.75" customHeight="1" thickTop="1" thickBot="1">
      <c r="A24" s="2944"/>
      <c r="B24" s="3007"/>
      <c r="C24" s="2958"/>
      <c r="D24" s="111" t="s">
        <v>124</v>
      </c>
      <c r="E24" s="177" t="s">
        <v>176</v>
      </c>
      <c r="F24" s="177" t="s">
        <v>10</v>
      </c>
      <c r="G24" s="922">
        <v>1</v>
      </c>
      <c r="H24" s="905"/>
      <c r="I24" s="775"/>
      <c r="J24" s="905"/>
      <c r="K24" s="177" t="s">
        <v>7</v>
      </c>
      <c r="L24" s="529"/>
      <c r="M24" s="529"/>
      <c r="N24" s="73" t="e">
        <f t="shared" si="12"/>
        <v>#DIV/0!</v>
      </c>
      <c r="O24" s="529"/>
      <c r="P24" s="527"/>
      <c r="Q24" s="73" t="e">
        <f t="shared" si="13"/>
        <v>#DIV/0!</v>
      </c>
      <c r="R24" s="529"/>
      <c r="S24" s="527" t="s">
        <v>323</v>
      </c>
      <c r="T24" s="73" t="e">
        <f t="shared" si="14"/>
        <v>#VALUE!</v>
      </c>
      <c r="U24" s="529"/>
      <c r="V24" s="527"/>
      <c r="W24" s="73" t="e">
        <f t="shared" si="15"/>
        <v>#DIV/0!</v>
      </c>
      <c r="X24" s="529"/>
      <c r="Y24" s="527"/>
      <c r="Z24" s="73" t="e">
        <f t="shared" si="16"/>
        <v>#DIV/0!</v>
      </c>
      <c r="AA24" s="529"/>
      <c r="AB24" s="527" t="s">
        <v>323</v>
      </c>
      <c r="AC24" s="73" t="e">
        <f t="shared" si="17"/>
        <v>#VALUE!</v>
      </c>
      <c r="AD24" s="596" t="e">
        <f>(S24+AB24)*2</f>
        <v>#VALUE!</v>
      </c>
      <c r="AE24" s="73" t="e">
        <f t="shared" si="19"/>
        <v>#VALUE!</v>
      </c>
      <c r="AF24" s="529"/>
      <c r="AG24" s="527"/>
      <c r="AH24" s="73" t="e">
        <f t="shared" si="20"/>
        <v>#DIV/0!</v>
      </c>
      <c r="AI24" s="529"/>
      <c r="AJ24" s="527"/>
      <c r="AK24" s="73" t="e">
        <f t="shared" si="21"/>
        <v>#DIV/0!</v>
      </c>
      <c r="AL24" s="529">
        <v>1</v>
      </c>
      <c r="AM24" s="527">
        <v>1</v>
      </c>
      <c r="AN24" s="73">
        <f t="shared" si="22"/>
        <v>1</v>
      </c>
      <c r="AO24" s="529"/>
      <c r="AP24" s="527"/>
      <c r="AQ24" s="73" t="e">
        <f t="shared" si="23"/>
        <v>#DIV/0!</v>
      </c>
      <c r="AR24" s="529"/>
      <c r="AS24" s="527"/>
      <c r="AT24" s="73" t="e">
        <f t="shared" si="24"/>
        <v>#DIV/0!</v>
      </c>
      <c r="AU24" s="529"/>
      <c r="AV24" s="527" t="s">
        <v>323</v>
      </c>
      <c r="AW24" s="73" t="e">
        <f t="shared" si="25"/>
        <v>#VALUE!</v>
      </c>
      <c r="AX24" s="529">
        <f>AM24</f>
        <v>1</v>
      </c>
      <c r="AY24" s="73">
        <f t="shared" si="11"/>
        <v>1</v>
      </c>
    </row>
    <row r="25" spans="1:51" s="22" customFormat="1" ht="39.75" customHeight="1" thickTop="1" thickBot="1">
      <c r="A25" s="2944"/>
      <c r="B25" s="3007"/>
      <c r="C25" s="2958"/>
      <c r="D25" s="171" t="s">
        <v>365</v>
      </c>
      <c r="E25" s="172" t="s">
        <v>127</v>
      </c>
      <c r="F25" s="172" t="s">
        <v>10</v>
      </c>
      <c r="G25" s="918">
        <v>0.7</v>
      </c>
      <c r="H25" s="767"/>
      <c r="I25" s="778"/>
      <c r="J25" s="767"/>
      <c r="K25" s="172" t="s">
        <v>7</v>
      </c>
      <c r="L25" s="144">
        <v>0.7</v>
      </c>
      <c r="M25" s="144">
        <v>1</v>
      </c>
      <c r="N25" s="73">
        <f t="shared" si="12"/>
        <v>1.4285714285714286</v>
      </c>
      <c r="O25" s="144">
        <v>0.7</v>
      </c>
      <c r="P25" s="145">
        <v>1</v>
      </c>
      <c r="Q25" s="73">
        <f t="shared" si="13"/>
        <v>1.4285714285714286</v>
      </c>
      <c r="R25" s="144">
        <v>0.7</v>
      </c>
      <c r="S25" s="145">
        <v>1</v>
      </c>
      <c r="T25" s="73">
        <f t="shared" si="14"/>
        <v>1.4285714285714286</v>
      </c>
      <c r="U25" s="144">
        <v>0.7</v>
      </c>
      <c r="V25" s="145">
        <v>1</v>
      </c>
      <c r="W25" s="73">
        <f t="shared" si="15"/>
        <v>1.4285714285714286</v>
      </c>
      <c r="X25" s="144">
        <v>0.7</v>
      </c>
      <c r="Y25" s="145">
        <v>1</v>
      </c>
      <c r="Z25" s="73">
        <f t="shared" si="16"/>
        <v>1.4285714285714286</v>
      </c>
      <c r="AA25" s="144">
        <v>0.7</v>
      </c>
      <c r="AB25" s="145">
        <v>1</v>
      </c>
      <c r="AC25" s="73">
        <f t="shared" si="17"/>
        <v>1.4285714285714286</v>
      </c>
      <c r="AD25" s="597">
        <f>(M25+P25+S25+V25+Y25+AB25)/6</f>
        <v>1</v>
      </c>
      <c r="AE25" s="73">
        <f t="shared" si="19"/>
        <v>1.4285714285714286</v>
      </c>
      <c r="AF25" s="144">
        <v>0.7</v>
      </c>
      <c r="AG25" s="145">
        <v>1</v>
      </c>
      <c r="AH25" s="73">
        <f t="shared" si="20"/>
        <v>1.4285714285714286</v>
      </c>
      <c r="AI25" s="144">
        <v>0.7</v>
      </c>
      <c r="AJ25" s="145">
        <v>1</v>
      </c>
      <c r="AK25" s="73">
        <f t="shared" si="21"/>
        <v>1.4285714285714286</v>
      </c>
      <c r="AL25" s="144">
        <v>0.7</v>
      </c>
      <c r="AM25" s="145">
        <v>1</v>
      </c>
      <c r="AN25" s="73">
        <f t="shared" si="22"/>
        <v>1.4285714285714286</v>
      </c>
      <c r="AO25" s="144">
        <v>0.7</v>
      </c>
      <c r="AP25" s="145">
        <v>1</v>
      </c>
      <c r="AQ25" s="73">
        <f t="shared" si="23"/>
        <v>1.4285714285714286</v>
      </c>
      <c r="AR25" s="144">
        <v>0.7</v>
      </c>
      <c r="AS25" s="145">
        <v>1</v>
      </c>
      <c r="AT25" s="73">
        <f t="shared" si="24"/>
        <v>1.4285714285714286</v>
      </c>
      <c r="AU25" s="144">
        <v>0.7</v>
      </c>
      <c r="AV25" s="145">
        <v>0</v>
      </c>
      <c r="AW25" s="73">
        <f t="shared" si="25"/>
        <v>0</v>
      </c>
      <c r="AX25" s="144">
        <f>(M25+P25+S25+V25+Y25+AB25+AG25+AJ25+AM25+AP25+AS25+AV25)/12</f>
        <v>0.91666666666666663</v>
      </c>
      <c r="AY25" s="73">
        <f t="shared" si="11"/>
        <v>1.3095238095238095</v>
      </c>
    </row>
    <row r="26" spans="1:51" s="22" customFormat="1" ht="39.75" customHeight="1" thickTop="1" thickBot="1">
      <c r="A26" s="2944"/>
      <c r="B26" s="3007"/>
      <c r="C26" s="2958"/>
      <c r="D26" s="111" t="s">
        <v>128</v>
      </c>
      <c r="E26" s="177" t="s">
        <v>220</v>
      </c>
      <c r="F26" s="177" t="s">
        <v>10</v>
      </c>
      <c r="G26" s="922">
        <v>1</v>
      </c>
      <c r="H26" s="905"/>
      <c r="I26" s="775"/>
      <c r="J26" s="905"/>
      <c r="K26" s="177" t="s">
        <v>7</v>
      </c>
      <c r="L26" s="529"/>
      <c r="M26" s="529"/>
      <c r="N26" s="73" t="e">
        <f t="shared" si="12"/>
        <v>#DIV/0!</v>
      </c>
      <c r="O26" s="529"/>
      <c r="P26" s="527"/>
      <c r="Q26" s="73" t="e">
        <f t="shared" si="13"/>
        <v>#DIV/0!</v>
      </c>
      <c r="R26" s="529">
        <v>1</v>
      </c>
      <c r="S26" s="527">
        <v>0</v>
      </c>
      <c r="T26" s="73">
        <f t="shared" si="14"/>
        <v>0</v>
      </c>
      <c r="U26" s="529">
        <v>1</v>
      </c>
      <c r="V26" s="527">
        <v>0</v>
      </c>
      <c r="W26" s="73">
        <f t="shared" si="15"/>
        <v>0</v>
      </c>
      <c r="X26" s="529">
        <v>1</v>
      </c>
      <c r="Y26" s="527">
        <v>1</v>
      </c>
      <c r="Z26" s="73">
        <f t="shared" si="16"/>
        <v>1</v>
      </c>
      <c r="AA26" s="529">
        <v>1</v>
      </c>
      <c r="AB26" s="527">
        <v>1</v>
      </c>
      <c r="AC26" s="73">
        <f t="shared" si="17"/>
        <v>1</v>
      </c>
      <c r="AD26" s="597">
        <f>(M26+P26+S26+V26+Y26+AB26)/4</f>
        <v>0.5</v>
      </c>
      <c r="AE26" s="73">
        <f t="shared" si="19"/>
        <v>0.5</v>
      </c>
      <c r="AF26" s="529">
        <v>1</v>
      </c>
      <c r="AG26" s="527">
        <v>1</v>
      </c>
      <c r="AH26" s="73">
        <f t="shared" si="20"/>
        <v>1</v>
      </c>
      <c r="AI26" s="529">
        <v>1</v>
      </c>
      <c r="AJ26" s="527">
        <v>1</v>
      </c>
      <c r="AK26" s="73">
        <f t="shared" si="21"/>
        <v>1</v>
      </c>
      <c r="AL26" s="529">
        <v>1</v>
      </c>
      <c r="AM26" s="527">
        <v>1</v>
      </c>
      <c r="AN26" s="73">
        <f t="shared" si="22"/>
        <v>1</v>
      </c>
      <c r="AO26" s="529">
        <v>1</v>
      </c>
      <c r="AP26" s="527">
        <v>0</v>
      </c>
      <c r="AQ26" s="73">
        <f t="shared" si="23"/>
        <v>0</v>
      </c>
      <c r="AR26" s="529">
        <v>1</v>
      </c>
      <c r="AS26" s="527">
        <v>0</v>
      </c>
      <c r="AT26" s="73">
        <f t="shared" si="24"/>
        <v>0</v>
      </c>
      <c r="AU26" s="529">
        <v>1</v>
      </c>
      <c r="AV26" s="527">
        <v>0</v>
      </c>
      <c r="AW26" s="73">
        <f t="shared" si="25"/>
        <v>0</v>
      </c>
      <c r="AX26" s="529">
        <f>(Y26+AM26+AG26+AJ26+AB26)/5</f>
        <v>1</v>
      </c>
      <c r="AY26" s="73">
        <f t="shared" si="11"/>
        <v>1</v>
      </c>
    </row>
    <row r="27" spans="1:51" s="22" customFormat="1" ht="39.75" customHeight="1" thickTop="1" thickBot="1">
      <c r="A27" s="2944"/>
      <c r="B27" s="3007"/>
      <c r="C27" s="2958"/>
      <c r="D27" s="171" t="s">
        <v>179</v>
      </c>
      <c r="E27" s="172" t="s">
        <v>131</v>
      </c>
      <c r="F27" s="172" t="s">
        <v>10</v>
      </c>
      <c r="G27" s="918">
        <v>1</v>
      </c>
      <c r="H27" s="767"/>
      <c r="I27" s="778"/>
      <c r="J27" s="767"/>
      <c r="K27" s="172" t="s">
        <v>7</v>
      </c>
      <c r="L27" s="144"/>
      <c r="M27" s="144"/>
      <c r="N27" s="73" t="e">
        <f t="shared" si="12"/>
        <v>#DIV/0!</v>
      </c>
      <c r="O27" s="144"/>
      <c r="P27" s="145"/>
      <c r="Q27" s="73" t="e">
        <f t="shared" si="13"/>
        <v>#DIV/0!</v>
      </c>
      <c r="R27" s="144"/>
      <c r="S27" s="145"/>
      <c r="T27" s="73" t="e">
        <f t="shared" si="14"/>
        <v>#DIV/0!</v>
      </c>
      <c r="U27" s="144"/>
      <c r="V27" s="145"/>
      <c r="W27" s="73" t="e">
        <f t="shared" si="15"/>
        <v>#DIV/0!</v>
      </c>
      <c r="X27" s="144"/>
      <c r="Y27" s="145"/>
      <c r="Z27" s="73" t="e">
        <f t="shared" si="16"/>
        <v>#DIV/0!</v>
      </c>
      <c r="AA27" s="144"/>
      <c r="AB27" s="145"/>
      <c r="AC27" s="73" t="e">
        <f t="shared" si="17"/>
        <v>#DIV/0!</v>
      </c>
      <c r="AD27" s="597">
        <f>(M27+P27+V27+Y27+AB27)/3</f>
        <v>0</v>
      </c>
      <c r="AE27" s="73">
        <f t="shared" si="19"/>
        <v>0</v>
      </c>
      <c r="AF27" s="144"/>
      <c r="AG27" s="145"/>
      <c r="AH27" s="73" t="e">
        <f t="shared" si="20"/>
        <v>#DIV/0!</v>
      </c>
      <c r="AI27" s="144"/>
      <c r="AJ27" s="145"/>
      <c r="AK27" s="73" t="e">
        <f t="shared" si="21"/>
        <v>#DIV/0!</v>
      </c>
      <c r="AL27" s="144"/>
      <c r="AM27" s="145"/>
      <c r="AN27" s="73" t="e">
        <f t="shared" si="22"/>
        <v>#DIV/0!</v>
      </c>
      <c r="AO27" s="144"/>
      <c r="AP27" s="145"/>
      <c r="AQ27" s="73" t="e">
        <f t="shared" si="23"/>
        <v>#DIV/0!</v>
      </c>
      <c r="AR27" s="144"/>
      <c r="AS27" s="145"/>
      <c r="AT27" s="73" t="e">
        <f t="shared" si="24"/>
        <v>#DIV/0!</v>
      </c>
      <c r="AU27" s="144">
        <v>1</v>
      </c>
      <c r="AV27" s="145">
        <v>1.73</v>
      </c>
      <c r="AW27" s="73">
        <f t="shared" si="25"/>
        <v>1.73</v>
      </c>
      <c r="AX27" s="529">
        <f>AW27</f>
        <v>1.73</v>
      </c>
      <c r="AY27" s="73">
        <f t="shared" si="11"/>
        <v>1.73</v>
      </c>
    </row>
    <row r="28" spans="1:51" s="22" customFormat="1" ht="39.75" customHeight="1" thickTop="1" thickBot="1">
      <c r="A28" s="2944"/>
      <c r="B28" s="3011"/>
      <c r="C28" s="2959"/>
      <c r="D28" s="111" t="s">
        <v>440</v>
      </c>
      <c r="E28" s="177" t="s">
        <v>133</v>
      </c>
      <c r="F28" s="177" t="s">
        <v>10</v>
      </c>
      <c r="G28" s="922">
        <v>1</v>
      </c>
      <c r="H28" s="905"/>
      <c r="I28" s="775"/>
      <c r="J28" s="905"/>
      <c r="K28" s="177" t="s">
        <v>7</v>
      </c>
      <c r="L28" s="529"/>
      <c r="M28" s="529"/>
      <c r="N28" s="73" t="e">
        <f t="shared" si="12"/>
        <v>#DIV/0!</v>
      </c>
      <c r="O28" s="529"/>
      <c r="P28" s="527"/>
      <c r="Q28" s="73" t="e">
        <f t="shared" si="13"/>
        <v>#DIV/0!</v>
      </c>
      <c r="R28" s="529"/>
      <c r="S28" s="527"/>
      <c r="T28" s="73" t="e">
        <f t="shared" si="14"/>
        <v>#DIV/0!</v>
      </c>
      <c r="U28" s="529"/>
      <c r="V28" s="527"/>
      <c r="W28" s="73" t="e">
        <f t="shared" si="15"/>
        <v>#DIV/0!</v>
      </c>
      <c r="X28" s="529"/>
      <c r="Y28" s="527"/>
      <c r="Z28" s="73" t="e">
        <f t="shared" si="16"/>
        <v>#DIV/0!</v>
      </c>
      <c r="AA28" s="529">
        <v>1</v>
      </c>
      <c r="AB28" s="527">
        <v>1.5</v>
      </c>
      <c r="AC28" s="73">
        <f t="shared" si="17"/>
        <v>1.5</v>
      </c>
      <c r="AD28" s="596">
        <f>AB28</f>
        <v>1.5</v>
      </c>
      <c r="AE28" s="73">
        <f t="shared" si="19"/>
        <v>1.5</v>
      </c>
      <c r="AF28" s="529"/>
      <c r="AG28" s="527"/>
      <c r="AH28" s="73" t="e">
        <f t="shared" si="20"/>
        <v>#DIV/0!</v>
      </c>
      <c r="AI28" s="529"/>
      <c r="AJ28" s="527"/>
      <c r="AK28" s="73" t="e">
        <f t="shared" si="21"/>
        <v>#DIV/0!</v>
      </c>
      <c r="AL28" s="529"/>
      <c r="AM28" s="527"/>
      <c r="AN28" s="73" t="e">
        <f t="shared" si="22"/>
        <v>#DIV/0!</v>
      </c>
      <c r="AO28" s="529"/>
      <c r="AP28" s="527"/>
      <c r="AQ28" s="73" t="e">
        <f t="shared" si="23"/>
        <v>#DIV/0!</v>
      </c>
      <c r="AR28" s="529"/>
      <c r="AS28" s="527"/>
      <c r="AT28" s="73" t="e">
        <f t="shared" si="24"/>
        <v>#DIV/0!</v>
      </c>
      <c r="AU28" s="529"/>
      <c r="AV28" s="527"/>
      <c r="AW28" s="73" t="e">
        <f t="shared" si="25"/>
        <v>#DIV/0!</v>
      </c>
      <c r="AX28" s="529">
        <f>AC28</f>
        <v>1.5</v>
      </c>
      <c r="AY28" s="73">
        <f t="shared" si="11"/>
        <v>1.5</v>
      </c>
    </row>
    <row r="29" spans="1:51" s="22" customFormat="1" ht="39.75" customHeight="1" thickTop="1" thickBot="1">
      <c r="A29" s="2944"/>
      <c r="B29" s="3018" t="s">
        <v>464</v>
      </c>
      <c r="C29" s="177" t="s">
        <v>465</v>
      </c>
      <c r="D29" s="171" t="s">
        <v>224</v>
      </c>
      <c r="E29" s="172" t="s">
        <v>225</v>
      </c>
      <c r="F29" s="172" t="s">
        <v>17</v>
      </c>
      <c r="G29" s="909">
        <v>5002</v>
      </c>
      <c r="H29" s="767"/>
      <c r="I29" s="778"/>
      <c r="J29" s="767"/>
      <c r="K29" s="172" t="s">
        <v>226</v>
      </c>
      <c r="L29" s="514">
        <v>270</v>
      </c>
      <c r="M29" s="514">
        <v>270</v>
      </c>
      <c r="N29" s="73">
        <f t="shared" si="12"/>
        <v>1</v>
      </c>
      <c r="O29" s="514">
        <v>350</v>
      </c>
      <c r="P29" s="496">
        <v>350</v>
      </c>
      <c r="Q29" s="73">
        <f t="shared" si="13"/>
        <v>1</v>
      </c>
      <c r="R29" s="514">
        <v>368</v>
      </c>
      <c r="S29" s="496">
        <v>368</v>
      </c>
      <c r="T29" s="73">
        <f t="shared" si="14"/>
        <v>1</v>
      </c>
      <c r="U29" s="514">
        <v>151</v>
      </c>
      <c r="V29" s="496">
        <v>170</v>
      </c>
      <c r="W29" s="73">
        <f t="shared" si="15"/>
        <v>1.1258278145695364</v>
      </c>
      <c r="X29" s="514">
        <v>314</v>
      </c>
      <c r="Y29" s="496">
        <v>314</v>
      </c>
      <c r="Z29" s="73">
        <f t="shared" si="16"/>
        <v>1</v>
      </c>
      <c r="AA29" s="514">
        <v>421</v>
      </c>
      <c r="AB29" s="496">
        <v>421</v>
      </c>
      <c r="AC29" s="73">
        <f t="shared" si="17"/>
        <v>1</v>
      </c>
      <c r="AD29" s="782">
        <f>+M29+P29+S29+V29+Y29+AB29</f>
        <v>1893</v>
      </c>
      <c r="AE29" s="73">
        <f t="shared" si="19"/>
        <v>0.3784486205517793</v>
      </c>
      <c r="AF29" s="514">
        <v>555</v>
      </c>
      <c r="AG29" s="496">
        <v>555</v>
      </c>
      <c r="AH29" s="73">
        <f t="shared" si="20"/>
        <v>1</v>
      </c>
      <c r="AI29" s="514">
        <v>528</v>
      </c>
      <c r="AJ29" s="496">
        <v>528</v>
      </c>
      <c r="AK29" s="73">
        <f t="shared" si="21"/>
        <v>1</v>
      </c>
      <c r="AL29" s="514">
        <v>625</v>
      </c>
      <c r="AM29" s="496">
        <v>623</v>
      </c>
      <c r="AN29" s="73">
        <f t="shared" si="22"/>
        <v>0.99680000000000002</v>
      </c>
      <c r="AO29" s="514">
        <v>670</v>
      </c>
      <c r="AP29" s="496">
        <v>802</v>
      </c>
      <c r="AQ29" s="73">
        <f t="shared" si="23"/>
        <v>1.1970149253731344</v>
      </c>
      <c r="AR29" s="514">
        <v>450</v>
      </c>
      <c r="AS29" s="496">
        <v>608</v>
      </c>
      <c r="AT29" s="73">
        <f t="shared" si="24"/>
        <v>1.3511111111111112</v>
      </c>
      <c r="AU29" s="514">
        <v>300</v>
      </c>
      <c r="AV29" s="496">
        <v>352</v>
      </c>
      <c r="AW29" s="73">
        <f t="shared" si="25"/>
        <v>1.1733333333333333</v>
      </c>
      <c r="AX29" s="514">
        <f t="shared" si="10"/>
        <v>5361</v>
      </c>
      <c r="AY29" s="73">
        <f t="shared" si="11"/>
        <v>1.0717712914834066</v>
      </c>
    </row>
    <row r="30" spans="1:51" s="22" customFormat="1" ht="39.75" customHeight="1" thickTop="1" thickBot="1">
      <c r="A30" s="2944"/>
      <c r="B30" s="3019"/>
      <c r="C30" s="172" t="s">
        <v>466</v>
      </c>
      <c r="D30" s="111" t="s">
        <v>467</v>
      </c>
      <c r="E30" s="177" t="s">
        <v>228</v>
      </c>
      <c r="F30" s="177" t="s">
        <v>101</v>
      </c>
      <c r="G30" s="904">
        <f>+'[4]FIS-24'!$EL$16</f>
        <v>9600000000</v>
      </c>
      <c r="H30" s="905"/>
      <c r="I30" s="775"/>
      <c r="J30" s="905"/>
      <c r="K30" s="177" t="s">
        <v>140</v>
      </c>
      <c r="L30" s="752">
        <v>800000000</v>
      </c>
      <c r="M30" s="752">
        <v>324950025</v>
      </c>
      <c r="N30" s="73">
        <f t="shared" si="12"/>
        <v>0.40618753125000001</v>
      </c>
      <c r="O30" s="752">
        <v>800000000</v>
      </c>
      <c r="P30" s="753">
        <v>447406689</v>
      </c>
      <c r="Q30" s="73">
        <f t="shared" si="13"/>
        <v>0.55925836124999995</v>
      </c>
      <c r="R30" s="752">
        <v>800000000</v>
      </c>
      <c r="S30" s="753">
        <v>792744396</v>
      </c>
      <c r="T30" s="73">
        <f t="shared" si="14"/>
        <v>0.99093049499999997</v>
      </c>
      <c r="U30" s="752">
        <v>1586666667</v>
      </c>
      <c r="V30" s="753">
        <v>356861086</v>
      </c>
      <c r="W30" s="73">
        <f t="shared" si="15"/>
        <v>0.22491244911241334</v>
      </c>
      <c r="X30" s="752">
        <v>1586666667</v>
      </c>
      <c r="Y30" s="753">
        <v>105594955</v>
      </c>
      <c r="Z30" s="73">
        <f t="shared" si="16"/>
        <v>6.6551442212909359E-2</v>
      </c>
      <c r="AA30" s="752">
        <v>1586666667</v>
      </c>
      <c r="AB30" s="753">
        <v>82753782</v>
      </c>
      <c r="AC30" s="73">
        <f t="shared" si="17"/>
        <v>5.2155744947026107E-2</v>
      </c>
      <c r="AD30" s="923">
        <f t="shared" si="18"/>
        <v>2110310933</v>
      </c>
      <c r="AE30" s="73">
        <f t="shared" si="19"/>
        <v>0.21982405552083334</v>
      </c>
      <c r="AF30" s="752">
        <v>1586666667</v>
      </c>
      <c r="AG30" s="753">
        <v>364717065</v>
      </c>
      <c r="AH30" s="73">
        <f t="shared" si="20"/>
        <v>0.22986369638028073</v>
      </c>
      <c r="AI30" s="752">
        <v>196266666.36000001</v>
      </c>
      <c r="AJ30" s="753">
        <v>198987494</v>
      </c>
      <c r="AK30" s="73">
        <f t="shared" si="21"/>
        <v>1.0138629125895955</v>
      </c>
      <c r="AL30" s="752">
        <v>196266666.36000001</v>
      </c>
      <c r="AM30" s="753">
        <v>1005391705</v>
      </c>
      <c r="AN30" s="73">
        <f t="shared" si="22"/>
        <v>5.1225800266860961</v>
      </c>
      <c r="AO30" s="752">
        <v>196266666.36000001</v>
      </c>
      <c r="AP30" s="753">
        <v>564008518</v>
      </c>
      <c r="AQ30" s="73">
        <f t="shared" si="23"/>
        <v>2.873684708973828</v>
      </c>
      <c r="AR30" s="752">
        <v>132266666.45999999</v>
      </c>
      <c r="AS30" s="753">
        <v>675378687</v>
      </c>
      <c r="AT30" s="73">
        <f t="shared" si="24"/>
        <v>5.1061896778372926</v>
      </c>
      <c r="AU30" s="752">
        <v>132266666.45999999</v>
      </c>
      <c r="AV30" s="753">
        <v>624213674</v>
      </c>
      <c r="AW30" s="73">
        <f>+AV30/AU30</f>
        <v>4.7193574216885121</v>
      </c>
      <c r="AX30" s="752">
        <f>+M30+P30+S30+V30+Y30+AB30+AG30+AJ30+AM30+AP30+AS30+AV30</f>
        <v>5543008076</v>
      </c>
      <c r="AY30" s="73">
        <f>+AX30/G30</f>
        <v>0.57739667458333332</v>
      </c>
    </row>
    <row r="31" spans="1:51" s="22" customFormat="1" ht="39.75" customHeight="1" thickTop="1" thickBot="1">
      <c r="A31" s="2944"/>
      <c r="B31" s="3019"/>
      <c r="C31" s="921" t="s">
        <v>442</v>
      </c>
      <c r="D31" s="171" t="s">
        <v>468</v>
      </c>
      <c r="E31" s="172" t="s">
        <v>469</v>
      </c>
      <c r="F31" s="172" t="s">
        <v>24</v>
      </c>
      <c r="G31" s="909">
        <v>237</v>
      </c>
      <c r="H31" s="767"/>
      <c r="I31" s="778"/>
      <c r="J31" s="767"/>
      <c r="K31" s="172" t="s">
        <v>140</v>
      </c>
      <c r="L31" s="924">
        <v>15.799999999999999</v>
      </c>
      <c r="M31" s="924">
        <v>53</v>
      </c>
      <c r="N31" s="73">
        <f t="shared" si="12"/>
        <v>3.3544303797468356</v>
      </c>
      <c r="O31" s="924">
        <v>15.799999999999999</v>
      </c>
      <c r="P31" s="925">
        <v>81</v>
      </c>
      <c r="Q31" s="73">
        <f t="shared" si="13"/>
        <v>5.1265822784810133</v>
      </c>
      <c r="R31" s="924">
        <v>15.799999999999999</v>
      </c>
      <c r="S31" s="925">
        <v>68</v>
      </c>
      <c r="T31" s="73">
        <f t="shared" si="14"/>
        <v>4.3037974683544311</v>
      </c>
      <c r="U31" s="924">
        <v>23.7</v>
      </c>
      <c r="V31" s="925">
        <v>50</v>
      </c>
      <c r="W31" s="73">
        <f t="shared" si="15"/>
        <v>2.109704641350211</v>
      </c>
      <c r="X31" s="924">
        <v>23.7</v>
      </c>
      <c r="Y31" s="925">
        <v>75</v>
      </c>
      <c r="Z31" s="73">
        <f t="shared" si="16"/>
        <v>3.1645569620253164</v>
      </c>
      <c r="AA31" s="924">
        <v>23.7</v>
      </c>
      <c r="AB31" s="925">
        <v>79</v>
      </c>
      <c r="AC31" s="73">
        <f t="shared" si="17"/>
        <v>3.3333333333333335</v>
      </c>
      <c r="AD31" s="926">
        <f t="shared" si="18"/>
        <v>406</v>
      </c>
      <c r="AE31" s="73">
        <f t="shared" si="19"/>
        <v>1.7130801687763713</v>
      </c>
      <c r="AF31" s="924">
        <v>23.7</v>
      </c>
      <c r="AG31" s="925">
        <v>83</v>
      </c>
      <c r="AH31" s="73">
        <f t="shared" si="20"/>
        <v>3.5021097046413505</v>
      </c>
      <c r="AI31" s="924">
        <v>23.7</v>
      </c>
      <c r="AJ31" s="925">
        <v>87</v>
      </c>
      <c r="AK31" s="73">
        <f t="shared" si="21"/>
        <v>3.6708860759493671</v>
      </c>
      <c r="AL31" s="924">
        <v>23.7</v>
      </c>
      <c r="AM31" s="925">
        <v>105</v>
      </c>
      <c r="AN31" s="73">
        <f t="shared" si="22"/>
        <v>4.4303797468354436</v>
      </c>
      <c r="AO31" s="924">
        <v>15.799999999999999</v>
      </c>
      <c r="AP31" s="925">
        <v>53</v>
      </c>
      <c r="AQ31" s="73">
        <f t="shared" si="23"/>
        <v>3.3544303797468356</v>
      </c>
      <c r="AR31" s="924">
        <v>15.799999999999999</v>
      </c>
      <c r="AS31" s="925">
        <v>40</v>
      </c>
      <c r="AT31" s="73">
        <f t="shared" si="24"/>
        <v>2.5316455696202533</v>
      </c>
      <c r="AU31" s="924">
        <v>15.799999999999999</v>
      </c>
      <c r="AV31" s="925">
        <v>20</v>
      </c>
      <c r="AW31" s="73">
        <f t="shared" si="25"/>
        <v>1.2658227848101267</v>
      </c>
      <c r="AX31" s="924">
        <f t="shared" si="10"/>
        <v>794</v>
      </c>
      <c r="AY31" s="73">
        <f t="shared" si="11"/>
        <v>3.350210970464135</v>
      </c>
    </row>
    <row r="32" spans="1:51" s="22" customFormat="1" ht="39.75" customHeight="1" thickTop="1" thickBot="1">
      <c r="A32" s="2944"/>
      <c r="B32" s="3019"/>
      <c r="C32" s="3021" t="s">
        <v>470</v>
      </c>
      <c r="D32" s="171" t="s">
        <v>242</v>
      </c>
      <c r="E32" s="172" t="s">
        <v>243</v>
      </c>
      <c r="F32" s="177" t="s">
        <v>10</v>
      </c>
      <c r="G32" s="927">
        <v>0.3</v>
      </c>
      <c r="H32" s="905"/>
      <c r="I32" s="775"/>
      <c r="J32" s="905"/>
      <c r="K32" s="177" t="s">
        <v>244</v>
      </c>
      <c r="L32" s="928"/>
      <c r="M32" s="928"/>
      <c r="N32" s="73" t="e">
        <f t="shared" si="12"/>
        <v>#DIV/0!</v>
      </c>
      <c r="O32" s="928"/>
      <c r="P32" s="929"/>
      <c r="Q32" s="73" t="e">
        <f t="shared" si="13"/>
        <v>#DIV/0!</v>
      </c>
      <c r="R32" s="928"/>
      <c r="S32" s="929"/>
      <c r="T32" s="73" t="e">
        <f t="shared" si="14"/>
        <v>#DIV/0!</v>
      </c>
      <c r="U32" s="928"/>
      <c r="V32" s="929"/>
      <c r="W32" s="73" t="e">
        <f t="shared" si="15"/>
        <v>#DIV/0!</v>
      </c>
      <c r="X32" s="928"/>
      <c r="Y32" s="929"/>
      <c r="Z32" s="73" t="e">
        <f t="shared" si="16"/>
        <v>#DIV/0!</v>
      </c>
      <c r="AA32" s="928"/>
      <c r="AB32" s="929"/>
      <c r="AC32" s="73" t="e">
        <f t="shared" si="17"/>
        <v>#DIV/0!</v>
      </c>
      <c r="AD32" s="930">
        <f t="shared" si="18"/>
        <v>0</v>
      </c>
      <c r="AE32" s="73">
        <f t="shared" si="19"/>
        <v>0</v>
      </c>
      <c r="AF32" s="928"/>
      <c r="AG32" s="929"/>
      <c r="AH32" s="73" t="e">
        <f t="shared" si="20"/>
        <v>#DIV/0!</v>
      </c>
      <c r="AI32" s="928"/>
      <c r="AJ32" s="931"/>
      <c r="AK32" s="73" t="e">
        <f t="shared" si="21"/>
        <v>#DIV/0!</v>
      </c>
      <c r="AL32" s="928"/>
      <c r="AM32" s="929"/>
      <c r="AN32" s="73" t="e">
        <f t="shared" si="22"/>
        <v>#DIV/0!</v>
      </c>
      <c r="AO32" s="928"/>
      <c r="AP32" s="929"/>
      <c r="AQ32" s="73" t="e">
        <f t="shared" si="23"/>
        <v>#DIV/0!</v>
      </c>
      <c r="AR32" s="928"/>
      <c r="AS32" s="929"/>
      <c r="AT32" s="73" t="e">
        <f t="shared" si="24"/>
        <v>#DIV/0!</v>
      </c>
      <c r="AU32" s="932">
        <v>0.3</v>
      </c>
      <c r="AV32" s="929">
        <v>0.8</v>
      </c>
      <c r="AW32" s="73">
        <f t="shared" si="25"/>
        <v>2.666666666666667</v>
      </c>
      <c r="AX32" s="928">
        <f>AV32</f>
        <v>0.8</v>
      </c>
      <c r="AY32" s="73">
        <f t="shared" si="11"/>
        <v>2.666666666666667</v>
      </c>
    </row>
    <row r="33" spans="1:51" s="22" customFormat="1" ht="39.75" customHeight="1" thickTop="1" thickBot="1">
      <c r="A33" s="2944"/>
      <c r="B33" s="3019"/>
      <c r="C33" s="3022"/>
      <c r="D33" s="623" t="s">
        <v>245</v>
      </c>
      <c r="E33" s="561" t="s">
        <v>246</v>
      </c>
      <c r="F33" s="561" t="s">
        <v>10</v>
      </c>
      <c r="G33" s="933">
        <v>0.1</v>
      </c>
      <c r="H33" s="85"/>
      <c r="I33" s="18"/>
      <c r="J33" s="85"/>
      <c r="K33" s="561" t="s">
        <v>244</v>
      </c>
      <c r="L33" s="928"/>
      <c r="M33" s="928" t="s">
        <v>323</v>
      </c>
      <c r="N33" s="73" t="e">
        <f t="shared" si="12"/>
        <v>#VALUE!</v>
      </c>
      <c r="O33" s="928"/>
      <c r="P33" s="929" t="s">
        <v>323</v>
      </c>
      <c r="Q33" s="73" t="e">
        <f t="shared" si="13"/>
        <v>#VALUE!</v>
      </c>
      <c r="R33" s="928"/>
      <c r="S33" s="929" t="s">
        <v>323</v>
      </c>
      <c r="T33" s="73" t="e">
        <f t="shared" si="14"/>
        <v>#VALUE!</v>
      </c>
      <c r="U33" s="928"/>
      <c r="V33" s="929" t="s">
        <v>323</v>
      </c>
      <c r="W33" s="73" t="e">
        <f t="shared" si="15"/>
        <v>#VALUE!</v>
      </c>
      <c r="X33" s="928"/>
      <c r="Y33" s="929" t="s">
        <v>323</v>
      </c>
      <c r="Z33" s="73" t="e">
        <f t="shared" si="16"/>
        <v>#VALUE!</v>
      </c>
      <c r="AA33" s="928"/>
      <c r="AB33" s="929" t="s">
        <v>323</v>
      </c>
      <c r="AC33" s="73" t="e">
        <f t="shared" si="17"/>
        <v>#VALUE!</v>
      </c>
      <c r="AD33" s="930" t="e">
        <f>+M33+P33+S33+V33+Y33+AB33</f>
        <v>#VALUE!</v>
      </c>
      <c r="AE33" s="73" t="e">
        <f>+AD33/50%</f>
        <v>#VALUE!</v>
      </c>
      <c r="AF33" s="928"/>
      <c r="AG33" s="929" t="s">
        <v>323</v>
      </c>
      <c r="AH33" s="73" t="e">
        <f t="shared" si="20"/>
        <v>#VALUE!</v>
      </c>
      <c r="AI33" s="928"/>
      <c r="AJ33" s="931" t="s">
        <v>323</v>
      </c>
      <c r="AK33" s="73" t="e">
        <f t="shared" si="21"/>
        <v>#VALUE!</v>
      </c>
      <c r="AL33" s="928"/>
      <c r="AM33" s="929" t="s">
        <v>323</v>
      </c>
      <c r="AN33" s="73" t="e">
        <f t="shared" si="22"/>
        <v>#VALUE!</v>
      </c>
      <c r="AO33" s="928"/>
      <c r="AP33" s="929" t="s">
        <v>323</v>
      </c>
      <c r="AQ33" s="73" t="e">
        <f t="shared" si="23"/>
        <v>#VALUE!</v>
      </c>
      <c r="AR33" s="928"/>
      <c r="AS33" s="929" t="s">
        <v>323</v>
      </c>
      <c r="AT33" s="73" t="e">
        <f t="shared" si="24"/>
        <v>#VALUE!</v>
      </c>
      <c r="AU33" s="928"/>
      <c r="AV33" s="929" t="s">
        <v>323</v>
      </c>
      <c r="AW33" s="73" t="e">
        <f t="shared" si="25"/>
        <v>#VALUE!</v>
      </c>
      <c r="AX33" s="928" t="s">
        <v>323</v>
      </c>
      <c r="AY33" s="73"/>
    </row>
    <row r="34" spans="1:51" s="22" customFormat="1" ht="56.1" customHeight="1" thickTop="1" thickBot="1">
      <c r="A34" s="2944"/>
      <c r="B34" s="3019"/>
      <c r="C34" s="3022"/>
      <c r="D34" s="111" t="s">
        <v>446</v>
      </c>
      <c r="E34" s="177" t="s">
        <v>471</v>
      </c>
      <c r="F34" s="177" t="s">
        <v>24</v>
      </c>
      <c r="G34" s="914">
        <v>16</v>
      </c>
      <c r="H34" s="905"/>
      <c r="I34" s="775"/>
      <c r="J34" s="905"/>
      <c r="K34" s="177" t="s">
        <v>472</v>
      </c>
      <c r="L34" s="924"/>
      <c r="M34" s="924" t="s">
        <v>323</v>
      </c>
      <c r="N34" s="73" t="e">
        <f t="shared" si="12"/>
        <v>#VALUE!</v>
      </c>
      <c r="O34" s="924"/>
      <c r="P34" s="925" t="s">
        <v>323</v>
      </c>
      <c r="Q34" s="73" t="e">
        <f t="shared" si="13"/>
        <v>#VALUE!</v>
      </c>
      <c r="R34" s="924"/>
      <c r="S34" s="925" t="s">
        <v>323</v>
      </c>
      <c r="T34" s="73" t="e">
        <f t="shared" si="14"/>
        <v>#VALUE!</v>
      </c>
      <c r="U34" s="924"/>
      <c r="V34" s="925" t="s">
        <v>323</v>
      </c>
      <c r="W34" s="73" t="e">
        <f t="shared" si="15"/>
        <v>#VALUE!</v>
      </c>
      <c r="X34" s="924">
        <v>2</v>
      </c>
      <c r="Y34" s="925">
        <v>0</v>
      </c>
      <c r="Z34" s="73">
        <f t="shared" si="16"/>
        <v>0</v>
      </c>
      <c r="AA34" s="924">
        <v>2</v>
      </c>
      <c r="AB34" s="925">
        <v>0</v>
      </c>
      <c r="AC34" s="73">
        <f t="shared" si="17"/>
        <v>0</v>
      </c>
      <c r="AD34" s="926" t="s">
        <v>323</v>
      </c>
      <c r="AE34" s="73" t="e">
        <f t="shared" si="19"/>
        <v>#VALUE!</v>
      </c>
      <c r="AF34" s="924">
        <v>2</v>
      </c>
      <c r="AG34" s="925" t="s">
        <v>323</v>
      </c>
      <c r="AH34" s="73" t="e">
        <f t="shared" si="20"/>
        <v>#VALUE!</v>
      </c>
      <c r="AI34" s="924">
        <v>2</v>
      </c>
      <c r="AJ34" s="925" t="s">
        <v>323</v>
      </c>
      <c r="AK34" s="73" t="e">
        <f t="shared" si="21"/>
        <v>#VALUE!</v>
      </c>
      <c r="AL34" s="924">
        <v>2</v>
      </c>
      <c r="AM34" s="925" t="s">
        <v>323</v>
      </c>
      <c r="AN34" s="73" t="e">
        <f t="shared" si="22"/>
        <v>#VALUE!</v>
      </c>
      <c r="AO34" s="924">
        <v>2</v>
      </c>
      <c r="AP34" s="925" t="s">
        <v>323</v>
      </c>
      <c r="AQ34" s="73" t="e">
        <f t="shared" si="23"/>
        <v>#VALUE!</v>
      </c>
      <c r="AR34" s="924">
        <v>2</v>
      </c>
      <c r="AS34" s="925" t="s">
        <v>323</v>
      </c>
      <c r="AT34" s="73" t="e">
        <f t="shared" si="24"/>
        <v>#VALUE!</v>
      </c>
      <c r="AU34" s="924">
        <v>2</v>
      </c>
      <c r="AV34" s="925" t="s">
        <v>323</v>
      </c>
      <c r="AW34" s="73" t="e">
        <f t="shared" si="25"/>
        <v>#VALUE!</v>
      </c>
      <c r="AX34" s="924"/>
      <c r="AY34" s="73"/>
    </row>
    <row r="35" spans="1:51" s="22" customFormat="1" ht="39.75" customHeight="1" thickTop="1" thickBot="1">
      <c r="A35" s="2944"/>
      <c r="B35" s="3019"/>
      <c r="C35" s="3022"/>
      <c r="D35" s="171" t="s">
        <v>448</v>
      </c>
      <c r="E35" s="172" t="s">
        <v>473</v>
      </c>
      <c r="F35" s="172" t="s">
        <v>24</v>
      </c>
      <c r="G35" s="909">
        <v>12</v>
      </c>
      <c r="H35" s="767"/>
      <c r="I35" s="778"/>
      <c r="J35" s="767"/>
      <c r="K35" s="172" t="s">
        <v>474</v>
      </c>
      <c r="L35" s="924"/>
      <c r="M35" s="924"/>
      <c r="N35" s="73" t="e">
        <f t="shared" si="12"/>
        <v>#DIV/0!</v>
      </c>
      <c r="O35" s="924"/>
      <c r="P35" s="925"/>
      <c r="Q35" s="73" t="e">
        <f t="shared" si="13"/>
        <v>#DIV/0!</v>
      </c>
      <c r="R35" s="924"/>
      <c r="S35" s="925"/>
      <c r="T35" s="73" t="e">
        <f t="shared" si="14"/>
        <v>#DIV/0!</v>
      </c>
      <c r="U35" s="924"/>
      <c r="V35" s="925"/>
      <c r="W35" s="73" t="e">
        <f t="shared" si="15"/>
        <v>#DIV/0!</v>
      </c>
      <c r="X35" s="924">
        <v>1</v>
      </c>
      <c r="Y35" s="925">
        <v>1</v>
      </c>
      <c r="Z35" s="73">
        <f t="shared" si="16"/>
        <v>1</v>
      </c>
      <c r="AA35" s="924">
        <v>1</v>
      </c>
      <c r="AB35" s="925">
        <v>0</v>
      </c>
      <c r="AC35" s="73">
        <f t="shared" si="17"/>
        <v>0</v>
      </c>
      <c r="AD35" s="926">
        <f t="shared" si="18"/>
        <v>1</v>
      </c>
      <c r="AE35" s="73">
        <f t="shared" si="19"/>
        <v>8.3333333333333329E-2</v>
      </c>
      <c r="AF35" s="924">
        <v>1</v>
      </c>
      <c r="AG35" s="925">
        <v>0</v>
      </c>
      <c r="AH35" s="73">
        <f t="shared" si="20"/>
        <v>0</v>
      </c>
      <c r="AI35" s="924">
        <v>2</v>
      </c>
      <c r="AJ35" s="925">
        <v>2</v>
      </c>
      <c r="AK35" s="73">
        <f t="shared" si="21"/>
        <v>1</v>
      </c>
      <c r="AL35" s="924">
        <v>2</v>
      </c>
      <c r="AM35" s="925">
        <v>2</v>
      </c>
      <c r="AN35" s="73">
        <f t="shared" si="22"/>
        <v>1</v>
      </c>
      <c r="AO35" s="924">
        <v>2</v>
      </c>
      <c r="AP35" s="925">
        <v>3</v>
      </c>
      <c r="AQ35" s="73">
        <f t="shared" si="23"/>
        <v>1.5</v>
      </c>
      <c r="AR35" s="924">
        <v>2</v>
      </c>
      <c r="AS35" s="925">
        <v>3</v>
      </c>
      <c r="AT35" s="73">
        <f t="shared" si="24"/>
        <v>1.5</v>
      </c>
      <c r="AU35" s="924">
        <v>1</v>
      </c>
      <c r="AV35" s="925">
        <v>1</v>
      </c>
      <c r="AW35" s="73">
        <f t="shared" si="25"/>
        <v>1</v>
      </c>
      <c r="AX35" s="924">
        <f>Y35+AB35+AG35+AJ35+AM35+AP35+AS35+AV35</f>
        <v>12</v>
      </c>
      <c r="AY35" s="73">
        <f t="shared" si="11"/>
        <v>1</v>
      </c>
    </row>
    <row r="36" spans="1:51" s="22" customFormat="1" ht="39.75" customHeight="1" thickTop="1" thickBot="1">
      <c r="A36" s="2945"/>
      <c r="B36" s="3020"/>
      <c r="C36" s="3023"/>
      <c r="D36" s="111" t="s">
        <v>252</v>
      </c>
      <c r="E36" s="177" t="s">
        <v>475</v>
      </c>
      <c r="F36" s="177" t="s">
        <v>24</v>
      </c>
      <c r="G36" s="914">
        <v>80</v>
      </c>
      <c r="H36" s="905"/>
      <c r="I36" s="775"/>
      <c r="J36" s="905"/>
      <c r="K36" s="177" t="s">
        <v>474</v>
      </c>
      <c r="L36" s="924"/>
      <c r="M36" s="924"/>
      <c r="N36" s="73" t="e">
        <f t="shared" si="12"/>
        <v>#DIV/0!</v>
      </c>
      <c r="O36" s="924"/>
      <c r="P36" s="925"/>
      <c r="Q36" s="73" t="e">
        <f t="shared" si="13"/>
        <v>#DIV/0!</v>
      </c>
      <c r="R36" s="924"/>
      <c r="S36" s="925"/>
      <c r="T36" s="73" t="e">
        <f t="shared" si="14"/>
        <v>#DIV/0!</v>
      </c>
      <c r="U36" s="924"/>
      <c r="V36" s="925"/>
      <c r="W36" s="73" t="e">
        <f t="shared" si="15"/>
        <v>#DIV/0!</v>
      </c>
      <c r="X36" s="924">
        <v>10</v>
      </c>
      <c r="Y36" s="925">
        <v>10</v>
      </c>
      <c r="Z36" s="73">
        <f t="shared" si="16"/>
        <v>1</v>
      </c>
      <c r="AA36" s="924">
        <v>10</v>
      </c>
      <c r="AB36" s="925">
        <v>10</v>
      </c>
      <c r="AC36" s="73">
        <f t="shared" si="17"/>
        <v>1</v>
      </c>
      <c r="AD36" s="926">
        <f>Y36+AB36</f>
        <v>20</v>
      </c>
      <c r="AE36" s="73">
        <f t="shared" si="19"/>
        <v>0.25</v>
      </c>
      <c r="AF36" s="924">
        <v>10</v>
      </c>
      <c r="AG36" s="925">
        <v>10</v>
      </c>
      <c r="AH36" s="73">
        <f t="shared" si="20"/>
        <v>1</v>
      </c>
      <c r="AI36" s="924">
        <v>10</v>
      </c>
      <c r="AJ36" s="925">
        <v>10</v>
      </c>
      <c r="AK36" s="73">
        <f t="shared" si="21"/>
        <v>1</v>
      </c>
      <c r="AL36" s="924">
        <v>10</v>
      </c>
      <c r="AM36" s="925">
        <v>10</v>
      </c>
      <c r="AN36" s="73">
        <f t="shared" si="22"/>
        <v>1</v>
      </c>
      <c r="AO36" s="924">
        <v>10</v>
      </c>
      <c r="AP36" s="925">
        <v>10</v>
      </c>
      <c r="AQ36" s="73">
        <f t="shared" si="23"/>
        <v>1</v>
      </c>
      <c r="AR36" s="924">
        <v>10</v>
      </c>
      <c r="AS36" s="925">
        <v>13</v>
      </c>
      <c r="AT36" s="73">
        <f t="shared" si="24"/>
        <v>1.3</v>
      </c>
      <c r="AU36" s="924">
        <v>10</v>
      </c>
      <c r="AV36" s="925">
        <v>7</v>
      </c>
      <c r="AW36" s="73">
        <f t="shared" si="25"/>
        <v>0.7</v>
      </c>
      <c r="AX36" s="924">
        <f>Y36+AB36+AG36+AJ36+AM36+AP36+AS36+AV36</f>
        <v>80</v>
      </c>
      <c r="AY36" s="73">
        <f t="shared" si="11"/>
        <v>1</v>
      </c>
    </row>
    <row r="37" spans="1:51" s="22" customFormat="1" ht="39.75" customHeight="1" thickTop="1" thickBot="1">
      <c r="A37" s="2857" t="s">
        <v>141</v>
      </c>
      <c r="B37" s="2858"/>
      <c r="C37" s="2858"/>
      <c r="D37" s="2858"/>
      <c r="E37" s="2858"/>
      <c r="F37" s="2858"/>
      <c r="G37" s="2858"/>
      <c r="H37" s="2858"/>
      <c r="I37" s="2858"/>
      <c r="J37" s="2858"/>
      <c r="K37" s="2859"/>
      <c r="L37" s="55"/>
      <c r="M37" s="55"/>
      <c r="N37" s="55"/>
      <c r="O37" s="55"/>
      <c r="P37" s="56"/>
      <c r="Q37" s="55"/>
      <c r="R37" s="55"/>
      <c r="S37" s="56"/>
      <c r="T37" s="55"/>
      <c r="U37" s="55"/>
      <c r="V37" s="56"/>
      <c r="W37" s="55"/>
      <c r="X37" s="55"/>
      <c r="Y37" s="56"/>
      <c r="Z37" s="55"/>
      <c r="AA37" s="55"/>
      <c r="AB37" s="56"/>
      <c r="AC37" s="55"/>
      <c r="AD37" s="55"/>
      <c r="AE37" s="55"/>
      <c r="AF37" s="55"/>
      <c r="AG37" s="56"/>
      <c r="AH37" s="55"/>
      <c r="AI37" s="55"/>
      <c r="AJ37" s="56"/>
      <c r="AK37" s="55"/>
      <c r="AL37" s="55"/>
      <c r="AM37" s="56"/>
      <c r="AN37" s="55"/>
      <c r="AO37" s="55"/>
      <c r="AP37" s="56"/>
      <c r="AQ37" s="55"/>
      <c r="AR37" s="55"/>
      <c r="AS37" s="56"/>
      <c r="AT37" s="55"/>
      <c r="AU37" s="55"/>
      <c r="AV37" s="56"/>
      <c r="AW37" s="55"/>
      <c r="AX37" s="55"/>
      <c r="AY37" s="55"/>
    </row>
    <row r="38" spans="1:51" ht="39.75" customHeight="1" thickTop="1" thickBot="1">
      <c r="A38" s="2939" t="s">
        <v>181</v>
      </c>
      <c r="B38" s="3006" t="s">
        <v>314</v>
      </c>
      <c r="C38" s="2993" t="s">
        <v>293</v>
      </c>
      <c r="D38" s="111" t="s">
        <v>261</v>
      </c>
      <c r="E38" s="74" t="s">
        <v>426</v>
      </c>
      <c r="F38" s="74" t="s">
        <v>10</v>
      </c>
      <c r="G38" s="934">
        <v>0.03</v>
      </c>
      <c r="H38" s="935"/>
      <c r="I38" s="935"/>
      <c r="J38" s="935"/>
      <c r="K38" s="74" t="s">
        <v>226</v>
      </c>
      <c r="L38" s="144"/>
      <c r="M38" s="144"/>
      <c r="N38" s="73" t="e">
        <f t="shared" si="12"/>
        <v>#DIV/0!</v>
      </c>
      <c r="O38" s="144"/>
      <c r="P38" s="145"/>
      <c r="Q38" s="73" t="e">
        <f t="shared" si="13"/>
        <v>#DIV/0!</v>
      </c>
      <c r="R38" s="144"/>
      <c r="S38" s="145"/>
      <c r="T38" s="73" t="e">
        <f t="shared" si="14"/>
        <v>#DIV/0!</v>
      </c>
      <c r="U38" s="144"/>
      <c r="V38" s="145"/>
      <c r="W38" s="73" t="e">
        <f t="shared" si="15"/>
        <v>#DIV/0!</v>
      </c>
      <c r="X38" s="144"/>
      <c r="Y38" s="145"/>
      <c r="Z38" s="73" t="e">
        <f t="shared" si="16"/>
        <v>#DIV/0!</v>
      </c>
      <c r="AA38" s="144"/>
      <c r="AB38" s="145"/>
      <c r="AC38" s="73" t="e">
        <f t="shared" si="17"/>
        <v>#DIV/0!</v>
      </c>
      <c r="AD38" s="597" t="s">
        <v>323</v>
      </c>
      <c r="AE38" s="73" t="e">
        <f t="shared" si="19"/>
        <v>#VALUE!</v>
      </c>
      <c r="AF38" s="144"/>
      <c r="AG38" s="145"/>
      <c r="AH38" s="73" t="e">
        <f t="shared" si="20"/>
        <v>#DIV/0!</v>
      </c>
      <c r="AI38" s="144"/>
      <c r="AJ38" s="145"/>
      <c r="AK38" s="73" t="e">
        <f t="shared" si="21"/>
        <v>#DIV/0!</v>
      </c>
      <c r="AL38" s="144"/>
      <c r="AM38" s="145"/>
      <c r="AN38" s="73" t="e">
        <f t="shared" si="22"/>
        <v>#DIV/0!</v>
      </c>
      <c r="AO38" s="144"/>
      <c r="AP38" s="145"/>
      <c r="AQ38" s="73" t="e">
        <f t="shared" si="23"/>
        <v>#DIV/0!</v>
      </c>
      <c r="AR38" s="144"/>
      <c r="AS38" s="145"/>
      <c r="AT38" s="73" t="e">
        <f t="shared" si="24"/>
        <v>#DIV/0!</v>
      </c>
      <c r="AU38" s="144"/>
      <c r="AV38" s="145"/>
      <c r="AW38" s="73" t="e">
        <f t="shared" si="25"/>
        <v>#DIV/0!</v>
      </c>
      <c r="AX38" s="144" t="s">
        <v>323</v>
      </c>
      <c r="AY38" s="73"/>
    </row>
    <row r="39" spans="1:51" ht="39.75" customHeight="1" thickTop="1" thickBot="1">
      <c r="A39" s="2940"/>
      <c r="B39" s="3007"/>
      <c r="C39" s="2959"/>
      <c r="D39" s="124" t="s">
        <v>295</v>
      </c>
      <c r="E39" s="125" t="s">
        <v>264</v>
      </c>
      <c r="F39" s="125" t="s">
        <v>10</v>
      </c>
      <c r="G39" s="936">
        <v>1</v>
      </c>
      <c r="H39" s="937"/>
      <c r="I39" s="937"/>
      <c r="J39" s="937"/>
      <c r="K39" s="125" t="s">
        <v>226</v>
      </c>
      <c r="L39" s="529"/>
      <c r="M39" s="529"/>
      <c r="N39" s="73" t="e">
        <f t="shared" si="12"/>
        <v>#DIV/0!</v>
      </c>
      <c r="O39" s="529"/>
      <c r="P39" s="527"/>
      <c r="Q39" s="73" t="e">
        <f t="shared" si="13"/>
        <v>#DIV/0!</v>
      </c>
      <c r="R39" s="529"/>
      <c r="S39" s="527"/>
      <c r="T39" s="73" t="e">
        <f t="shared" si="14"/>
        <v>#DIV/0!</v>
      </c>
      <c r="U39" s="529"/>
      <c r="V39" s="527"/>
      <c r="W39" s="73" t="e">
        <f t="shared" si="15"/>
        <v>#DIV/0!</v>
      </c>
      <c r="X39" s="529"/>
      <c r="Y39" s="527"/>
      <c r="Z39" s="73" t="e">
        <f t="shared" si="16"/>
        <v>#DIV/0!</v>
      </c>
      <c r="AA39" s="529"/>
      <c r="AB39" s="527"/>
      <c r="AC39" s="73" t="e">
        <f t="shared" si="17"/>
        <v>#DIV/0!</v>
      </c>
      <c r="AD39" s="596">
        <f t="shared" si="18"/>
        <v>0</v>
      </c>
      <c r="AE39" s="73">
        <f t="shared" si="19"/>
        <v>0</v>
      </c>
      <c r="AF39" s="529"/>
      <c r="AG39" s="527"/>
      <c r="AH39" s="73" t="e">
        <f t="shared" si="20"/>
        <v>#DIV/0!</v>
      </c>
      <c r="AI39" s="529"/>
      <c r="AJ39" s="527"/>
      <c r="AK39" s="73" t="e">
        <f t="shared" si="21"/>
        <v>#DIV/0!</v>
      </c>
      <c r="AL39" s="529">
        <v>0.5</v>
      </c>
      <c r="AM39" s="527">
        <v>0.5</v>
      </c>
      <c r="AN39" s="73">
        <f t="shared" si="22"/>
        <v>1</v>
      </c>
      <c r="AO39" s="529"/>
      <c r="AP39" s="527"/>
      <c r="AQ39" s="73" t="e">
        <f t="shared" si="23"/>
        <v>#DIV/0!</v>
      </c>
      <c r="AR39" s="529"/>
      <c r="AS39" s="527"/>
      <c r="AT39" s="73" t="e">
        <f t="shared" si="24"/>
        <v>#DIV/0!</v>
      </c>
      <c r="AU39" s="529">
        <v>0.5</v>
      </c>
      <c r="AV39" s="527">
        <v>0.5</v>
      </c>
      <c r="AW39" s="73">
        <f t="shared" si="25"/>
        <v>1</v>
      </c>
      <c r="AX39" s="529">
        <f>+AM39+AV39</f>
        <v>1</v>
      </c>
      <c r="AY39" s="73">
        <f>+AX39/G39</f>
        <v>1</v>
      </c>
    </row>
    <row r="40" spans="1:51" ht="39.75" customHeight="1" thickTop="1" thickBot="1">
      <c r="A40" s="2843" t="s">
        <v>154</v>
      </c>
      <c r="B40" s="2843"/>
      <c r="C40" s="2843"/>
      <c r="D40" s="2843"/>
      <c r="E40" s="2843"/>
      <c r="F40" s="2843"/>
      <c r="G40" s="2843"/>
      <c r="H40" s="2843"/>
      <c r="I40" s="2843"/>
      <c r="J40" s="2843"/>
      <c r="K40" s="2843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1"/>
      <c r="AY40" s="201"/>
    </row>
    <row r="41" spans="1:51" ht="39.75" customHeight="1" thickTop="1" thickBot="1">
      <c r="A41" s="202" t="s">
        <v>155</v>
      </c>
      <c r="B41" s="97" t="s">
        <v>156</v>
      </c>
      <c r="C41" s="74" t="s">
        <v>157</v>
      </c>
      <c r="D41" s="111" t="s">
        <v>158</v>
      </c>
      <c r="E41" s="74" t="s">
        <v>159</v>
      </c>
      <c r="F41" s="74" t="s">
        <v>265</v>
      </c>
      <c r="G41" s="938">
        <v>14</v>
      </c>
      <c r="H41" s="99">
        <v>10</v>
      </c>
      <c r="I41" s="204"/>
      <c r="J41" s="204"/>
      <c r="K41" s="25" t="s">
        <v>27</v>
      </c>
      <c r="L41" s="205"/>
      <c r="M41" s="206"/>
      <c r="N41" s="19" t="e">
        <f t="shared" ref="N41" si="26">+M41/L41</f>
        <v>#DIV/0!</v>
      </c>
      <c r="O41" s="205"/>
      <c r="P41" s="206"/>
      <c r="Q41" s="19" t="e">
        <f t="shared" ref="Q41" si="27">+P41/O41</f>
        <v>#DIV/0!</v>
      </c>
      <c r="R41" s="205"/>
      <c r="S41" s="206"/>
      <c r="T41" s="19" t="e">
        <f t="shared" ref="T41" si="28">+S41/R41</f>
        <v>#DIV/0!</v>
      </c>
      <c r="U41" s="205"/>
      <c r="V41" s="206"/>
      <c r="W41" s="19" t="e">
        <f t="shared" ref="W41" si="29">+V41/U41</f>
        <v>#DIV/0!</v>
      </c>
      <c r="X41" s="205">
        <v>2</v>
      </c>
      <c r="Y41" s="206">
        <v>2</v>
      </c>
      <c r="Z41" s="73">
        <f t="shared" ref="Z41" si="30">+Y41/X41</f>
        <v>1</v>
      </c>
      <c r="AA41" s="205"/>
      <c r="AB41" s="206"/>
      <c r="AC41" s="19" t="e">
        <f t="shared" ref="AC41" si="31">+AB41/AA41</f>
        <v>#DIV/0!</v>
      </c>
      <c r="AD41" s="207">
        <f>+Y41</f>
        <v>2</v>
      </c>
      <c r="AE41" s="73">
        <f t="shared" si="19"/>
        <v>0.14285714285714285</v>
      </c>
      <c r="AF41" s="205">
        <v>2</v>
      </c>
      <c r="AG41" s="206">
        <v>2</v>
      </c>
      <c r="AH41" s="73">
        <f t="shared" ref="AH41" si="32">+AG41/AF41</f>
        <v>1</v>
      </c>
      <c r="AI41" s="205">
        <v>3</v>
      </c>
      <c r="AJ41" s="206">
        <v>3</v>
      </c>
      <c r="AK41" s="73">
        <f t="shared" si="21"/>
        <v>1</v>
      </c>
      <c r="AL41" s="205">
        <v>3</v>
      </c>
      <c r="AM41" s="206">
        <v>3</v>
      </c>
      <c r="AN41" s="73">
        <f t="shared" ref="AN41" si="33">+AM41/AL41</f>
        <v>1</v>
      </c>
      <c r="AO41" s="205">
        <v>4</v>
      </c>
      <c r="AP41" s="206">
        <v>4</v>
      </c>
      <c r="AQ41" s="73">
        <f t="shared" ref="AQ41" si="34">+AP41/AO41</f>
        <v>1</v>
      </c>
      <c r="AR41" s="205"/>
      <c r="AS41" s="206"/>
      <c r="AT41" s="19" t="e">
        <f t="shared" ref="AT41" si="35">+AS41/AR41</f>
        <v>#DIV/0!</v>
      </c>
      <c r="AU41" s="205"/>
      <c r="AV41" s="206"/>
      <c r="AW41" s="19" t="e">
        <f t="shared" ref="AW41" si="36">+AV41/AU41</f>
        <v>#DIV/0!</v>
      </c>
      <c r="AX41" s="209">
        <f>+AP41+AM41+AJ41+AG41+Y41</f>
        <v>14</v>
      </c>
      <c r="AY41" s="73">
        <f>+AX41/G41</f>
        <v>1</v>
      </c>
    </row>
    <row r="42" spans="1:51" ht="39.75" customHeight="1" thickTop="1">
      <c r="AY42" s="939"/>
    </row>
    <row r="43" spans="1:51" ht="39.75" customHeight="1"/>
    <row r="44" spans="1:51" ht="39.75" customHeight="1"/>
    <row r="45" spans="1:51" ht="39.75" customHeight="1"/>
    <row r="46" spans="1:51" ht="39.75" customHeight="1"/>
    <row r="47" spans="1:51" ht="39.75" customHeight="1"/>
    <row r="48" spans="1:51" ht="39.75" customHeight="1"/>
    <row r="49" ht="39.75" customHeight="1"/>
    <row r="50" ht="35.25" customHeight="1"/>
    <row r="51" ht="35.25" customHeight="1"/>
    <row r="52" ht="35.25" customHeight="1"/>
  </sheetData>
  <sheetProtection algorithmName="SHA-512" hashValue="w73xJdUZ+KjgLbzgxXVFJZPIgAchhYGWJY68+Dz0smIKpfD8HgLy84hHuZoFrJzG+AHM44kOFlH4U7inCXIqRg==" saltValue="BUY+ltuu5MthVjHWBtQZNw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32:E33" name="Rango1"/>
  </protectedRanges>
  <mergeCells count="41">
    <mergeCell ref="A37:K37"/>
    <mergeCell ref="A38:A39"/>
    <mergeCell ref="B38:B39"/>
    <mergeCell ref="C38:C39"/>
    <mergeCell ref="A40:K40"/>
    <mergeCell ref="A9:A36"/>
    <mergeCell ref="B9:B10"/>
    <mergeCell ref="B11:B28"/>
    <mergeCell ref="C11:C16"/>
    <mergeCell ref="C17:C19"/>
    <mergeCell ref="C22:C28"/>
    <mergeCell ref="B29:B36"/>
    <mergeCell ref="C32:C36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AE11:AE36 AE38:AE39">
    <cfRule type="cellIs" dxfId="8524" priority="216" operator="greaterThan">
      <formula>110%</formula>
    </cfRule>
    <cfRule type="cellIs" dxfId="8523" priority="217" operator="between">
      <formula>100.001%</formula>
      <formula>110%</formula>
    </cfRule>
    <cfRule type="cellIs" dxfId="8522" priority="218" operator="between">
      <formula>70.001%</formula>
      <formula>100%</formula>
    </cfRule>
    <cfRule type="cellIs" dxfId="8521" priority="219" operator="between">
      <formula>0.00001%</formula>
      <formula>70%</formula>
    </cfRule>
    <cfRule type="cellIs" dxfId="8520" priority="220" operator="equal">
      <formula>0</formula>
    </cfRule>
  </conditionalFormatting>
  <conditionalFormatting sqref="AY11:AY36 AY38:AY39">
    <cfRule type="cellIs" dxfId="8519" priority="211" operator="greaterThan">
      <formula>110%</formula>
    </cfRule>
    <cfRule type="cellIs" dxfId="8518" priority="212" operator="between">
      <formula>100.001%</formula>
      <formula>110%</formula>
    </cfRule>
    <cfRule type="cellIs" dxfId="8517" priority="213" operator="between">
      <formula>70.001%</formula>
      <formula>100%</formula>
    </cfRule>
    <cfRule type="cellIs" dxfId="8516" priority="214" operator="between">
      <formula>0.00001%</formula>
      <formula>70%</formula>
    </cfRule>
    <cfRule type="cellIs" dxfId="8515" priority="215" operator="equal">
      <formula>0</formula>
    </cfRule>
  </conditionalFormatting>
  <conditionalFormatting sqref="N11:N36 N38:N39">
    <cfRule type="cellIs" dxfId="8514" priority="206" operator="greaterThan">
      <formula>110%</formula>
    </cfRule>
    <cfRule type="cellIs" dxfId="8513" priority="207" operator="between">
      <formula>100.001%</formula>
      <formula>110%</formula>
    </cfRule>
    <cfRule type="cellIs" dxfId="8512" priority="208" operator="between">
      <formula>70.001%</formula>
      <formula>100%</formula>
    </cfRule>
    <cfRule type="cellIs" dxfId="8511" priority="209" operator="between">
      <formula>0.00001%</formula>
      <formula>70%</formula>
    </cfRule>
    <cfRule type="cellIs" dxfId="8510" priority="210" operator="equal">
      <formula>0</formula>
    </cfRule>
  </conditionalFormatting>
  <conditionalFormatting sqref="Q11:Q36 Q38:Q39">
    <cfRule type="cellIs" dxfId="8509" priority="201" operator="greaterThan">
      <formula>110%</formula>
    </cfRule>
    <cfRule type="cellIs" dxfId="8508" priority="202" operator="between">
      <formula>100.001%</formula>
      <formula>110%</formula>
    </cfRule>
    <cfRule type="cellIs" dxfId="8507" priority="203" operator="between">
      <formula>70.001%</formula>
      <formula>100%</formula>
    </cfRule>
    <cfRule type="cellIs" dxfId="8506" priority="204" operator="between">
      <formula>0.00001%</formula>
      <formula>70%</formula>
    </cfRule>
    <cfRule type="cellIs" dxfId="8505" priority="205" operator="equal">
      <formula>0</formula>
    </cfRule>
  </conditionalFormatting>
  <conditionalFormatting sqref="T11:T36 T38:T39">
    <cfRule type="cellIs" dxfId="8504" priority="196" operator="greaterThan">
      <formula>110%</formula>
    </cfRule>
    <cfRule type="cellIs" dxfId="8503" priority="197" operator="between">
      <formula>100.001%</formula>
      <formula>110%</formula>
    </cfRule>
    <cfRule type="cellIs" dxfId="8502" priority="198" operator="between">
      <formula>70.001%</formula>
      <formula>100%</formula>
    </cfRule>
    <cfRule type="cellIs" dxfId="8501" priority="199" operator="between">
      <formula>0.00001%</formula>
      <formula>70%</formula>
    </cfRule>
    <cfRule type="cellIs" dxfId="8500" priority="200" operator="equal">
      <formula>0</formula>
    </cfRule>
  </conditionalFormatting>
  <conditionalFormatting sqref="W11:W36 W38:W39">
    <cfRule type="cellIs" dxfId="8499" priority="191" operator="greaterThan">
      <formula>110%</formula>
    </cfRule>
    <cfRule type="cellIs" dxfId="8498" priority="192" operator="between">
      <formula>100.001%</formula>
      <formula>110%</formula>
    </cfRule>
    <cfRule type="cellIs" dxfId="8497" priority="193" operator="between">
      <formula>70.001%</formula>
      <formula>100%</formula>
    </cfRule>
    <cfRule type="cellIs" dxfId="8496" priority="194" operator="between">
      <formula>0.00001%</formula>
      <formula>70%</formula>
    </cfRule>
    <cfRule type="cellIs" dxfId="8495" priority="195" operator="equal">
      <formula>0</formula>
    </cfRule>
  </conditionalFormatting>
  <conditionalFormatting sqref="Z11:Z36 Z38:Z39">
    <cfRule type="cellIs" dxfId="8494" priority="186" operator="greaterThan">
      <formula>110%</formula>
    </cfRule>
    <cfRule type="cellIs" dxfId="8493" priority="187" operator="between">
      <formula>100.001%</formula>
      <formula>110%</formula>
    </cfRule>
    <cfRule type="cellIs" dxfId="8492" priority="188" operator="between">
      <formula>70.001%</formula>
      <formula>100%</formula>
    </cfRule>
    <cfRule type="cellIs" dxfId="8491" priority="189" operator="between">
      <formula>0.00001%</formula>
      <formula>70%</formula>
    </cfRule>
    <cfRule type="cellIs" dxfId="8490" priority="190" operator="equal">
      <formula>0</formula>
    </cfRule>
  </conditionalFormatting>
  <conditionalFormatting sqref="AC11:AC36 AC38:AC39">
    <cfRule type="cellIs" dxfId="8489" priority="181" operator="greaterThan">
      <formula>110%</formula>
    </cfRule>
    <cfRule type="cellIs" dxfId="8488" priority="182" operator="between">
      <formula>100.001%</formula>
      <formula>110%</formula>
    </cfRule>
    <cfRule type="cellIs" dxfId="8487" priority="183" operator="between">
      <formula>70.001%</formula>
      <formula>100%</formula>
    </cfRule>
    <cfRule type="cellIs" dxfId="8486" priority="184" operator="between">
      <formula>0.00001%</formula>
      <formula>70%</formula>
    </cfRule>
    <cfRule type="cellIs" dxfId="8485" priority="185" operator="equal">
      <formula>0</formula>
    </cfRule>
  </conditionalFormatting>
  <conditionalFormatting sqref="AH11:AH36 AH38:AH39">
    <cfRule type="cellIs" dxfId="8484" priority="176" operator="greaterThan">
      <formula>110%</formula>
    </cfRule>
    <cfRule type="cellIs" dxfId="8483" priority="177" operator="between">
      <formula>100.001%</formula>
      <formula>110%</formula>
    </cfRule>
    <cfRule type="cellIs" dxfId="8482" priority="178" operator="between">
      <formula>70.001%</formula>
      <formula>100%</formula>
    </cfRule>
    <cfRule type="cellIs" dxfId="8481" priority="179" operator="between">
      <formula>0.00001%</formula>
      <formula>70%</formula>
    </cfRule>
    <cfRule type="cellIs" dxfId="8480" priority="180" operator="equal">
      <formula>0</formula>
    </cfRule>
  </conditionalFormatting>
  <conditionalFormatting sqref="AK11:AK36 AK38:AK39">
    <cfRule type="cellIs" dxfId="8479" priority="171" operator="greaterThan">
      <formula>110%</formula>
    </cfRule>
    <cfRule type="cellIs" dxfId="8478" priority="172" operator="between">
      <formula>100.001%</formula>
      <formula>110%</formula>
    </cfRule>
    <cfRule type="cellIs" dxfId="8477" priority="173" operator="between">
      <formula>70.001%</formula>
      <formula>100%</formula>
    </cfRule>
    <cfRule type="cellIs" dxfId="8476" priority="174" operator="between">
      <formula>0.00001%</formula>
      <formula>70%</formula>
    </cfRule>
    <cfRule type="cellIs" dxfId="8475" priority="175" operator="equal">
      <formula>0</formula>
    </cfRule>
  </conditionalFormatting>
  <conditionalFormatting sqref="AN11:AN36 AN38:AN39">
    <cfRule type="cellIs" dxfId="8474" priority="166" operator="greaterThan">
      <formula>110%</formula>
    </cfRule>
    <cfRule type="cellIs" dxfId="8473" priority="167" operator="between">
      <formula>100.001%</formula>
      <formula>110%</formula>
    </cfRule>
    <cfRule type="cellIs" dxfId="8472" priority="168" operator="between">
      <formula>70.001%</formula>
      <formula>100%</formula>
    </cfRule>
    <cfRule type="cellIs" dxfId="8471" priority="169" operator="between">
      <formula>0.00001%</formula>
      <formula>70%</formula>
    </cfRule>
    <cfRule type="cellIs" dxfId="8470" priority="170" operator="equal">
      <formula>0</formula>
    </cfRule>
  </conditionalFormatting>
  <conditionalFormatting sqref="AQ11:AQ36 AQ38:AQ39">
    <cfRule type="cellIs" dxfId="8469" priority="161" operator="greaterThan">
      <formula>110%</formula>
    </cfRule>
    <cfRule type="cellIs" dxfId="8468" priority="162" operator="between">
      <formula>100.001%</formula>
      <formula>110%</formula>
    </cfRule>
    <cfRule type="cellIs" dxfId="8467" priority="163" operator="between">
      <formula>70.001%</formula>
      <formula>100%</formula>
    </cfRule>
    <cfRule type="cellIs" dxfId="8466" priority="164" operator="between">
      <formula>0.00001%</formula>
      <formula>70%</formula>
    </cfRule>
    <cfRule type="cellIs" dxfId="8465" priority="165" operator="equal">
      <formula>0</formula>
    </cfRule>
  </conditionalFormatting>
  <conditionalFormatting sqref="AT11:AT36 AT38:AT39">
    <cfRule type="cellIs" dxfId="8464" priority="156" operator="greaterThan">
      <formula>110%</formula>
    </cfRule>
    <cfRule type="cellIs" dxfId="8463" priority="157" operator="between">
      <formula>100.001%</formula>
      <formula>110%</formula>
    </cfRule>
    <cfRule type="cellIs" dxfId="8462" priority="158" operator="between">
      <formula>70.001%</formula>
      <formula>100%</formula>
    </cfRule>
    <cfRule type="cellIs" dxfId="8461" priority="159" operator="between">
      <formula>0.00001%</formula>
      <formula>70%</formula>
    </cfRule>
    <cfRule type="cellIs" dxfId="8460" priority="160" operator="equal">
      <formula>0</formula>
    </cfRule>
  </conditionalFormatting>
  <conditionalFormatting sqref="AW11:AW36 AW38:AW39">
    <cfRule type="cellIs" dxfId="8459" priority="151" operator="greaterThan">
      <formula>110%</formula>
    </cfRule>
    <cfRule type="cellIs" dxfId="8458" priority="152" operator="between">
      <formula>100.001%</formula>
      <formula>110%</formula>
    </cfRule>
    <cfRule type="cellIs" dxfId="8457" priority="153" operator="between">
      <formula>70.001%</formula>
      <formula>100%</formula>
    </cfRule>
    <cfRule type="cellIs" dxfId="8456" priority="154" operator="between">
      <formula>0.00001%</formula>
      <formula>70%</formula>
    </cfRule>
    <cfRule type="cellIs" dxfId="8455" priority="155" operator="equal">
      <formula>0</formula>
    </cfRule>
  </conditionalFormatting>
  <conditionalFormatting sqref="AY9:AY10">
    <cfRule type="cellIs" dxfId="8454" priority="146" operator="greaterThan">
      <formula>110%</formula>
    </cfRule>
    <cfRule type="cellIs" dxfId="8453" priority="147" operator="between">
      <formula>100.001%</formula>
      <formula>110%</formula>
    </cfRule>
    <cfRule type="cellIs" dxfId="8452" priority="148" operator="between">
      <formula>70.001%</formula>
      <formula>100%</formula>
    </cfRule>
    <cfRule type="cellIs" dxfId="8451" priority="149" operator="between">
      <formula>0.00001%</formula>
      <formula>70%</formula>
    </cfRule>
    <cfRule type="cellIs" dxfId="8450" priority="150" operator="equal">
      <formula>0</formula>
    </cfRule>
  </conditionalFormatting>
  <conditionalFormatting sqref="AW9:AW10">
    <cfRule type="cellIs" dxfId="8449" priority="141" operator="greaterThan">
      <formula>110%</formula>
    </cfRule>
    <cfRule type="cellIs" dxfId="8448" priority="142" operator="between">
      <formula>100.001%</formula>
      <formula>110%</formula>
    </cfRule>
    <cfRule type="cellIs" dxfId="8447" priority="143" operator="between">
      <formula>70.001%</formula>
      <formula>100%</formula>
    </cfRule>
    <cfRule type="cellIs" dxfId="8446" priority="144" operator="between">
      <formula>0.00001%</formula>
      <formula>70%</formula>
    </cfRule>
    <cfRule type="cellIs" dxfId="8445" priority="145" operator="equal">
      <formula>0</formula>
    </cfRule>
  </conditionalFormatting>
  <conditionalFormatting sqref="N41">
    <cfRule type="cellIs" dxfId="8444" priority="136" operator="greaterThan">
      <formula>110%</formula>
    </cfRule>
    <cfRule type="cellIs" dxfId="8443" priority="137" operator="between">
      <formula>100.001%</formula>
      <formula>110%</formula>
    </cfRule>
    <cfRule type="cellIs" dxfId="8442" priority="138" operator="between">
      <formula>70.001%</formula>
      <formula>100%</formula>
    </cfRule>
    <cfRule type="cellIs" dxfId="8441" priority="139" operator="between">
      <formula>0.00001%</formula>
      <formula>70%</formula>
    </cfRule>
    <cfRule type="cellIs" dxfId="8440" priority="140" operator="equal">
      <formula>0</formula>
    </cfRule>
  </conditionalFormatting>
  <conditionalFormatting sqref="Q41">
    <cfRule type="cellIs" dxfId="8439" priority="131" operator="greaterThan">
      <formula>110%</formula>
    </cfRule>
    <cfRule type="cellIs" dxfId="8438" priority="132" operator="between">
      <formula>100.001%</formula>
      <formula>110%</formula>
    </cfRule>
    <cfRule type="cellIs" dxfId="8437" priority="133" operator="between">
      <formula>70.001%</formula>
      <formula>100%</formula>
    </cfRule>
    <cfRule type="cellIs" dxfId="8436" priority="134" operator="between">
      <formula>0.00001%</formula>
      <formula>70%</formula>
    </cfRule>
    <cfRule type="cellIs" dxfId="8435" priority="135" operator="equal">
      <formula>0</formula>
    </cfRule>
  </conditionalFormatting>
  <conditionalFormatting sqref="T41">
    <cfRule type="cellIs" dxfId="8434" priority="126" operator="greaterThan">
      <formula>110%</formula>
    </cfRule>
    <cfRule type="cellIs" dxfId="8433" priority="127" operator="between">
      <formula>100.001%</formula>
      <formula>110%</formula>
    </cfRule>
    <cfRule type="cellIs" dxfId="8432" priority="128" operator="between">
      <formula>70.001%</formula>
      <formula>100%</formula>
    </cfRule>
    <cfRule type="cellIs" dxfId="8431" priority="129" operator="between">
      <formula>0.00001%</formula>
      <formula>70%</formula>
    </cfRule>
    <cfRule type="cellIs" dxfId="8430" priority="130" operator="equal">
      <formula>0</formula>
    </cfRule>
  </conditionalFormatting>
  <conditionalFormatting sqref="W41">
    <cfRule type="cellIs" dxfId="8429" priority="121" operator="greaterThan">
      <formula>110%</formula>
    </cfRule>
    <cfRule type="cellIs" dxfId="8428" priority="122" operator="between">
      <formula>100.001%</formula>
      <formula>110%</formula>
    </cfRule>
    <cfRule type="cellIs" dxfId="8427" priority="123" operator="between">
      <formula>70.001%</formula>
      <formula>100%</formula>
    </cfRule>
    <cfRule type="cellIs" dxfId="8426" priority="124" operator="between">
      <formula>0.00001%</formula>
      <formula>70%</formula>
    </cfRule>
    <cfRule type="cellIs" dxfId="8425" priority="125" operator="equal">
      <formula>0</formula>
    </cfRule>
  </conditionalFormatting>
  <conditionalFormatting sqref="AC41">
    <cfRule type="cellIs" dxfId="8424" priority="116" operator="greaterThan">
      <formula>110%</formula>
    </cfRule>
    <cfRule type="cellIs" dxfId="8423" priority="117" operator="between">
      <formula>100.001%</formula>
      <formula>110%</formula>
    </cfRule>
    <cfRule type="cellIs" dxfId="8422" priority="118" operator="between">
      <formula>70.001%</formula>
      <formula>100%</formula>
    </cfRule>
    <cfRule type="cellIs" dxfId="8421" priority="119" operator="between">
      <formula>0.00001%</formula>
      <formula>70%</formula>
    </cfRule>
    <cfRule type="cellIs" dxfId="8420" priority="120" operator="equal">
      <formula>0</formula>
    </cfRule>
  </conditionalFormatting>
  <conditionalFormatting sqref="AT41">
    <cfRule type="cellIs" dxfId="8419" priority="111" operator="greaterThan">
      <formula>110%</formula>
    </cfRule>
    <cfRule type="cellIs" dxfId="8418" priority="112" operator="between">
      <formula>100.001%</formula>
      <formula>110%</formula>
    </cfRule>
    <cfRule type="cellIs" dxfId="8417" priority="113" operator="between">
      <formula>70.001%</formula>
      <formula>100%</formula>
    </cfRule>
    <cfRule type="cellIs" dxfId="8416" priority="114" operator="between">
      <formula>0.00001%</formula>
      <formula>70%</formula>
    </cfRule>
    <cfRule type="cellIs" dxfId="8415" priority="115" operator="equal">
      <formula>0</formula>
    </cfRule>
  </conditionalFormatting>
  <conditionalFormatting sqref="AW41">
    <cfRule type="cellIs" dxfId="8414" priority="106" operator="greaterThan">
      <formula>110%</formula>
    </cfRule>
    <cfRule type="cellIs" dxfId="8413" priority="107" operator="between">
      <formula>100.001%</formula>
      <formula>110%</formula>
    </cfRule>
    <cfRule type="cellIs" dxfId="8412" priority="108" operator="between">
      <formula>70.001%</formula>
      <formula>100%</formula>
    </cfRule>
    <cfRule type="cellIs" dxfId="8411" priority="109" operator="between">
      <formula>0.00001%</formula>
      <formula>70%</formula>
    </cfRule>
    <cfRule type="cellIs" dxfId="8410" priority="110" operator="equal">
      <formula>0</formula>
    </cfRule>
  </conditionalFormatting>
  <conditionalFormatting sqref="AK41">
    <cfRule type="cellIs" dxfId="8409" priority="101" operator="greaterThan">
      <formula>110%</formula>
    </cfRule>
    <cfRule type="cellIs" dxfId="8408" priority="102" operator="between">
      <formula>100.001%</formula>
      <formula>110%</formula>
    </cfRule>
    <cfRule type="cellIs" dxfId="8407" priority="103" operator="between">
      <formula>70.001%</formula>
      <formula>100%</formula>
    </cfRule>
    <cfRule type="cellIs" dxfId="8406" priority="104" operator="between">
      <formula>0.00001%</formula>
      <formula>70%</formula>
    </cfRule>
    <cfRule type="cellIs" dxfId="8405" priority="105" operator="equal">
      <formula>0</formula>
    </cfRule>
  </conditionalFormatting>
  <conditionalFormatting sqref="AH41">
    <cfRule type="cellIs" dxfId="8404" priority="96" operator="greaterThan">
      <formula>110%</formula>
    </cfRule>
    <cfRule type="cellIs" dxfId="8403" priority="97" operator="between">
      <formula>100.001%</formula>
      <formula>110%</formula>
    </cfRule>
    <cfRule type="cellIs" dxfId="8402" priority="98" operator="between">
      <formula>70.001%</formula>
      <formula>100%</formula>
    </cfRule>
    <cfRule type="cellIs" dxfId="8401" priority="99" operator="between">
      <formula>0.00001%</formula>
      <formula>70%</formula>
    </cfRule>
    <cfRule type="cellIs" dxfId="8400" priority="100" operator="equal">
      <formula>0</formula>
    </cfRule>
  </conditionalFormatting>
  <conditionalFormatting sqref="Z41">
    <cfRule type="cellIs" dxfId="8399" priority="91" operator="greaterThan">
      <formula>110%</formula>
    </cfRule>
    <cfRule type="cellIs" dxfId="8398" priority="92" operator="between">
      <formula>100.001%</formula>
      <formula>110%</formula>
    </cfRule>
    <cfRule type="cellIs" dxfId="8397" priority="93" operator="between">
      <formula>70.001%</formula>
      <formula>100%</formula>
    </cfRule>
    <cfRule type="cellIs" dxfId="8396" priority="94" operator="between">
      <formula>0.00001%</formula>
      <formula>70%</formula>
    </cfRule>
    <cfRule type="cellIs" dxfId="8395" priority="95" operator="equal">
      <formula>0</formula>
    </cfRule>
  </conditionalFormatting>
  <conditionalFormatting sqref="AN41">
    <cfRule type="cellIs" dxfId="8394" priority="86" operator="greaterThan">
      <formula>110%</formula>
    </cfRule>
    <cfRule type="cellIs" dxfId="8393" priority="87" operator="between">
      <formula>100.001%</formula>
      <formula>110%</formula>
    </cfRule>
    <cfRule type="cellIs" dxfId="8392" priority="88" operator="between">
      <formula>70.001%</formula>
      <formula>100%</formula>
    </cfRule>
    <cfRule type="cellIs" dxfId="8391" priority="89" operator="between">
      <formula>0.00001%</formula>
      <formula>70%</formula>
    </cfRule>
    <cfRule type="cellIs" dxfId="8390" priority="90" operator="equal">
      <formula>0</formula>
    </cfRule>
  </conditionalFormatting>
  <conditionalFormatting sqref="AQ41">
    <cfRule type="cellIs" dxfId="8389" priority="81" operator="greaterThan">
      <formula>110%</formula>
    </cfRule>
    <cfRule type="cellIs" dxfId="8388" priority="82" operator="between">
      <formula>100.001%</formula>
      <formula>110%</formula>
    </cfRule>
    <cfRule type="cellIs" dxfId="8387" priority="83" operator="between">
      <formula>70.001%</formula>
      <formula>100%</formula>
    </cfRule>
    <cfRule type="cellIs" dxfId="8386" priority="84" operator="between">
      <formula>0.00001%</formula>
      <formula>70%</formula>
    </cfRule>
    <cfRule type="cellIs" dxfId="8385" priority="85" operator="equal">
      <formula>0</formula>
    </cfRule>
  </conditionalFormatting>
  <conditionalFormatting sqref="AY41">
    <cfRule type="cellIs" dxfId="8384" priority="76" operator="greaterThan">
      <formula>110%</formula>
    </cfRule>
    <cfRule type="cellIs" dxfId="8383" priority="77" operator="between">
      <formula>100.001%</formula>
      <formula>110%</formula>
    </cfRule>
    <cfRule type="cellIs" dxfId="8382" priority="78" operator="between">
      <formula>70.001%</formula>
      <formula>100%</formula>
    </cfRule>
    <cfRule type="cellIs" dxfId="8381" priority="79" operator="between">
      <formula>0.00001%</formula>
      <formula>70%</formula>
    </cfRule>
    <cfRule type="cellIs" dxfId="8380" priority="80" operator="equal">
      <formula>0</formula>
    </cfRule>
  </conditionalFormatting>
  <conditionalFormatting sqref="AE41">
    <cfRule type="cellIs" dxfId="8379" priority="71" operator="greaterThan">
      <formula>110%</formula>
    </cfRule>
    <cfRule type="cellIs" dxfId="8378" priority="72" operator="between">
      <formula>100.001%</formula>
      <formula>110%</formula>
    </cfRule>
    <cfRule type="cellIs" dxfId="8377" priority="73" operator="between">
      <formula>70.001%</formula>
      <formula>100%</formula>
    </cfRule>
    <cfRule type="cellIs" dxfId="8376" priority="74" operator="between">
      <formula>0.00001%</formula>
      <formula>70%</formula>
    </cfRule>
    <cfRule type="cellIs" dxfId="8375" priority="75" operator="equal">
      <formula>0</formula>
    </cfRule>
  </conditionalFormatting>
  <conditionalFormatting sqref="AT9">
    <cfRule type="cellIs" dxfId="8374" priority="66" operator="greaterThan">
      <formula>110%</formula>
    </cfRule>
    <cfRule type="cellIs" dxfId="8373" priority="67" operator="between">
      <formula>100.001%</formula>
      <formula>110%</formula>
    </cfRule>
    <cfRule type="cellIs" dxfId="8372" priority="68" operator="between">
      <formula>70.001%</formula>
      <formula>100%</formula>
    </cfRule>
    <cfRule type="cellIs" dxfId="8371" priority="69" operator="between">
      <formula>0.00001%</formula>
      <formula>70%</formula>
    </cfRule>
    <cfRule type="cellIs" dxfId="8370" priority="70" operator="equal">
      <formula>0</formula>
    </cfRule>
  </conditionalFormatting>
  <conditionalFormatting sqref="AT10">
    <cfRule type="cellIs" dxfId="8369" priority="61" operator="greaterThan">
      <formula>110%</formula>
    </cfRule>
    <cfRule type="cellIs" dxfId="8368" priority="62" operator="between">
      <formula>100.001%</formula>
      <formula>110%</formula>
    </cfRule>
    <cfRule type="cellIs" dxfId="8367" priority="63" operator="between">
      <formula>70.001%</formula>
      <formula>100%</formula>
    </cfRule>
    <cfRule type="cellIs" dxfId="8366" priority="64" operator="between">
      <formula>0.00001%</formula>
      <formula>70%</formula>
    </cfRule>
    <cfRule type="cellIs" dxfId="8365" priority="65" operator="equal">
      <formula>0</formula>
    </cfRule>
  </conditionalFormatting>
  <conditionalFormatting sqref="AQ9">
    <cfRule type="cellIs" dxfId="8364" priority="56" operator="greaterThan">
      <formula>110%</formula>
    </cfRule>
    <cfRule type="cellIs" dxfId="8363" priority="57" operator="between">
      <formula>100.001%</formula>
      <formula>110%</formula>
    </cfRule>
    <cfRule type="cellIs" dxfId="8362" priority="58" operator="between">
      <formula>70.001%</formula>
      <formula>100%</formula>
    </cfRule>
    <cfRule type="cellIs" dxfId="8361" priority="59" operator="between">
      <formula>0.00001%</formula>
      <formula>70%</formula>
    </cfRule>
    <cfRule type="cellIs" dxfId="8360" priority="60" operator="equal">
      <formula>0</formula>
    </cfRule>
  </conditionalFormatting>
  <conditionalFormatting sqref="AQ10">
    <cfRule type="cellIs" dxfId="8359" priority="51" operator="greaterThan">
      <formula>110%</formula>
    </cfRule>
    <cfRule type="cellIs" dxfId="8358" priority="52" operator="between">
      <formula>100.001%</formula>
      <formula>110%</formula>
    </cfRule>
    <cfRule type="cellIs" dxfId="8357" priority="53" operator="between">
      <formula>70.001%</formula>
      <formula>100%</formula>
    </cfRule>
    <cfRule type="cellIs" dxfId="8356" priority="54" operator="between">
      <formula>0.00001%</formula>
      <formula>70%</formula>
    </cfRule>
    <cfRule type="cellIs" dxfId="8355" priority="55" operator="equal">
      <formula>0</formula>
    </cfRule>
  </conditionalFormatting>
  <conditionalFormatting sqref="N9:N10">
    <cfRule type="cellIs" dxfId="8354" priority="46" operator="greaterThan">
      <formula>110%</formula>
    </cfRule>
    <cfRule type="cellIs" dxfId="8353" priority="47" operator="between">
      <formula>100.001%</formula>
      <formula>110%</formula>
    </cfRule>
    <cfRule type="cellIs" dxfId="8352" priority="48" operator="between">
      <formula>70.001%</formula>
      <formula>100%</formula>
    </cfRule>
    <cfRule type="cellIs" dxfId="8351" priority="49" operator="between">
      <formula>0.00001%</formula>
      <formula>70%</formula>
    </cfRule>
    <cfRule type="cellIs" dxfId="8350" priority="50" operator="equal">
      <formula>0</formula>
    </cfRule>
  </conditionalFormatting>
  <conditionalFormatting sqref="Q9:Q10">
    <cfRule type="cellIs" dxfId="8349" priority="41" operator="greaterThan">
      <formula>110%</formula>
    </cfRule>
    <cfRule type="cellIs" dxfId="8348" priority="42" operator="between">
      <formula>100.001%</formula>
      <formula>110%</formula>
    </cfRule>
    <cfRule type="cellIs" dxfId="8347" priority="43" operator="between">
      <formula>70.001%</formula>
      <formula>100%</formula>
    </cfRule>
    <cfRule type="cellIs" dxfId="8346" priority="44" operator="between">
      <formula>0.00001%</formula>
      <formula>70%</formula>
    </cfRule>
    <cfRule type="cellIs" dxfId="8345" priority="45" operator="equal">
      <formula>0</formula>
    </cfRule>
  </conditionalFormatting>
  <conditionalFormatting sqref="T9:T10">
    <cfRule type="cellIs" dxfId="8344" priority="36" operator="greaterThan">
      <formula>110%</formula>
    </cfRule>
    <cfRule type="cellIs" dxfId="8343" priority="37" operator="between">
      <formula>100.001%</formula>
      <formula>110%</formula>
    </cfRule>
    <cfRule type="cellIs" dxfId="8342" priority="38" operator="between">
      <formula>70.001%</formula>
      <formula>100%</formula>
    </cfRule>
    <cfRule type="cellIs" dxfId="8341" priority="39" operator="between">
      <formula>0.00001%</formula>
      <formula>70%</formula>
    </cfRule>
    <cfRule type="cellIs" dxfId="8340" priority="40" operator="equal">
      <formula>0</formula>
    </cfRule>
  </conditionalFormatting>
  <conditionalFormatting sqref="W9:W10">
    <cfRule type="cellIs" dxfId="8339" priority="31" operator="greaterThan">
      <formula>110%</formula>
    </cfRule>
    <cfRule type="cellIs" dxfId="8338" priority="32" operator="between">
      <formula>100.001%</formula>
      <formula>110%</formula>
    </cfRule>
    <cfRule type="cellIs" dxfId="8337" priority="33" operator="between">
      <formula>70.001%</formula>
      <formula>100%</formula>
    </cfRule>
    <cfRule type="cellIs" dxfId="8336" priority="34" operator="between">
      <formula>0.00001%</formula>
      <formula>70%</formula>
    </cfRule>
    <cfRule type="cellIs" dxfId="8335" priority="35" operator="equal">
      <formula>0</formula>
    </cfRule>
  </conditionalFormatting>
  <conditionalFormatting sqref="Z9:Z10">
    <cfRule type="cellIs" dxfId="8334" priority="26" operator="greaterThan">
      <formula>110%</formula>
    </cfRule>
    <cfRule type="cellIs" dxfId="8333" priority="27" operator="between">
      <formula>100.001%</formula>
      <formula>110%</formula>
    </cfRule>
    <cfRule type="cellIs" dxfId="8332" priority="28" operator="between">
      <formula>70.001%</formula>
      <formula>100%</formula>
    </cfRule>
    <cfRule type="cellIs" dxfId="8331" priority="29" operator="between">
      <formula>0.00001%</formula>
      <formula>70%</formula>
    </cfRule>
    <cfRule type="cellIs" dxfId="8330" priority="30" operator="equal">
      <formula>0</formula>
    </cfRule>
  </conditionalFormatting>
  <conditionalFormatting sqref="AC9:AC10">
    <cfRule type="cellIs" dxfId="8329" priority="21" operator="greaterThan">
      <formula>110%</formula>
    </cfRule>
    <cfRule type="cellIs" dxfId="8328" priority="22" operator="between">
      <formula>100.001%</formula>
      <formula>110%</formula>
    </cfRule>
    <cfRule type="cellIs" dxfId="8327" priority="23" operator="between">
      <formula>70.001%</formula>
      <formula>100%</formula>
    </cfRule>
    <cfRule type="cellIs" dxfId="8326" priority="24" operator="between">
      <formula>0.00001%</formula>
      <formula>70%</formula>
    </cfRule>
    <cfRule type="cellIs" dxfId="8325" priority="25" operator="equal">
      <formula>0</formula>
    </cfRule>
  </conditionalFormatting>
  <conditionalFormatting sqref="AE9:AE10">
    <cfRule type="cellIs" dxfId="8324" priority="16" operator="greaterThan">
      <formula>110%</formula>
    </cfRule>
    <cfRule type="cellIs" dxfId="8323" priority="17" operator="between">
      <formula>100.001%</formula>
      <formula>110%</formula>
    </cfRule>
    <cfRule type="cellIs" dxfId="8322" priority="18" operator="between">
      <formula>70.001%</formula>
      <formula>100%</formula>
    </cfRule>
    <cfRule type="cellIs" dxfId="8321" priority="19" operator="between">
      <formula>0.00001%</formula>
      <formula>70%</formula>
    </cfRule>
    <cfRule type="cellIs" dxfId="8320" priority="20" operator="equal">
      <formula>0</formula>
    </cfRule>
  </conditionalFormatting>
  <conditionalFormatting sqref="AH9:AH10">
    <cfRule type="cellIs" dxfId="8319" priority="11" operator="greaterThan">
      <formula>110%</formula>
    </cfRule>
    <cfRule type="cellIs" dxfId="8318" priority="12" operator="between">
      <formula>100.001%</formula>
      <formula>110%</formula>
    </cfRule>
    <cfRule type="cellIs" dxfId="8317" priority="13" operator="between">
      <formula>70.001%</formula>
      <formula>100%</formula>
    </cfRule>
    <cfRule type="cellIs" dxfId="8316" priority="14" operator="between">
      <formula>0.00001%</formula>
      <formula>70%</formula>
    </cfRule>
    <cfRule type="cellIs" dxfId="8315" priority="15" operator="equal">
      <formula>0</formula>
    </cfRule>
  </conditionalFormatting>
  <conditionalFormatting sqref="AK9:AK10">
    <cfRule type="cellIs" dxfId="8314" priority="6" operator="greaterThan">
      <formula>110%</formula>
    </cfRule>
    <cfRule type="cellIs" dxfId="8313" priority="7" operator="between">
      <formula>100.001%</formula>
      <formula>110%</formula>
    </cfRule>
    <cfRule type="cellIs" dxfId="8312" priority="8" operator="between">
      <formula>70.001%</formula>
      <formula>100%</formula>
    </cfRule>
    <cfRule type="cellIs" dxfId="8311" priority="9" operator="between">
      <formula>0.00001%</formula>
      <formula>70%</formula>
    </cfRule>
    <cfRule type="cellIs" dxfId="8310" priority="10" operator="equal">
      <formula>0</formula>
    </cfRule>
  </conditionalFormatting>
  <conditionalFormatting sqref="AN9:AN10">
    <cfRule type="cellIs" dxfId="8309" priority="1" operator="greaterThan">
      <formula>110%</formula>
    </cfRule>
    <cfRule type="cellIs" dxfId="8308" priority="2" operator="between">
      <formula>100.001%</formula>
      <formula>110%</formula>
    </cfRule>
    <cfRule type="cellIs" dxfId="8307" priority="3" operator="between">
      <formula>70.001%</formula>
      <formula>100%</formula>
    </cfRule>
    <cfRule type="cellIs" dxfId="8306" priority="4" operator="between">
      <formula>0.00001%</formula>
      <formula>70%</formula>
    </cfRule>
    <cfRule type="cellIs" dxfId="8305" priority="5" operator="equal">
      <formula>0</formula>
    </cfRule>
  </conditionalFormatting>
  <hyperlinks>
    <hyperlink ref="D11" location="'FIS-5'!A1" display="FIS-5 Gestión efectiva de Fiscalización Aduanera" xr:uid="{00000000-0004-0000-0C00-000000000000}"/>
    <hyperlink ref="D12" location="'FIS-7'!A1" display="FIS-7 Gestión efectiva de Control Cambiario" xr:uid="{00000000-0004-0000-0C00-000001000000}"/>
    <hyperlink ref="D13" location="'FIS-8'!A1" display="FIS-8 Gestión aceptada de Fiscalización Aduanera (Recaudo)" xr:uid="{00000000-0004-0000-0C00-000002000000}"/>
    <hyperlink ref="D14" location="'FIS-9'!A1" display="FIS-9 Gestión aceptada de Fiscalización Aduanera (Resoluciones en firme)" xr:uid="{00000000-0004-0000-0C00-000003000000}"/>
    <hyperlink ref="D15" location="'FIS-11'!A1" display="FIS-11 Gestión aceptada cambiaria (Recaudo)" xr:uid="{00000000-0004-0000-0C00-000004000000}"/>
    <hyperlink ref="D16" location="'FIS-12'!A1" display="FIS-12 Gestión aceptada cambiaria (Resoluciones en firme)" xr:uid="{00000000-0004-0000-0C00-000005000000}"/>
    <hyperlink ref="D17" location="'FIS-16'!A1" display="FIS-16 Visitas de control a personas que hacen la venta y compra de divisas sin estar autorizados" xr:uid="{00000000-0004-0000-0C00-000006000000}"/>
    <hyperlink ref="D18" location="'FIS-15'!A1" display="FIS-15 Visitas de control a profesionales de cambio" xr:uid="{00000000-0004-0000-0C00-000007000000}"/>
    <hyperlink ref="D19" location="'FIS-18'!A1" display="FIS-18 Evacuación de expedientes en fiscalización cambiaria" xr:uid="{00000000-0004-0000-0C00-000008000000}"/>
    <hyperlink ref="D20" location="'FIS-21'!A1" display="FIS-21 Propuestas de Programas de control posterior de fiscalización  aduanera (Sanciones, LOC, LOR, Origen)" xr:uid="{00000000-0004-0000-0C00-000009000000}"/>
    <hyperlink ref="D21" location="'FIS-14'!A1" display="FIS-14 Propuestas acciones aduaneras de control posterior contra el contrabando técnico (Sanciones, LOC, LOR, origen)" xr:uid="{00000000-0004-0000-0C00-00000A000000}"/>
    <hyperlink ref="D22" location="'JUR-3.1'!A1" display="JUR-3.1 Porcentaje de éxito de litigiosidad" xr:uid="{00000000-0004-0000-0C00-00000B000000}"/>
    <hyperlink ref="D23" location="'JUR-3.2'!A1" display="JUR-3.2 Porcentaje procesos judiciales revisados con mayor riesgo en Ekogui" xr:uid="{00000000-0004-0000-0C00-00000C000000}"/>
    <hyperlink ref="D24" location="'JUR-3.3'!A1" display="JUR-3.3 Porcentaje de análisis de jurisprudencia remitidos junto con la copia de la sentencia " xr:uid="{00000000-0004-0000-0C00-00000D000000}"/>
    <hyperlink ref="D25" location="'JUR-3.4'!A1" display="JUR-3.4 Porcentaje de procesos revisados con VoBo del Jefe" xr:uid="{00000000-0004-0000-0C00-00000E000000}"/>
    <hyperlink ref="D26" location="'JUR-3.5'!A1" display="JUR-3.5 Porcentaje de requerimientos atendidos en oportunidad" xr:uid="{00000000-0004-0000-0C00-00000F000000}"/>
    <hyperlink ref="D27" location="'JUR-3.6'!Área_de_impresión" display="JUR-3.6 Porcentaje funcionarios capacitaciones en cursos virtuales de la ANDJE" xr:uid="{00000000-0004-0000-0C00-000010000000}"/>
    <hyperlink ref="D28" location="'JUR-4'!A1" display="JUR-4 Porcentaje de funcionarios que participaron en el concurso de escritura jurídica" xr:uid="{00000000-0004-0000-0C00-000011000000}"/>
    <hyperlink ref="D29" location="'POLFA-3'!A1" display="POLFA-3 Acciones de control de fiscalización contra el contrabando" xr:uid="{00000000-0004-0000-0C00-000012000000}"/>
    <hyperlink ref="D30" location="'FIS-24'!A1" display="FIS-24 Valor decomisos de mercancías en firme" xr:uid="{00000000-0004-0000-0C00-000013000000}"/>
    <hyperlink ref="D31" location="'FIS-33'!A1" display="FIS-33 Cantidad aprehensiones sectores de licores, cigarrillos, hidrocarburos y agropecuario" xr:uid="{00000000-0004-0000-0C00-000014000000}"/>
    <hyperlink ref="D34" location="'ADU-29'!A1" display="ADU-29 Eficacia en la toma de muestras de las mercancías presentadas e identificadas por posibles desviaciones de la clasificación arancelaria u otro tipo de incumplimiento de restricciones legales y administrativas, entre otras" xr:uid="{00000000-0004-0000-0C00-000015000000}"/>
    <hyperlink ref="D35" location="'ADU-30'!A1" display="ADU-30 Eficacia Visitas de verificación y control a los productores  y/o exportadores colombianos" xr:uid="{00000000-0004-0000-0C00-000016000000}"/>
    <hyperlink ref="D36" location="'ADU-31'!A1" display="ADU-31 Eficacia en la revisión de criterios de origen de los productos colombianos" xr:uid="{00000000-0004-0000-0C00-000017000000}"/>
    <hyperlink ref="D38" location="'POLFA-7'!A1" display="POLFA-7 Implementación programa zonas de comercio legal (Formalización)" xr:uid="{00000000-0004-0000-0C00-000018000000}"/>
    <hyperlink ref="D39" location="'POLFA-8'!A1" display="POLFA-8 Porcentaje de cumplimiento programa Semilleros de la legalidad" xr:uid="{00000000-0004-0000-0C00-000019000000}"/>
    <hyperlink ref="D9" location="'DGRAE-1'!A1" display="DGRAE-1 Nivel de Ejecución del presupuesto " xr:uid="{00000000-0004-0000-0C00-00001A000000}"/>
    <hyperlink ref="D10" location="'DGRAE-2'!A1" display="DGRAE-2 Nivel de ejecución del PAA de la Dirección" xr:uid="{00000000-0004-0000-0C00-00001B000000}"/>
    <hyperlink ref="D41" location="'DGRAE-25'!A1" display="DGRAE-25 Actividades que componen el  PIC para la Dirección de Gestión" xr:uid="{00000000-0004-0000-0C00-00001C000000}"/>
    <hyperlink ref="D32" location="'ADU-12'!A1" display="ADU-12  Efectividad en los Controles a los  usuarios de comercio - Visitas con hallazgos en usuarios visitados" xr:uid="{00000000-0004-0000-0C00-00001D000000}"/>
    <hyperlink ref="D33" location="'ADU-13'!A1" display="ADU-13 Efectividad en los Controles a los  usuarios de comercio - Hallazgos en visitas de usuarios no visitados anteriormente" xr:uid="{00000000-0004-0000-0C00-00001E000000}"/>
    <hyperlink ref="AZ5" location="'Consolidado '!A1" display="VOLVER" xr:uid="{00000000-0004-0000-0C00-00001F000000}"/>
  </hyperlink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Z48"/>
  <sheetViews>
    <sheetView tabSelected="1" zoomScale="70" zoomScaleNormal="70" workbookViewId="0">
      <selection activeCell="AZ4" sqref="AZ4"/>
    </sheetView>
  </sheetViews>
  <sheetFormatPr baseColWidth="10" defaultColWidth="11.42578125" defaultRowHeight="16.5"/>
  <cols>
    <col min="1" max="1" width="24.570312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7.28515625" style="8" customWidth="1"/>
    <col min="8" max="8" width="19.5703125" style="8" hidden="1" customWidth="1"/>
    <col min="9" max="9" width="10.7109375" style="8" hidden="1" customWidth="1"/>
    <col min="10" max="10" width="22.140625" style="8" hidden="1" customWidth="1"/>
    <col min="11" max="11" width="25.85546875" style="63" customWidth="1"/>
    <col min="12" max="13" width="23" style="8" hidden="1" customWidth="1"/>
    <col min="14" max="14" width="23" style="621" hidden="1" customWidth="1"/>
    <col min="15" max="16" width="23" style="8" hidden="1" customWidth="1"/>
    <col min="17" max="17" width="23" style="621" hidden="1" customWidth="1"/>
    <col min="18" max="19" width="23" style="8" hidden="1" customWidth="1"/>
    <col min="20" max="20" width="23" style="621" hidden="1" customWidth="1"/>
    <col min="21" max="22" width="23" style="8" hidden="1" customWidth="1"/>
    <col min="23" max="23" width="23" style="621" hidden="1" customWidth="1"/>
    <col min="24" max="25" width="23" style="8" hidden="1" customWidth="1"/>
    <col min="26" max="26" width="23" style="621" hidden="1" customWidth="1"/>
    <col min="27" max="28" width="23" style="8" hidden="1" customWidth="1"/>
    <col min="29" max="29" width="23" style="621" hidden="1" customWidth="1"/>
    <col min="30" max="30" width="23" style="8" hidden="1" customWidth="1"/>
    <col min="31" max="31" width="23" style="103" hidden="1" customWidth="1"/>
    <col min="32" max="33" width="23" style="8" hidden="1" customWidth="1"/>
    <col min="34" max="34" width="23" style="621" hidden="1" customWidth="1"/>
    <col min="35" max="36" width="23" style="8" hidden="1" customWidth="1"/>
    <col min="37" max="37" width="23" style="621" hidden="1" customWidth="1"/>
    <col min="38" max="39" width="23" style="8" hidden="1" customWidth="1"/>
    <col min="40" max="40" width="23" style="621" hidden="1" customWidth="1"/>
    <col min="41" max="42" width="23" style="8" hidden="1" customWidth="1"/>
    <col min="43" max="43" width="23" style="621" hidden="1" customWidth="1"/>
    <col min="44" max="45" width="23" style="8" hidden="1" customWidth="1"/>
    <col min="46" max="46" width="23" style="621" hidden="1" customWidth="1"/>
    <col min="47" max="48" width="23" style="8" hidden="1" customWidth="1"/>
    <col min="49" max="49" width="23" style="621" hidden="1" customWidth="1"/>
    <col min="50" max="50" width="23" style="210" customWidth="1"/>
    <col min="51" max="51" width="11.42578125" style="940" customWidth="1"/>
    <col min="52" max="1196" width="11.42578125" style="941"/>
    <col min="1197" max="16384" width="11.42578125" style="8"/>
  </cols>
  <sheetData>
    <row r="1" spans="1:1196" ht="29.25" customHeight="1">
      <c r="A1" s="101"/>
      <c r="B1" s="101"/>
      <c r="C1" s="2885" t="s">
        <v>476</v>
      </c>
      <c r="D1" s="2885"/>
      <c r="E1" s="2885"/>
      <c r="F1" s="2885"/>
      <c r="G1" s="2885"/>
      <c r="H1" s="2885"/>
      <c r="I1" s="2885"/>
      <c r="J1" s="2885"/>
      <c r="K1" s="2885"/>
    </row>
    <row r="2" spans="1:1196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</row>
    <row r="3" spans="1:1196">
      <c r="A3" s="107"/>
      <c r="B3" s="108"/>
      <c r="C3" s="2866" t="s">
        <v>477</v>
      </c>
      <c r="D3" s="2867"/>
      <c r="E3" s="2867"/>
      <c r="F3" s="2867"/>
      <c r="G3" s="2867"/>
      <c r="H3" s="2867"/>
      <c r="I3" s="2867"/>
      <c r="J3" s="2867"/>
      <c r="K3" s="2867"/>
    </row>
    <row r="4" spans="1:1196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AZ4" s="1002" t="s">
        <v>185</v>
      </c>
    </row>
    <row r="5" spans="1:1196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23" t="s">
        <v>4</v>
      </c>
      <c r="H5" s="2833" t="s">
        <v>161</v>
      </c>
      <c r="I5" s="2834"/>
      <c r="J5" s="2835"/>
      <c r="K5" s="2823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1196" ht="18" customHeight="1" thickTop="1" thickBot="1">
      <c r="A6" s="2823"/>
      <c r="B6" s="2823"/>
      <c r="C6" s="2823"/>
      <c r="D6" s="2823"/>
      <c r="E6" s="2823"/>
      <c r="F6" s="2823"/>
      <c r="G6" s="2823"/>
      <c r="H6" s="2836"/>
      <c r="I6" s="2837"/>
      <c r="J6" s="2838"/>
      <c r="K6" s="2823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1196" s="12" customFormat="1" ht="18.75" thickTop="1" thickBot="1">
      <c r="A7" s="2823"/>
      <c r="B7" s="2823"/>
      <c r="C7" s="2823"/>
      <c r="D7" s="2823"/>
      <c r="E7" s="2823"/>
      <c r="F7" s="2823"/>
      <c r="G7" s="2823"/>
      <c r="H7" s="942" t="s">
        <v>162</v>
      </c>
      <c r="I7" s="942" t="s">
        <v>163</v>
      </c>
      <c r="J7" s="942" t="s">
        <v>164</v>
      </c>
      <c r="K7" s="2823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 s="943"/>
      <c r="BA7" s="943"/>
      <c r="BB7" s="943"/>
      <c r="BC7" s="943"/>
      <c r="BD7" s="943"/>
      <c r="BE7" s="943"/>
      <c r="BF7" s="943"/>
      <c r="BG7" s="943"/>
      <c r="BH7" s="943"/>
      <c r="BI7" s="943"/>
      <c r="BJ7" s="943"/>
      <c r="BK7" s="943"/>
      <c r="BL7" s="943"/>
      <c r="BM7" s="943"/>
      <c r="BN7" s="943"/>
      <c r="BO7" s="943"/>
      <c r="BP7" s="943"/>
      <c r="BQ7" s="943"/>
      <c r="BR7" s="943"/>
      <c r="BS7" s="943"/>
      <c r="BT7" s="943"/>
      <c r="BU7" s="943"/>
      <c r="BV7" s="943"/>
      <c r="BW7" s="943"/>
      <c r="BX7" s="943"/>
      <c r="BY7" s="943"/>
      <c r="BZ7" s="943"/>
      <c r="CA7" s="943"/>
      <c r="CB7" s="943"/>
      <c r="CC7" s="943"/>
      <c r="CD7" s="943"/>
      <c r="CE7" s="943"/>
      <c r="CF7" s="943"/>
      <c r="CG7" s="943"/>
      <c r="CH7" s="943"/>
      <c r="CI7" s="943"/>
      <c r="CJ7" s="943"/>
      <c r="CK7" s="943"/>
      <c r="CL7" s="943"/>
      <c r="CM7" s="943"/>
      <c r="CN7" s="943"/>
      <c r="CO7" s="943"/>
      <c r="CP7" s="943"/>
      <c r="CQ7" s="943"/>
      <c r="CR7" s="943"/>
      <c r="CS7" s="943"/>
      <c r="CT7" s="943"/>
      <c r="CU7" s="943"/>
      <c r="CV7" s="943"/>
      <c r="CW7" s="943"/>
      <c r="CX7" s="943"/>
      <c r="CY7" s="943"/>
      <c r="CZ7" s="943"/>
      <c r="DA7" s="943"/>
      <c r="DB7" s="943"/>
      <c r="DC7" s="943"/>
      <c r="DD7" s="943"/>
      <c r="DE7" s="943"/>
      <c r="DF7" s="943"/>
      <c r="DG7" s="943"/>
      <c r="DH7" s="943"/>
      <c r="DI7" s="943"/>
      <c r="DJ7" s="943"/>
      <c r="DK7" s="943"/>
      <c r="DL7" s="943"/>
      <c r="DM7" s="943"/>
      <c r="DN7" s="943"/>
      <c r="DO7" s="943"/>
      <c r="DP7" s="943"/>
      <c r="DQ7" s="943"/>
      <c r="DR7" s="943"/>
      <c r="DS7" s="943"/>
      <c r="DT7" s="943"/>
      <c r="DU7" s="943"/>
      <c r="DV7" s="943"/>
      <c r="DW7" s="943"/>
      <c r="DX7" s="943"/>
      <c r="DY7" s="943"/>
      <c r="DZ7" s="943"/>
      <c r="EA7" s="943"/>
      <c r="EB7" s="943"/>
      <c r="EC7" s="943"/>
      <c r="ED7" s="943"/>
      <c r="EE7" s="943"/>
      <c r="EF7" s="943"/>
      <c r="EG7" s="943"/>
      <c r="EH7" s="943"/>
      <c r="EI7" s="943"/>
      <c r="EJ7" s="943"/>
      <c r="EK7" s="943"/>
      <c r="EL7" s="943"/>
      <c r="EM7" s="943"/>
      <c r="EN7" s="943"/>
      <c r="EO7" s="943"/>
      <c r="EP7" s="943"/>
      <c r="EQ7" s="943"/>
      <c r="ER7" s="943"/>
      <c r="ES7" s="943"/>
      <c r="ET7" s="943"/>
      <c r="EU7" s="943"/>
      <c r="EV7" s="943"/>
      <c r="EW7" s="943"/>
      <c r="EX7" s="943"/>
      <c r="EY7" s="943"/>
      <c r="EZ7" s="943"/>
      <c r="FA7" s="943"/>
      <c r="FB7" s="943"/>
      <c r="FC7" s="943"/>
      <c r="FD7" s="943"/>
      <c r="FE7" s="943"/>
      <c r="FF7" s="943"/>
      <c r="FG7" s="943"/>
      <c r="FH7" s="943"/>
      <c r="FI7" s="943"/>
      <c r="FJ7" s="943"/>
      <c r="FK7" s="943"/>
      <c r="FL7" s="943"/>
      <c r="FM7" s="943"/>
      <c r="FN7" s="943"/>
      <c r="FO7" s="943"/>
      <c r="FP7" s="943"/>
      <c r="FQ7" s="943"/>
      <c r="FR7" s="943"/>
      <c r="FS7" s="943"/>
      <c r="FT7" s="943"/>
      <c r="FU7" s="943"/>
      <c r="FV7" s="943"/>
      <c r="FW7" s="943"/>
      <c r="FX7" s="943"/>
      <c r="FY7" s="943"/>
      <c r="FZ7" s="943"/>
      <c r="GA7" s="943"/>
      <c r="GB7" s="943"/>
      <c r="GC7" s="943"/>
      <c r="GD7" s="943"/>
      <c r="GE7" s="943"/>
      <c r="GF7" s="943"/>
      <c r="GG7" s="943"/>
      <c r="GH7" s="943"/>
      <c r="GI7" s="943"/>
      <c r="GJ7" s="943"/>
      <c r="GK7" s="943"/>
      <c r="GL7" s="943"/>
      <c r="GM7" s="943"/>
      <c r="GN7" s="943"/>
      <c r="GO7" s="943"/>
      <c r="GP7" s="943"/>
      <c r="GQ7" s="943"/>
      <c r="GR7" s="943"/>
      <c r="GS7" s="943"/>
      <c r="GT7" s="943"/>
      <c r="GU7" s="943"/>
      <c r="GV7" s="943"/>
      <c r="GW7" s="943"/>
      <c r="GX7" s="943"/>
      <c r="GY7" s="943"/>
      <c r="GZ7" s="943"/>
      <c r="HA7" s="943"/>
      <c r="HB7" s="943"/>
      <c r="HC7" s="943"/>
      <c r="HD7" s="943"/>
      <c r="HE7" s="943"/>
      <c r="HF7" s="943"/>
      <c r="HG7" s="943"/>
      <c r="HH7" s="943"/>
      <c r="HI7" s="943"/>
      <c r="HJ7" s="943"/>
      <c r="HK7" s="943"/>
      <c r="HL7" s="943"/>
      <c r="HM7" s="943"/>
      <c r="HN7" s="943"/>
      <c r="HO7" s="943"/>
      <c r="HP7" s="943"/>
      <c r="HQ7" s="943"/>
      <c r="HR7" s="943"/>
      <c r="HS7" s="943"/>
      <c r="HT7" s="943"/>
      <c r="HU7" s="943"/>
      <c r="HV7" s="943"/>
      <c r="HW7" s="943"/>
      <c r="HX7" s="943"/>
      <c r="HY7" s="943"/>
      <c r="HZ7" s="943"/>
      <c r="IA7" s="943"/>
      <c r="IB7" s="943"/>
      <c r="IC7" s="943"/>
      <c r="ID7" s="943"/>
      <c r="IE7" s="943"/>
      <c r="IF7" s="943"/>
      <c r="IG7" s="943"/>
      <c r="IH7" s="943"/>
      <c r="II7" s="943"/>
      <c r="IJ7" s="943"/>
      <c r="IK7" s="943"/>
      <c r="IL7" s="943"/>
      <c r="IM7" s="943"/>
      <c r="IN7" s="943"/>
      <c r="IO7" s="943"/>
      <c r="IP7" s="943"/>
      <c r="IQ7" s="943"/>
      <c r="IR7" s="943"/>
      <c r="IS7" s="943"/>
      <c r="IT7" s="943"/>
      <c r="IU7" s="943"/>
      <c r="IV7" s="943"/>
      <c r="IW7" s="943"/>
      <c r="IX7" s="943"/>
      <c r="IY7" s="943"/>
      <c r="IZ7" s="943"/>
      <c r="JA7" s="943"/>
      <c r="JB7" s="943"/>
      <c r="JC7" s="943"/>
      <c r="JD7" s="943"/>
      <c r="JE7" s="943"/>
      <c r="JF7" s="943"/>
      <c r="JG7" s="943"/>
      <c r="JH7" s="943"/>
      <c r="JI7" s="943"/>
      <c r="JJ7" s="943"/>
      <c r="JK7" s="943"/>
      <c r="JL7" s="943"/>
      <c r="JM7" s="943"/>
      <c r="JN7" s="943"/>
      <c r="JO7" s="943"/>
      <c r="JP7" s="943"/>
      <c r="JQ7" s="943"/>
      <c r="JR7" s="943"/>
      <c r="JS7" s="943"/>
      <c r="JT7" s="943"/>
      <c r="JU7" s="943"/>
      <c r="JV7" s="943"/>
      <c r="JW7" s="943"/>
      <c r="JX7" s="943"/>
      <c r="JY7" s="943"/>
      <c r="JZ7" s="943"/>
      <c r="KA7" s="943"/>
      <c r="KB7" s="943"/>
      <c r="KC7" s="943"/>
      <c r="KD7" s="943"/>
      <c r="KE7" s="943"/>
      <c r="KF7" s="943"/>
      <c r="KG7" s="943"/>
      <c r="KH7" s="943"/>
      <c r="KI7" s="943"/>
      <c r="KJ7" s="943"/>
      <c r="KK7" s="943"/>
      <c r="KL7" s="943"/>
      <c r="KM7" s="943"/>
      <c r="KN7" s="943"/>
      <c r="KO7" s="943"/>
      <c r="KP7" s="943"/>
      <c r="KQ7" s="943"/>
      <c r="KR7" s="943"/>
      <c r="KS7" s="943"/>
      <c r="KT7" s="943"/>
      <c r="KU7" s="943"/>
      <c r="KV7" s="943"/>
      <c r="KW7" s="943"/>
      <c r="KX7" s="943"/>
      <c r="KY7" s="943"/>
      <c r="KZ7" s="943"/>
      <c r="LA7" s="943"/>
      <c r="LB7" s="943"/>
      <c r="LC7" s="943"/>
      <c r="LD7" s="943"/>
      <c r="LE7" s="943"/>
      <c r="LF7" s="943"/>
      <c r="LG7" s="943"/>
      <c r="LH7" s="943"/>
      <c r="LI7" s="943"/>
      <c r="LJ7" s="943"/>
      <c r="LK7" s="943"/>
      <c r="LL7" s="943"/>
      <c r="LM7" s="943"/>
      <c r="LN7" s="943"/>
      <c r="LO7" s="943"/>
      <c r="LP7" s="943"/>
      <c r="LQ7" s="943"/>
      <c r="LR7" s="943"/>
      <c r="LS7" s="943"/>
      <c r="LT7" s="943"/>
      <c r="LU7" s="943"/>
      <c r="LV7" s="943"/>
      <c r="LW7" s="943"/>
      <c r="LX7" s="943"/>
      <c r="LY7" s="943"/>
      <c r="LZ7" s="943"/>
      <c r="MA7" s="943"/>
      <c r="MB7" s="943"/>
      <c r="MC7" s="943"/>
      <c r="MD7" s="943"/>
      <c r="ME7" s="943"/>
      <c r="MF7" s="943"/>
      <c r="MG7" s="943"/>
      <c r="MH7" s="943"/>
      <c r="MI7" s="943"/>
      <c r="MJ7" s="943"/>
      <c r="MK7" s="943"/>
      <c r="ML7" s="943"/>
      <c r="MM7" s="943"/>
      <c r="MN7" s="943"/>
      <c r="MO7" s="943"/>
      <c r="MP7" s="943"/>
      <c r="MQ7" s="943"/>
      <c r="MR7" s="943"/>
      <c r="MS7" s="943"/>
      <c r="MT7" s="943"/>
      <c r="MU7" s="943"/>
      <c r="MV7" s="943"/>
      <c r="MW7" s="943"/>
      <c r="MX7" s="943"/>
      <c r="MY7" s="943"/>
      <c r="MZ7" s="943"/>
      <c r="NA7" s="943"/>
      <c r="NB7" s="943"/>
      <c r="NC7" s="943"/>
      <c r="ND7" s="943"/>
      <c r="NE7" s="943"/>
      <c r="NF7" s="943"/>
      <c r="NG7" s="943"/>
      <c r="NH7" s="943"/>
      <c r="NI7" s="943"/>
      <c r="NJ7" s="943"/>
      <c r="NK7" s="943"/>
      <c r="NL7" s="943"/>
      <c r="NM7" s="943"/>
      <c r="NN7" s="943"/>
      <c r="NO7" s="943"/>
      <c r="NP7" s="943"/>
      <c r="NQ7" s="943"/>
      <c r="NR7" s="943"/>
      <c r="NS7" s="943"/>
      <c r="NT7" s="943"/>
      <c r="NU7" s="943"/>
      <c r="NV7" s="943"/>
      <c r="NW7" s="943"/>
      <c r="NX7" s="943"/>
      <c r="NY7" s="943"/>
      <c r="NZ7" s="943"/>
      <c r="OA7" s="943"/>
      <c r="OB7" s="943"/>
      <c r="OC7" s="943"/>
      <c r="OD7" s="943"/>
      <c r="OE7" s="943"/>
      <c r="OF7" s="943"/>
      <c r="OG7" s="943"/>
      <c r="OH7" s="943"/>
      <c r="OI7" s="943"/>
      <c r="OJ7" s="943"/>
      <c r="OK7" s="943"/>
      <c r="OL7" s="943"/>
      <c r="OM7" s="943"/>
      <c r="ON7" s="943"/>
      <c r="OO7" s="943"/>
      <c r="OP7" s="943"/>
      <c r="OQ7" s="943"/>
      <c r="OR7" s="943"/>
      <c r="OS7" s="943"/>
      <c r="OT7" s="943"/>
      <c r="OU7" s="943"/>
      <c r="OV7" s="943"/>
      <c r="OW7" s="943"/>
      <c r="OX7" s="943"/>
      <c r="OY7" s="943"/>
      <c r="OZ7" s="943"/>
      <c r="PA7" s="943"/>
      <c r="PB7" s="943"/>
      <c r="PC7" s="943"/>
      <c r="PD7" s="943"/>
      <c r="PE7" s="943"/>
      <c r="PF7" s="943"/>
      <c r="PG7" s="943"/>
      <c r="PH7" s="943"/>
      <c r="PI7" s="943"/>
      <c r="PJ7" s="943"/>
      <c r="PK7" s="943"/>
      <c r="PL7" s="943"/>
      <c r="PM7" s="943"/>
      <c r="PN7" s="943"/>
      <c r="PO7" s="943"/>
      <c r="PP7" s="943"/>
      <c r="PQ7" s="943"/>
      <c r="PR7" s="943"/>
      <c r="PS7" s="943"/>
      <c r="PT7" s="943"/>
      <c r="PU7" s="943"/>
      <c r="PV7" s="943"/>
      <c r="PW7" s="943"/>
      <c r="PX7" s="943"/>
      <c r="PY7" s="943"/>
      <c r="PZ7" s="943"/>
      <c r="QA7" s="943"/>
      <c r="QB7" s="943"/>
      <c r="QC7" s="943"/>
      <c r="QD7" s="943"/>
      <c r="QE7" s="943"/>
      <c r="QF7" s="943"/>
      <c r="QG7" s="943"/>
      <c r="QH7" s="943"/>
      <c r="QI7" s="943"/>
      <c r="QJ7" s="943"/>
      <c r="QK7" s="943"/>
      <c r="QL7" s="943"/>
      <c r="QM7" s="943"/>
      <c r="QN7" s="943"/>
      <c r="QO7" s="943"/>
      <c r="QP7" s="943"/>
      <c r="QQ7" s="943"/>
      <c r="QR7" s="943"/>
      <c r="QS7" s="943"/>
      <c r="QT7" s="943"/>
      <c r="QU7" s="943"/>
      <c r="QV7" s="943"/>
      <c r="QW7" s="943"/>
      <c r="QX7" s="943"/>
      <c r="QY7" s="943"/>
      <c r="QZ7" s="943"/>
      <c r="RA7" s="943"/>
      <c r="RB7" s="943"/>
      <c r="RC7" s="943"/>
      <c r="RD7" s="943"/>
      <c r="RE7" s="943"/>
      <c r="RF7" s="943"/>
      <c r="RG7" s="943"/>
      <c r="RH7" s="943"/>
      <c r="RI7" s="943"/>
      <c r="RJ7" s="943"/>
      <c r="RK7" s="943"/>
      <c r="RL7" s="943"/>
      <c r="RM7" s="943"/>
      <c r="RN7" s="943"/>
      <c r="RO7" s="943"/>
      <c r="RP7" s="943"/>
      <c r="RQ7" s="943"/>
      <c r="RR7" s="943"/>
      <c r="RS7" s="943"/>
      <c r="RT7" s="943"/>
      <c r="RU7" s="943"/>
      <c r="RV7" s="943"/>
      <c r="RW7" s="943"/>
      <c r="RX7" s="943"/>
      <c r="RY7" s="943"/>
      <c r="RZ7" s="943"/>
      <c r="SA7" s="943"/>
      <c r="SB7" s="943"/>
      <c r="SC7" s="943"/>
      <c r="SD7" s="943"/>
      <c r="SE7" s="943"/>
      <c r="SF7" s="943"/>
      <c r="SG7" s="943"/>
      <c r="SH7" s="943"/>
      <c r="SI7" s="943"/>
      <c r="SJ7" s="943"/>
      <c r="SK7" s="943"/>
      <c r="SL7" s="943"/>
      <c r="SM7" s="943"/>
      <c r="SN7" s="943"/>
      <c r="SO7" s="943"/>
      <c r="SP7" s="943"/>
      <c r="SQ7" s="943"/>
      <c r="SR7" s="943"/>
      <c r="SS7" s="943"/>
      <c r="ST7" s="943"/>
      <c r="SU7" s="943"/>
      <c r="SV7" s="943"/>
      <c r="SW7" s="943"/>
      <c r="SX7" s="943"/>
      <c r="SY7" s="943"/>
      <c r="SZ7" s="943"/>
      <c r="TA7" s="943"/>
      <c r="TB7" s="943"/>
      <c r="TC7" s="943"/>
      <c r="TD7" s="943"/>
      <c r="TE7" s="943"/>
      <c r="TF7" s="943"/>
      <c r="TG7" s="943"/>
      <c r="TH7" s="943"/>
      <c r="TI7" s="943"/>
      <c r="TJ7" s="943"/>
      <c r="TK7" s="943"/>
      <c r="TL7" s="943"/>
      <c r="TM7" s="943"/>
      <c r="TN7" s="943"/>
      <c r="TO7" s="943"/>
      <c r="TP7" s="943"/>
      <c r="TQ7" s="943"/>
      <c r="TR7" s="943"/>
      <c r="TS7" s="943"/>
      <c r="TT7" s="943"/>
      <c r="TU7" s="943"/>
      <c r="TV7" s="943"/>
      <c r="TW7" s="943"/>
      <c r="TX7" s="943"/>
      <c r="TY7" s="943"/>
      <c r="TZ7" s="943"/>
      <c r="UA7" s="943"/>
      <c r="UB7" s="943"/>
      <c r="UC7" s="943"/>
      <c r="UD7" s="943"/>
      <c r="UE7" s="943"/>
      <c r="UF7" s="943"/>
      <c r="UG7" s="943"/>
      <c r="UH7" s="943"/>
      <c r="UI7" s="943"/>
      <c r="UJ7" s="943"/>
      <c r="UK7" s="943"/>
      <c r="UL7" s="943"/>
      <c r="UM7" s="943"/>
      <c r="UN7" s="943"/>
      <c r="UO7" s="943"/>
      <c r="UP7" s="943"/>
      <c r="UQ7" s="943"/>
      <c r="UR7" s="943"/>
      <c r="US7" s="943"/>
      <c r="UT7" s="943"/>
      <c r="UU7" s="943"/>
      <c r="UV7" s="943"/>
      <c r="UW7" s="943"/>
      <c r="UX7" s="943"/>
      <c r="UY7" s="943"/>
      <c r="UZ7" s="943"/>
      <c r="VA7" s="943"/>
      <c r="VB7" s="943"/>
      <c r="VC7" s="943"/>
      <c r="VD7" s="943"/>
      <c r="VE7" s="943"/>
      <c r="VF7" s="943"/>
      <c r="VG7" s="943"/>
      <c r="VH7" s="943"/>
      <c r="VI7" s="943"/>
      <c r="VJ7" s="943"/>
      <c r="VK7" s="943"/>
      <c r="VL7" s="943"/>
      <c r="VM7" s="943"/>
      <c r="VN7" s="943"/>
      <c r="VO7" s="943"/>
      <c r="VP7" s="943"/>
      <c r="VQ7" s="943"/>
      <c r="VR7" s="943"/>
      <c r="VS7" s="943"/>
      <c r="VT7" s="943"/>
      <c r="VU7" s="943"/>
      <c r="VV7" s="943"/>
      <c r="VW7" s="943"/>
      <c r="VX7" s="943"/>
      <c r="VY7" s="943"/>
      <c r="VZ7" s="943"/>
      <c r="WA7" s="943"/>
      <c r="WB7" s="943"/>
      <c r="WC7" s="943"/>
      <c r="WD7" s="943"/>
      <c r="WE7" s="943"/>
      <c r="WF7" s="943"/>
      <c r="WG7" s="943"/>
      <c r="WH7" s="943"/>
      <c r="WI7" s="943"/>
      <c r="WJ7" s="943"/>
      <c r="WK7" s="943"/>
      <c r="WL7" s="943"/>
      <c r="WM7" s="943"/>
      <c r="WN7" s="943"/>
      <c r="WO7" s="943"/>
      <c r="WP7" s="943"/>
      <c r="WQ7" s="943"/>
      <c r="WR7" s="943"/>
      <c r="WS7" s="943"/>
      <c r="WT7" s="943"/>
      <c r="WU7" s="943"/>
      <c r="WV7" s="943"/>
      <c r="WW7" s="943"/>
      <c r="WX7" s="943"/>
      <c r="WY7" s="943"/>
      <c r="WZ7" s="943"/>
      <c r="XA7" s="943"/>
      <c r="XB7" s="943"/>
      <c r="XC7" s="943"/>
      <c r="XD7" s="943"/>
      <c r="XE7" s="943"/>
      <c r="XF7" s="943"/>
      <c r="XG7" s="943"/>
      <c r="XH7" s="943"/>
      <c r="XI7" s="943"/>
      <c r="XJ7" s="943"/>
      <c r="XK7" s="943"/>
      <c r="XL7" s="943"/>
      <c r="XM7" s="943"/>
      <c r="XN7" s="943"/>
      <c r="XO7" s="943"/>
      <c r="XP7" s="943"/>
      <c r="XQ7" s="943"/>
      <c r="XR7" s="943"/>
      <c r="XS7" s="943"/>
      <c r="XT7" s="943"/>
      <c r="XU7" s="943"/>
      <c r="XV7" s="943"/>
      <c r="XW7" s="943"/>
      <c r="XX7" s="943"/>
      <c r="XY7" s="943"/>
      <c r="XZ7" s="943"/>
      <c r="YA7" s="943"/>
      <c r="YB7" s="943"/>
      <c r="YC7" s="943"/>
      <c r="YD7" s="943"/>
      <c r="YE7" s="943"/>
      <c r="YF7" s="943"/>
      <c r="YG7" s="943"/>
      <c r="YH7" s="943"/>
      <c r="YI7" s="943"/>
      <c r="YJ7" s="943"/>
      <c r="YK7" s="943"/>
      <c r="YL7" s="943"/>
      <c r="YM7" s="943"/>
      <c r="YN7" s="943"/>
      <c r="YO7" s="943"/>
      <c r="YP7" s="943"/>
      <c r="YQ7" s="943"/>
      <c r="YR7" s="943"/>
      <c r="YS7" s="943"/>
      <c r="YT7" s="943"/>
      <c r="YU7" s="943"/>
      <c r="YV7" s="943"/>
      <c r="YW7" s="943"/>
      <c r="YX7" s="943"/>
      <c r="YY7" s="943"/>
      <c r="YZ7" s="943"/>
      <c r="ZA7" s="943"/>
      <c r="ZB7" s="943"/>
      <c r="ZC7" s="943"/>
      <c r="ZD7" s="943"/>
      <c r="ZE7" s="943"/>
      <c r="ZF7" s="943"/>
      <c r="ZG7" s="943"/>
      <c r="ZH7" s="943"/>
      <c r="ZI7" s="943"/>
      <c r="ZJ7" s="943"/>
      <c r="ZK7" s="943"/>
      <c r="ZL7" s="943"/>
      <c r="ZM7" s="943"/>
      <c r="ZN7" s="943"/>
      <c r="ZO7" s="943"/>
      <c r="ZP7" s="943"/>
      <c r="ZQ7" s="943"/>
      <c r="ZR7" s="943"/>
      <c r="ZS7" s="943"/>
      <c r="ZT7" s="943"/>
      <c r="ZU7" s="943"/>
      <c r="ZV7" s="943"/>
      <c r="ZW7" s="943"/>
      <c r="ZX7" s="943"/>
      <c r="ZY7" s="943"/>
      <c r="ZZ7" s="943"/>
      <c r="AAA7" s="943"/>
      <c r="AAB7" s="943"/>
      <c r="AAC7" s="943"/>
      <c r="AAD7" s="943"/>
      <c r="AAE7" s="943"/>
      <c r="AAF7" s="943"/>
      <c r="AAG7" s="943"/>
      <c r="AAH7" s="943"/>
      <c r="AAI7" s="943"/>
      <c r="AAJ7" s="943"/>
      <c r="AAK7" s="943"/>
      <c r="AAL7" s="943"/>
      <c r="AAM7" s="943"/>
      <c r="AAN7" s="943"/>
      <c r="AAO7" s="943"/>
      <c r="AAP7" s="943"/>
      <c r="AAQ7" s="943"/>
      <c r="AAR7" s="943"/>
      <c r="AAS7" s="943"/>
      <c r="AAT7" s="943"/>
      <c r="AAU7" s="943"/>
      <c r="AAV7" s="943"/>
      <c r="AAW7" s="943"/>
      <c r="AAX7" s="943"/>
      <c r="AAY7" s="943"/>
      <c r="AAZ7" s="943"/>
      <c r="ABA7" s="943"/>
      <c r="ABB7" s="943"/>
      <c r="ABC7" s="943"/>
      <c r="ABD7" s="943"/>
      <c r="ABE7" s="943"/>
      <c r="ABF7" s="943"/>
      <c r="ABG7" s="943"/>
      <c r="ABH7" s="943"/>
      <c r="ABI7" s="943"/>
      <c r="ABJ7" s="943"/>
      <c r="ABK7" s="943"/>
      <c r="ABL7" s="943"/>
      <c r="ABM7" s="943"/>
      <c r="ABN7" s="943"/>
      <c r="ABO7" s="943"/>
      <c r="ABP7" s="943"/>
      <c r="ABQ7" s="943"/>
      <c r="ABR7" s="943"/>
      <c r="ABS7" s="943"/>
      <c r="ABT7" s="943"/>
      <c r="ABU7" s="943"/>
      <c r="ABV7" s="943"/>
      <c r="ABW7" s="943"/>
      <c r="ABX7" s="943"/>
      <c r="ABY7" s="943"/>
      <c r="ABZ7" s="943"/>
      <c r="ACA7" s="943"/>
      <c r="ACB7" s="943"/>
      <c r="ACC7" s="943"/>
      <c r="ACD7" s="943"/>
      <c r="ACE7" s="943"/>
      <c r="ACF7" s="943"/>
      <c r="ACG7" s="943"/>
      <c r="ACH7" s="943"/>
      <c r="ACI7" s="943"/>
      <c r="ACJ7" s="943"/>
      <c r="ACK7" s="943"/>
      <c r="ACL7" s="943"/>
      <c r="ACM7" s="943"/>
      <c r="ACN7" s="943"/>
      <c r="ACO7" s="943"/>
      <c r="ACP7" s="943"/>
      <c r="ACQ7" s="943"/>
      <c r="ACR7" s="943"/>
      <c r="ACS7" s="943"/>
      <c r="ACT7" s="943"/>
      <c r="ACU7" s="943"/>
      <c r="ACV7" s="943"/>
      <c r="ACW7" s="943"/>
      <c r="ACX7" s="943"/>
      <c r="ACY7" s="943"/>
      <c r="ACZ7" s="943"/>
      <c r="ADA7" s="943"/>
      <c r="ADB7" s="943"/>
      <c r="ADC7" s="943"/>
      <c r="ADD7" s="943"/>
      <c r="ADE7" s="943"/>
      <c r="ADF7" s="943"/>
      <c r="ADG7" s="943"/>
      <c r="ADH7" s="943"/>
      <c r="ADI7" s="943"/>
      <c r="ADJ7" s="943"/>
      <c r="ADK7" s="943"/>
      <c r="ADL7" s="943"/>
      <c r="ADM7" s="943"/>
      <c r="ADN7" s="943"/>
      <c r="ADO7" s="943"/>
      <c r="ADP7" s="943"/>
      <c r="ADQ7" s="943"/>
      <c r="ADR7" s="943"/>
      <c r="ADS7" s="943"/>
      <c r="ADT7" s="943"/>
      <c r="ADU7" s="943"/>
      <c r="ADV7" s="943"/>
      <c r="ADW7" s="943"/>
      <c r="ADX7" s="943"/>
      <c r="ADY7" s="943"/>
      <c r="ADZ7" s="943"/>
      <c r="AEA7" s="943"/>
      <c r="AEB7" s="943"/>
      <c r="AEC7" s="943"/>
      <c r="AED7" s="943"/>
      <c r="AEE7" s="943"/>
      <c r="AEF7" s="943"/>
      <c r="AEG7" s="943"/>
      <c r="AEH7" s="943"/>
      <c r="AEI7" s="943"/>
      <c r="AEJ7" s="943"/>
      <c r="AEK7" s="943"/>
      <c r="AEL7" s="943"/>
      <c r="AEM7" s="943"/>
      <c r="AEN7" s="943"/>
      <c r="AEO7" s="943"/>
      <c r="AEP7" s="943"/>
      <c r="AEQ7" s="943"/>
      <c r="AER7" s="943"/>
      <c r="AES7" s="943"/>
      <c r="AET7" s="943"/>
      <c r="AEU7" s="943"/>
      <c r="AEV7" s="943"/>
      <c r="AEW7" s="943"/>
      <c r="AEX7" s="943"/>
      <c r="AEY7" s="943"/>
      <c r="AEZ7" s="943"/>
      <c r="AFA7" s="943"/>
      <c r="AFB7" s="943"/>
      <c r="AFC7" s="943"/>
      <c r="AFD7" s="943"/>
      <c r="AFE7" s="943"/>
      <c r="AFF7" s="943"/>
      <c r="AFG7" s="943"/>
      <c r="AFH7" s="943"/>
      <c r="AFI7" s="943"/>
      <c r="AFJ7" s="943"/>
      <c r="AFK7" s="943"/>
      <c r="AFL7" s="943"/>
      <c r="AFM7" s="943"/>
      <c r="AFN7" s="943"/>
      <c r="AFO7" s="943"/>
      <c r="AFP7" s="943"/>
      <c r="AFQ7" s="943"/>
      <c r="AFR7" s="943"/>
      <c r="AFS7" s="943"/>
      <c r="AFT7" s="943"/>
      <c r="AFU7" s="943"/>
      <c r="AFV7" s="943"/>
      <c r="AFW7" s="943"/>
      <c r="AFX7" s="943"/>
      <c r="AFY7" s="943"/>
      <c r="AFZ7" s="943"/>
      <c r="AGA7" s="943"/>
      <c r="AGB7" s="943"/>
      <c r="AGC7" s="943"/>
      <c r="AGD7" s="943"/>
      <c r="AGE7" s="943"/>
      <c r="AGF7" s="943"/>
      <c r="AGG7" s="943"/>
      <c r="AGH7" s="943"/>
      <c r="AGI7" s="943"/>
      <c r="AGJ7" s="943"/>
      <c r="AGK7" s="943"/>
      <c r="AGL7" s="943"/>
      <c r="AGM7" s="943"/>
      <c r="AGN7" s="943"/>
      <c r="AGO7" s="943"/>
      <c r="AGP7" s="943"/>
      <c r="AGQ7" s="943"/>
      <c r="AGR7" s="943"/>
      <c r="AGS7" s="943"/>
      <c r="AGT7" s="943"/>
      <c r="AGU7" s="943"/>
      <c r="AGV7" s="943"/>
      <c r="AGW7" s="943"/>
      <c r="AGX7" s="943"/>
      <c r="AGY7" s="943"/>
      <c r="AGZ7" s="943"/>
      <c r="AHA7" s="943"/>
      <c r="AHB7" s="943"/>
      <c r="AHC7" s="943"/>
      <c r="AHD7" s="943"/>
      <c r="AHE7" s="943"/>
      <c r="AHF7" s="943"/>
      <c r="AHG7" s="943"/>
      <c r="AHH7" s="943"/>
      <c r="AHI7" s="943"/>
      <c r="AHJ7" s="943"/>
      <c r="AHK7" s="943"/>
      <c r="AHL7" s="943"/>
      <c r="AHM7" s="943"/>
      <c r="AHN7" s="943"/>
      <c r="AHO7" s="943"/>
      <c r="AHP7" s="943"/>
      <c r="AHQ7" s="943"/>
      <c r="AHR7" s="943"/>
      <c r="AHS7" s="943"/>
      <c r="AHT7" s="943"/>
      <c r="AHU7" s="943"/>
      <c r="AHV7" s="943"/>
      <c r="AHW7" s="943"/>
      <c r="AHX7" s="943"/>
      <c r="AHY7" s="943"/>
      <c r="AHZ7" s="943"/>
      <c r="AIA7" s="943"/>
      <c r="AIB7" s="943"/>
      <c r="AIC7" s="943"/>
      <c r="AID7" s="943"/>
      <c r="AIE7" s="943"/>
      <c r="AIF7" s="943"/>
      <c r="AIG7" s="943"/>
      <c r="AIH7" s="943"/>
      <c r="AII7" s="943"/>
      <c r="AIJ7" s="943"/>
      <c r="AIK7" s="943"/>
      <c r="AIL7" s="943"/>
      <c r="AIM7" s="943"/>
      <c r="AIN7" s="943"/>
      <c r="AIO7" s="943"/>
      <c r="AIP7" s="943"/>
      <c r="AIQ7" s="943"/>
      <c r="AIR7" s="943"/>
      <c r="AIS7" s="943"/>
      <c r="AIT7" s="943"/>
      <c r="AIU7" s="943"/>
      <c r="AIV7" s="943"/>
      <c r="AIW7" s="943"/>
      <c r="AIX7" s="943"/>
      <c r="AIY7" s="943"/>
      <c r="AIZ7" s="943"/>
      <c r="AJA7" s="943"/>
      <c r="AJB7" s="943"/>
      <c r="AJC7" s="943"/>
      <c r="AJD7" s="943"/>
      <c r="AJE7" s="943"/>
      <c r="AJF7" s="943"/>
      <c r="AJG7" s="943"/>
      <c r="AJH7" s="943"/>
      <c r="AJI7" s="943"/>
      <c r="AJJ7" s="943"/>
      <c r="AJK7" s="943"/>
      <c r="AJL7" s="943"/>
      <c r="AJM7" s="943"/>
      <c r="AJN7" s="943"/>
      <c r="AJO7" s="943"/>
      <c r="AJP7" s="943"/>
      <c r="AJQ7" s="943"/>
      <c r="AJR7" s="943"/>
      <c r="AJS7" s="943"/>
      <c r="AJT7" s="943"/>
      <c r="AJU7" s="943"/>
      <c r="AJV7" s="943"/>
      <c r="AJW7" s="943"/>
      <c r="AJX7" s="943"/>
      <c r="AJY7" s="943"/>
      <c r="AJZ7" s="943"/>
      <c r="AKA7" s="943"/>
      <c r="AKB7" s="943"/>
      <c r="AKC7" s="943"/>
      <c r="AKD7" s="943"/>
      <c r="AKE7" s="943"/>
      <c r="AKF7" s="943"/>
      <c r="AKG7" s="943"/>
      <c r="AKH7" s="943"/>
      <c r="AKI7" s="943"/>
      <c r="AKJ7" s="943"/>
      <c r="AKK7" s="943"/>
      <c r="AKL7" s="943"/>
      <c r="AKM7" s="943"/>
      <c r="AKN7" s="943"/>
      <c r="AKO7" s="943"/>
      <c r="AKP7" s="943"/>
      <c r="AKQ7" s="943"/>
      <c r="AKR7" s="943"/>
      <c r="AKS7" s="943"/>
      <c r="AKT7" s="943"/>
      <c r="AKU7" s="943"/>
      <c r="AKV7" s="943"/>
      <c r="AKW7" s="943"/>
      <c r="AKX7" s="943"/>
      <c r="AKY7" s="943"/>
      <c r="AKZ7" s="943"/>
      <c r="ALA7" s="943"/>
      <c r="ALB7" s="943"/>
      <c r="ALC7" s="943"/>
      <c r="ALD7" s="943"/>
      <c r="ALE7" s="943"/>
      <c r="ALF7" s="943"/>
      <c r="ALG7" s="943"/>
      <c r="ALH7" s="943"/>
      <c r="ALI7" s="943"/>
      <c r="ALJ7" s="943"/>
      <c r="ALK7" s="943"/>
      <c r="ALL7" s="943"/>
      <c r="ALM7" s="943"/>
      <c r="ALN7" s="943"/>
      <c r="ALO7" s="943"/>
      <c r="ALP7" s="943"/>
      <c r="ALQ7" s="943"/>
      <c r="ALR7" s="943"/>
      <c r="ALS7" s="943"/>
      <c r="ALT7" s="943"/>
      <c r="ALU7" s="943"/>
      <c r="ALV7" s="943"/>
      <c r="ALW7" s="943"/>
      <c r="ALX7" s="943"/>
      <c r="ALY7" s="943"/>
      <c r="ALZ7" s="943"/>
      <c r="AMA7" s="943"/>
      <c r="AMB7" s="943"/>
      <c r="AMC7" s="943"/>
      <c r="AMD7" s="943"/>
      <c r="AME7" s="943"/>
      <c r="AMF7" s="943"/>
      <c r="AMG7" s="943"/>
      <c r="AMH7" s="943"/>
      <c r="AMI7" s="943"/>
      <c r="AMJ7" s="943"/>
      <c r="AMK7" s="943"/>
      <c r="AML7" s="943"/>
      <c r="AMM7" s="943"/>
      <c r="AMN7" s="943"/>
      <c r="AMO7" s="943"/>
      <c r="AMP7" s="943"/>
      <c r="AMQ7" s="943"/>
      <c r="AMR7" s="943"/>
      <c r="AMS7" s="943"/>
      <c r="AMT7" s="943"/>
      <c r="AMU7" s="943"/>
      <c r="AMV7" s="943"/>
      <c r="AMW7" s="943"/>
      <c r="AMX7" s="943"/>
      <c r="AMY7" s="943"/>
      <c r="AMZ7" s="943"/>
      <c r="ANA7" s="943"/>
      <c r="ANB7" s="943"/>
      <c r="ANC7" s="943"/>
      <c r="AND7" s="943"/>
      <c r="ANE7" s="943"/>
      <c r="ANF7" s="943"/>
      <c r="ANG7" s="943"/>
      <c r="ANH7" s="943"/>
      <c r="ANI7" s="943"/>
      <c r="ANJ7" s="943"/>
      <c r="ANK7" s="943"/>
      <c r="ANL7" s="943"/>
      <c r="ANM7" s="943"/>
      <c r="ANN7" s="943"/>
      <c r="ANO7" s="943"/>
      <c r="ANP7" s="943"/>
      <c r="ANQ7" s="943"/>
      <c r="ANR7" s="943"/>
      <c r="ANS7" s="943"/>
      <c r="ANT7" s="943"/>
      <c r="ANU7" s="943"/>
      <c r="ANV7" s="943"/>
      <c r="ANW7" s="943"/>
      <c r="ANX7" s="943"/>
      <c r="ANY7" s="943"/>
      <c r="ANZ7" s="943"/>
      <c r="AOA7" s="943"/>
      <c r="AOB7" s="943"/>
      <c r="AOC7" s="943"/>
      <c r="AOD7" s="943"/>
      <c r="AOE7" s="943"/>
      <c r="AOF7" s="943"/>
      <c r="AOG7" s="943"/>
      <c r="AOH7" s="943"/>
      <c r="AOI7" s="943"/>
      <c r="AOJ7" s="943"/>
      <c r="AOK7" s="943"/>
      <c r="AOL7" s="943"/>
      <c r="AOM7" s="943"/>
      <c r="AON7" s="943"/>
      <c r="AOO7" s="943"/>
      <c r="AOP7" s="943"/>
      <c r="AOQ7" s="943"/>
      <c r="AOR7" s="943"/>
      <c r="AOS7" s="943"/>
      <c r="AOT7" s="943"/>
      <c r="AOU7" s="943"/>
      <c r="AOV7" s="943"/>
      <c r="AOW7" s="943"/>
      <c r="AOX7" s="943"/>
      <c r="AOY7" s="943"/>
      <c r="AOZ7" s="943"/>
      <c r="APA7" s="943"/>
      <c r="APB7" s="943"/>
      <c r="APC7" s="943"/>
      <c r="APD7" s="943"/>
      <c r="APE7" s="943"/>
      <c r="APF7" s="943"/>
      <c r="APG7" s="943"/>
      <c r="APH7" s="943"/>
      <c r="API7" s="943"/>
      <c r="APJ7" s="943"/>
      <c r="APK7" s="943"/>
      <c r="APL7" s="943"/>
      <c r="APM7" s="943"/>
      <c r="APN7" s="943"/>
      <c r="APO7" s="943"/>
      <c r="APP7" s="943"/>
      <c r="APQ7" s="943"/>
      <c r="APR7" s="943"/>
      <c r="APS7" s="943"/>
      <c r="APT7" s="943"/>
      <c r="APU7" s="943"/>
      <c r="APV7" s="943"/>
      <c r="APW7" s="943"/>
      <c r="APX7" s="943"/>
      <c r="APY7" s="943"/>
      <c r="APZ7" s="943"/>
      <c r="AQA7" s="943"/>
      <c r="AQB7" s="943"/>
      <c r="AQC7" s="943"/>
      <c r="AQD7" s="943"/>
      <c r="AQE7" s="943"/>
      <c r="AQF7" s="943"/>
      <c r="AQG7" s="943"/>
      <c r="AQH7" s="943"/>
      <c r="AQI7" s="943"/>
      <c r="AQJ7" s="943"/>
      <c r="AQK7" s="943"/>
      <c r="AQL7" s="943"/>
      <c r="AQM7" s="943"/>
      <c r="AQN7" s="943"/>
      <c r="AQO7" s="943"/>
      <c r="AQP7" s="943"/>
      <c r="AQQ7" s="943"/>
      <c r="AQR7" s="943"/>
      <c r="AQS7" s="943"/>
      <c r="AQT7" s="943"/>
      <c r="AQU7" s="943"/>
      <c r="AQV7" s="943"/>
      <c r="AQW7" s="943"/>
      <c r="AQX7" s="943"/>
      <c r="AQY7" s="943"/>
      <c r="AQZ7" s="943"/>
      <c r="ARA7" s="943"/>
      <c r="ARB7" s="943"/>
      <c r="ARC7" s="943"/>
      <c r="ARD7" s="943"/>
      <c r="ARE7" s="943"/>
      <c r="ARF7" s="943"/>
      <c r="ARG7" s="943"/>
      <c r="ARH7" s="943"/>
      <c r="ARI7" s="943"/>
      <c r="ARJ7" s="943"/>
      <c r="ARK7" s="943"/>
      <c r="ARL7" s="943"/>
      <c r="ARM7" s="943"/>
      <c r="ARN7" s="943"/>
      <c r="ARO7" s="943"/>
      <c r="ARP7" s="943"/>
      <c r="ARQ7" s="943"/>
      <c r="ARR7" s="943"/>
      <c r="ARS7" s="943"/>
      <c r="ART7" s="943"/>
      <c r="ARU7" s="943"/>
      <c r="ARV7" s="943"/>
      <c r="ARW7" s="943"/>
      <c r="ARX7" s="943"/>
      <c r="ARY7" s="943"/>
      <c r="ARZ7" s="943"/>
      <c r="ASA7" s="943"/>
      <c r="ASB7" s="943"/>
      <c r="ASC7" s="943"/>
      <c r="ASD7" s="943"/>
      <c r="ASE7" s="943"/>
      <c r="ASF7" s="943"/>
      <c r="ASG7" s="943"/>
      <c r="ASH7" s="943"/>
      <c r="ASI7" s="943"/>
      <c r="ASJ7" s="943"/>
      <c r="ASK7" s="943"/>
      <c r="ASL7" s="943"/>
      <c r="ASM7" s="943"/>
      <c r="ASN7" s="943"/>
      <c r="ASO7" s="943"/>
      <c r="ASP7" s="943"/>
      <c r="ASQ7" s="943"/>
      <c r="ASR7" s="943"/>
      <c r="ASS7" s="943"/>
      <c r="AST7" s="943"/>
      <c r="ASU7" s="943"/>
      <c r="ASV7" s="943"/>
      <c r="ASW7" s="943"/>
      <c r="ASX7" s="943"/>
      <c r="ASY7" s="943"/>
      <c r="ASZ7" s="943"/>
    </row>
    <row r="8" spans="1:1196" customFormat="1" ht="29.25" customHeight="1" thickTop="1" thickBot="1">
      <c r="A8" s="2870" t="s">
        <v>83</v>
      </c>
      <c r="B8" s="2870"/>
      <c r="C8" s="2870"/>
      <c r="D8" s="2870"/>
      <c r="E8" s="2870"/>
      <c r="F8" s="2870"/>
      <c r="G8" s="2870"/>
      <c r="H8" s="2870"/>
      <c r="I8" s="2870"/>
      <c r="J8" s="2870"/>
      <c r="K8" s="2870"/>
      <c r="L8" s="14" t="s">
        <v>84</v>
      </c>
      <c r="M8" s="14" t="s">
        <v>85</v>
      </c>
      <c r="N8" s="71" t="s">
        <v>86</v>
      </c>
      <c r="O8" s="14" t="s">
        <v>84</v>
      </c>
      <c r="P8" s="14" t="s">
        <v>85</v>
      </c>
      <c r="Q8" s="71" t="s">
        <v>86</v>
      </c>
      <c r="R8" s="14" t="s">
        <v>84</v>
      </c>
      <c r="S8" s="14" t="s">
        <v>85</v>
      </c>
      <c r="T8" s="71" t="s">
        <v>86</v>
      </c>
      <c r="U8" s="14" t="s">
        <v>84</v>
      </c>
      <c r="V8" s="14" t="s">
        <v>85</v>
      </c>
      <c r="W8" s="71" t="s">
        <v>86</v>
      </c>
      <c r="X8" s="14" t="s">
        <v>84</v>
      </c>
      <c r="Y8" s="14" t="s">
        <v>85</v>
      </c>
      <c r="Z8" s="71" t="s">
        <v>86</v>
      </c>
      <c r="AA8" s="14" t="s">
        <v>84</v>
      </c>
      <c r="AB8" s="14" t="s">
        <v>85</v>
      </c>
      <c r="AC8" s="71" t="s">
        <v>86</v>
      </c>
      <c r="AD8" s="16" t="s">
        <v>87</v>
      </c>
      <c r="AE8" s="71" t="s">
        <v>6</v>
      </c>
      <c r="AF8" s="14" t="s">
        <v>84</v>
      </c>
      <c r="AG8" s="14" t="s">
        <v>85</v>
      </c>
      <c r="AH8" s="71" t="s">
        <v>86</v>
      </c>
      <c r="AI8" s="14" t="s">
        <v>84</v>
      </c>
      <c r="AJ8" s="14" t="s">
        <v>85</v>
      </c>
      <c r="AK8" s="71" t="s">
        <v>86</v>
      </c>
      <c r="AL8" s="14" t="s">
        <v>84</v>
      </c>
      <c r="AM8" s="14" t="s">
        <v>85</v>
      </c>
      <c r="AN8" s="71" t="s">
        <v>86</v>
      </c>
      <c r="AO8" s="14" t="s">
        <v>84</v>
      </c>
      <c r="AP8" s="14" t="s">
        <v>85</v>
      </c>
      <c r="AQ8" s="71" t="s">
        <v>86</v>
      </c>
      <c r="AR8" s="14" t="s">
        <v>84</v>
      </c>
      <c r="AS8" s="14" t="s">
        <v>85</v>
      </c>
      <c r="AT8" s="71" t="s">
        <v>86</v>
      </c>
      <c r="AU8" s="14" t="s">
        <v>84</v>
      </c>
      <c r="AV8" s="14" t="s">
        <v>85</v>
      </c>
      <c r="AW8" s="71" t="s">
        <v>86</v>
      </c>
      <c r="AX8" s="14" t="s">
        <v>87</v>
      </c>
      <c r="AY8" s="14" t="s">
        <v>6</v>
      </c>
      <c r="AZ8" s="1003">
        <f>+(AY9+AY10+AY11+AY12+AY13+AY14+AY15+AY16+AY17+AY18+AY19+AY20+AY21+AY22+AY23+AY24+AY25+AY26+AY27+AY28+AY29+AY31+AY32+AY33+AY34+AY35+AY36+AY37+AY38+AY39+AY40+AY41+AY42+AY44+AY45+AY47)/36</f>
        <v>1.4907783946457012</v>
      </c>
      <c r="BA8" s="944"/>
      <c r="BB8" s="944"/>
      <c r="BC8" s="944"/>
      <c r="BD8" s="944"/>
      <c r="BE8" s="944"/>
      <c r="BF8" s="944"/>
      <c r="BG8" s="944"/>
      <c r="BH8" s="944"/>
      <c r="BI8" s="944"/>
      <c r="BJ8" s="944"/>
      <c r="BK8" s="944"/>
      <c r="BL8" s="944"/>
      <c r="BM8" s="944"/>
      <c r="BN8" s="944"/>
      <c r="BO8" s="944"/>
      <c r="BP8" s="944"/>
      <c r="BQ8" s="944"/>
      <c r="BR8" s="944"/>
      <c r="BS8" s="944"/>
      <c r="BT8" s="944"/>
      <c r="BU8" s="944"/>
      <c r="BV8" s="944"/>
      <c r="BW8" s="944"/>
      <c r="BX8" s="944"/>
      <c r="BY8" s="944"/>
      <c r="BZ8" s="944"/>
      <c r="CA8" s="944"/>
      <c r="CB8" s="944"/>
      <c r="CC8" s="944"/>
      <c r="CD8" s="944"/>
      <c r="CE8" s="944"/>
      <c r="CF8" s="944"/>
      <c r="CG8" s="944"/>
      <c r="CH8" s="944"/>
      <c r="CI8" s="944"/>
      <c r="CJ8" s="944"/>
      <c r="CK8" s="944"/>
      <c r="CL8" s="944"/>
      <c r="CM8" s="944"/>
      <c r="CN8" s="944"/>
      <c r="CO8" s="944"/>
      <c r="CP8" s="944"/>
      <c r="CQ8" s="944"/>
      <c r="CR8" s="944"/>
      <c r="CS8" s="944"/>
      <c r="CT8" s="944"/>
      <c r="CU8" s="944"/>
      <c r="CV8" s="944"/>
      <c r="CW8" s="944"/>
      <c r="CX8" s="944"/>
      <c r="CY8" s="944"/>
      <c r="CZ8" s="944"/>
      <c r="DA8" s="944"/>
      <c r="DB8" s="944"/>
      <c r="DC8" s="944"/>
      <c r="DD8" s="944"/>
      <c r="DE8" s="944"/>
      <c r="DF8" s="944"/>
      <c r="DG8" s="944"/>
      <c r="DH8" s="944"/>
      <c r="DI8" s="944"/>
      <c r="DJ8" s="944"/>
      <c r="DK8" s="944"/>
      <c r="DL8" s="944"/>
      <c r="DM8" s="944"/>
      <c r="DN8" s="944"/>
      <c r="DO8" s="944"/>
      <c r="DP8" s="944"/>
      <c r="DQ8" s="944"/>
      <c r="DR8" s="944"/>
      <c r="DS8" s="944"/>
      <c r="DT8" s="944"/>
      <c r="DU8" s="944"/>
      <c r="DV8" s="944"/>
      <c r="DW8" s="944"/>
      <c r="DX8" s="944"/>
      <c r="DY8" s="944"/>
      <c r="DZ8" s="944"/>
      <c r="EA8" s="944"/>
      <c r="EB8" s="944"/>
      <c r="EC8" s="944"/>
      <c r="ED8" s="944"/>
      <c r="EE8" s="944"/>
      <c r="EF8" s="944"/>
      <c r="EG8" s="944"/>
      <c r="EH8" s="944"/>
      <c r="EI8" s="944"/>
      <c r="EJ8" s="944"/>
      <c r="EK8" s="944"/>
      <c r="EL8" s="944"/>
      <c r="EM8" s="944"/>
      <c r="EN8" s="944"/>
      <c r="EO8" s="944"/>
      <c r="EP8" s="944"/>
      <c r="EQ8" s="944"/>
      <c r="ER8" s="944"/>
      <c r="ES8" s="944"/>
      <c r="ET8" s="944"/>
      <c r="EU8" s="944"/>
      <c r="EV8" s="944"/>
      <c r="EW8" s="944"/>
      <c r="EX8" s="944"/>
      <c r="EY8" s="944"/>
      <c r="EZ8" s="944"/>
      <c r="FA8" s="944"/>
      <c r="FB8" s="944"/>
      <c r="FC8" s="944"/>
      <c r="FD8" s="944"/>
      <c r="FE8" s="944"/>
      <c r="FF8" s="944"/>
      <c r="FG8" s="944"/>
      <c r="FH8" s="944"/>
      <c r="FI8" s="944"/>
      <c r="FJ8" s="944"/>
      <c r="FK8" s="944"/>
      <c r="FL8" s="944"/>
      <c r="FM8" s="944"/>
      <c r="FN8" s="944"/>
      <c r="FO8" s="944"/>
      <c r="FP8" s="944"/>
      <c r="FQ8" s="944"/>
      <c r="FR8" s="944"/>
      <c r="FS8" s="944"/>
      <c r="FT8" s="944"/>
      <c r="FU8" s="944"/>
      <c r="FV8" s="944"/>
      <c r="FW8" s="944"/>
      <c r="FX8" s="944"/>
      <c r="FY8" s="944"/>
      <c r="FZ8" s="944"/>
      <c r="GA8" s="944"/>
      <c r="GB8" s="944"/>
      <c r="GC8" s="944"/>
      <c r="GD8" s="944"/>
      <c r="GE8" s="944"/>
      <c r="GF8" s="944"/>
      <c r="GG8" s="944"/>
      <c r="GH8" s="944"/>
      <c r="GI8" s="944"/>
      <c r="GJ8" s="944"/>
      <c r="GK8" s="944"/>
      <c r="GL8" s="944"/>
      <c r="GM8" s="944"/>
      <c r="GN8" s="944"/>
      <c r="GO8" s="944"/>
      <c r="GP8" s="944"/>
      <c r="GQ8" s="944"/>
      <c r="GR8" s="944"/>
      <c r="GS8" s="944"/>
      <c r="GT8" s="944"/>
      <c r="GU8" s="944"/>
      <c r="GV8" s="944"/>
      <c r="GW8" s="944"/>
      <c r="GX8" s="944"/>
      <c r="GY8" s="944"/>
      <c r="GZ8" s="944"/>
      <c r="HA8" s="944"/>
      <c r="HB8" s="944"/>
      <c r="HC8" s="944"/>
      <c r="HD8" s="944"/>
      <c r="HE8" s="944"/>
      <c r="HF8" s="944"/>
      <c r="HG8" s="944"/>
      <c r="HH8" s="944"/>
      <c r="HI8" s="944"/>
      <c r="HJ8" s="944"/>
      <c r="HK8" s="944"/>
      <c r="HL8" s="944"/>
      <c r="HM8" s="944"/>
      <c r="HN8" s="944"/>
      <c r="HO8" s="944"/>
      <c r="HP8" s="944"/>
      <c r="HQ8" s="944"/>
      <c r="HR8" s="944"/>
      <c r="HS8" s="944"/>
      <c r="HT8" s="944"/>
      <c r="HU8" s="944"/>
      <c r="HV8" s="944"/>
      <c r="HW8" s="944"/>
      <c r="HX8" s="944"/>
      <c r="HY8" s="944"/>
      <c r="HZ8" s="944"/>
      <c r="IA8" s="944"/>
      <c r="IB8" s="944"/>
      <c r="IC8" s="944"/>
      <c r="ID8" s="944"/>
      <c r="IE8" s="944"/>
      <c r="IF8" s="944"/>
      <c r="IG8" s="944"/>
      <c r="IH8" s="944"/>
      <c r="II8" s="944"/>
      <c r="IJ8" s="944"/>
      <c r="IK8" s="944"/>
      <c r="IL8" s="944"/>
      <c r="IM8" s="944"/>
      <c r="IN8" s="944"/>
      <c r="IO8" s="944"/>
      <c r="IP8" s="944"/>
      <c r="IQ8" s="944"/>
      <c r="IR8" s="944"/>
      <c r="IS8" s="944"/>
      <c r="IT8" s="944"/>
      <c r="IU8" s="944"/>
      <c r="IV8" s="944"/>
      <c r="IW8" s="944"/>
      <c r="IX8" s="944"/>
      <c r="IY8" s="944"/>
      <c r="IZ8" s="944"/>
      <c r="JA8" s="944"/>
      <c r="JB8" s="944"/>
      <c r="JC8" s="944"/>
      <c r="JD8" s="944"/>
      <c r="JE8" s="944"/>
      <c r="JF8" s="944"/>
      <c r="JG8" s="944"/>
      <c r="JH8" s="944"/>
      <c r="JI8" s="944"/>
      <c r="JJ8" s="944"/>
      <c r="JK8" s="944"/>
      <c r="JL8" s="944"/>
      <c r="JM8" s="944"/>
      <c r="JN8" s="944"/>
      <c r="JO8" s="944"/>
      <c r="JP8" s="944"/>
      <c r="JQ8" s="944"/>
      <c r="JR8" s="944"/>
      <c r="JS8" s="944"/>
      <c r="JT8" s="944"/>
      <c r="JU8" s="944"/>
      <c r="JV8" s="944"/>
      <c r="JW8" s="944"/>
      <c r="JX8" s="944"/>
      <c r="JY8" s="944"/>
      <c r="JZ8" s="944"/>
      <c r="KA8" s="944"/>
      <c r="KB8" s="944"/>
      <c r="KC8" s="944"/>
      <c r="KD8" s="944"/>
      <c r="KE8" s="944"/>
      <c r="KF8" s="944"/>
      <c r="KG8" s="944"/>
      <c r="KH8" s="944"/>
      <c r="KI8" s="944"/>
      <c r="KJ8" s="944"/>
      <c r="KK8" s="944"/>
      <c r="KL8" s="944"/>
      <c r="KM8" s="944"/>
      <c r="KN8" s="944"/>
      <c r="KO8" s="944"/>
      <c r="KP8" s="944"/>
      <c r="KQ8" s="944"/>
      <c r="KR8" s="944"/>
      <c r="KS8" s="944"/>
      <c r="KT8" s="944"/>
      <c r="KU8" s="944"/>
      <c r="KV8" s="944"/>
      <c r="KW8" s="944"/>
      <c r="KX8" s="944"/>
      <c r="KY8" s="944"/>
      <c r="KZ8" s="944"/>
      <c r="LA8" s="944"/>
      <c r="LB8" s="944"/>
      <c r="LC8" s="944"/>
      <c r="LD8" s="944"/>
      <c r="LE8" s="944"/>
      <c r="LF8" s="944"/>
      <c r="LG8" s="944"/>
      <c r="LH8" s="944"/>
      <c r="LI8" s="944"/>
      <c r="LJ8" s="944"/>
      <c r="LK8" s="944"/>
      <c r="LL8" s="944"/>
      <c r="LM8" s="944"/>
      <c r="LN8" s="944"/>
      <c r="LO8" s="944"/>
      <c r="LP8" s="944"/>
      <c r="LQ8" s="944"/>
      <c r="LR8" s="944"/>
      <c r="LS8" s="944"/>
      <c r="LT8" s="944"/>
      <c r="LU8" s="944"/>
      <c r="LV8" s="944"/>
      <c r="LW8" s="944"/>
      <c r="LX8" s="944"/>
      <c r="LY8" s="944"/>
      <c r="LZ8" s="944"/>
      <c r="MA8" s="944"/>
      <c r="MB8" s="944"/>
      <c r="MC8" s="944"/>
      <c r="MD8" s="944"/>
      <c r="ME8" s="944"/>
      <c r="MF8" s="944"/>
      <c r="MG8" s="944"/>
      <c r="MH8" s="944"/>
      <c r="MI8" s="944"/>
      <c r="MJ8" s="944"/>
      <c r="MK8" s="944"/>
      <c r="ML8" s="944"/>
      <c r="MM8" s="944"/>
      <c r="MN8" s="944"/>
      <c r="MO8" s="944"/>
      <c r="MP8" s="944"/>
      <c r="MQ8" s="944"/>
      <c r="MR8" s="944"/>
      <c r="MS8" s="944"/>
      <c r="MT8" s="944"/>
      <c r="MU8" s="944"/>
      <c r="MV8" s="944"/>
      <c r="MW8" s="944"/>
      <c r="MX8" s="944"/>
      <c r="MY8" s="944"/>
      <c r="MZ8" s="944"/>
      <c r="NA8" s="944"/>
      <c r="NB8" s="944"/>
      <c r="NC8" s="944"/>
      <c r="ND8" s="944"/>
      <c r="NE8" s="944"/>
      <c r="NF8" s="944"/>
      <c r="NG8" s="944"/>
      <c r="NH8" s="944"/>
      <c r="NI8" s="944"/>
      <c r="NJ8" s="944"/>
      <c r="NK8" s="944"/>
      <c r="NL8" s="944"/>
      <c r="NM8" s="944"/>
      <c r="NN8" s="944"/>
      <c r="NO8" s="944"/>
      <c r="NP8" s="944"/>
      <c r="NQ8" s="944"/>
      <c r="NR8" s="944"/>
      <c r="NS8" s="944"/>
      <c r="NT8" s="944"/>
      <c r="NU8" s="944"/>
      <c r="NV8" s="944"/>
      <c r="NW8" s="944"/>
      <c r="NX8" s="944"/>
      <c r="NY8" s="944"/>
      <c r="NZ8" s="944"/>
      <c r="OA8" s="944"/>
      <c r="OB8" s="944"/>
      <c r="OC8" s="944"/>
      <c r="OD8" s="944"/>
      <c r="OE8" s="944"/>
      <c r="OF8" s="944"/>
      <c r="OG8" s="944"/>
      <c r="OH8" s="944"/>
      <c r="OI8" s="944"/>
      <c r="OJ8" s="944"/>
      <c r="OK8" s="944"/>
      <c r="OL8" s="944"/>
      <c r="OM8" s="944"/>
      <c r="ON8" s="944"/>
      <c r="OO8" s="944"/>
      <c r="OP8" s="944"/>
      <c r="OQ8" s="944"/>
      <c r="OR8" s="944"/>
      <c r="OS8" s="944"/>
      <c r="OT8" s="944"/>
      <c r="OU8" s="944"/>
      <c r="OV8" s="944"/>
      <c r="OW8" s="944"/>
      <c r="OX8" s="944"/>
      <c r="OY8" s="944"/>
      <c r="OZ8" s="944"/>
      <c r="PA8" s="944"/>
      <c r="PB8" s="944"/>
      <c r="PC8" s="944"/>
      <c r="PD8" s="944"/>
      <c r="PE8" s="944"/>
      <c r="PF8" s="944"/>
      <c r="PG8" s="944"/>
      <c r="PH8" s="944"/>
      <c r="PI8" s="944"/>
      <c r="PJ8" s="944"/>
      <c r="PK8" s="944"/>
      <c r="PL8" s="944"/>
      <c r="PM8" s="944"/>
      <c r="PN8" s="944"/>
      <c r="PO8" s="944"/>
      <c r="PP8" s="944"/>
      <c r="PQ8" s="944"/>
      <c r="PR8" s="944"/>
      <c r="PS8" s="944"/>
      <c r="PT8" s="944"/>
      <c r="PU8" s="944"/>
      <c r="PV8" s="944"/>
      <c r="PW8" s="944"/>
      <c r="PX8" s="944"/>
      <c r="PY8" s="944"/>
      <c r="PZ8" s="944"/>
      <c r="QA8" s="944"/>
      <c r="QB8" s="944"/>
      <c r="QC8" s="944"/>
      <c r="QD8" s="944"/>
      <c r="QE8" s="944"/>
      <c r="QF8" s="944"/>
      <c r="QG8" s="944"/>
      <c r="QH8" s="944"/>
      <c r="QI8" s="944"/>
      <c r="QJ8" s="944"/>
      <c r="QK8" s="944"/>
      <c r="QL8" s="944"/>
      <c r="QM8" s="944"/>
      <c r="QN8" s="944"/>
      <c r="QO8" s="944"/>
      <c r="QP8" s="944"/>
      <c r="QQ8" s="944"/>
      <c r="QR8" s="944"/>
      <c r="QS8" s="944"/>
      <c r="QT8" s="944"/>
      <c r="QU8" s="944"/>
      <c r="QV8" s="944"/>
      <c r="QW8" s="944"/>
      <c r="QX8" s="944"/>
      <c r="QY8" s="944"/>
      <c r="QZ8" s="944"/>
      <c r="RA8" s="944"/>
      <c r="RB8" s="944"/>
      <c r="RC8" s="944"/>
      <c r="RD8" s="944"/>
      <c r="RE8" s="944"/>
      <c r="RF8" s="944"/>
      <c r="RG8" s="944"/>
      <c r="RH8" s="944"/>
      <c r="RI8" s="944"/>
      <c r="RJ8" s="944"/>
      <c r="RK8" s="944"/>
      <c r="RL8" s="944"/>
      <c r="RM8" s="944"/>
      <c r="RN8" s="944"/>
      <c r="RO8" s="944"/>
      <c r="RP8" s="944"/>
      <c r="RQ8" s="944"/>
      <c r="RR8" s="944"/>
      <c r="RS8" s="944"/>
      <c r="RT8" s="944"/>
      <c r="RU8" s="944"/>
      <c r="RV8" s="944"/>
      <c r="RW8" s="944"/>
      <c r="RX8" s="944"/>
      <c r="RY8" s="944"/>
      <c r="RZ8" s="944"/>
      <c r="SA8" s="944"/>
      <c r="SB8" s="944"/>
      <c r="SC8" s="944"/>
      <c r="SD8" s="944"/>
      <c r="SE8" s="944"/>
      <c r="SF8" s="944"/>
      <c r="SG8" s="944"/>
      <c r="SH8" s="944"/>
      <c r="SI8" s="944"/>
      <c r="SJ8" s="944"/>
      <c r="SK8" s="944"/>
      <c r="SL8" s="944"/>
      <c r="SM8" s="944"/>
      <c r="SN8" s="944"/>
      <c r="SO8" s="944"/>
      <c r="SP8" s="944"/>
      <c r="SQ8" s="944"/>
      <c r="SR8" s="944"/>
      <c r="SS8" s="944"/>
      <c r="ST8" s="944"/>
      <c r="SU8" s="944"/>
      <c r="SV8" s="944"/>
      <c r="SW8" s="944"/>
      <c r="SX8" s="944"/>
      <c r="SY8" s="944"/>
      <c r="SZ8" s="944"/>
      <c r="TA8" s="944"/>
      <c r="TB8" s="944"/>
      <c r="TC8" s="944"/>
      <c r="TD8" s="944"/>
      <c r="TE8" s="944"/>
      <c r="TF8" s="944"/>
      <c r="TG8" s="944"/>
      <c r="TH8" s="944"/>
      <c r="TI8" s="944"/>
      <c r="TJ8" s="944"/>
      <c r="TK8" s="944"/>
      <c r="TL8" s="944"/>
      <c r="TM8" s="944"/>
      <c r="TN8" s="944"/>
      <c r="TO8" s="944"/>
      <c r="TP8" s="944"/>
      <c r="TQ8" s="944"/>
      <c r="TR8" s="944"/>
      <c r="TS8" s="944"/>
      <c r="TT8" s="944"/>
      <c r="TU8" s="944"/>
      <c r="TV8" s="944"/>
      <c r="TW8" s="944"/>
      <c r="TX8" s="944"/>
      <c r="TY8" s="944"/>
      <c r="TZ8" s="944"/>
      <c r="UA8" s="944"/>
      <c r="UB8" s="944"/>
      <c r="UC8" s="944"/>
      <c r="UD8" s="944"/>
      <c r="UE8" s="944"/>
      <c r="UF8" s="944"/>
      <c r="UG8" s="944"/>
      <c r="UH8" s="944"/>
      <c r="UI8" s="944"/>
      <c r="UJ8" s="944"/>
      <c r="UK8" s="944"/>
      <c r="UL8" s="944"/>
      <c r="UM8" s="944"/>
      <c r="UN8" s="944"/>
      <c r="UO8" s="944"/>
      <c r="UP8" s="944"/>
      <c r="UQ8" s="944"/>
      <c r="UR8" s="944"/>
      <c r="US8" s="944"/>
      <c r="UT8" s="944"/>
      <c r="UU8" s="944"/>
      <c r="UV8" s="944"/>
      <c r="UW8" s="944"/>
      <c r="UX8" s="944"/>
      <c r="UY8" s="944"/>
      <c r="UZ8" s="944"/>
      <c r="VA8" s="944"/>
      <c r="VB8" s="944"/>
      <c r="VC8" s="944"/>
      <c r="VD8" s="944"/>
      <c r="VE8" s="944"/>
      <c r="VF8" s="944"/>
      <c r="VG8" s="944"/>
      <c r="VH8" s="944"/>
      <c r="VI8" s="944"/>
      <c r="VJ8" s="944"/>
      <c r="VK8" s="944"/>
      <c r="VL8" s="944"/>
      <c r="VM8" s="944"/>
      <c r="VN8" s="944"/>
      <c r="VO8" s="944"/>
      <c r="VP8" s="944"/>
      <c r="VQ8" s="944"/>
      <c r="VR8" s="944"/>
      <c r="VS8" s="944"/>
      <c r="VT8" s="944"/>
      <c r="VU8" s="944"/>
      <c r="VV8" s="944"/>
      <c r="VW8" s="944"/>
      <c r="VX8" s="944"/>
      <c r="VY8" s="944"/>
      <c r="VZ8" s="944"/>
      <c r="WA8" s="944"/>
      <c r="WB8" s="944"/>
      <c r="WC8" s="944"/>
      <c r="WD8" s="944"/>
      <c r="WE8" s="944"/>
      <c r="WF8" s="944"/>
      <c r="WG8" s="944"/>
      <c r="WH8" s="944"/>
      <c r="WI8" s="944"/>
      <c r="WJ8" s="944"/>
      <c r="WK8" s="944"/>
      <c r="WL8" s="944"/>
      <c r="WM8" s="944"/>
      <c r="WN8" s="944"/>
      <c r="WO8" s="944"/>
      <c r="WP8" s="944"/>
      <c r="WQ8" s="944"/>
      <c r="WR8" s="944"/>
      <c r="WS8" s="944"/>
      <c r="WT8" s="944"/>
      <c r="WU8" s="944"/>
      <c r="WV8" s="944"/>
      <c r="WW8" s="944"/>
      <c r="WX8" s="944"/>
      <c r="WY8" s="944"/>
      <c r="WZ8" s="944"/>
      <c r="XA8" s="944"/>
      <c r="XB8" s="944"/>
      <c r="XC8" s="944"/>
      <c r="XD8" s="944"/>
      <c r="XE8" s="944"/>
      <c r="XF8" s="944"/>
      <c r="XG8" s="944"/>
      <c r="XH8" s="944"/>
      <c r="XI8" s="944"/>
      <c r="XJ8" s="944"/>
      <c r="XK8" s="944"/>
      <c r="XL8" s="944"/>
      <c r="XM8" s="944"/>
      <c r="XN8" s="944"/>
      <c r="XO8" s="944"/>
      <c r="XP8" s="944"/>
      <c r="XQ8" s="944"/>
      <c r="XR8" s="944"/>
      <c r="XS8" s="944"/>
      <c r="XT8" s="944"/>
      <c r="XU8" s="944"/>
      <c r="XV8" s="944"/>
      <c r="XW8" s="944"/>
      <c r="XX8" s="944"/>
      <c r="XY8" s="944"/>
      <c r="XZ8" s="944"/>
      <c r="YA8" s="944"/>
      <c r="YB8" s="944"/>
      <c r="YC8" s="944"/>
      <c r="YD8" s="944"/>
      <c r="YE8" s="944"/>
      <c r="YF8" s="944"/>
      <c r="YG8" s="944"/>
      <c r="YH8" s="944"/>
      <c r="YI8" s="944"/>
      <c r="YJ8" s="944"/>
      <c r="YK8" s="944"/>
      <c r="YL8" s="944"/>
      <c r="YM8" s="944"/>
      <c r="YN8" s="944"/>
      <c r="YO8" s="944"/>
      <c r="YP8" s="944"/>
      <c r="YQ8" s="944"/>
      <c r="YR8" s="944"/>
      <c r="YS8" s="944"/>
      <c r="YT8" s="944"/>
      <c r="YU8" s="944"/>
      <c r="YV8" s="944"/>
      <c r="YW8" s="944"/>
      <c r="YX8" s="944"/>
      <c r="YY8" s="944"/>
      <c r="YZ8" s="944"/>
      <c r="ZA8" s="944"/>
      <c r="ZB8" s="944"/>
      <c r="ZC8" s="944"/>
      <c r="ZD8" s="944"/>
      <c r="ZE8" s="944"/>
      <c r="ZF8" s="944"/>
      <c r="ZG8" s="944"/>
      <c r="ZH8" s="944"/>
      <c r="ZI8" s="944"/>
      <c r="ZJ8" s="944"/>
      <c r="ZK8" s="944"/>
      <c r="ZL8" s="944"/>
      <c r="ZM8" s="944"/>
      <c r="ZN8" s="944"/>
      <c r="ZO8" s="944"/>
      <c r="ZP8" s="944"/>
      <c r="ZQ8" s="944"/>
      <c r="ZR8" s="944"/>
      <c r="ZS8" s="944"/>
      <c r="ZT8" s="944"/>
      <c r="ZU8" s="944"/>
      <c r="ZV8" s="944"/>
      <c r="ZW8" s="944"/>
      <c r="ZX8" s="944"/>
      <c r="ZY8" s="944"/>
      <c r="ZZ8" s="944"/>
      <c r="AAA8" s="944"/>
      <c r="AAB8" s="944"/>
      <c r="AAC8" s="944"/>
      <c r="AAD8" s="944"/>
      <c r="AAE8" s="944"/>
      <c r="AAF8" s="944"/>
      <c r="AAG8" s="944"/>
      <c r="AAH8" s="944"/>
      <c r="AAI8" s="944"/>
      <c r="AAJ8" s="944"/>
      <c r="AAK8" s="944"/>
      <c r="AAL8" s="944"/>
      <c r="AAM8" s="944"/>
      <c r="AAN8" s="944"/>
      <c r="AAO8" s="944"/>
      <c r="AAP8" s="944"/>
      <c r="AAQ8" s="944"/>
      <c r="AAR8" s="944"/>
      <c r="AAS8" s="944"/>
      <c r="AAT8" s="944"/>
      <c r="AAU8" s="944"/>
      <c r="AAV8" s="944"/>
      <c r="AAW8" s="944"/>
      <c r="AAX8" s="944"/>
      <c r="AAY8" s="944"/>
      <c r="AAZ8" s="944"/>
      <c r="ABA8" s="944"/>
      <c r="ABB8" s="944"/>
      <c r="ABC8" s="944"/>
      <c r="ABD8" s="944"/>
      <c r="ABE8" s="944"/>
      <c r="ABF8" s="944"/>
      <c r="ABG8" s="944"/>
      <c r="ABH8" s="944"/>
      <c r="ABI8" s="944"/>
      <c r="ABJ8" s="944"/>
      <c r="ABK8" s="944"/>
      <c r="ABL8" s="944"/>
      <c r="ABM8" s="944"/>
      <c r="ABN8" s="944"/>
      <c r="ABO8" s="944"/>
      <c r="ABP8" s="944"/>
      <c r="ABQ8" s="944"/>
      <c r="ABR8" s="944"/>
      <c r="ABS8" s="944"/>
      <c r="ABT8" s="944"/>
      <c r="ABU8" s="944"/>
      <c r="ABV8" s="944"/>
      <c r="ABW8" s="944"/>
      <c r="ABX8" s="944"/>
      <c r="ABY8" s="944"/>
      <c r="ABZ8" s="944"/>
      <c r="ACA8" s="944"/>
      <c r="ACB8" s="944"/>
      <c r="ACC8" s="944"/>
      <c r="ACD8" s="944"/>
      <c r="ACE8" s="944"/>
      <c r="ACF8" s="944"/>
      <c r="ACG8" s="944"/>
      <c r="ACH8" s="944"/>
      <c r="ACI8" s="944"/>
      <c r="ACJ8" s="944"/>
      <c r="ACK8" s="944"/>
      <c r="ACL8" s="944"/>
      <c r="ACM8" s="944"/>
      <c r="ACN8" s="944"/>
      <c r="ACO8" s="944"/>
      <c r="ACP8" s="944"/>
      <c r="ACQ8" s="944"/>
      <c r="ACR8" s="944"/>
      <c r="ACS8" s="944"/>
      <c r="ACT8" s="944"/>
      <c r="ACU8" s="944"/>
      <c r="ACV8" s="944"/>
      <c r="ACW8" s="944"/>
      <c r="ACX8" s="944"/>
      <c r="ACY8" s="944"/>
      <c r="ACZ8" s="944"/>
      <c r="ADA8" s="944"/>
      <c r="ADB8" s="944"/>
      <c r="ADC8" s="944"/>
      <c r="ADD8" s="944"/>
      <c r="ADE8" s="944"/>
      <c r="ADF8" s="944"/>
      <c r="ADG8" s="944"/>
      <c r="ADH8" s="944"/>
      <c r="ADI8" s="944"/>
      <c r="ADJ8" s="944"/>
      <c r="ADK8" s="944"/>
      <c r="ADL8" s="944"/>
      <c r="ADM8" s="944"/>
      <c r="ADN8" s="944"/>
      <c r="ADO8" s="944"/>
      <c r="ADP8" s="944"/>
      <c r="ADQ8" s="944"/>
      <c r="ADR8" s="944"/>
      <c r="ADS8" s="944"/>
      <c r="ADT8" s="944"/>
      <c r="ADU8" s="944"/>
      <c r="ADV8" s="944"/>
      <c r="ADW8" s="944"/>
      <c r="ADX8" s="944"/>
      <c r="ADY8" s="944"/>
      <c r="ADZ8" s="944"/>
      <c r="AEA8" s="944"/>
      <c r="AEB8" s="944"/>
      <c r="AEC8" s="944"/>
      <c r="AED8" s="944"/>
      <c r="AEE8" s="944"/>
      <c r="AEF8" s="944"/>
      <c r="AEG8" s="944"/>
      <c r="AEH8" s="944"/>
      <c r="AEI8" s="944"/>
      <c r="AEJ8" s="944"/>
      <c r="AEK8" s="944"/>
      <c r="AEL8" s="944"/>
      <c r="AEM8" s="944"/>
      <c r="AEN8" s="944"/>
      <c r="AEO8" s="944"/>
      <c r="AEP8" s="944"/>
      <c r="AEQ8" s="944"/>
      <c r="AER8" s="944"/>
      <c r="AES8" s="944"/>
      <c r="AET8" s="944"/>
      <c r="AEU8" s="944"/>
      <c r="AEV8" s="944"/>
      <c r="AEW8" s="944"/>
      <c r="AEX8" s="944"/>
      <c r="AEY8" s="944"/>
      <c r="AEZ8" s="944"/>
      <c r="AFA8" s="944"/>
      <c r="AFB8" s="944"/>
      <c r="AFC8" s="944"/>
      <c r="AFD8" s="944"/>
      <c r="AFE8" s="944"/>
      <c r="AFF8" s="944"/>
      <c r="AFG8" s="944"/>
      <c r="AFH8" s="944"/>
      <c r="AFI8" s="944"/>
      <c r="AFJ8" s="944"/>
      <c r="AFK8" s="944"/>
      <c r="AFL8" s="944"/>
      <c r="AFM8" s="944"/>
      <c r="AFN8" s="944"/>
      <c r="AFO8" s="944"/>
      <c r="AFP8" s="944"/>
      <c r="AFQ8" s="944"/>
      <c r="AFR8" s="944"/>
      <c r="AFS8" s="944"/>
      <c r="AFT8" s="944"/>
      <c r="AFU8" s="944"/>
      <c r="AFV8" s="944"/>
      <c r="AFW8" s="944"/>
      <c r="AFX8" s="944"/>
      <c r="AFY8" s="944"/>
      <c r="AFZ8" s="944"/>
      <c r="AGA8" s="944"/>
      <c r="AGB8" s="944"/>
      <c r="AGC8" s="944"/>
      <c r="AGD8" s="944"/>
      <c r="AGE8" s="944"/>
      <c r="AGF8" s="944"/>
      <c r="AGG8" s="944"/>
      <c r="AGH8" s="944"/>
      <c r="AGI8" s="944"/>
      <c r="AGJ8" s="944"/>
      <c r="AGK8" s="944"/>
      <c r="AGL8" s="944"/>
      <c r="AGM8" s="944"/>
      <c r="AGN8" s="944"/>
      <c r="AGO8" s="944"/>
      <c r="AGP8" s="944"/>
      <c r="AGQ8" s="944"/>
      <c r="AGR8" s="944"/>
      <c r="AGS8" s="944"/>
      <c r="AGT8" s="944"/>
      <c r="AGU8" s="944"/>
      <c r="AGV8" s="944"/>
      <c r="AGW8" s="944"/>
      <c r="AGX8" s="944"/>
      <c r="AGY8" s="944"/>
      <c r="AGZ8" s="944"/>
      <c r="AHA8" s="944"/>
      <c r="AHB8" s="944"/>
      <c r="AHC8" s="944"/>
      <c r="AHD8" s="944"/>
      <c r="AHE8" s="944"/>
      <c r="AHF8" s="944"/>
      <c r="AHG8" s="944"/>
      <c r="AHH8" s="944"/>
      <c r="AHI8" s="944"/>
      <c r="AHJ8" s="944"/>
      <c r="AHK8" s="944"/>
      <c r="AHL8" s="944"/>
      <c r="AHM8" s="944"/>
      <c r="AHN8" s="944"/>
      <c r="AHO8" s="944"/>
      <c r="AHP8" s="944"/>
      <c r="AHQ8" s="944"/>
      <c r="AHR8" s="944"/>
      <c r="AHS8" s="944"/>
      <c r="AHT8" s="944"/>
      <c r="AHU8" s="944"/>
      <c r="AHV8" s="944"/>
      <c r="AHW8" s="944"/>
      <c r="AHX8" s="944"/>
      <c r="AHY8" s="944"/>
      <c r="AHZ8" s="944"/>
      <c r="AIA8" s="944"/>
      <c r="AIB8" s="944"/>
      <c r="AIC8" s="944"/>
      <c r="AID8" s="944"/>
      <c r="AIE8" s="944"/>
      <c r="AIF8" s="944"/>
      <c r="AIG8" s="944"/>
      <c r="AIH8" s="944"/>
      <c r="AII8" s="944"/>
      <c r="AIJ8" s="944"/>
      <c r="AIK8" s="944"/>
      <c r="AIL8" s="944"/>
      <c r="AIM8" s="944"/>
      <c r="AIN8" s="944"/>
      <c r="AIO8" s="944"/>
      <c r="AIP8" s="944"/>
      <c r="AIQ8" s="944"/>
      <c r="AIR8" s="944"/>
      <c r="AIS8" s="944"/>
      <c r="AIT8" s="944"/>
      <c r="AIU8" s="944"/>
      <c r="AIV8" s="944"/>
      <c r="AIW8" s="944"/>
      <c r="AIX8" s="944"/>
      <c r="AIY8" s="944"/>
      <c r="AIZ8" s="944"/>
      <c r="AJA8" s="944"/>
      <c r="AJB8" s="944"/>
      <c r="AJC8" s="944"/>
      <c r="AJD8" s="944"/>
      <c r="AJE8" s="944"/>
      <c r="AJF8" s="944"/>
      <c r="AJG8" s="944"/>
      <c r="AJH8" s="944"/>
      <c r="AJI8" s="944"/>
      <c r="AJJ8" s="944"/>
      <c r="AJK8" s="944"/>
      <c r="AJL8" s="944"/>
      <c r="AJM8" s="944"/>
      <c r="AJN8" s="944"/>
      <c r="AJO8" s="944"/>
      <c r="AJP8" s="944"/>
      <c r="AJQ8" s="944"/>
      <c r="AJR8" s="944"/>
      <c r="AJS8" s="944"/>
      <c r="AJT8" s="944"/>
      <c r="AJU8" s="944"/>
      <c r="AJV8" s="944"/>
      <c r="AJW8" s="944"/>
      <c r="AJX8" s="944"/>
      <c r="AJY8" s="944"/>
      <c r="AJZ8" s="944"/>
      <c r="AKA8" s="944"/>
      <c r="AKB8" s="944"/>
      <c r="AKC8" s="944"/>
      <c r="AKD8" s="944"/>
      <c r="AKE8" s="944"/>
      <c r="AKF8" s="944"/>
      <c r="AKG8" s="944"/>
      <c r="AKH8" s="944"/>
      <c r="AKI8" s="944"/>
      <c r="AKJ8" s="944"/>
      <c r="AKK8" s="944"/>
      <c r="AKL8" s="944"/>
      <c r="AKM8" s="944"/>
      <c r="AKN8" s="944"/>
      <c r="AKO8" s="944"/>
      <c r="AKP8" s="944"/>
      <c r="AKQ8" s="944"/>
      <c r="AKR8" s="944"/>
      <c r="AKS8" s="944"/>
      <c r="AKT8" s="944"/>
      <c r="AKU8" s="944"/>
      <c r="AKV8" s="944"/>
      <c r="AKW8" s="944"/>
      <c r="AKX8" s="944"/>
      <c r="AKY8" s="944"/>
      <c r="AKZ8" s="944"/>
      <c r="ALA8" s="944"/>
      <c r="ALB8" s="944"/>
      <c r="ALC8" s="944"/>
      <c r="ALD8" s="944"/>
      <c r="ALE8" s="944"/>
      <c r="ALF8" s="944"/>
      <c r="ALG8" s="944"/>
      <c r="ALH8" s="944"/>
      <c r="ALI8" s="944"/>
      <c r="ALJ8" s="944"/>
      <c r="ALK8" s="944"/>
      <c r="ALL8" s="944"/>
      <c r="ALM8" s="944"/>
      <c r="ALN8" s="944"/>
      <c r="ALO8" s="944"/>
      <c r="ALP8" s="944"/>
      <c r="ALQ8" s="944"/>
      <c r="ALR8" s="944"/>
      <c r="ALS8" s="944"/>
      <c r="ALT8" s="944"/>
      <c r="ALU8" s="944"/>
      <c r="ALV8" s="944"/>
      <c r="ALW8" s="944"/>
      <c r="ALX8" s="944"/>
      <c r="ALY8" s="944"/>
      <c r="ALZ8" s="944"/>
      <c r="AMA8" s="944"/>
      <c r="AMB8" s="944"/>
      <c r="AMC8" s="944"/>
      <c r="AMD8" s="944"/>
      <c r="AME8" s="944"/>
      <c r="AMF8" s="944"/>
      <c r="AMG8" s="944"/>
      <c r="AMH8" s="944"/>
      <c r="AMI8" s="944"/>
      <c r="AMJ8" s="944"/>
      <c r="AMK8" s="944"/>
      <c r="AML8" s="944"/>
      <c r="AMM8" s="944"/>
      <c r="AMN8" s="944"/>
      <c r="AMO8" s="944"/>
      <c r="AMP8" s="944"/>
      <c r="AMQ8" s="944"/>
      <c r="AMR8" s="944"/>
      <c r="AMS8" s="944"/>
      <c r="AMT8" s="944"/>
      <c r="AMU8" s="944"/>
      <c r="AMV8" s="944"/>
      <c r="AMW8" s="944"/>
      <c r="AMX8" s="944"/>
      <c r="AMY8" s="944"/>
      <c r="AMZ8" s="944"/>
      <c r="ANA8" s="944"/>
      <c r="ANB8" s="944"/>
      <c r="ANC8" s="944"/>
      <c r="AND8" s="944"/>
      <c r="ANE8" s="944"/>
      <c r="ANF8" s="944"/>
      <c r="ANG8" s="944"/>
      <c r="ANH8" s="944"/>
      <c r="ANI8" s="944"/>
      <c r="ANJ8" s="944"/>
      <c r="ANK8" s="944"/>
      <c r="ANL8" s="944"/>
      <c r="ANM8" s="944"/>
      <c r="ANN8" s="944"/>
      <c r="ANO8" s="944"/>
      <c r="ANP8" s="944"/>
      <c r="ANQ8" s="944"/>
      <c r="ANR8" s="944"/>
      <c r="ANS8" s="944"/>
      <c r="ANT8" s="944"/>
      <c r="ANU8" s="944"/>
      <c r="ANV8" s="944"/>
      <c r="ANW8" s="944"/>
      <c r="ANX8" s="944"/>
      <c r="ANY8" s="944"/>
      <c r="ANZ8" s="944"/>
      <c r="AOA8" s="944"/>
      <c r="AOB8" s="944"/>
      <c r="AOC8" s="944"/>
      <c r="AOD8" s="944"/>
      <c r="AOE8" s="944"/>
      <c r="AOF8" s="944"/>
      <c r="AOG8" s="944"/>
      <c r="AOH8" s="944"/>
      <c r="AOI8" s="944"/>
      <c r="AOJ8" s="944"/>
      <c r="AOK8" s="944"/>
      <c r="AOL8" s="944"/>
      <c r="AOM8" s="944"/>
      <c r="AON8" s="944"/>
      <c r="AOO8" s="944"/>
      <c r="AOP8" s="944"/>
      <c r="AOQ8" s="944"/>
      <c r="AOR8" s="944"/>
      <c r="AOS8" s="944"/>
      <c r="AOT8" s="944"/>
      <c r="AOU8" s="944"/>
      <c r="AOV8" s="944"/>
      <c r="AOW8" s="944"/>
      <c r="AOX8" s="944"/>
      <c r="AOY8" s="944"/>
      <c r="AOZ8" s="944"/>
      <c r="APA8" s="944"/>
      <c r="APB8" s="944"/>
      <c r="APC8" s="944"/>
      <c r="APD8" s="944"/>
      <c r="APE8" s="944"/>
      <c r="APF8" s="944"/>
      <c r="APG8" s="944"/>
      <c r="APH8" s="944"/>
      <c r="API8" s="944"/>
      <c r="APJ8" s="944"/>
      <c r="APK8" s="944"/>
      <c r="APL8" s="944"/>
      <c r="APM8" s="944"/>
      <c r="APN8" s="944"/>
      <c r="APO8" s="944"/>
      <c r="APP8" s="944"/>
      <c r="APQ8" s="944"/>
      <c r="APR8" s="944"/>
      <c r="APS8" s="944"/>
      <c r="APT8" s="944"/>
      <c r="APU8" s="944"/>
      <c r="APV8" s="944"/>
      <c r="APW8" s="944"/>
      <c r="APX8" s="944"/>
      <c r="APY8" s="944"/>
      <c r="APZ8" s="944"/>
      <c r="AQA8" s="944"/>
      <c r="AQB8" s="944"/>
      <c r="AQC8" s="944"/>
      <c r="AQD8" s="944"/>
      <c r="AQE8" s="944"/>
      <c r="AQF8" s="944"/>
      <c r="AQG8" s="944"/>
      <c r="AQH8" s="944"/>
      <c r="AQI8" s="944"/>
      <c r="AQJ8" s="944"/>
      <c r="AQK8" s="944"/>
      <c r="AQL8" s="944"/>
      <c r="AQM8" s="944"/>
      <c r="AQN8" s="944"/>
      <c r="AQO8" s="944"/>
      <c r="AQP8" s="944"/>
      <c r="AQQ8" s="944"/>
      <c r="AQR8" s="944"/>
      <c r="AQS8" s="944"/>
      <c r="AQT8" s="944"/>
      <c r="AQU8" s="944"/>
      <c r="AQV8" s="944"/>
      <c r="AQW8" s="944"/>
      <c r="AQX8" s="944"/>
      <c r="AQY8" s="944"/>
      <c r="AQZ8" s="944"/>
      <c r="ARA8" s="944"/>
      <c r="ARB8" s="944"/>
      <c r="ARC8" s="944"/>
      <c r="ARD8" s="944"/>
      <c r="ARE8" s="944"/>
      <c r="ARF8" s="944"/>
      <c r="ARG8" s="944"/>
      <c r="ARH8" s="944"/>
      <c r="ARI8" s="944"/>
      <c r="ARJ8" s="944"/>
      <c r="ARK8" s="944"/>
      <c r="ARL8" s="944"/>
      <c r="ARM8" s="944"/>
      <c r="ARN8" s="944"/>
      <c r="ARO8" s="944"/>
      <c r="ARP8" s="944"/>
      <c r="ARQ8" s="944"/>
      <c r="ARR8" s="944"/>
      <c r="ARS8" s="944"/>
      <c r="ART8" s="944"/>
      <c r="ARU8" s="944"/>
      <c r="ARV8" s="944"/>
      <c r="ARW8" s="944"/>
      <c r="ARX8" s="944"/>
      <c r="ARY8" s="944"/>
      <c r="ARZ8" s="944"/>
      <c r="ASA8" s="944"/>
      <c r="ASB8" s="944"/>
      <c r="ASC8" s="944"/>
      <c r="ASD8" s="944"/>
      <c r="ASE8" s="944"/>
      <c r="ASF8" s="944"/>
      <c r="ASG8" s="944"/>
      <c r="ASH8" s="944"/>
      <c r="ASI8" s="944"/>
      <c r="ASJ8" s="944"/>
      <c r="ASK8" s="944"/>
      <c r="ASL8" s="944"/>
      <c r="ASM8" s="944"/>
      <c r="ASN8" s="944"/>
      <c r="ASO8" s="944"/>
      <c r="ASP8" s="944"/>
      <c r="ASQ8" s="944"/>
      <c r="ASR8" s="944"/>
      <c r="ASS8" s="944"/>
      <c r="AST8" s="944"/>
      <c r="ASU8" s="944"/>
      <c r="ASV8" s="944"/>
      <c r="ASW8" s="944"/>
      <c r="ASX8" s="944"/>
      <c r="ASY8" s="944"/>
      <c r="ASZ8" s="944"/>
    </row>
    <row r="9" spans="1:1196" s="947" customFormat="1" ht="39.75" customHeight="1" thickTop="1" thickBot="1">
      <c r="A9" s="2845" t="s">
        <v>88</v>
      </c>
      <c r="B9" s="2991" t="s">
        <v>89</v>
      </c>
      <c r="C9" s="2957" t="s">
        <v>167</v>
      </c>
      <c r="D9" s="171" t="s">
        <v>90</v>
      </c>
      <c r="E9" s="172" t="s">
        <v>189</v>
      </c>
      <c r="F9" s="133" t="s">
        <v>168</v>
      </c>
      <c r="G9" s="945">
        <f>8265969892/1000000</f>
        <v>8265.9698919999992</v>
      </c>
      <c r="H9" s="133" t="s">
        <v>25</v>
      </c>
      <c r="I9" s="946"/>
      <c r="J9" s="126"/>
      <c r="K9" s="133" t="s">
        <v>25</v>
      </c>
      <c r="L9" s="514">
        <v>262.48399999999998</v>
      </c>
      <c r="M9" s="496">
        <v>671.8</v>
      </c>
      <c r="N9" s="73">
        <f>+M9/L9</f>
        <v>2.5593940964020665</v>
      </c>
      <c r="O9" s="514">
        <v>719.38480400000003</v>
      </c>
      <c r="P9" s="496">
        <v>707.9</v>
      </c>
      <c r="Q9" s="73">
        <f>+P9/O9</f>
        <v>0.98403524242360829</v>
      </c>
      <c r="R9" s="514">
        <v>120.736</v>
      </c>
      <c r="S9" s="496">
        <v>70.8</v>
      </c>
      <c r="T9" s="73">
        <f>+S9/R9</f>
        <v>0.5864033925258415</v>
      </c>
      <c r="U9" s="514">
        <v>330.76299999999998</v>
      </c>
      <c r="V9" s="496">
        <v>70.099999999999994</v>
      </c>
      <c r="W9" s="73">
        <f>+V9/U9</f>
        <v>0.21193422480749055</v>
      </c>
      <c r="X9" s="514">
        <v>109.736</v>
      </c>
      <c r="Y9" s="496">
        <v>103.7</v>
      </c>
      <c r="Z9" s="73">
        <f>+Y9/X9</f>
        <v>0.94499526135452361</v>
      </c>
      <c r="AA9" s="514">
        <v>125.236</v>
      </c>
      <c r="AB9" s="496">
        <v>128.80000000000001</v>
      </c>
      <c r="AC9" s="73">
        <f>+AB9/AA9</f>
        <v>1.0284582707847585</v>
      </c>
      <c r="AD9" s="114">
        <f>+AB9+Y9+V9+S9+P9+M9</f>
        <v>1753.1</v>
      </c>
      <c r="AE9" s="73">
        <f>+AD9/G9</f>
        <v>0.21208642457029653</v>
      </c>
      <c r="AF9" s="514">
        <v>104.736</v>
      </c>
      <c r="AG9" s="496">
        <v>40.1</v>
      </c>
      <c r="AH9" s="73">
        <f>+AG9/AF9</f>
        <v>0.38286739993889396</v>
      </c>
      <c r="AI9" s="514">
        <v>97.736000000000004</v>
      </c>
      <c r="AJ9" s="496">
        <v>67.7</v>
      </c>
      <c r="AK9" s="73">
        <f>+AJ9/AI9</f>
        <v>0.69268232790374074</v>
      </c>
      <c r="AL9" s="514">
        <v>97.736000000000004</v>
      </c>
      <c r="AM9" s="496">
        <v>80.900000000000006</v>
      </c>
      <c r="AN9" s="19">
        <f>+AM9/AL9</f>
        <v>0.82774003437832533</v>
      </c>
      <c r="AO9" s="514">
        <v>98.64</v>
      </c>
      <c r="AP9" s="496">
        <v>258.7</v>
      </c>
      <c r="AQ9" s="73">
        <f>+AP9/AO9</f>
        <v>2.6226682887266826</v>
      </c>
      <c r="AR9" s="514">
        <v>97.736000000000004</v>
      </c>
      <c r="AS9" s="496">
        <v>201.5</v>
      </c>
      <c r="AT9" s="73">
        <f>+AS9/AR9</f>
        <v>2.0616763526233934</v>
      </c>
      <c r="AU9" s="514">
        <v>90.156000000000006</v>
      </c>
      <c r="AV9" s="496">
        <v>5848</v>
      </c>
      <c r="AW9" s="73">
        <f>+AV9/AU9</f>
        <v>64.865344513953588</v>
      </c>
      <c r="AX9" s="116">
        <f>8226180333.17/1000000</f>
        <v>8226.1803331699994</v>
      </c>
      <c r="AY9" s="2813">
        <f>+AX9/G9</f>
        <v>0.9951863411856231</v>
      </c>
      <c r="AZ9" s="944"/>
      <c r="BA9" s="944"/>
      <c r="BB9" s="944"/>
      <c r="BC9" s="944"/>
      <c r="BD9" s="944"/>
      <c r="BE9" s="944"/>
      <c r="BF9" s="944"/>
      <c r="BG9" s="944"/>
      <c r="BH9" s="944"/>
      <c r="BI9" s="944"/>
      <c r="BJ9" s="944"/>
      <c r="BK9" s="944"/>
      <c r="BL9" s="944"/>
      <c r="BM9" s="944"/>
      <c r="BN9" s="944"/>
      <c r="BO9" s="944"/>
      <c r="BP9" s="944"/>
      <c r="BQ9" s="944"/>
      <c r="BR9" s="944"/>
      <c r="BS9" s="944"/>
      <c r="BT9" s="944"/>
      <c r="BU9" s="944"/>
      <c r="BV9" s="944"/>
      <c r="BW9" s="944"/>
      <c r="BX9" s="944"/>
      <c r="BY9" s="944"/>
      <c r="BZ9" s="944"/>
      <c r="CA9" s="944"/>
      <c r="CB9" s="944"/>
      <c r="CC9" s="944"/>
      <c r="CD9" s="944"/>
      <c r="CE9" s="944"/>
      <c r="CF9" s="944"/>
      <c r="CG9" s="944"/>
      <c r="CH9" s="944"/>
      <c r="CI9" s="944"/>
      <c r="CJ9" s="944"/>
      <c r="CK9" s="944"/>
      <c r="CL9" s="944"/>
      <c r="CM9" s="944"/>
      <c r="CN9" s="944"/>
      <c r="CO9" s="944"/>
      <c r="CP9" s="944"/>
      <c r="CQ9" s="944"/>
      <c r="CR9" s="944"/>
      <c r="CS9" s="944"/>
      <c r="CT9" s="944"/>
      <c r="CU9" s="944"/>
      <c r="CV9" s="944"/>
      <c r="CW9" s="944"/>
      <c r="CX9" s="944"/>
      <c r="CY9" s="944"/>
      <c r="CZ9" s="944"/>
      <c r="DA9" s="944"/>
      <c r="DB9" s="944"/>
      <c r="DC9" s="944"/>
      <c r="DD9" s="944"/>
      <c r="DE9" s="944"/>
      <c r="DF9" s="944"/>
      <c r="DG9" s="944"/>
      <c r="DH9" s="944"/>
      <c r="DI9" s="944"/>
      <c r="DJ9" s="944"/>
      <c r="DK9" s="944"/>
      <c r="DL9" s="944"/>
      <c r="DM9" s="944"/>
      <c r="DN9" s="944"/>
      <c r="DO9" s="944"/>
      <c r="DP9" s="944"/>
      <c r="DQ9" s="944"/>
      <c r="DR9" s="944"/>
      <c r="DS9" s="944"/>
      <c r="DT9" s="944"/>
      <c r="DU9" s="944"/>
      <c r="DV9" s="944"/>
      <c r="DW9" s="944"/>
      <c r="DX9" s="944"/>
      <c r="DY9" s="944"/>
      <c r="DZ9" s="944"/>
      <c r="EA9" s="944"/>
      <c r="EB9" s="944"/>
      <c r="EC9" s="944"/>
      <c r="ED9" s="944"/>
      <c r="EE9" s="944"/>
      <c r="EF9" s="944"/>
      <c r="EG9" s="944"/>
      <c r="EH9" s="944"/>
      <c r="EI9" s="944"/>
      <c r="EJ9" s="944"/>
      <c r="EK9" s="944"/>
      <c r="EL9" s="944"/>
      <c r="EM9" s="944"/>
      <c r="EN9" s="944"/>
      <c r="EO9" s="944"/>
      <c r="EP9" s="944"/>
      <c r="EQ9" s="944"/>
      <c r="ER9" s="944"/>
      <c r="ES9" s="944"/>
      <c r="ET9" s="944"/>
      <c r="EU9" s="944"/>
      <c r="EV9" s="944"/>
      <c r="EW9" s="944"/>
      <c r="EX9" s="944"/>
      <c r="EY9" s="944"/>
      <c r="EZ9" s="944"/>
      <c r="FA9" s="944"/>
      <c r="FB9" s="944"/>
      <c r="FC9" s="944"/>
      <c r="FD9" s="944"/>
      <c r="FE9" s="944"/>
      <c r="FF9" s="944"/>
      <c r="FG9" s="944"/>
      <c r="FH9" s="944"/>
      <c r="FI9" s="944"/>
      <c r="FJ9" s="944"/>
      <c r="FK9" s="944"/>
      <c r="FL9" s="944"/>
      <c r="FM9" s="944"/>
      <c r="FN9" s="944"/>
      <c r="FO9" s="944"/>
      <c r="FP9" s="944"/>
      <c r="FQ9" s="944"/>
      <c r="FR9" s="944"/>
      <c r="FS9" s="944"/>
      <c r="FT9" s="944"/>
      <c r="FU9" s="944"/>
      <c r="FV9" s="944"/>
      <c r="FW9" s="944"/>
      <c r="FX9" s="944"/>
      <c r="FY9" s="944"/>
      <c r="FZ9" s="944"/>
      <c r="GA9" s="944"/>
      <c r="GB9" s="944"/>
      <c r="GC9" s="944"/>
      <c r="GD9" s="944"/>
      <c r="GE9" s="944"/>
      <c r="GF9" s="944"/>
      <c r="GG9" s="944"/>
      <c r="GH9" s="944"/>
      <c r="GI9" s="944"/>
      <c r="GJ9" s="944"/>
      <c r="GK9" s="944"/>
      <c r="GL9" s="944"/>
      <c r="GM9" s="944"/>
      <c r="GN9" s="944"/>
      <c r="GO9" s="944"/>
      <c r="GP9" s="944"/>
      <c r="GQ9" s="944"/>
      <c r="GR9" s="944"/>
      <c r="GS9" s="944"/>
      <c r="GT9" s="944"/>
      <c r="GU9" s="944"/>
      <c r="GV9" s="944"/>
      <c r="GW9" s="944"/>
      <c r="GX9" s="944"/>
      <c r="GY9" s="944"/>
      <c r="GZ9" s="944"/>
      <c r="HA9" s="944"/>
      <c r="HB9" s="944"/>
      <c r="HC9" s="944"/>
      <c r="HD9" s="944"/>
      <c r="HE9" s="944"/>
      <c r="HF9" s="944"/>
      <c r="HG9" s="944"/>
      <c r="HH9" s="944"/>
      <c r="HI9" s="944"/>
      <c r="HJ9" s="944"/>
      <c r="HK9" s="944"/>
      <c r="HL9" s="944"/>
      <c r="HM9" s="944"/>
      <c r="HN9" s="944"/>
      <c r="HO9" s="944"/>
      <c r="HP9" s="944"/>
      <c r="HQ9" s="944"/>
      <c r="HR9" s="944"/>
      <c r="HS9" s="944"/>
      <c r="HT9" s="944"/>
      <c r="HU9" s="944"/>
      <c r="HV9" s="944"/>
      <c r="HW9" s="944"/>
      <c r="HX9" s="944"/>
      <c r="HY9" s="944"/>
      <c r="HZ9" s="944"/>
      <c r="IA9" s="944"/>
      <c r="IB9" s="944"/>
      <c r="IC9" s="944"/>
      <c r="ID9" s="944"/>
      <c r="IE9" s="944"/>
      <c r="IF9" s="944"/>
      <c r="IG9" s="944"/>
      <c r="IH9" s="944"/>
      <c r="II9" s="944"/>
      <c r="IJ9" s="944"/>
      <c r="IK9" s="944"/>
      <c r="IL9" s="944"/>
      <c r="IM9" s="944"/>
      <c r="IN9" s="944"/>
      <c r="IO9" s="944"/>
      <c r="IP9" s="944"/>
      <c r="IQ9" s="944"/>
      <c r="IR9" s="944"/>
      <c r="IS9" s="944"/>
      <c r="IT9" s="944"/>
      <c r="IU9" s="944"/>
      <c r="IV9" s="944"/>
      <c r="IW9" s="944"/>
      <c r="IX9" s="944"/>
      <c r="IY9" s="944"/>
      <c r="IZ9" s="944"/>
      <c r="JA9" s="944"/>
      <c r="JB9" s="944"/>
      <c r="JC9" s="944"/>
      <c r="JD9" s="944"/>
      <c r="JE9" s="944"/>
      <c r="JF9" s="944"/>
      <c r="JG9" s="944"/>
      <c r="JH9" s="944"/>
      <c r="JI9" s="944"/>
      <c r="JJ9" s="944"/>
      <c r="JK9" s="944"/>
      <c r="JL9" s="944"/>
      <c r="JM9" s="944"/>
      <c r="JN9" s="944"/>
      <c r="JO9" s="944"/>
      <c r="JP9" s="944"/>
      <c r="JQ9" s="944"/>
      <c r="JR9" s="944"/>
      <c r="JS9" s="944"/>
      <c r="JT9" s="944"/>
      <c r="JU9" s="944"/>
      <c r="JV9" s="944"/>
      <c r="JW9" s="944"/>
      <c r="JX9" s="944"/>
      <c r="JY9" s="944"/>
      <c r="JZ9" s="944"/>
      <c r="KA9" s="944"/>
      <c r="KB9" s="944"/>
      <c r="KC9" s="944"/>
      <c r="KD9" s="944"/>
      <c r="KE9" s="944"/>
      <c r="KF9" s="944"/>
      <c r="KG9" s="944"/>
      <c r="KH9" s="944"/>
      <c r="KI9" s="944"/>
      <c r="KJ9" s="944"/>
      <c r="KK9" s="944"/>
      <c r="KL9" s="944"/>
      <c r="KM9" s="944"/>
      <c r="KN9" s="944"/>
      <c r="KO9" s="944"/>
      <c r="KP9" s="944"/>
      <c r="KQ9" s="944"/>
      <c r="KR9" s="944"/>
      <c r="KS9" s="944"/>
      <c r="KT9" s="944"/>
      <c r="KU9" s="944"/>
      <c r="KV9" s="944"/>
      <c r="KW9" s="944"/>
      <c r="KX9" s="944"/>
      <c r="KY9" s="944"/>
      <c r="KZ9" s="944"/>
      <c r="LA9" s="944"/>
      <c r="LB9" s="944"/>
      <c r="LC9" s="944"/>
      <c r="LD9" s="944"/>
      <c r="LE9" s="944"/>
      <c r="LF9" s="944"/>
      <c r="LG9" s="944"/>
      <c r="LH9" s="944"/>
      <c r="LI9" s="944"/>
      <c r="LJ9" s="944"/>
      <c r="LK9" s="944"/>
      <c r="LL9" s="944"/>
      <c r="LM9" s="944"/>
      <c r="LN9" s="944"/>
      <c r="LO9" s="944"/>
      <c r="LP9" s="944"/>
      <c r="LQ9" s="944"/>
      <c r="LR9" s="944"/>
      <c r="LS9" s="944"/>
      <c r="LT9" s="944"/>
      <c r="LU9" s="944"/>
      <c r="LV9" s="944"/>
      <c r="LW9" s="944"/>
      <c r="LX9" s="944"/>
      <c r="LY9" s="944"/>
      <c r="LZ9" s="944"/>
      <c r="MA9" s="944"/>
      <c r="MB9" s="944"/>
      <c r="MC9" s="944"/>
      <c r="MD9" s="944"/>
      <c r="ME9" s="944"/>
      <c r="MF9" s="944"/>
      <c r="MG9" s="944"/>
      <c r="MH9" s="944"/>
      <c r="MI9" s="944"/>
      <c r="MJ9" s="944"/>
      <c r="MK9" s="944"/>
      <c r="ML9" s="944"/>
      <c r="MM9" s="944"/>
      <c r="MN9" s="944"/>
      <c r="MO9" s="944"/>
      <c r="MP9" s="944"/>
      <c r="MQ9" s="944"/>
      <c r="MR9" s="944"/>
      <c r="MS9" s="944"/>
      <c r="MT9" s="944"/>
      <c r="MU9" s="944"/>
      <c r="MV9" s="944"/>
      <c r="MW9" s="944"/>
      <c r="MX9" s="944"/>
      <c r="MY9" s="944"/>
      <c r="MZ9" s="944"/>
      <c r="NA9" s="944"/>
      <c r="NB9" s="944"/>
      <c r="NC9" s="944"/>
      <c r="ND9" s="944"/>
      <c r="NE9" s="944"/>
      <c r="NF9" s="944"/>
      <c r="NG9" s="944"/>
      <c r="NH9" s="944"/>
      <c r="NI9" s="944"/>
      <c r="NJ9" s="944"/>
      <c r="NK9" s="944"/>
      <c r="NL9" s="944"/>
      <c r="NM9" s="944"/>
      <c r="NN9" s="944"/>
      <c r="NO9" s="944"/>
      <c r="NP9" s="944"/>
      <c r="NQ9" s="944"/>
      <c r="NR9" s="944"/>
      <c r="NS9" s="944"/>
      <c r="NT9" s="944"/>
      <c r="NU9" s="944"/>
      <c r="NV9" s="944"/>
      <c r="NW9" s="944"/>
      <c r="NX9" s="944"/>
      <c r="NY9" s="944"/>
      <c r="NZ9" s="944"/>
      <c r="OA9" s="944"/>
      <c r="OB9" s="944"/>
      <c r="OC9" s="944"/>
      <c r="OD9" s="944"/>
      <c r="OE9" s="944"/>
      <c r="OF9" s="944"/>
      <c r="OG9" s="944"/>
      <c r="OH9" s="944"/>
      <c r="OI9" s="944"/>
      <c r="OJ9" s="944"/>
      <c r="OK9" s="944"/>
      <c r="OL9" s="944"/>
      <c r="OM9" s="944"/>
      <c r="ON9" s="944"/>
      <c r="OO9" s="944"/>
      <c r="OP9" s="944"/>
      <c r="OQ9" s="944"/>
      <c r="OR9" s="944"/>
      <c r="OS9" s="944"/>
      <c r="OT9" s="944"/>
      <c r="OU9" s="944"/>
      <c r="OV9" s="944"/>
      <c r="OW9" s="944"/>
      <c r="OX9" s="944"/>
      <c r="OY9" s="944"/>
      <c r="OZ9" s="944"/>
      <c r="PA9" s="944"/>
      <c r="PB9" s="944"/>
      <c r="PC9" s="944"/>
      <c r="PD9" s="944"/>
      <c r="PE9" s="944"/>
      <c r="PF9" s="944"/>
      <c r="PG9" s="944"/>
      <c r="PH9" s="944"/>
      <c r="PI9" s="944"/>
      <c r="PJ9" s="944"/>
      <c r="PK9" s="944"/>
      <c r="PL9" s="944"/>
      <c r="PM9" s="944"/>
      <c r="PN9" s="944"/>
      <c r="PO9" s="944"/>
      <c r="PP9" s="944"/>
      <c r="PQ9" s="944"/>
      <c r="PR9" s="944"/>
      <c r="PS9" s="944"/>
      <c r="PT9" s="944"/>
      <c r="PU9" s="944"/>
      <c r="PV9" s="944"/>
      <c r="PW9" s="944"/>
      <c r="PX9" s="944"/>
      <c r="PY9" s="944"/>
      <c r="PZ9" s="944"/>
      <c r="QA9" s="944"/>
      <c r="QB9" s="944"/>
      <c r="QC9" s="944"/>
      <c r="QD9" s="944"/>
      <c r="QE9" s="944"/>
      <c r="QF9" s="944"/>
      <c r="QG9" s="944"/>
      <c r="QH9" s="944"/>
      <c r="QI9" s="944"/>
      <c r="QJ9" s="944"/>
      <c r="QK9" s="944"/>
      <c r="QL9" s="944"/>
      <c r="QM9" s="944"/>
      <c r="QN9" s="944"/>
      <c r="QO9" s="944"/>
      <c r="QP9" s="944"/>
      <c r="QQ9" s="944"/>
      <c r="QR9" s="944"/>
      <c r="QS9" s="944"/>
      <c r="QT9" s="944"/>
      <c r="QU9" s="944"/>
      <c r="QV9" s="944"/>
      <c r="QW9" s="944"/>
      <c r="QX9" s="944"/>
      <c r="QY9" s="944"/>
      <c r="QZ9" s="944"/>
      <c r="RA9" s="944"/>
      <c r="RB9" s="944"/>
      <c r="RC9" s="944"/>
      <c r="RD9" s="944"/>
      <c r="RE9" s="944"/>
      <c r="RF9" s="944"/>
      <c r="RG9" s="944"/>
      <c r="RH9" s="944"/>
      <c r="RI9" s="944"/>
      <c r="RJ9" s="944"/>
      <c r="RK9" s="944"/>
      <c r="RL9" s="944"/>
      <c r="RM9" s="944"/>
      <c r="RN9" s="944"/>
      <c r="RO9" s="944"/>
      <c r="RP9" s="944"/>
      <c r="RQ9" s="944"/>
      <c r="RR9" s="944"/>
      <c r="RS9" s="944"/>
      <c r="RT9" s="944"/>
      <c r="RU9" s="944"/>
      <c r="RV9" s="944"/>
      <c r="RW9" s="944"/>
      <c r="RX9" s="944"/>
      <c r="RY9" s="944"/>
      <c r="RZ9" s="944"/>
      <c r="SA9" s="944"/>
      <c r="SB9" s="944"/>
      <c r="SC9" s="944"/>
      <c r="SD9" s="944"/>
      <c r="SE9" s="944"/>
      <c r="SF9" s="944"/>
      <c r="SG9" s="944"/>
      <c r="SH9" s="944"/>
      <c r="SI9" s="944"/>
      <c r="SJ9" s="944"/>
      <c r="SK9" s="944"/>
      <c r="SL9" s="944"/>
      <c r="SM9" s="944"/>
      <c r="SN9" s="944"/>
      <c r="SO9" s="944"/>
      <c r="SP9" s="944"/>
      <c r="SQ9" s="944"/>
      <c r="SR9" s="944"/>
      <c r="SS9" s="944"/>
      <c r="ST9" s="944"/>
      <c r="SU9" s="944"/>
      <c r="SV9" s="944"/>
      <c r="SW9" s="944"/>
      <c r="SX9" s="944"/>
      <c r="SY9" s="944"/>
      <c r="SZ9" s="944"/>
      <c r="TA9" s="944"/>
      <c r="TB9" s="944"/>
      <c r="TC9" s="944"/>
      <c r="TD9" s="944"/>
      <c r="TE9" s="944"/>
      <c r="TF9" s="944"/>
      <c r="TG9" s="944"/>
      <c r="TH9" s="944"/>
      <c r="TI9" s="944"/>
      <c r="TJ9" s="944"/>
      <c r="TK9" s="944"/>
      <c r="TL9" s="944"/>
      <c r="TM9" s="944"/>
      <c r="TN9" s="944"/>
      <c r="TO9" s="944"/>
      <c r="TP9" s="944"/>
      <c r="TQ9" s="944"/>
      <c r="TR9" s="944"/>
      <c r="TS9" s="944"/>
      <c r="TT9" s="944"/>
      <c r="TU9" s="944"/>
      <c r="TV9" s="944"/>
      <c r="TW9" s="944"/>
      <c r="TX9" s="944"/>
      <c r="TY9" s="944"/>
      <c r="TZ9" s="944"/>
      <c r="UA9" s="944"/>
      <c r="UB9" s="944"/>
      <c r="UC9" s="944"/>
      <c r="UD9" s="944"/>
      <c r="UE9" s="944"/>
      <c r="UF9" s="944"/>
      <c r="UG9" s="944"/>
      <c r="UH9" s="944"/>
      <c r="UI9" s="944"/>
      <c r="UJ9" s="944"/>
      <c r="UK9" s="944"/>
      <c r="UL9" s="944"/>
      <c r="UM9" s="944"/>
      <c r="UN9" s="944"/>
      <c r="UO9" s="944"/>
      <c r="UP9" s="944"/>
      <c r="UQ9" s="944"/>
      <c r="UR9" s="944"/>
      <c r="US9" s="944"/>
      <c r="UT9" s="944"/>
      <c r="UU9" s="944"/>
      <c r="UV9" s="944"/>
      <c r="UW9" s="944"/>
      <c r="UX9" s="944"/>
      <c r="UY9" s="944"/>
      <c r="UZ9" s="944"/>
      <c r="VA9" s="944"/>
      <c r="VB9" s="944"/>
      <c r="VC9" s="944"/>
      <c r="VD9" s="944"/>
      <c r="VE9" s="944"/>
      <c r="VF9" s="944"/>
      <c r="VG9" s="944"/>
      <c r="VH9" s="944"/>
      <c r="VI9" s="944"/>
      <c r="VJ9" s="944"/>
      <c r="VK9" s="944"/>
      <c r="VL9" s="944"/>
      <c r="VM9" s="944"/>
      <c r="VN9" s="944"/>
      <c r="VO9" s="944"/>
      <c r="VP9" s="944"/>
      <c r="VQ9" s="944"/>
      <c r="VR9" s="944"/>
      <c r="VS9" s="944"/>
      <c r="VT9" s="944"/>
      <c r="VU9" s="944"/>
      <c r="VV9" s="944"/>
      <c r="VW9" s="944"/>
      <c r="VX9" s="944"/>
      <c r="VY9" s="944"/>
      <c r="VZ9" s="944"/>
      <c r="WA9" s="944"/>
      <c r="WB9" s="944"/>
      <c r="WC9" s="944"/>
      <c r="WD9" s="944"/>
      <c r="WE9" s="944"/>
      <c r="WF9" s="944"/>
      <c r="WG9" s="944"/>
      <c r="WH9" s="944"/>
      <c r="WI9" s="944"/>
      <c r="WJ9" s="944"/>
      <c r="WK9" s="944"/>
      <c r="WL9" s="944"/>
      <c r="WM9" s="944"/>
      <c r="WN9" s="944"/>
      <c r="WO9" s="944"/>
      <c r="WP9" s="944"/>
      <c r="WQ9" s="944"/>
      <c r="WR9" s="944"/>
      <c r="WS9" s="944"/>
      <c r="WT9" s="944"/>
      <c r="WU9" s="944"/>
      <c r="WV9" s="944"/>
      <c r="WW9" s="944"/>
      <c r="WX9" s="944"/>
      <c r="WY9" s="944"/>
      <c r="WZ9" s="944"/>
      <c r="XA9" s="944"/>
      <c r="XB9" s="944"/>
      <c r="XC9" s="944"/>
      <c r="XD9" s="944"/>
      <c r="XE9" s="944"/>
      <c r="XF9" s="944"/>
      <c r="XG9" s="944"/>
      <c r="XH9" s="944"/>
      <c r="XI9" s="944"/>
      <c r="XJ9" s="944"/>
      <c r="XK9" s="944"/>
      <c r="XL9" s="944"/>
      <c r="XM9" s="944"/>
      <c r="XN9" s="944"/>
      <c r="XO9" s="944"/>
      <c r="XP9" s="944"/>
      <c r="XQ9" s="944"/>
      <c r="XR9" s="944"/>
      <c r="XS9" s="944"/>
      <c r="XT9" s="944"/>
      <c r="XU9" s="944"/>
      <c r="XV9" s="944"/>
      <c r="XW9" s="944"/>
      <c r="XX9" s="944"/>
      <c r="XY9" s="944"/>
      <c r="XZ9" s="944"/>
      <c r="YA9" s="944"/>
      <c r="YB9" s="944"/>
      <c r="YC9" s="944"/>
      <c r="YD9" s="944"/>
      <c r="YE9" s="944"/>
      <c r="YF9" s="944"/>
      <c r="YG9" s="944"/>
      <c r="YH9" s="944"/>
      <c r="YI9" s="944"/>
      <c r="YJ9" s="944"/>
      <c r="YK9" s="944"/>
      <c r="YL9" s="944"/>
      <c r="YM9" s="944"/>
      <c r="YN9" s="944"/>
      <c r="YO9" s="944"/>
      <c r="YP9" s="944"/>
      <c r="YQ9" s="944"/>
      <c r="YR9" s="944"/>
      <c r="YS9" s="944"/>
      <c r="YT9" s="944"/>
      <c r="YU9" s="944"/>
      <c r="YV9" s="944"/>
      <c r="YW9" s="944"/>
      <c r="YX9" s="944"/>
      <c r="YY9" s="944"/>
      <c r="YZ9" s="944"/>
      <c r="ZA9" s="944"/>
      <c r="ZB9" s="944"/>
      <c r="ZC9" s="944"/>
      <c r="ZD9" s="944"/>
      <c r="ZE9" s="944"/>
      <c r="ZF9" s="944"/>
      <c r="ZG9" s="944"/>
      <c r="ZH9" s="944"/>
      <c r="ZI9" s="944"/>
      <c r="ZJ9" s="944"/>
      <c r="ZK9" s="944"/>
      <c r="ZL9" s="944"/>
      <c r="ZM9" s="944"/>
      <c r="ZN9" s="944"/>
      <c r="ZO9" s="944"/>
      <c r="ZP9" s="944"/>
      <c r="ZQ9" s="944"/>
      <c r="ZR9" s="944"/>
      <c r="ZS9" s="944"/>
      <c r="ZT9" s="944"/>
      <c r="ZU9" s="944"/>
      <c r="ZV9" s="944"/>
      <c r="ZW9" s="944"/>
      <c r="ZX9" s="944"/>
      <c r="ZY9" s="944"/>
      <c r="ZZ9" s="944"/>
      <c r="AAA9" s="944"/>
      <c r="AAB9" s="944"/>
      <c r="AAC9" s="944"/>
      <c r="AAD9" s="944"/>
      <c r="AAE9" s="944"/>
      <c r="AAF9" s="944"/>
      <c r="AAG9" s="944"/>
      <c r="AAH9" s="944"/>
      <c r="AAI9" s="944"/>
      <c r="AAJ9" s="944"/>
      <c r="AAK9" s="944"/>
      <c r="AAL9" s="944"/>
      <c r="AAM9" s="944"/>
      <c r="AAN9" s="944"/>
      <c r="AAO9" s="944"/>
      <c r="AAP9" s="944"/>
      <c r="AAQ9" s="944"/>
      <c r="AAR9" s="944"/>
      <c r="AAS9" s="944"/>
      <c r="AAT9" s="944"/>
      <c r="AAU9" s="944"/>
      <c r="AAV9" s="944"/>
      <c r="AAW9" s="944"/>
      <c r="AAX9" s="944"/>
      <c r="AAY9" s="944"/>
      <c r="AAZ9" s="944"/>
      <c r="ABA9" s="944"/>
      <c r="ABB9" s="944"/>
      <c r="ABC9" s="944"/>
      <c r="ABD9" s="944"/>
      <c r="ABE9" s="944"/>
      <c r="ABF9" s="944"/>
      <c r="ABG9" s="944"/>
      <c r="ABH9" s="944"/>
      <c r="ABI9" s="944"/>
      <c r="ABJ9" s="944"/>
      <c r="ABK9" s="944"/>
      <c r="ABL9" s="944"/>
      <c r="ABM9" s="944"/>
      <c r="ABN9" s="944"/>
      <c r="ABO9" s="944"/>
      <c r="ABP9" s="944"/>
      <c r="ABQ9" s="944"/>
      <c r="ABR9" s="944"/>
      <c r="ABS9" s="944"/>
      <c r="ABT9" s="944"/>
      <c r="ABU9" s="944"/>
      <c r="ABV9" s="944"/>
      <c r="ABW9" s="944"/>
      <c r="ABX9" s="944"/>
      <c r="ABY9" s="944"/>
      <c r="ABZ9" s="944"/>
      <c r="ACA9" s="944"/>
      <c r="ACB9" s="944"/>
      <c r="ACC9" s="944"/>
      <c r="ACD9" s="944"/>
      <c r="ACE9" s="944"/>
      <c r="ACF9" s="944"/>
      <c r="ACG9" s="944"/>
      <c r="ACH9" s="944"/>
      <c r="ACI9" s="944"/>
      <c r="ACJ9" s="944"/>
      <c r="ACK9" s="944"/>
      <c r="ACL9" s="944"/>
      <c r="ACM9" s="944"/>
      <c r="ACN9" s="944"/>
      <c r="ACO9" s="944"/>
      <c r="ACP9" s="944"/>
      <c r="ACQ9" s="944"/>
      <c r="ACR9" s="944"/>
      <c r="ACS9" s="944"/>
      <c r="ACT9" s="944"/>
      <c r="ACU9" s="944"/>
      <c r="ACV9" s="944"/>
      <c r="ACW9" s="944"/>
      <c r="ACX9" s="944"/>
      <c r="ACY9" s="944"/>
      <c r="ACZ9" s="944"/>
      <c r="ADA9" s="944"/>
      <c r="ADB9" s="944"/>
      <c r="ADC9" s="944"/>
      <c r="ADD9" s="944"/>
      <c r="ADE9" s="944"/>
      <c r="ADF9" s="944"/>
      <c r="ADG9" s="944"/>
      <c r="ADH9" s="944"/>
      <c r="ADI9" s="944"/>
      <c r="ADJ9" s="944"/>
      <c r="ADK9" s="944"/>
      <c r="ADL9" s="944"/>
      <c r="ADM9" s="944"/>
      <c r="ADN9" s="944"/>
      <c r="ADO9" s="944"/>
      <c r="ADP9" s="944"/>
      <c r="ADQ9" s="944"/>
      <c r="ADR9" s="944"/>
      <c r="ADS9" s="944"/>
      <c r="ADT9" s="944"/>
      <c r="ADU9" s="944"/>
      <c r="ADV9" s="944"/>
      <c r="ADW9" s="944"/>
      <c r="ADX9" s="944"/>
      <c r="ADY9" s="944"/>
      <c r="ADZ9" s="944"/>
      <c r="AEA9" s="944"/>
      <c r="AEB9" s="944"/>
      <c r="AEC9" s="944"/>
      <c r="AED9" s="944"/>
      <c r="AEE9" s="944"/>
      <c r="AEF9" s="944"/>
      <c r="AEG9" s="944"/>
      <c r="AEH9" s="944"/>
      <c r="AEI9" s="944"/>
      <c r="AEJ9" s="944"/>
      <c r="AEK9" s="944"/>
      <c r="AEL9" s="944"/>
      <c r="AEM9" s="944"/>
      <c r="AEN9" s="944"/>
      <c r="AEO9" s="944"/>
      <c r="AEP9" s="944"/>
      <c r="AEQ9" s="944"/>
      <c r="AER9" s="944"/>
      <c r="AES9" s="944"/>
      <c r="AET9" s="944"/>
      <c r="AEU9" s="944"/>
      <c r="AEV9" s="944"/>
      <c r="AEW9" s="944"/>
      <c r="AEX9" s="944"/>
      <c r="AEY9" s="944"/>
      <c r="AEZ9" s="944"/>
      <c r="AFA9" s="944"/>
      <c r="AFB9" s="944"/>
      <c r="AFC9" s="944"/>
      <c r="AFD9" s="944"/>
      <c r="AFE9" s="944"/>
      <c r="AFF9" s="944"/>
      <c r="AFG9" s="944"/>
      <c r="AFH9" s="944"/>
      <c r="AFI9" s="944"/>
      <c r="AFJ9" s="944"/>
      <c r="AFK9" s="944"/>
      <c r="AFL9" s="944"/>
      <c r="AFM9" s="944"/>
      <c r="AFN9" s="944"/>
      <c r="AFO9" s="944"/>
      <c r="AFP9" s="944"/>
      <c r="AFQ9" s="944"/>
      <c r="AFR9" s="944"/>
      <c r="AFS9" s="944"/>
      <c r="AFT9" s="944"/>
      <c r="AFU9" s="944"/>
      <c r="AFV9" s="944"/>
      <c r="AFW9" s="944"/>
      <c r="AFX9" s="944"/>
      <c r="AFY9" s="944"/>
      <c r="AFZ9" s="944"/>
      <c r="AGA9" s="944"/>
      <c r="AGB9" s="944"/>
      <c r="AGC9" s="944"/>
      <c r="AGD9" s="944"/>
      <c r="AGE9" s="944"/>
      <c r="AGF9" s="944"/>
      <c r="AGG9" s="944"/>
      <c r="AGH9" s="944"/>
      <c r="AGI9" s="944"/>
      <c r="AGJ9" s="944"/>
      <c r="AGK9" s="944"/>
      <c r="AGL9" s="944"/>
      <c r="AGM9" s="944"/>
      <c r="AGN9" s="944"/>
      <c r="AGO9" s="944"/>
      <c r="AGP9" s="944"/>
      <c r="AGQ9" s="944"/>
      <c r="AGR9" s="944"/>
      <c r="AGS9" s="944"/>
      <c r="AGT9" s="944"/>
      <c r="AGU9" s="944"/>
      <c r="AGV9" s="944"/>
      <c r="AGW9" s="944"/>
      <c r="AGX9" s="944"/>
      <c r="AGY9" s="944"/>
      <c r="AGZ9" s="944"/>
      <c r="AHA9" s="944"/>
      <c r="AHB9" s="944"/>
      <c r="AHC9" s="944"/>
      <c r="AHD9" s="944"/>
      <c r="AHE9" s="944"/>
      <c r="AHF9" s="944"/>
      <c r="AHG9" s="944"/>
      <c r="AHH9" s="944"/>
      <c r="AHI9" s="944"/>
      <c r="AHJ9" s="944"/>
      <c r="AHK9" s="944"/>
      <c r="AHL9" s="944"/>
      <c r="AHM9" s="944"/>
      <c r="AHN9" s="944"/>
      <c r="AHO9" s="944"/>
      <c r="AHP9" s="944"/>
      <c r="AHQ9" s="944"/>
      <c r="AHR9" s="944"/>
      <c r="AHS9" s="944"/>
      <c r="AHT9" s="944"/>
      <c r="AHU9" s="944"/>
      <c r="AHV9" s="944"/>
      <c r="AHW9" s="944"/>
      <c r="AHX9" s="944"/>
      <c r="AHY9" s="944"/>
      <c r="AHZ9" s="944"/>
      <c r="AIA9" s="944"/>
      <c r="AIB9" s="944"/>
      <c r="AIC9" s="944"/>
      <c r="AID9" s="944"/>
      <c r="AIE9" s="944"/>
      <c r="AIF9" s="944"/>
      <c r="AIG9" s="944"/>
      <c r="AIH9" s="944"/>
      <c r="AII9" s="944"/>
      <c r="AIJ9" s="944"/>
      <c r="AIK9" s="944"/>
      <c r="AIL9" s="944"/>
      <c r="AIM9" s="944"/>
      <c r="AIN9" s="944"/>
      <c r="AIO9" s="944"/>
      <c r="AIP9" s="944"/>
      <c r="AIQ9" s="944"/>
      <c r="AIR9" s="944"/>
      <c r="AIS9" s="944"/>
      <c r="AIT9" s="944"/>
      <c r="AIU9" s="944"/>
      <c r="AIV9" s="944"/>
      <c r="AIW9" s="944"/>
      <c r="AIX9" s="944"/>
      <c r="AIY9" s="944"/>
      <c r="AIZ9" s="944"/>
      <c r="AJA9" s="944"/>
      <c r="AJB9" s="944"/>
      <c r="AJC9" s="944"/>
      <c r="AJD9" s="944"/>
      <c r="AJE9" s="944"/>
      <c r="AJF9" s="944"/>
      <c r="AJG9" s="944"/>
      <c r="AJH9" s="944"/>
      <c r="AJI9" s="944"/>
      <c r="AJJ9" s="944"/>
      <c r="AJK9" s="944"/>
      <c r="AJL9" s="944"/>
      <c r="AJM9" s="944"/>
      <c r="AJN9" s="944"/>
      <c r="AJO9" s="944"/>
      <c r="AJP9" s="944"/>
      <c r="AJQ9" s="944"/>
      <c r="AJR9" s="944"/>
      <c r="AJS9" s="944"/>
      <c r="AJT9" s="944"/>
      <c r="AJU9" s="944"/>
      <c r="AJV9" s="944"/>
      <c r="AJW9" s="944"/>
      <c r="AJX9" s="944"/>
      <c r="AJY9" s="944"/>
      <c r="AJZ9" s="944"/>
      <c r="AKA9" s="944"/>
      <c r="AKB9" s="944"/>
      <c r="AKC9" s="944"/>
      <c r="AKD9" s="944"/>
      <c r="AKE9" s="944"/>
      <c r="AKF9" s="944"/>
      <c r="AKG9" s="944"/>
      <c r="AKH9" s="944"/>
      <c r="AKI9" s="944"/>
      <c r="AKJ9" s="944"/>
      <c r="AKK9" s="944"/>
      <c r="AKL9" s="944"/>
      <c r="AKM9" s="944"/>
      <c r="AKN9" s="944"/>
      <c r="AKO9" s="944"/>
      <c r="AKP9" s="944"/>
      <c r="AKQ9" s="944"/>
      <c r="AKR9" s="944"/>
      <c r="AKS9" s="944"/>
      <c r="AKT9" s="944"/>
      <c r="AKU9" s="944"/>
      <c r="AKV9" s="944"/>
      <c r="AKW9" s="944"/>
      <c r="AKX9" s="944"/>
      <c r="AKY9" s="944"/>
      <c r="AKZ9" s="944"/>
      <c r="ALA9" s="944"/>
      <c r="ALB9" s="944"/>
      <c r="ALC9" s="944"/>
      <c r="ALD9" s="944"/>
      <c r="ALE9" s="944"/>
      <c r="ALF9" s="944"/>
      <c r="ALG9" s="944"/>
      <c r="ALH9" s="944"/>
      <c r="ALI9" s="944"/>
      <c r="ALJ9" s="944"/>
      <c r="ALK9" s="944"/>
      <c r="ALL9" s="944"/>
      <c r="ALM9" s="944"/>
      <c r="ALN9" s="944"/>
      <c r="ALO9" s="944"/>
      <c r="ALP9" s="944"/>
      <c r="ALQ9" s="944"/>
      <c r="ALR9" s="944"/>
      <c r="ALS9" s="944"/>
      <c r="ALT9" s="944"/>
      <c r="ALU9" s="944"/>
      <c r="ALV9" s="944"/>
      <c r="ALW9" s="944"/>
      <c r="ALX9" s="944"/>
      <c r="ALY9" s="944"/>
      <c r="ALZ9" s="944"/>
      <c r="AMA9" s="944"/>
      <c r="AMB9" s="944"/>
      <c r="AMC9" s="944"/>
      <c r="AMD9" s="944"/>
      <c r="AME9" s="944"/>
      <c r="AMF9" s="944"/>
      <c r="AMG9" s="944"/>
      <c r="AMH9" s="944"/>
      <c r="AMI9" s="944"/>
      <c r="AMJ9" s="944"/>
      <c r="AMK9" s="944"/>
      <c r="AML9" s="944"/>
      <c r="AMM9" s="944"/>
      <c r="AMN9" s="944"/>
      <c r="AMO9" s="944"/>
      <c r="AMP9" s="944"/>
      <c r="AMQ9" s="944"/>
      <c r="AMR9" s="944"/>
      <c r="AMS9" s="944"/>
      <c r="AMT9" s="944"/>
      <c r="AMU9" s="944"/>
      <c r="AMV9" s="944"/>
      <c r="AMW9" s="944"/>
      <c r="AMX9" s="944"/>
      <c r="AMY9" s="944"/>
      <c r="AMZ9" s="944"/>
      <c r="ANA9" s="944"/>
      <c r="ANB9" s="944"/>
      <c r="ANC9" s="944"/>
      <c r="AND9" s="944"/>
      <c r="ANE9" s="944"/>
      <c r="ANF9" s="944"/>
      <c r="ANG9" s="944"/>
      <c r="ANH9" s="944"/>
      <c r="ANI9" s="944"/>
      <c r="ANJ9" s="944"/>
      <c r="ANK9" s="944"/>
      <c r="ANL9" s="944"/>
      <c r="ANM9" s="944"/>
      <c r="ANN9" s="944"/>
      <c r="ANO9" s="944"/>
      <c r="ANP9" s="944"/>
      <c r="ANQ9" s="944"/>
      <c r="ANR9" s="944"/>
      <c r="ANS9" s="944"/>
      <c r="ANT9" s="944"/>
      <c r="ANU9" s="944"/>
      <c r="ANV9" s="944"/>
      <c r="ANW9" s="944"/>
      <c r="ANX9" s="944"/>
      <c r="ANY9" s="944"/>
      <c r="ANZ9" s="944"/>
      <c r="AOA9" s="944"/>
      <c r="AOB9" s="944"/>
      <c r="AOC9" s="944"/>
      <c r="AOD9" s="944"/>
      <c r="AOE9" s="944"/>
      <c r="AOF9" s="944"/>
      <c r="AOG9" s="944"/>
      <c r="AOH9" s="944"/>
      <c r="AOI9" s="944"/>
      <c r="AOJ9" s="944"/>
      <c r="AOK9" s="944"/>
      <c r="AOL9" s="944"/>
      <c r="AOM9" s="944"/>
      <c r="AON9" s="944"/>
      <c r="AOO9" s="944"/>
      <c r="AOP9" s="944"/>
      <c r="AOQ9" s="944"/>
      <c r="AOR9" s="944"/>
      <c r="AOS9" s="944"/>
      <c r="AOT9" s="944"/>
      <c r="AOU9" s="944"/>
      <c r="AOV9" s="944"/>
      <c r="AOW9" s="944"/>
      <c r="AOX9" s="944"/>
      <c r="AOY9" s="944"/>
      <c r="AOZ9" s="944"/>
      <c r="APA9" s="944"/>
      <c r="APB9" s="944"/>
      <c r="APC9" s="944"/>
      <c r="APD9" s="944"/>
      <c r="APE9" s="944"/>
      <c r="APF9" s="944"/>
      <c r="APG9" s="944"/>
      <c r="APH9" s="944"/>
      <c r="API9" s="944"/>
      <c r="APJ9" s="944"/>
      <c r="APK9" s="944"/>
      <c r="APL9" s="944"/>
      <c r="APM9" s="944"/>
      <c r="APN9" s="944"/>
      <c r="APO9" s="944"/>
      <c r="APP9" s="944"/>
      <c r="APQ9" s="944"/>
      <c r="APR9" s="944"/>
      <c r="APS9" s="944"/>
      <c r="APT9" s="944"/>
      <c r="APU9" s="944"/>
      <c r="APV9" s="944"/>
      <c r="APW9" s="944"/>
      <c r="APX9" s="944"/>
      <c r="APY9" s="944"/>
      <c r="APZ9" s="944"/>
      <c r="AQA9" s="944"/>
      <c r="AQB9" s="944"/>
      <c r="AQC9" s="944"/>
      <c r="AQD9" s="944"/>
      <c r="AQE9" s="944"/>
      <c r="AQF9" s="944"/>
      <c r="AQG9" s="944"/>
      <c r="AQH9" s="944"/>
      <c r="AQI9" s="944"/>
      <c r="AQJ9" s="944"/>
      <c r="AQK9" s="944"/>
      <c r="AQL9" s="944"/>
      <c r="AQM9" s="944"/>
      <c r="AQN9" s="944"/>
      <c r="AQO9" s="944"/>
      <c r="AQP9" s="944"/>
      <c r="AQQ9" s="944"/>
      <c r="AQR9" s="944"/>
      <c r="AQS9" s="944"/>
      <c r="AQT9" s="944"/>
      <c r="AQU9" s="944"/>
      <c r="AQV9" s="944"/>
      <c r="AQW9" s="944"/>
      <c r="AQX9" s="944"/>
      <c r="AQY9" s="944"/>
      <c r="AQZ9" s="944"/>
      <c r="ARA9" s="944"/>
      <c r="ARB9" s="944"/>
      <c r="ARC9" s="944"/>
      <c r="ARD9" s="944"/>
      <c r="ARE9" s="944"/>
      <c r="ARF9" s="944"/>
      <c r="ARG9" s="944"/>
      <c r="ARH9" s="944"/>
      <c r="ARI9" s="944"/>
      <c r="ARJ9" s="944"/>
      <c r="ARK9" s="944"/>
      <c r="ARL9" s="944"/>
      <c r="ARM9" s="944"/>
      <c r="ARN9" s="944"/>
      <c r="ARO9" s="944"/>
      <c r="ARP9" s="944"/>
      <c r="ARQ9" s="944"/>
      <c r="ARR9" s="944"/>
      <c r="ARS9" s="944"/>
      <c r="ART9" s="944"/>
      <c r="ARU9" s="944"/>
      <c r="ARV9" s="944"/>
      <c r="ARW9" s="944"/>
      <c r="ARX9" s="944"/>
      <c r="ARY9" s="944"/>
      <c r="ARZ9" s="944"/>
      <c r="ASA9" s="944"/>
      <c r="ASB9" s="944"/>
      <c r="ASC9" s="944"/>
      <c r="ASD9" s="944"/>
      <c r="ASE9" s="944"/>
      <c r="ASF9" s="944"/>
      <c r="ASG9" s="944"/>
      <c r="ASH9" s="944"/>
      <c r="ASI9" s="944"/>
      <c r="ASJ9" s="944"/>
      <c r="ASK9" s="944"/>
      <c r="ASL9" s="944"/>
      <c r="ASM9" s="944"/>
      <c r="ASN9" s="944"/>
      <c r="ASO9" s="944"/>
      <c r="ASP9" s="944"/>
      <c r="ASQ9" s="944"/>
      <c r="ASR9" s="944"/>
      <c r="ASS9" s="944"/>
      <c r="AST9" s="944"/>
      <c r="ASU9" s="944"/>
      <c r="ASV9" s="944"/>
      <c r="ASW9" s="944"/>
      <c r="ASX9" s="944"/>
      <c r="ASY9" s="944"/>
      <c r="ASZ9" s="944"/>
    </row>
    <row r="10" spans="1:1196" s="947" customFormat="1" ht="47.25" customHeight="1" thickTop="1" thickBot="1">
      <c r="A10" s="2846"/>
      <c r="B10" s="2992"/>
      <c r="C10" s="2958" t="s">
        <v>169</v>
      </c>
      <c r="D10" s="111" t="s">
        <v>92</v>
      </c>
      <c r="E10" s="177" t="s">
        <v>170</v>
      </c>
      <c r="F10" s="133" t="s">
        <v>17</v>
      </c>
      <c r="G10" s="945">
        <v>28</v>
      </c>
      <c r="H10" s="521" t="s">
        <v>26</v>
      </c>
      <c r="I10" s="946"/>
      <c r="J10" s="126"/>
      <c r="K10" s="133" t="s">
        <v>26</v>
      </c>
      <c r="L10" s="514">
        <v>3</v>
      </c>
      <c r="M10" s="496">
        <v>3</v>
      </c>
      <c r="N10" s="73">
        <f>+M10/L10</f>
        <v>1</v>
      </c>
      <c r="O10" s="514">
        <v>2</v>
      </c>
      <c r="P10" s="496">
        <v>1</v>
      </c>
      <c r="Q10" s="73">
        <f>+P10/O10</f>
        <v>0.5</v>
      </c>
      <c r="R10" s="514">
        <v>3</v>
      </c>
      <c r="S10" s="496">
        <v>2</v>
      </c>
      <c r="T10" s="73">
        <f>+S10/R10</f>
        <v>0.66666666666666663</v>
      </c>
      <c r="U10" s="514">
        <v>3</v>
      </c>
      <c r="V10" s="496">
        <v>1</v>
      </c>
      <c r="W10" s="73">
        <f>+V10/U10</f>
        <v>0.33333333333333331</v>
      </c>
      <c r="X10" s="514">
        <v>3</v>
      </c>
      <c r="Y10" s="496">
        <v>2</v>
      </c>
      <c r="Z10" s="73">
        <f>+Y10/X10</f>
        <v>0.66666666666666663</v>
      </c>
      <c r="AA10" s="514">
        <v>1</v>
      </c>
      <c r="AB10" s="514">
        <v>3</v>
      </c>
      <c r="AC10" s="73">
        <f>+AB10/AA10</f>
        <v>3</v>
      </c>
      <c r="AD10" s="782">
        <f>+AB10+Y10+V10+S10+P10+M10</f>
        <v>12</v>
      </c>
      <c r="AE10" s="948">
        <f t="shared" ref="AE10" si="0">+AD10/G10</f>
        <v>0.42857142857142855</v>
      </c>
      <c r="AF10" s="514">
        <v>1</v>
      </c>
      <c r="AG10" s="496">
        <v>2</v>
      </c>
      <c r="AH10" s="73">
        <f>+AG10/AF10</f>
        <v>2</v>
      </c>
      <c r="AI10" s="514">
        <v>1</v>
      </c>
      <c r="AJ10" s="496">
        <v>2</v>
      </c>
      <c r="AK10" s="73">
        <f>+AJ10/AI10</f>
        <v>2</v>
      </c>
      <c r="AL10" s="514">
        <v>2</v>
      </c>
      <c r="AM10" s="496">
        <v>2</v>
      </c>
      <c r="AN10" s="73">
        <f>+AM10/AL10</f>
        <v>1</v>
      </c>
      <c r="AO10" s="514">
        <v>1</v>
      </c>
      <c r="AP10" s="496">
        <v>2</v>
      </c>
      <c r="AQ10" s="73">
        <f>+AP10/AO10</f>
        <v>2</v>
      </c>
      <c r="AR10" s="514">
        <v>3</v>
      </c>
      <c r="AS10" s="496">
        <v>3</v>
      </c>
      <c r="AT10" s="73">
        <f>+AS10/AR10</f>
        <v>1</v>
      </c>
      <c r="AU10" s="514">
        <v>5</v>
      </c>
      <c r="AV10" s="496">
        <v>5</v>
      </c>
      <c r="AW10" s="73">
        <f>+AV10/AU10</f>
        <v>1</v>
      </c>
      <c r="AX10" s="949">
        <f t="shared" ref="AX10" si="1">+M10+P10+S10+V10+Y10+AB10+AG10+AJ10+AM10+AP10+AS10+AV10</f>
        <v>28</v>
      </c>
      <c r="AY10" s="2814">
        <f t="shared" ref="AY10" si="2">+AX10/G10</f>
        <v>1</v>
      </c>
      <c r="AZ10" s="950"/>
      <c r="BA10" s="944"/>
      <c r="BB10" s="944"/>
      <c r="BC10" s="944"/>
      <c r="BD10" s="944"/>
      <c r="BE10" s="944"/>
      <c r="BF10" s="944"/>
      <c r="BG10" s="944"/>
      <c r="BH10" s="944"/>
      <c r="BI10" s="944"/>
      <c r="BJ10" s="944"/>
      <c r="BK10" s="944"/>
      <c r="BL10" s="944"/>
      <c r="BM10" s="944"/>
      <c r="BN10" s="944"/>
      <c r="BO10" s="944"/>
      <c r="BP10" s="944"/>
      <c r="BQ10" s="944"/>
      <c r="BR10" s="944"/>
      <c r="BS10" s="944"/>
      <c r="BT10" s="944"/>
      <c r="BU10" s="944"/>
      <c r="BV10" s="944"/>
      <c r="BW10" s="944"/>
      <c r="BX10" s="944"/>
      <c r="BY10" s="944"/>
      <c r="BZ10" s="944"/>
      <c r="CA10" s="944"/>
      <c r="CB10" s="944"/>
      <c r="CC10" s="944"/>
      <c r="CD10" s="944"/>
      <c r="CE10" s="944"/>
      <c r="CF10" s="944"/>
      <c r="CG10" s="944"/>
      <c r="CH10" s="944"/>
      <c r="CI10" s="944"/>
      <c r="CJ10" s="944"/>
      <c r="CK10" s="944"/>
      <c r="CL10" s="944"/>
      <c r="CM10" s="944"/>
      <c r="CN10" s="944"/>
      <c r="CO10" s="944"/>
      <c r="CP10" s="944"/>
      <c r="CQ10" s="944"/>
      <c r="CR10" s="944"/>
      <c r="CS10" s="944"/>
      <c r="CT10" s="944"/>
      <c r="CU10" s="944"/>
      <c r="CV10" s="944"/>
      <c r="CW10" s="944"/>
      <c r="CX10" s="944"/>
      <c r="CY10" s="944"/>
      <c r="CZ10" s="944"/>
      <c r="DA10" s="944"/>
      <c r="DB10" s="944"/>
      <c r="DC10" s="944"/>
      <c r="DD10" s="944"/>
      <c r="DE10" s="944"/>
      <c r="DF10" s="944"/>
      <c r="DG10" s="944"/>
      <c r="DH10" s="944"/>
      <c r="DI10" s="944"/>
      <c r="DJ10" s="944"/>
      <c r="DK10" s="944"/>
      <c r="DL10" s="944"/>
      <c r="DM10" s="944"/>
      <c r="DN10" s="944"/>
      <c r="DO10" s="944"/>
      <c r="DP10" s="944"/>
      <c r="DQ10" s="944"/>
      <c r="DR10" s="944"/>
      <c r="DS10" s="944"/>
      <c r="DT10" s="944"/>
      <c r="DU10" s="944"/>
      <c r="DV10" s="944"/>
      <c r="DW10" s="944"/>
      <c r="DX10" s="944"/>
      <c r="DY10" s="944"/>
      <c r="DZ10" s="944"/>
      <c r="EA10" s="944"/>
      <c r="EB10" s="944"/>
      <c r="EC10" s="944"/>
      <c r="ED10" s="944"/>
      <c r="EE10" s="944"/>
      <c r="EF10" s="944"/>
      <c r="EG10" s="944"/>
      <c r="EH10" s="944"/>
      <c r="EI10" s="944"/>
      <c r="EJ10" s="944"/>
      <c r="EK10" s="944"/>
      <c r="EL10" s="944"/>
      <c r="EM10" s="944"/>
      <c r="EN10" s="944"/>
      <c r="EO10" s="944"/>
      <c r="EP10" s="944"/>
      <c r="EQ10" s="944"/>
      <c r="ER10" s="944"/>
      <c r="ES10" s="944"/>
      <c r="ET10" s="944"/>
      <c r="EU10" s="944"/>
      <c r="EV10" s="944"/>
      <c r="EW10" s="944"/>
      <c r="EX10" s="944"/>
      <c r="EY10" s="944"/>
      <c r="EZ10" s="944"/>
      <c r="FA10" s="944"/>
      <c r="FB10" s="944"/>
      <c r="FC10" s="944"/>
      <c r="FD10" s="944"/>
      <c r="FE10" s="944"/>
      <c r="FF10" s="944"/>
      <c r="FG10" s="944"/>
      <c r="FH10" s="944"/>
      <c r="FI10" s="944"/>
      <c r="FJ10" s="944"/>
      <c r="FK10" s="944"/>
      <c r="FL10" s="944"/>
      <c r="FM10" s="944"/>
      <c r="FN10" s="944"/>
      <c r="FO10" s="944"/>
      <c r="FP10" s="944"/>
      <c r="FQ10" s="944"/>
      <c r="FR10" s="944"/>
      <c r="FS10" s="944"/>
      <c r="FT10" s="944"/>
      <c r="FU10" s="944"/>
      <c r="FV10" s="944"/>
      <c r="FW10" s="944"/>
      <c r="FX10" s="944"/>
      <c r="FY10" s="944"/>
      <c r="FZ10" s="944"/>
      <c r="GA10" s="944"/>
      <c r="GB10" s="944"/>
      <c r="GC10" s="944"/>
      <c r="GD10" s="944"/>
      <c r="GE10" s="944"/>
      <c r="GF10" s="944"/>
      <c r="GG10" s="944"/>
      <c r="GH10" s="944"/>
      <c r="GI10" s="944"/>
      <c r="GJ10" s="944"/>
      <c r="GK10" s="944"/>
      <c r="GL10" s="944"/>
      <c r="GM10" s="944"/>
      <c r="GN10" s="944"/>
      <c r="GO10" s="944"/>
      <c r="GP10" s="944"/>
      <c r="GQ10" s="944"/>
      <c r="GR10" s="944"/>
      <c r="GS10" s="944"/>
      <c r="GT10" s="944"/>
      <c r="GU10" s="944"/>
      <c r="GV10" s="944"/>
      <c r="GW10" s="944"/>
      <c r="GX10" s="944"/>
      <c r="GY10" s="944"/>
      <c r="GZ10" s="944"/>
      <c r="HA10" s="944"/>
      <c r="HB10" s="944"/>
      <c r="HC10" s="944"/>
      <c r="HD10" s="944"/>
      <c r="HE10" s="944"/>
      <c r="HF10" s="944"/>
      <c r="HG10" s="944"/>
      <c r="HH10" s="944"/>
      <c r="HI10" s="944"/>
      <c r="HJ10" s="944"/>
      <c r="HK10" s="944"/>
      <c r="HL10" s="944"/>
      <c r="HM10" s="944"/>
      <c r="HN10" s="944"/>
      <c r="HO10" s="944"/>
      <c r="HP10" s="944"/>
      <c r="HQ10" s="944"/>
      <c r="HR10" s="944"/>
      <c r="HS10" s="944"/>
      <c r="HT10" s="944"/>
      <c r="HU10" s="944"/>
      <c r="HV10" s="944"/>
      <c r="HW10" s="944"/>
      <c r="HX10" s="944"/>
      <c r="HY10" s="944"/>
      <c r="HZ10" s="944"/>
      <c r="IA10" s="944"/>
      <c r="IB10" s="944"/>
      <c r="IC10" s="944"/>
      <c r="ID10" s="944"/>
      <c r="IE10" s="944"/>
      <c r="IF10" s="944"/>
      <c r="IG10" s="944"/>
      <c r="IH10" s="944"/>
      <c r="II10" s="944"/>
      <c r="IJ10" s="944"/>
      <c r="IK10" s="944"/>
      <c r="IL10" s="944"/>
      <c r="IM10" s="944"/>
      <c r="IN10" s="944"/>
      <c r="IO10" s="944"/>
      <c r="IP10" s="944"/>
      <c r="IQ10" s="944"/>
      <c r="IR10" s="944"/>
      <c r="IS10" s="944"/>
      <c r="IT10" s="944"/>
      <c r="IU10" s="944"/>
      <c r="IV10" s="944"/>
      <c r="IW10" s="944"/>
      <c r="IX10" s="944"/>
      <c r="IY10" s="944"/>
      <c r="IZ10" s="944"/>
      <c r="JA10" s="944"/>
      <c r="JB10" s="944"/>
      <c r="JC10" s="944"/>
      <c r="JD10" s="944"/>
      <c r="JE10" s="944"/>
      <c r="JF10" s="944"/>
      <c r="JG10" s="944"/>
      <c r="JH10" s="944"/>
      <c r="JI10" s="944"/>
      <c r="JJ10" s="944"/>
      <c r="JK10" s="944"/>
      <c r="JL10" s="944"/>
      <c r="JM10" s="944"/>
      <c r="JN10" s="944"/>
      <c r="JO10" s="944"/>
      <c r="JP10" s="944"/>
      <c r="JQ10" s="944"/>
      <c r="JR10" s="944"/>
      <c r="JS10" s="944"/>
      <c r="JT10" s="944"/>
      <c r="JU10" s="944"/>
      <c r="JV10" s="944"/>
      <c r="JW10" s="944"/>
      <c r="JX10" s="944"/>
      <c r="JY10" s="944"/>
      <c r="JZ10" s="944"/>
      <c r="KA10" s="944"/>
      <c r="KB10" s="944"/>
      <c r="KC10" s="944"/>
      <c r="KD10" s="944"/>
      <c r="KE10" s="944"/>
      <c r="KF10" s="944"/>
      <c r="KG10" s="944"/>
      <c r="KH10" s="944"/>
      <c r="KI10" s="944"/>
      <c r="KJ10" s="944"/>
      <c r="KK10" s="944"/>
      <c r="KL10" s="944"/>
      <c r="KM10" s="944"/>
      <c r="KN10" s="944"/>
      <c r="KO10" s="944"/>
      <c r="KP10" s="944"/>
      <c r="KQ10" s="944"/>
      <c r="KR10" s="944"/>
      <c r="KS10" s="944"/>
      <c r="KT10" s="944"/>
      <c r="KU10" s="944"/>
      <c r="KV10" s="944"/>
      <c r="KW10" s="944"/>
      <c r="KX10" s="944"/>
      <c r="KY10" s="944"/>
      <c r="KZ10" s="944"/>
      <c r="LA10" s="944"/>
      <c r="LB10" s="944"/>
      <c r="LC10" s="944"/>
      <c r="LD10" s="944"/>
      <c r="LE10" s="944"/>
      <c r="LF10" s="944"/>
      <c r="LG10" s="944"/>
      <c r="LH10" s="944"/>
      <c r="LI10" s="944"/>
      <c r="LJ10" s="944"/>
      <c r="LK10" s="944"/>
      <c r="LL10" s="944"/>
      <c r="LM10" s="944"/>
      <c r="LN10" s="944"/>
      <c r="LO10" s="944"/>
      <c r="LP10" s="944"/>
      <c r="LQ10" s="944"/>
      <c r="LR10" s="944"/>
      <c r="LS10" s="944"/>
      <c r="LT10" s="944"/>
      <c r="LU10" s="944"/>
      <c r="LV10" s="944"/>
      <c r="LW10" s="944"/>
      <c r="LX10" s="944"/>
      <c r="LY10" s="944"/>
      <c r="LZ10" s="944"/>
      <c r="MA10" s="944"/>
      <c r="MB10" s="944"/>
      <c r="MC10" s="944"/>
      <c r="MD10" s="944"/>
      <c r="ME10" s="944"/>
      <c r="MF10" s="944"/>
      <c r="MG10" s="944"/>
      <c r="MH10" s="944"/>
      <c r="MI10" s="944"/>
      <c r="MJ10" s="944"/>
      <c r="MK10" s="944"/>
      <c r="ML10" s="944"/>
      <c r="MM10" s="944"/>
      <c r="MN10" s="944"/>
      <c r="MO10" s="944"/>
      <c r="MP10" s="944"/>
      <c r="MQ10" s="944"/>
      <c r="MR10" s="944"/>
      <c r="MS10" s="944"/>
      <c r="MT10" s="944"/>
      <c r="MU10" s="944"/>
      <c r="MV10" s="944"/>
      <c r="MW10" s="944"/>
      <c r="MX10" s="944"/>
      <c r="MY10" s="944"/>
      <c r="MZ10" s="944"/>
      <c r="NA10" s="944"/>
      <c r="NB10" s="944"/>
      <c r="NC10" s="944"/>
      <c r="ND10" s="944"/>
      <c r="NE10" s="944"/>
      <c r="NF10" s="944"/>
      <c r="NG10" s="944"/>
      <c r="NH10" s="944"/>
      <c r="NI10" s="944"/>
      <c r="NJ10" s="944"/>
      <c r="NK10" s="944"/>
      <c r="NL10" s="944"/>
      <c r="NM10" s="944"/>
      <c r="NN10" s="944"/>
      <c r="NO10" s="944"/>
      <c r="NP10" s="944"/>
      <c r="NQ10" s="944"/>
      <c r="NR10" s="944"/>
      <c r="NS10" s="944"/>
      <c r="NT10" s="944"/>
      <c r="NU10" s="944"/>
      <c r="NV10" s="944"/>
      <c r="NW10" s="944"/>
      <c r="NX10" s="944"/>
      <c r="NY10" s="944"/>
      <c r="NZ10" s="944"/>
      <c r="OA10" s="944"/>
      <c r="OB10" s="944"/>
      <c r="OC10" s="944"/>
      <c r="OD10" s="944"/>
      <c r="OE10" s="944"/>
      <c r="OF10" s="944"/>
      <c r="OG10" s="944"/>
      <c r="OH10" s="944"/>
      <c r="OI10" s="944"/>
      <c r="OJ10" s="944"/>
      <c r="OK10" s="944"/>
      <c r="OL10" s="944"/>
      <c r="OM10" s="944"/>
      <c r="ON10" s="944"/>
      <c r="OO10" s="944"/>
      <c r="OP10" s="944"/>
      <c r="OQ10" s="944"/>
      <c r="OR10" s="944"/>
      <c r="OS10" s="944"/>
      <c r="OT10" s="944"/>
      <c r="OU10" s="944"/>
      <c r="OV10" s="944"/>
      <c r="OW10" s="944"/>
      <c r="OX10" s="944"/>
      <c r="OY10" s="944"/>
      <c r="OZ10" s="944"/>
      <c r="PA10" s="944"/>
      <c r="PB10" s="944"/>
      <c r="PC10" s="944"/>
      <c r="PD10" s="944"/>
      <c r="PE10" s="944"/>
      <c r="PF10" s="944"/>
      <c r="PG10" s="944"/>
      <c r="PH10" s="944"/>
      <c r="PI10" s="944"/>
      <c r="PJ10" s="944"/>
      <c r="PK10" s="944"/>
      <c r="PL10" s="944"/>
      <c r="PM10" s="944"/>
      <c r="PN10" s="944"/>
      <c r="PO10" s="944"/>
      <c r="PP10" s="944"/>
      <c r="PQ10" s="944"/>
      <c r="PR10" s="944"/>
      <c r="PS10" s="944"/>
      <c r="PT10" s="944"/>
      <c r="PU10" s="944"/>
      <c r="PV10" s="944"/>
      <c r="PW10" s="944"/>
      <c r="PX10" s="944"/>
      <c r="PY10" s="944"/>
      <c r="PZ10" s="944"/>
      <c r="QA10" s="944"/>
      <c r="QB10" s="944"/>
      <c r="QC10" s="944"/>
      <c r="QD10" s="944"/>
      <c r="QE10" s="944"/>
      <c r="QF10" s="944"/>
      <c r="QG10" s="944"/>
      <c r="QH10" s="944"/>
      <c r="QI10" s="944"/>
      <c r="QJ10" s="944"/>
      <c r="QK10" s="944"/>
      <c r="QL10" s="944"/>
      <c r="QM10" s="944"/>
      <c r="QN10" s="944"/>
      <c r="QO10" s="944"/>
      <c r="QP10" s="944"/>
      <c r="QQ10" s="944"/>
      <c r="QR10" s="944"/>
      <c r="QS10" s="944"/>
      <c r="QT10" s="944"/>
      <c r="QU10" s="944"/>
      <c r="QV10" s="944"/>
      <c r="QW10" s="944"/>
      <c r="QX10" s="944"/>
      <c r="QY10" s="944"/>
      <c r="QZ10" s="944"/>
      <c r="RA10" s="944"/>
      <c r="RB10" s="944"/>
      <c r="RC10" s="944"/>
      <c r="RD10" s="944"/>
      <c r="RE10" s="944"/>
      <c r="RF10" s="944"/>
      <c r="RG10" s="944"/>
      <c r="RH10" s="944"/>
      <c r="RI10" s="944"/>
      <c r="RJ10" s="944"/>
      <c r="RK10" s="944"/>
      <c r="RL10" s="944"/>
      <c r="RM10" s="944"/>
      <c r="RN10" s="944"/>
      <c r="RO10" s="944"/>
      <c r="RP10" s="944"/>
      <c r="RQ10" s="944"/>
      <c r="RR10" s="944"/>
      <c r="RS10" s="944"/>
      <c r="RT10" s="944"/>
      <c r="RU10" s="944"/>
      <c r="RV10" s="944"/>
      <c r="RW10" s="944"/>
      <c r="RX10" s="944"/>
      <c r="RY10" s="944"/>
      <c r="RZ10" s="944"/>
      <c r="SA10" s="944"/>
      <c r="SB10" s="944"/>
      <c r="SC10" s="944"/>
      <c r="SD10" s="944"/>
      <c r="SE10" s="944"/>
      <c r="SF10" s="944"/>
      <c r="SG10" s="944"/>
      <c r="SH10" s="944"/>
      <c r="SI10" s="944"/>
      <c r="SJ10" s="944"/>
      <c r="SK10" s="944"/>
      <c r="SL10" s="944"/>
      <c r="SM10" s="944"/>
      <c r="SN10" s="944"/>
      <c r="SO10" s="944"/>
      <c r="SP10" s="944"/>
      <c r="SQ10" s="944"/>
      <c r="SR10" s="944"/>
      <c r="SS10" s="944"/>
      <c r="ST10" s="944"/>
      <c r="SU10" s="944"/>
      <c r="SV10" s="944"/>
      <c r="SW10" s="944"/>
      <c r="SX10" s="944"/>
      <c r="SY10" s="944"/>
      <c r="SZ10" s="944"/>
      <c r="TA10" s="944"/>
      <c r="TB10" s="944"/>
      <c r="TC10" s="944"/>
      <c r="TD10" s="944"/>
      <c r="TE10" s="944"/>
      <c r="TF10" s="944"/>
      <c r="TG10" s="944"/>
      <c r="TH10" s="944"/>
      <c r="TI10" s="944"/>
      <c r="TJ10" s="944"/>
      <c r="TK10" s="944"/>
      <c r="TL10" s="944"/>
      <c r="TM10" s="944"/>
      <c r="TN10" s="944"/>
      <c r="TO10" s="944"/>
      <c r="TP10" s="944"/>
      <c r="TQ10" s="944"/>
      <c r="TR10" s="944"/>
      <c r="TS10" s="944"/>
      <c r="TT10" s="944"/>
      <c r="TU10" s="944"/>
      <c r="TV10" s="944"/>
      <c r="TW10" s="944"/>
      <c r="TX10" s="944"/>
      <c r="TY10" s="944"/>
      <c r="TZ10" s="944"/>
      <c r="UA10" s="944"/>
      <c r="UB10" s="944"/>
      <c r="UC10" s="944"/>
      <c r="UD10" s="944"/>
      <c r="UE10" s="944"/>
      <c r="UF10" s="944"/>
      <c r="UG10" s="944"/>
      <c r="UH10" s="944"/>
      <c r="UI10" s="944"/>
      <c r="UJ10" s="944"/>
      <c r="UK10" s="944"/>
      <c r="UL10" s="944"/>
      <c r="UM10" s="944"/>
      <c r="UN10" s="944"/>
      <c r="UO10" s="944"/>
      <c r="UP10" s="944"/>
      <c r="UQ10" s="944"/>
      <c r="UR10" s="944"/>
      <c r="US10" s="944"/>
      <c r="UT10" s="944"/>
      <c r="UU10" s="944"/>
      <c r="UV10" s="944"/>
      <c r="UW10" s="944"/>
      <c r="UX10" s="944"/>
      <c r="UY10" s="944"/>
      <c r="UZ10" s="944"/>
      <c r="VA10" s="944"/>
      <c r="VB10" s="944"/>
      <c r="VC10" s="944"/>
      <c r="VD10" s="944"/>
      <c r="VE10" s="944"/>
      <c r="VF10" s="944"/>
      <c r="VG10" s="944"/>
      <c r="VH10" s="944"/>
      <c r="VI10" s="944"/>
      <c r="VJ10" s="944"/>
      <c r="VK10" s="944"/>
      <c r="VL10" s="944"/>
      <c r="VM10" s="944"/>
      <c r="VN10" s="944"/>
      <c r="VO10" s="944"/>
      <c r="VP10" s="944"/>
      <c r="VQ10" s="944"/>
      <c r="VR10" s="944"/>
      <c r="VS10" s="944"/>
      <c r="VT10" s="944"/>
      <c r="VU10" s="944"/>
      <c r="VV10" s="944"/>
      <c r="VW10" s="944"/>
      <c r="VX10" s="944"/>
      <c r="VY10" s="944"/>
      <c r="VZ10" s="944"/>
      <c r="WA10" s="944"/>
      <c r="WB10" s="944"/>
      <c r="WC10" s="944"/>
      <c r="WD10" s="944"/>
      <c r="WE10" s="944"/>
      <c r="WF10" s="944"/>
      <c r="WG10" s="944"/>
      <c r="WH10" s="944"/>
      <c r="WI10" s="944"/>
      <c r="WJ10" s="944"/>
      <c r="WK10" s="944"/>
      <c r="WL10" s="944"/>
      <c r="WM10" s="944"/>
      <c r="WN10" s="944"/>
      <c r="WO10" s="944"/>
      <c r="WP10" s="944"/>
      <c r="WQ10" s="944"/>
      <c r="WR10" s="944"/>
      <c r="WS10" s="944"/>
      <c r="WT10" s="944"/>
      <c r="WU10" s="944"/>
      <c r="WV10" s="944"/>
      <c r="WW10" s="944"/>
      <c r="WX10" s="944"/>
      <c r="WY10" s="944"/>
      <c r="WZ10" s="944"/>
      <c r="XA10" s="944"/>
      <c r="XB10" s="944"/>
      <c r="XC10" s="944"/>
      <c r="XD10" s="944"/>
      <c r="XE10" s="944"/>
      <c r="XF10" s="944"/>
      <c r="XG10" s="944"/>
      <c r="XH10" s="944"/>
      <c r="XI10" s="944"/>
      <c r="XJ10" s="944"/>
      <c r="XK10" s="944"/>
      <c r="XL10" s="944"/>
      <c r="XM10" s="944"/>
      <c r="XN10" s="944"/>
      <c r="XO10" s="944"/>
      <c r="XP10" s="944"/>
      <c r="XQ10" s="944"/>
      <c r="XR10" s="944"/>
      <c r="XS10" s="944"/>
      <c r="XT10" s="944"/>
      <c r="XU10" s="944"/>
      <c r="XV10" s="944"/>
      <c r="XW10" s="944"/>
      <c r="XX10" s="944"/>
      <c r="XY10" s="944"/>
      <c r="XZ10" s="944"/>
      <c r="YA10" s="944"/>
      <c r="YB10" s="944"/>
      <c r="YC10" s="944"/>
      <c r="YD10" s="944"/>
      <c r="YE10" s="944"/>
      <c r="YF10" s="944"/>
      <c r="YG10" s="944"/>
      <c r="YH10" s="944"/>
      <c r="YI10" s="944"/>
      <c r="YJ10" s="944"/>
      <c r="YK10" s="944"/>
      <c r="YL10" s="944"/>
      <c r="YM10" s="944"/>
      <c r="YN10" s="944"/>
      <c r="YO10" s="944"/>
      <c r="YP10" s="944"/>
      <c r="YQ10" s="944"/>
      <c r="YR10" s="944"/>
      <c r="YS10" s="944"/>
      <c r="YT10" s="944"/>
      <c r="YU10" s="944"/>
      <c r="YV10" s="944"/>
      <c r="YW10" s="944"/>
      <c r="YX10" s="944"/>
      <c r="YY10" s="944"/>
      <c r="YZ10" s="944"/>
      <c r="ZA10" s="944"/>
      <c r="ZB10" s="944"/>
      <c r="ZC10" s="944"/>
      <c r="ZD10" s="944"/>
      <c r="ZE10" s="944"/>
      <c r="ZF10" s="944"/>
      <c r="ZG10" s="944"/>
      <c r="ZH10" s="944"/>
      <c r="ZI10" s="944"/>
      <c r="ZJ10" s="944"/>
      <c r="ZK10" s="944"/>
      <c r="ZL10" s="944"/>
      <c r="ZM10" s="944"/>
      <c r="ZN10" s="944"/>
      <c r="ZO10" s="944"/>
      <c r="ZP10" s="944"/>
      <c r="ZQ10" s="944"/>
      <c r="ZR10" s="944"/>
      <c r="ZS10" s="944"/>
      <c r="ZT10" s="944"/>
      <c r="ZU10" s="944"/>
      <c r="ZV10" s="944"/>
      <c r="ZW10" s="944"/>
      <c r="ZX10" s="944"/>
      <c r="ZY10" s="944"/>
      <c r="ZZ10" s="944"/>
      <c r="AAA10" s="944"/>
      <c r="AAB10" s="944"/>
      <c r="AAC10" s="944"/>
      <c r="AAD10" s="944"/>
      <c r="AAE10" s="944"/>
      <c r="AAF10" s="944"/>
      <c r="AAG10" s="944"/>
      <c r="AAH10" s="944"/>
      <c r="AAI10" s="944"/>
      <c r="AAJ10" s="944"/>
      <c r="AAK10" s="944"/>
      <c r="AAL10" s="944"/>
      <c r="AAM10" s="944"/>
      <c r="AAN10" s="944"/>
      <c r="AAO10" s="944"/>
      <c r="AAP10" s="944"/>
      <c r="AAQ10" s="944"/>
      <c r="AAR10" s="944"/>
      <c r="AAS10" s="944"/>
      <c r="AAT10" s="944"/>
      <c r="AAU10" s="944"/>
      <c r="AAV10" s="944"/>
      <c r="AAW10" s="944"/>
      <c r="AAX10" s="944"/>
      <c r="AAY10" s="944"/>
      <c r="AAZ10" s="944"/>
      <c r="ABA10" s="944"/>
      <c r="ABB10" s="944"/>
      <c r="ABC10" s="944"/>
      <c r="ABD10" s="944"/>
      <c r="ABE10" s="944"/>
      <c r="ABF10" s="944"/>
      <c r="ABG10" s="944"/>
      <c r="ABH10" s="944"/>
      <c r="ABI10" s="944"/>
      <c r="ABJ10" s="944"/>
      <c r="ABK10" s="944"/>
      <c r="ABL10" s="944"/>
      <c r="ABM10" s="944"/>
      <c r="ABN10" s="944"/>
      <c r="ABO10" s="944"/>
      <c r="ABP10" s="944"/>
      <c r="ABQ10" s="944"/>
      <c r="ABR10" s="944"/>
      <c r="ABS10" s="944"/>
      <c r="ABT10" s="944"/>
      <c r="ABU10" s="944"/>
      <c r="ABV10" s="944"/>
      <c r="ABW10" s="944"/>
      <c r="ABX10" s="944"/>
      <c r="ABY10" s="944"/>
      <c r="ABZ10" s="944"/>
      <c r="ACA10" s="944"/>
      <c r="ACB10" s="944"/>
      <c r="ACC10" s="944"/>
      <c r="ACD10" s="944"/>
      <c r="ACE10" s="944"/>
      <c r="ACF10" s="944"/>
      <c r="ACG10" s="944"/>
      <c r="ACH10" s="944"/>
      <c r="ACI10" s="944"/>
      <c r="ACJ10" s="944"/>
      <c r="ACK10" s="944"/>
      <c r="ACL10" s="944"/>
      <c r="ACM10" s="944"/>
      <c r="ACN10" s="944"/>
      <c r="ACO10" s="944"/>
      <c r="ACP10" s="944"/>
      <c r="ACQ10" s="944"/>
      <c r="ACR10" s="944"/>
      <c r="ACS10" s="944"/>
      <c r="ACT10" s="944"/>
      <c r="ACU10" s="944"/>
      <c r="ACV10" s="944"/>
      <c r="ACW10" s="944"/>
      <c r="ACX10" s="944"/>
      <c r="ACY10" s="944"/>
      <c r="ACZ10" s="944"/>
      <c r="ADA10" s="944"/>
      <c r="ADB10" s="944"/>
      <c r="ADC10" s="944"/>
      <c r="ADD10" s="944"/>
      <c r="ADE10" s="944"/>
      <c r="ADF10" s="944"/>
      <c r="ADG10" s="944"/>
      <c r="ADH10" s="944"/>
      <c r="ADI10" s="944"/>
      <c r="ADJ10" s="944"/>
      <c r="ADK10" s="944"/>
      <c r="ADL10" s="944"/>
      <c r="ADM10" s="944"/>
      <c r="ADN10" s="944"/>
      <c r="ADO10" s="944"/>
      <c r="ADP10" s="944"/>
      <c r="ADQ10" s="944"/>
      <c r="ADR10" s="944"/>
      <c r="ADS10" s="944"/>
      <c r="ADT10" s="944"/>
      <c r="ADU10" s="944"/>
      <c r="ADV10" s="944"/>
      <c r="ADW10" s="944"/>
      <c r="ADX10" s="944"/>
      <c r="ADY10" s="944"/>
      <c r="ADZ10" s="944"/>
      <c r="AEA10" s="944"/>
      <c r="AEB10" s="944"/>
      <c r="AEC10" s="944"/>
      <c r="AED10" s="944"/>
      <c r="AEE10" s="944"/>
      <c r="AEF10" s="944"/>
      <c r="AEG10" s="944"/>
      <c r="AEH10" s="944"/>
      <c r="AEI10" s="944"/>
      <c r="AEJ10" s="944"/>
      <c r="AEK10" s="944"/>
      <c r="AEL10" s="944"/>
      <c r="AEM10" s="944"/>
      <c r="AEN10" s="944"/>
      <c r="AEO10" s="944"/>
      <c r="AEP10" s="944"/>
      <c r="AEQ10" s="944"/>
      <c r="AER10" s="944"/>
      <c r="AES10" s="944"/>
      <c r="AET10" s="944"/>
      <c r="AEU10" s="944"/>
      <c r="AEV10" s="944"/>
      <c r="AEW10" s="944"/>
      <c r="AEX10" s="944"/>
      <c r="AEY10" s="944"/>
      <c r="AEZ10" s="944"/>
      <c r="AFA10" s="944"/>
      <c r="AFB10" s="944"/>
      <c r="AFC10" s="944"/>
      <c r="AFD10" s="944"/>
      <c r="AFE10" s="944"/>
      <c r="AFF10" s="944"/>
      <c r="AFG10" s="944"/>
      <c r="AFH10" s="944"/>
      <c r="AFI10" s="944"/>
      <c r="AFJ10" s="944"/>
      <c r="AFK10" s="944"/>
      <c r="AFL10" s="944"/>
      <c r="AFM10" s="944"/>
      <c r="AFN10" s="944"/>
      <c r="AFO10" s="944"/>
      <c r="AFP10" s="944"/>
      <c r="AFQ10" s="944"/>
      <c r="AFR10" s="944"/>
      <c r="AFS10" s="944"/>
      <c r="AFT10" s="944"/>
      <c r="AFU10" s="944"/>
      <c r="AFV10" s="944"/>
      <c r="AFW10" s="944"/>
      <c r="AFX10" s="944"/>
      <c r="AFY10" s="944"/>
      <c r="AFZ10" s="944"/>
      <c r="AGA10" s="944"/>
      <c r="AGB10" s="944"/>
      <c r="AGC10" s="944"/>
      <c r="AGD10" s="944"/>
      <c r="AGE10" s="944"/>
      <c r="AGF10" s="944"/>
      <c r="AGG10" s="944"/>
      <c r="AGH10" s="944"/>
      <c r="AGI10" s="944"/>
      <c r="AGJ10" s="944"/>
      <c r="AGK10" s="944"/>
      <c r="AGL10" s="944"/>
      <c r="AGM10" s="944"/>
      <c r="AGN10" s="944"/>
      <c r="AGO10" s="944"/>
      <c r="AGP10" s="944"/>
      <c r="AGQ10" s="944"/>
      <c r="AGR10" s="944"/>
      <c r="AGS10" s="944"/>
      <c r="AGT10" s="944"/>
      <c r="AGU10" s="944"/>
      <c r="AGV10" s="944"/>
      <c r="AGW10" s="944"/>
      <c r="AGX10" s="944"/>
      <c r="AGY10" s="944"/>
      <c r="AGZ10" s="944"/>
      <c r="AHA10" s="944"/>
      <c r="AHB10" s="944"/>
      <c r="AHC10" s="944"/>
      <c r="AHD10" s="944"/>
      <c r="AHE10" s="944"/>
      <c r="AHF10" s="944"/>
      <c r="AHG10" s="944"/>
      <c r="AHH10" s="944"/>
      <c r="AHI10" s="944"/>
      <c r="AHJ10" s="944"/>
      <c r="AHK10" s="944"/>
      <c r="AHL10" s="944"/>
      <c r="AHM10" s="944"/>
      <c r="AHN10" s="944"/>
      <c r="AHO10" s="944"/>
      <c r="AHP10" s="944"/>
      <c r="AHQ10" s="944"/>
      <c r="AHR10" s="944"/>
      <c r="AHS10" s="944"/>
      <c r="AHT10" s="944"/>
      <c r="AHU10" s="944"/>
      <c r="AHV10" s="944"/>
      <c r="AHW10" s="944"/>
      <c r="AHX10" s="944"/>
      <c r="AHY10" s="944"/>
      <c r="AHZ10" s="944"/>
      <c r="AIA10" s="944"/>
      <c r="AIB10" s="944"/>
      <c r="AIC10" s="944"/>
      <c r="AID10" s="944"/>
      <c r="AIE10" s="944"/>
      <c r="AIF10" s="944"/>
      <c r="AIG10" s="944"/>
      <c r="AIH10" s="944"/>
      <c r="AII10" s="944"/>
      <c r="AIJ10" s="944"/>
      <c r="AIK10" s="944"/>
      <c r="AIL10" s="944"/>
      <c r="AIM10" s="944"/>
      <c r="AIN10" s="944"/>
      <c r="AIO10" s="944"/>
      <c r="AIP10" s="944"/>
      <c r="AIQ10" s="944"/>
      <c r="AIR10" s="944"/>
      <c r="AIS10" s="944"/>
      <c r="AIT10" s="944"/>
      <c r="AIU10" s="944"/>
      <c r="AIV10" s="944"/>
      <c r="AIW10" s="944"/>
      <c r="AIX10" s="944"/>
      <c r="AIY10" s="944"/>
      <c r="AIZ10" s="944"/>
      <c r="AJA10" s="944"/>
      <c r="AJB10" s="944"/>
      <c r="AJC10" s="944"/>
      <c r="AJD10" s="944"/>
      <c r="AJE10" s="944"/>
      <c r="AJF10" s="944"/>
      <c r="AJG10" s="944"/>
      <c r="AJH10" s="944"/>
      <c r="AJI10" s="944"/>
      <c r="AJJ10" s="944"/>
      <c r="AJK10" s="944"/>
      <c r="AJL10" s="944"/>
      <c r="AJM10" s="944"/>
      <c r="AJN10" s="944"/>
      <c r="AJO10" s="944"/>
      <c r="AJP10" s="944"/>
      <c r="AJQ10" s="944"/>
      <c r="AJR10" s="944"/>
      <c r="AJS10" s="944"/>
      <c r="AJT10" s="944"/>
      <c r="AJU10" s="944"/>
      <c r="AJV10" s="944"/>
      <c r="AJW10" s="944"/>
      <c r="AJX10" s="944"/>
      <c r="AJY10" s="944"/>
      <c r="AJZ10" s="944"/>
      <c r="AKA10" s="944"/>
      <c r="AKB10" s="944"/>
      <c r="AKC10" s="944"/>
      <c r="AKD10" s="944"/>
      <c r="AKE10" s="944"/>
      <c r="AKF10" s="944"/>
      <c r="AKG10" s="944"/>
      <c r="AKH10" s="944"/>
      <c r="AKI10" s="944"/>
      <c r="AKJ10" s="944"/>
      <c r="AKK10" s="944"/>
      <c r="AKL10" s="944"/>
      <c r="AKM10" s="944"/>
      <c r="AKN10" s="944"/>
      <c r="AKO10" s="944"/>
      <c r="AKP10" s="944"/>
      <c r="AKQ10" s="944"/>
      <c r="AKR10" s="944"/>
      <c r="AKS10" s="944"/>
      <c r="AKT10" s="944"/>
      <c r="AKU10" s="944"/>
      <c r="AKV10" s="944"/>
      <c r="AKW10" s="944"/>
      <c r="AKX10" s="944"/>
      <c r="AKY10" s="944"/>
      <c r="AKZ10" s="944"/>
      <c r="ALA10" s="944"/>
      <c r="ALB10" s="944"/>
      <c r="ALC10" s="944"/>
      <c r="ALD10" s="944"/>
      <c r="ALE10" s="944"/>
      <c r="ALF10" s="944"/>
      <c r="ALG10" s="944"/>
      <c r="ALH10" s="944"/>
      <c r="ALI10" s="944"/>
      <c r="ALJ10" s="944"/>
      <c r="ALK10" s="944"/>
      <c r="ALL10" s="944"/>
      <c r="ALM10" s="944"/>
      <c r="ALN10" s="944"/>
      <c r="ALO10" s="944"/>
      <c r="ALP10" s="944"/>
      <c r="ALQ10" s="944"/>
      <c r="ALR10" s="944"/>
      <c r="ALS10" s="944"/>
      <c r="ALT10" s="944"/>
      <c r="ALU10" s="944"/>
      <c r="ALV10" s="944"/>
      <c r="ALW10" s="944"/>
      <c r="ALX10" s="944"/>
      <c r="ALY10" s="944"/>
      <c r="ALZ10" s="944"/>
      <c r="AMA10" s="944"/>
      <c r="AMB10" s="944"/>
      <c r="AMC10" s="944"/>
      <c r="AMD10" s="944"/>
      <c r="AME10" s="944"/>
      <c r="AMF10" s="944"/>
      <c r="AMG10" s="944"/>
      <c r="AMH10" s="944"/>
      <c r="AMI10" s="944"/>
      <c r="AMJ10" s="944"/>
      <c r="AMK10" s="944"/>
      <c r="AML10" s="944"/>
      <c r="AMM10" s="944"/>
      <c r="AMN10" s="944"/>
      <c r="AMO10" s="944"/>
      <c r="AMP10" s="944"/>
      <c r="AMQ10" s="944"/>
      <c r="AMR10" s="944"/>
      <c r="AMS10" s="944"/>
      <c r="AMT10" s="944"/>
      <c r="AMU10" s="944"/>
      <c r="AMV10" s="944"/>
      <c r="AMW10" s="944"/>
      <c r="AMX10" s="944"/>
      <c r="AMY10" s="944"/>
      <c r="AMZ10" s="944"/>
      <c r="ANA10" s="944"/>
      <c r="ANB10" s="944"/>
      <c r="ANC10" s="944"/>
      <c r="AND10" s="944"/>
      <c r="ANE10" s="944"/>
      <c r="ANF10" s="944"/>
      <c r="ANG10" s="944"/>
      <c r="ANH10" s="944"/>
      <c r="ANI10" s="944"/>
      <c r="ANJ10" s="944"/>
      <c r="ANK10" s="944"/>
      <c r="ANL10" s="944"/>
      <c r="ANM10" s="944"/>
      <c r="ANN10" s="944"/>
      <c r="ANO10" s="944"/>
      <c r="ANP10" s="944"/>
      <c r="ANQ10" s="944"/>
      <c r="ANR10" s="944"/>
      <c r="ANS10" s="944"/>
      <c r="ANT10" s="944"/>
      <c r="ANU10" s="944"/>
      <c r="ANV10" s="944"/>
      <c r="ANW10" s="944"/>
      <c r="ANX10" s="944"/>
      <c r="ANY10" s="944"/>
      <c r="ANZ10" s="944"/>
      <c r="AOA10" s="944"/>
      <c r="AOB10" s="944"/>
      <c r="AOC10" s="944"/>
      <c r="AOD10" s="944"/>
      <c r="AOE10" s="944"/>
      <c r="AOF10" s="944"/>
      <c r="AOG10" s="944"/>
      <c r="AOH10" s="944"/>
      <c r="AOI10" s="944"/>
      <c r="AOJ10" s="944"/>
      <c r="AOK10" s="944"/>
      <c r="AOL10" s="944"/>
      <c r="AOM10" s="944"/>
      <c r="AON10" s="944"/>
      <c r="AOO10" s="944"/>
      <c r="AOP10" s="944"/>
      <c r="AOQ10" s="944"/>
      <c r="AOR10" s="944"/>
      <c r="AOS10" s="944"/>
      <c r="AOT10" s="944"/>
      <c r="AOU10" s="944"/>
      <c r="AOV10" s="944"/>
      <c r="AOW10" s="944"/>
      <c r="AOX10" s="944"/>
      <c r="AOY10" s="944"/>
      <c r="AOZ10" s="944"/>
      <c r="APA10" s="944"/>
      <c r="APB10" s="944"/>
      <c r="APC10" s="944"/>
      <c r="APD10" s="944"/>
      <c r="APE10" s="944"/>
      <c r="APF10" s="944"/>
      <c r="APG10" s="944"/>
      <c r="APH10" s="944"/>
      <c r="API10" s="944"/>
      <c r="APJ10" s="944"/>
      <c r="APK10" s="944"/>
      <c r="APL10" s="944"/>
      <c r="APM10" s="944"/>
      <c r="APN10" s="944"/>
      <c r="APO10" s="944"/>
      <c r="APP10" s="944"/>
      <c r="APQ10" s="944"/>
      <c r="APR10" s="944"/>
      <c r="APS10" s="944"/>
      <c r="APT10" s="944"/>
      <c r="APU10" s="944"/>
      <c r="APV10" s="944"/>
      <c r="APW10" s="944"/>
      <c r="APX10" s="944"/>
      <c r="APY10" s="944"/>
      <c r="APZ10" s="944"/>
      <c r="AQA10" s="944"/>
      <c r="AQB10" s="944"/>
      <c r="AQC10" s="944"/>
      <c r="AQD10" s="944"/>
      <c r="AQE10" s="944"/>
      <c r="AQF10" s="944"/>
      <c r="AQG10" s="944"/>
      <c r="AQH10" s="944"/>
      <c r="AQI10" s="944"/>
      <c r="AQJ10" s="944"/>
      <c r="AQK10" s="944"/>
      <c r="AQL10" s="944"/>
      <c r="AQM10" s="944"/>
      <c r="AQN10" s="944"/>
      <c r="AQO10" s="944"/>
      <c r="AQP10" s="944"/>
      <c r="AQQ10" s="944"/>
      <c r="AQR10" s="944"/>
      <c r="AQS10" s="944"/>
      <c r="AQT10" s="944"/>
      <c r="AQU10" s="944"/>
      <c r="AQV10" s="944"/>
      <c r="AQW10" s="944"/>
      <c r="AQX10" s="944"/>
      <c r="AQY10" s="944"/>
      <c r="AQZ10" s="944"/>
      <c r="ARA10" s="944"/>
      <c r="ARB10" s="944"/>
      <c r="ARC10" s="944"/>
      <c r="ARD10" s="944"/>
      <c r="ARE10" s="944"/>
      <c r="ARF10" s="944"/>
      <c r="ARG10" s="944"/>
      <c r="ARH10" s="944"/>
      <c r="ARI10" s="944"/>
      <c r="ARJ10" s="944"/>
      <c r="ARK10" s="944"/>
      <c r="ARL10" s="944"/>
      <c r="ARM10" s="944"/>
      <c r="ARN10" s="944"/>
      <c r="ARO10" s="944"/>
      <c r="ARP10" s="944"/>
      <c r="ARQ10" s="944"/>
      <c r="ARR10" s="944"/>
      <c r="ARS10" s="944"/>
      <c r="ART10" s="944"/>
      <c r="ARU10" s="944"/>
      <c r="ARV10" s="944"/>
      <c r="ARW10" s="944"/>
      <c r="ARX10" s="944"/>
      <c r="ARY10" s="944"/>
      <c r="ARZ10" s="944"/>
      <c r="ASA10" s="944"/>
      <c r="ASB10" s="944"/>
      <c r="ASC10" s="944"/>
      <c r="ASD10" s="944"/>
      <c r="ASE10" s="944"/>
      <c r="ASF10" s="944"/>
      <c r="ASG10" s="944"/>
      <c r="ASH10" s="944"/>
      <c r="ASI10" s="944"/>
      <c r="ASJ10" s="944"/>
      <c r="ASK10" s="944"/>
      <c r="ASL10" s="944"/>
      <c r="ASM10" s="944"/>
      <c r="ASN10" s="944"/>
      <c r="ASO10" s="944"/>
      <c r="ASP10" s="944"/>
      <c r="ASQ10" s="944"/>
      <c r="ASR10" s="944"/>
      <c r="ASS10" s="944"/>
      <c r="AST10" s="944"/>
      <c r="ASU10" s="944"/>
      <c r="ASV10" s="944"/>
      <c r="ASW10" s="944"/>
      <c r="ASX10" s="944"/>
      <c r="ASY10" s="944"/>
      <c r="ASZ10" s="944"/>
    </row>
    <row r="11" spans="1:1196" s="22" customFormat="1" ht="46.5" customHeight="1" thickTop="1" thickBot="1">
      <c r="A11" s="2846"/>
      <c r="B11" s="2991" t="s">
        <v>94</v>
      </c>
      <c r="C11" s="2957" t="s">
        <v>478</v>
      </c>
      <c r="D11" s="171" t="s">
        <v>191</v>
      </c>
      <c r="E11" s="172" t="s">
        <v>192</v>
      </c>
      <c r="F11" s="172" t="s">
        <v>101</v>
      </c>
      <c r="G11" s="951">
        <v>40000000000</v>
      </c>
      <c r="H11" s="126"/>
      <c r="I11" s="952"/>
      <c r="J11" s="126"/>
      <c r="K11" s="172" t="s">
        <v>193</v>
      </c>
      <c r="L11" s="953">
        <v>2666666666.6666665</v>
      </c>
      <c r="M11" s="954">
        <v>83798063</v>
      </c>
      <c r="N11" s="73">
        <f>+M11/L11</f>
        <v>3.1424273624999999E-2</v>
      </c>
      <c r="O11" s="953">
        <v>2666666666.6666665</v>
      </c>
      <c r="P11" s="954">
        <v>229181971</v>
      </c>
      <c r="Q11" s="73">
        <f>+P11/O11</f>
        <v>8.5943239125000001E-2</v>
      </c>
      <c r="R11" s="953">
        <v>2666666666.6666665</v>
      </c>
      <c r="S11" s="954">
        <v>698679640</v>
      </c>
      <c r="T11" s="73">
        <f>+S11/R11</f>
        <v>0.26200486500000003</v>
      </c>
      <c r="U11" s="953">
        <v>4000000000</v>
      </c>
      <c r="V11" s="954">
        <v>0</v>
      </c>
      <c r="W11" s="73">
        <f>+V11/U11</f>
        <v>0</v>
      </c>
      <c r="X11" s="953">
        <v>4000000000</v>
      </c>
      <c r="Y11" s="954">
        <v>0</v>
      </c>
      <c r="Z11" s="73">
        <f>+Y11/X11</f>
        <v>0</v>
      </c>
      <c r="AA11" s="953">
        <v>4000000000</v>
      </c>
      <c r="AB11" s="953">
        <v>6718090575</v>
      </c>
      <c r="AC11" s="73">
        <f>+AB11/AA11</f>
        <v>1.6795226437499999</v>
      </c>
      <c r="AD11" s="955">
        <f>+M11+P11+S11+V11+Y11+AB11</f>
        <v>7729750249</v>
      </c>
      <c r="AE11" s="956">
        <f>+AD11/G11</f>
        <v>0.19324375622500001</v>
      </c>
      <c r="AF11" s="955">
        <v>4000000000</v>
      </c>
      <c r="AG11" s="954">
        <v>226541565</v>
      </c>
      <c r="AH11" s="73">
        <f>+AG11/AF11</f>
        <v>5.663539125E-2</v>
      </c>
      <c r="AI11" s="953">
        <v>4000000000</v>
      </c>
      <c r="AJ11" s="954">
        <v>800965900</v>
      </c>
      <c r="AK11" s="73">
        <f>+AJ11/AI11</f>
        <v>0.200241475</v>
      </c>
      <c r="AL11" s="953">
        <v>4000000000</v>
      </c>
      <c r="AM11" s="954">
        <v>1687138777</v>
      </c>
      <c r="AN11" s="73">
        <f>+AM11/AL11</f>
        <v>0.42178469424999998</v>
      </c>
      <c r="AO11" s="953">
        <v>2666666666.6666665</v>
      </c>
      <c r="AP11" s="954">
        <v>676432993</v>
      </c>
      <c r="AQ11" s="73">
        <f>+AP11/AO11</f>
        <v>0.253662372375</v>
      </c>
      <c r="AR11" s="953">
        <v>2666666666.6666665</v>
      </c>
      <c r="AS11" s="954">
        <v>42739611209</v>
      </c>
      <c r="AT11" s="73">
        <f>+AS11/AR11</f>
        <v>16.027354203375001</v>
      </c>
      <c r="AU11" s="953">
        <v>2666666666.6666665</v>
      </c>
      <c r="AV11" s="954">
        <v>0</v>
      </c>
      <c r="AW11" s="73">
        <f>+AV11/AU11</f>
        <v>0</v>
      </c>
      <c r="AX11" s="957">
        <f>+M11+P11+S11+V11+Y11++AG11+AJ11+AM11+AP11+AS11+AV11+AB11</f>
        <v>53860440693</v>
      </c>
      <c r="AY11" s="956">
        <f>+AX11/G11</f>
        <v>1.3465110173249999</v>
      </c>
      <c r="AZ11" s="958"/>
      <c r="BA11" s="958"/>
      <c r="BB11" s="958"/>
      <c r="BC11" s="958"/>
      <c r="BD11" s="958"/>
      <c r="BE11" s="958"/>
      <c r="BF11" s="958"/>
      <c r="BG11" s="958"/>
      <c r="BH11" s="958"/>
      <c r="BI11" s="958"/>
      <c r="BJ11" s="958"/>
      <c r="BK11" s="958"/>
      <c r="BL11" s="958"/>
      <c r="BM11" s="958"/>
      <c r="BN11" s="958"/>
      <c r="BO11" s="958"/>
      <c r="BP11" s="958"/>
      <c r="BQ11" s="958"/>
      <c r="BR11" s="958"/>
      <c r="BS11" s="958"/>
      <c r="BT11" s="958"/>
      <c r="BU11" s="958"/>
      <c r="BV11" s="958"/>
      <c r="BW11" s="958"/>
      <c r="BX11" s="958"/>
      <c r="BY11" s="958"/>
      <c r="BZ11" s="958"/>
      <c r="CA11" s="958"/>
      <c r="CB11" s="958"/>
      <c r="CC11" s="958"/>
      <c r="CD11" s="958"/>
      <c r="CE11" s="958"/>
      <c r="CF11" s="958"/>
      <c r="CG11" s="958"/>
      <c r="CH11" s="958"/>
      <c r="CI11" s="958"/>
      <c r="CJ11" s="958"/>
      <c r="CK11" s="958"/>
      <c r="CL11" s="958"/>
      <c r="CM11" s="958"/>
      <c r="CN11" s="958"/>
      <c r="CO11" s="958"/>
      <c r="CP11" s="958"/>
      <c r="CQ11" s="958"/>
      <c r="CR11" s="958"/>
      <c r="CS11" s="958"/>
      <c r="CT11" s="958"/>
      <c r="CU11" s="958"/>
      <c r="CV11" s="958"/>
      <c r="CW11" s="958"/>
      <c r="CX11" s="958"/>
      <c r="CY11" s="958"/>
      <c r="CZ11" s="958"/>
      <c r="DA11" s="958"/>
      <c r="DB11" s="958"/>
      <c r="DC11" s="958"/>
      <c r="DD11" s="958"/>
      <c r="DE11" s="958"/>
      <c r="DF11" s="958"/>
      <c r="DG11" s="958"/>
      <c r="DH11" s="958"/>
      <c r="DI11" s="958"/>
      <c r="DJ11" s="958"/>
      <c r="DK11" s="958"/>
      <c r="DL11" s="958"/>
      <c r="DM11" s="958"/>
      <c r="DN11" s="958"/>
      <c r="DO11" s="958"/>
      <c r="DP11" s="958"/>
      <c r="DQ11" s="958"/>
      <c r="DR11" s="958"/>
      <c r="DS11" s="958"/>
      <c r="DT11" s="958"/>
      <c r="DU11" s="958"/>
      <c r="DV11" s="958"/>
      <c r="DW11" s="958"/>
      <c r="DX11" s="958"/>
      <c r="DY11" s="958"/>
      <c r="DZ11" s="958"/>
      <c r="EA11" s="958"/>
      <c r="EB11" s="958"/>
      <c r="EC11" s="958"/>
      <c r="ED11" s="958"/>
      <c r="EE11" s="958"/>
      <c r="EF11" s="958"/>
      <c r="EG11" s="958"/>
      <c r="EH11" s="958"/>
      <c r="EI11" s="958"/>
      <c r="EJ11" s="958"/>
      <c r="EK11" s="958"/>
      <c r="EL11" s="958"/>
      <c r="EM11" s="958"/>
      <c r="EN11" s="958"/>
      <c r="EO11" s="958"/>
      <c r="EP11" s="958"/>
      <c r="EQ11" s="958"/>
      <c r="ER11" s="958"/>
      <c r="ES11" s="958"/>
      <c r="ET11" s="958"/>
      <c r="EU11" s="958"/>
      <c r="EV11" s="958"/>
      <c r="EW11" s="958"/>
      <c r="EX11" s="958"/>
      <c r="EY11" s="958"/>
      <c r="EZ11" s="958"/>
      <c r="FA11" s="958"/>
      <c r="FB11" s="958"/>
      <c r="FC11" s="958"/>
      <c r="FD11" s="958"/>
      <c r="FE11" s="958"/>
      <c r="FF11" s="958"/>
      <c r="FG11" s="958"/>
      <c r="FH11" s="958"/>
      <c r="FI11" s="958"/>
      <c r="FJ11" s="958"/>
      <c r="FK11" s="958"/>
      <c r="FL11" s="958"/>
      <c r="FM11" s="958"/>
      <c r="FN11" s="958"/>
      <c r="FO11" s="958"/>
      <c r="FP11" s="958"/>
      <c r="FQ11" s="958"/>
      <c r="FR11" s="958"/>
      <c r="FS11" s="958"/>
      <c r="FT11" s="958"/>
      <c r="FU11" s="958"/>
      <c r="FV11" s="958"/>
      <c r="FW11" s="958"/>
      <c r="FX11" s="958"/>
      <c r="FY11" s="958"/>
      <c r="FZ11" s="958"/>
      <c r="GA11" s="958"/>
      <c r="GB11" s="958"/>
      <c r="GC11" s="958"/>
      <c r="GD11" s="958"/>
      <c r="GE11" s="958"/>
      <c r="GF11" s="958"/>
      <c r="GG11" s="958"/>
      <c r="GH11" s="958"/>
      <c r="GI11" s="958"/>
      <c r="GJ11" s="958"/>
      <c r="GK11" s="958"/>
      <c r="GL11" s="958"/>
      <c r="GM11" s="958"/>
      <c r="GN11" s="958"/>
      <c r="GO11" s="958"/>
      <c r="GP11" s="958"/>
      <c r="GQ11" s="958"/>
      <c r="GR11" s="958"/>
      <c r="GS11" s="958"/>
      <c r="GT11" s="958"/>
      <c r="GU11" s="958"/>
      <c r="GV11" s="958"/>
      <c r="GW11" s="958"/>
      <c r="GX11" s="958"/>
      <c r="GY11" s="958"/>
      <c r="GZ11" s="958"/>
      <c r="HA11" s="958"/>
      <c r="HB11" s="958"/>
      <c r="HC11" s="958"/>
      <c r="HD11" s="958"/>
      <c r="HE11" s="958"/>
      <c r="HF11" s="958"/>
      <c r="HG11" s="958"/>
      <c r="HH11" s="958"/>
      <c r="HI11" s="958"/>
      <c r="HJ11" s="958"/>
      <c r="HK11" s="958"/>
      <c r="HL11" s="958"/>
      <c r="HM11" s="958"/>
      <c r="HN11" s="958"/>
      <c r="HO11" s="958"/>
      <c r="HP11" s="958"/>
      <c r="HQ11" s="958"/>
      <c r="HR11" s="958"/>
      <c r="HS11" s="958"/>
      <c r="HT11" s="958"/>
      <c r="HU11" s="958"/>
      <c r="HV11" s="958"/>
      <c r="HW11" s="958"/>
      <c r="HX11" s="958"/>
      <c r="HY11" s="958"/>
      <c r="HZ11" s="958"/>
      <c r="IA11" s="958"/>
      <c r="IB11" s="958"/>
      <c r="IC11" s="958"/>
      <c r="ID11" s="958"/>
      <c r="IE11" s="958"/>
      <c r="IF11" s="958"/>
      <c r="IG11" s="958"/>
      <c r="IH11" s="958"/>
      <c r="II11" s="958"/>
      <c r="IJ11" s="958"/>
      <c r="IK11" s="958"/>
      <c r="IL11" s="958"/>
      <c r="IM11" s="958"/>
      <c r="IN11" s="958"/>
      <c r="IO11" s="958"/>
      <c r="IP11" s="958"/>
      <c r="IQ11" s="958"/>
      <c r="IR11" s="958"/>
      <c r="IS11" s="958"/>
      <c r="IT11" s="958"/>
      <c r="IU11" s="958"/>
      <c r="IV11" s="958"/>
      <c r="IW11" s="958"/>
      <c r="IX11" s="958"/>
      <c r="IY11" s="958"/>
      <c r="IZ11" s="958"/>
      <c r="JA11" s="958"/>
      <c r="JB11" s="958"/>
      <c r="JC11" s="958"/>
      <c r="JD11" s="958"/>
      <c r="JE11" s="958"/>
      <c r="JF11" s="958"/>
      <c r="JG11" s="958"/>
      <c r="JH11" s="958"/>
      <c r="JI11" s="958"/>
      <c r="JJ11" s="958"/>
      <c r="JK11" s="958"/>
      <c r="JL11" s="958"/>
      <c r="JM11" s="958"/>
      <c r="JN11" s="958"/>
      <c r="JO11" s="958"/>
      <c r="JP11" s="958"/>
      <c r="JQ11" s="958"/>
      <c r="JR11" s="958"/>
      <c r="JS11" s="958"/>
      <c r="JT11" s="958"/>
      <c r="JU11" s="958"/>
      <c r="JV11" s="958"/>
      <c r="JW11" s="958"/>
      <c r="JX11" s="958"/>
      <c r="JY11" s="958"/>
      <c r="JZ11" s="958"/>
      <c r="KA11" s="958"/>
      <c r="KB11" s="958"/>
      <c r="KC11" s="958"/>
      <c r="KD11" s="958"/>
      <c r="KE11" s="958"/>
      <c r="KF11" s="958"/>
      <c r="KG11" s="958"/>
      <c r="KH11" s="958"/>
      <c r="KI11" s="958"/>
      <c r="KJ11" s="958"/>
      <c r="KK11" s="958"/>
      <c r="KL11" s="958"/>
      <c r="KM11" s="958"/>
      <c r="KN11" s="958"/>
      <c r="KO11" s="958"/>
      <c r="KP11" s="958"/>
      <c r="KQ11" s="958"/>
      <c r="KR11" s="958"/>
      <c r="KS11" s="958"/>
      <c r="KT11" s="958"/>
      <c r="KU11" s="958"/>
      <c r="KV11" s="958"/>
      <c r="KW11" s="958"/>
      <c r="KX11" s="958"/>
      <c r="KY11" s="958"/>
      <c r="KZ11" s="958"/>
      <c r="LA11" s="958"/>
      <c r="LB11" s="958"/>
      <c r="LC11" s="958"/>
      <c r="LD11" s="958"/>
      <c r="LE11" s="958"/>
      <c r="LF11" s="958"/>
      <c r="LG11" s="958"/>
      <c r="LH11" s="958"/>
      <c r="LI11" s="958"/>
      <c r="LJ11" s="958"/>
      <c r="LK11" s="958"/>
      <c r="LL11" s="958"/>
      <c r="LM11" s="958"/>
      <c r="LN11" s="958"/>
      <c r="LO11" s="958"/>
      <c r="LP11" s="958"/>
      <c r="LQ11" s="958"/>
      <c r="LR11" s="958"/>
      <c r="LS11" s="958"/>
      <c r="LT11" s="958"/>
      <c r="LU11" s="958"/>
      <c r="LV11" s="958"/>
      <c r="LW11" s="958"/>
      <c r="LX11" s="958"/>
      <c r="LY11" s="958"/>
      <c r="LZ11" s="958"/>
      <c r="MA11" s="958"/>
      <c r="MB11" s="958"/>
      <c r="MC11" s="958"/>
      <c r="MD11" s="958"/>
      <c r="ME11" s="958"/>
      <c r="MF11" s="958"/>
      <c r="MG11" s="958"/>
      <c r="MH11" s="958"/>
      <c r="MI11" s="958"/>
      <c r="MJ11" s="958"/>
      <c r="MK11" s="958"/>
      <c r="ML11" s="958"/>
      <c r="MM11" s="958"/>
      <c r="MN11" s="958"/>
      <c r="MO11" s="958"/>
      <c r="MP11" s="958"/>
      <c r="MQ11" s="958"/>
      <c r="MR11" s="958"/>
      <c r="MS11" s="958"/>
      <c r="MT11" s="958"/>
      <c r="MU11" s="958"/>
      <c r="MV11" s="958"/>
      <c r="MW11" s="958"/>
      <c r="MX11" s="958"/>
      <c r="MY11" s="958"/>
      <c r="MZ11" s="958"/>
      <c r="NA11" s="958"/>
      <c r="NB11" s="958"/>
      <c r="NC11" s="958"/>
      <c r="ND11" s="958"/>
      <c r="NE11" s="958"/>
      <c r="NF11" s="958"/>
      <c r="NG11" s="958"/>
      <c r="NH11" s="958"/>
      <c r="NI11" s="958"/>
      <c r="NJ11" s="958"/>
      <c r="NK11" s="958"/>
      <c r="NL11" s="958"/>
      <c r="NM11" s="958"/>
      <c r="NN11" s="958"/>
      <c r="NO11" s="958"/>
      <c r="NP11" s="958"/>
      <c r="NQ11" s="958"/>
      <c r="NR11" s="958"/>
      <c r="NS11" s="958"/>
      <c r="NT11" s="958"/>
      <c r="NU11" s="958"/>
      <c r="NV11" s="958"/>
      <c r="NW11" s="958"/>
      <c r="NX11" s="958"/>
      <c r="NY11" s="958"/>
      <c r="NZ11" s="958"/>
      <c r="OA11" s="958"/>
      <c r="OB11" s="958"/>
      <c r="OC11" s="958"/>
      <c r="OD11" s="958"/>
      <c r="OE11" s="958"/>
      <c r="OF11" s="958"/>
      <c r="OG11" s="958"/>
      <c r="OH11" s="958"/>
      <c r="OI11" s="958"/>
      <c r="OJ11" s="958"/>
      <c r="OK11" s="958"/>
      <c r="OL11" s="958"/>
      <c r="OM11" s="958"/>
      <c r="ON11" s="958"/>
      <c r="OO11" s="958"/>
      <c r="OP11" s="958"/>
      <c r="OQ11" s="958"/>
      <c r="OR11" s="958"/>
      <c r="OS11" s="958"/>
      <c r="OT11" s="958"/>
      <c r="OU11" s="958"/>
      <c r="OV11" s="958"/>
      <c r="OW11" s="958"/>
      <c r="OX11" s="958"/>
      <c r="OY11" s="958"/>
      <c r="OZ11" s="958"/>
      <c r="PA11" s="958"/>
      <c r="PB11" s="958"/>
      <c r="PC11" s="958"/>
      <c r="PD11" s="958"/>
      <c r="PE11" s="958"/>
      <c r="PF11" s="958"/>
      <c r="PG11" s="958"/>
      <c r="PH11" s="958"/>
      <c r="PI11" s="958"/>
      <c r="PJ11" s="958"/>
      <c r="PK11" s="958"/>
      <c r="PL11" s="958"/>
      <c r="PM11" s="958"/>
      <c r="PN11" s="958"/>
      <c r="PO11" s="958"/>
      <c r="PP11" s="958"/>
      <c r="PQ11" s="958"/>
      <c r="PR11" s="958"/>
      <c r="PS11" s="958"/>
      <c r="PT11" s="958"/>
      <c r="PU11" s="958"/>
      <c r="PV11" s="958"/>
      <c r="PW11" s="958"/>
      <c r="PX11" s="958"/>
      <c r="PY11" s="958"/>
      <c r="PZ11" s="958"/>
      <c r="QA11" s="958"/>
      <c r="QB11" s="958"/>
      <c r="QC11" s="958"/>
      <c r="QD11" s="958"/>
      <c r="QE11" s="958"/>
      <c r="QF11" s="958"/>
      <c r="QG11" s="958"/>
      <c r="QH11" s="958"/>
      <c r="QI11" s="958"/>
      <c r="QJ11" s="958"/>
      <c r="QK11" s="958"/>
      <c r="QL11" s="958"/>
      <c r="QM11" s="958"/>
      <c r="QN11" s="958"/>
      <c r="QO11" s="958"/>
      <c r="QP11" s="958"/>
      <c r="QQ11" s="958"/>
      <c r="QR11" s="958"/>
      <c r="QS11" s="958"/>
      <c r="QT11" s="958"/>
      <c r="QU11" s="958"/>
      <c r="QV11" s="958"/>
      <c r="QW11" s="958"/>
      <c r="QX11" s="958"/>
      <c r="QY11" s="958"/>
      <c r="QZ11" s="958"/>
      <c r="RA11" s="958"/>
      <c r="RB11" s="958"/>
      <c r="RC11" s="958"/>
      <c r="RD11" s="958"/>
      <c r="RE11" s="958"/>
      <c r="RF11" s="958"/>
      <c r="RG11" s="958"/>
      <c r="RH11" s="958"/>
      <c r="RI11" s="958"/>
      <c r="RJ11" s="958"/>
      <c r="RK11" s="958"/>
      <c r="RL11" s="958"/>
      <c r="RM11" s="958"/>
      <c r="RN11" s="958"/>
      <c r="RO11" s="958"/>
      <c r="RP11" s="958"/>
      <c r="RQ11" s="958"/>
      <c r="RR11" s="958"/>
      <c r="RS11" s="958"/>
      <c r="RT11" s="958"/>
      <c r="RU11" s="958"/>
      <c r="RV11" s="958"/>
      <c r="RW11" s="958"/>
      <c r="RX11" s="958"/>
      <c r="RY11" s="958"/>
      <c r="RZ11" s="958"/>
      <c r="SA11" s="958"/>
      <c r="SB11" s="958"/>
      <c r="SC11" s="958"/>
      <c r="SD11" s="958"/>
      <c r="SE11" s="958"/>
      <c r="SF11" s="958"/>
      <c r="SG11" s="958"/>
      <c r="SH11" s="958"/>
      <c r="SI11" s="958"/>
      <c r="SJ11" s="958"/>
      <c r="SK11" s="958"/>
      <c r="SL11" s="958"/>
      <c r="SM11" s="958"/>
      <c r="SN11" s="958"/>
      <c r="SO11" s="958"/>
      <c r="SP11" s="958"/>
      <c r="SQ11" s="958"/>
      <c r="SR11" s="958"/>
      <c r="SS11" s="958"/>
      <c r="ST11" s="958"/>
      <c r="SU11" s="958"/>
      <c r="SV11" s="958"/>
      <c r="SW11" s="958"/>
      <c r="SX11" s="958"/>
      <c r="SY11" s="958"/>
      <c r="SZ11" s="958"/>
      <c r="TA11" s="958"/>
      <c r="TB11" s="958"/>
      <c r="TC11" s="958"/>
      <c r="TD11" s="958"/>
      <c r="TE11" s="958"/>
      <c r="TF11" s="958"/>
      <c r="TG11" s="958"/>
      <c r="TH11" s="958"/>
      <c r="TI11" s="958"/>
      <c r="TJ11" s="958"/>
      <c r="TK11" s="958"/>
      <c r="TL11" s="958"/>
      <c r="TM11" s="958"/>
      <c r="TN11" s="958"/>
      <c r="TO11" s="958"/>
      <c r="TP11" s="958"/>
      <c r="TQ11" s="958"/>
      <c r="TR11" s="958"/>
      <c r="TS11" s="958"/>
      <c r="TT11" s="958"/>
      <c r="TU11" s="958"/>
      <c r="TV11" s="958"/>
      <c r="TW11" s="958"/>
      <c r="TX11" s="958"/>
      <c r="TY11" s="958"/>
      <c r="TZ11" s="958"/>
      <c r="UA11" s="958"/>
      <c r="UB11" s="958"/>
      <c r="UC11" s="958"/>
      <c r="UD11" s="958"/>
      <c r="UE11" s="958"/>
      <c r="UF11" s="958"/>
      <c r="UG11" s="958"/>
      <c r="UH11" s="958"/>
      <c r="UI11" s="958"/>
      <c r="UJ11" s="958"/>
      <c r="UK11" s="958"/>
      <c r="UL11" s="958"/>
      <c r="UM11" s="958"/>
      <c r="UN11" s="958"/>
      <c r="UO11" s="958"/>
      <c r="UP11" s="958"/>
      <c r="UQ11" s="958"/>
      <c r="UR11" s="958"/>
      <c r="US11" s="958"/>
      <c r="UT11" s="958"/>
      <c r="UU11" s="958"/>
      <c r="UV11" s="958"/>
      <c r="UW11" s="958"/>
      <c r="UX11" s="958"/>
      <c r="UY11" s="958"/>
      <c r="UZ11" s="958"/>
      <c r="VA11" s="958"/>
      <c r="VB11" s="958"/>
      <c r="VC11" s="958"/>
      <c r="VD11" s="958"/>
      <c r="VE11" s="958"/>
      <c r="VF11" s="958"/>
      <c r="VG11" s="958"/>
      <c r="VH11" s="958"/>
      <c r="VI11" s="958"/>
      <c r="VJ11" s="958"/>
      <c r="VK11" s="958"/>
      <c r="VL11" s="958"/>
      <c r="VM11" s="958"/>
      <c r="VN11" s="958"/>
      <c r="VO11" s="958"/>
      <c r="VP11" s="958"/>
      <c r="VQ11" s="958"/>
      <c r="VR11" s="958"/>
      <c r="VS11" s="958"/>
      <c r="VT11" s="958"/>
      <c r="VU11" s="958"/>
      <c r="VV11" s="958"/>
      <c r="VW11" s="958"/>
      <c r="VX11" s="958"/>
      <c r="VY11" s="958"/>
      <c r="VZ11" s="958"/>
      <c r="WA11" s="958"/>
      <c r="WB11" s="958"/>
      <c r="WC11" s="958"/>
      <c r="WD11" s="958"/>
      <c r="WE11" s="958"/>
      <c r="WF11" s="958"/>
      <c r="WG11" s="958"/>
      <c r="WH11" s="958"/>
      <c r="WI11" s="958"/>
      <c r="WJ11" s="958"/>
      <c r="WK11" s="958"/>
      <c r="WL11" s="958"/>
      <c r="WM11" s="958"/>
      <c r="WN11" s="958"/>
      <c r="WO11" s="958"/>
      <c r="WP11" s="958"/>
      <c r="WQ11" s="958"/>
      <c r="WR11" s="958"/>
      <c r="WS11" s="958"/>
      <c r="WT11" s="958"/>
      <c r="WU11" s="958"/>
      <c r="WV11" s="958"/>
      <c r="WW11" s="958"/>
      <c r="WX11" s="958"/>
      <c r="WY11" s="958"/>
      <c r="WZ11" s="958"/>
      <c r="XA11" s="958"/>
      <c r="XB11" s="958"/>
      <c r="XC11" s="958"/>
      <c r="XD11" s="958"/>
      <c r="XE11" s="958"/>
      <c r="XF11" s="958"/>
      <c r="XG11" s="958"/>
      <c r="XH11" s="958"/>
      <c r="XI11" s="958"/>
      <c r="XJ11" s="958"/>
      <c r="XK11" s="958"/>
      <c r="XL11" s="958"/>
      <c r="XM11" s="958"/>
      <c r="XN11" s="958"/>
      <c r="XO11" s="958"/>
      <c r="XP11" s="958"/>
      <c r="XQ11" s="958"/>
      <c r="XR11" s="958"/>
      <c r="XS11" s="958"/>
      <c r="XT11" s="958"/>
      <c r="XU11" s="958"/>
      <c r="XV11" s="958"/>
      <c r="XW11" s="958"/>
      <c r="XX11" s="958"/>
      <c r="XY11" s="958"/>
      <c r="XZ11" s="958"/>
      <c r="YA11" s="958"/>
      <c r="YB11" s="958"/>
      <c r="YC11" s="958"/>
      <c r="YD11" s="958"/>
      <c r="YE11" s="958"/>
      <c r="YF11" s="958"/>
      <c r="YG11" s="958"/>
      <c r="YH11" s="958"/>
      <c r="YI11" s="958"/>
      <c r="YJ11" s="958"/>
      <c r="YK11" s="958"/>
      <c r="YL11" s="958"/>
      <c r="YM11" s="958"/>
      <c r="YN11" s="958"/>
      <c r="YO11" s="958"/>
      <c r="YP11" s="958"/>
      <c r="YQ11" s="958"/>
      <c r="YR11" s="958"/>
      <c r="YS11" s="958"/>
      <c r="YT11" s="958"/>
      <c r="YU11" s="958"/>
      <c r="YV11" s="958"/>
      <c r="YW11" s="958"/>
      <c r="YX11" s="958"/>
      <c r="YY11" s="958"/>
      <c r="YZ11" s="958"/>
      <c r="ZA11" s="958"/>
      <c r="ZB11" s="958"/>
      <c r="ZC11" s="958"/>
      <c r="ZD11" s="958"/>
      <c r="ZE11" s="958"/>
      <c r="ZF11" s="958"/>
      <c r="ZG11" s="958"/>
      <c r="ZH11" s="958"/>
      <c r="ZI11" s="958"/>
      <c r="ZJ11" s="958"/>
      <c r="ZK11" s="958"/>
      <c r="ZL11" s="958"/>
      <c r="ZM11" s="958"/>
      <c r="ZN11" s="958"/>
      <c r="ZO11" s="958"/>
      <c r="ZP11" s="958"/>
      <c r="ZQ11" s="958"/>
      <c r="ZR11" s="958"/>
      <c r="ZS11" s="958"/>
      <c r="ZT11" s="958"/>
      <c r="ZU11" s="958"/>
      <c r="ZV11" s="958"/>
      <c r="ZW11" s="958"/>
      <c r="ZX11" s="958"/>
      <c r="ZY11" s="958"/>
      <c r="ZZ11" s="958"/>
      <c r="AAA11" s="958"/>
      <c r="AAB11" s="958"/>
      <c r="AAC11" s="958"/>
      <c r="AAD11" s="958"/>
      <c r="AAE11" s="958"/>
      <c r="AAF11" s="958"/>
      <c r="AAG11" s="958"/>
      <c r="AAH11" s="958"/>
      <c r="AAI11" s="958"/>
      <c r="AAJ11" s="958"/>
      <c r="AAK11" s="958"/>
      <c r="AAL11" s="958"/>
      <c r="AAM11" s="958"/>
      <c r="AAN11" s="958"/>
      <c r="AAO11" s="958"/>
      <c r="AAP11" s="958"/>
      <c r="AAQ11" s="958"/>
      <c r="AAR11" s="958"/>
      <c r="AAS11" s="958"/>
      <c r="AAT11" s="958"/>
      <c r="AAU11" s="958"/>
      <c r="AAV11" s="958"/>
      <c r="AAW11" s="958"/>
      <c r="AAX11" s="958"/>
      <c r="AAY11" s="958"/>
      <c r="AAZ11" s="958"/>
      <c r="ABA11" s="958"/>
      <c r="ABB11" s="958"/>
      <c r="ABC11" s="958"/>
      <c r="ABD11" s="958"/>
      <c r="ABE11" s="958"/>
      <c r="ABF11" s="958"/>
      <c r="ABG11" s="958"/>
      <c r="ABH11" s="958"/>
      <c r="ABI11" s="958"/>
      <c r="ABJ11" s="958"/>
      <c r="ABK11" s="958"/>
      <c r="ABL11" s="958"/>
      <c r="ABM11" s="958"/>
      <c r="ABN11" s="958"/>
      <c r="ABO11" s="958"/>
      <c r="ABP11" s="958"/>
      <c r="ABQ11" s="958"/>
      <c r="ABR11" s="958"/>
      <c r="ABS11" s="958"/>
      <c r="ABT11" s="958"/>
      <c r="ABU11" s="958"/>
      <c r="ABV11" s="958"/>
      <c r="ABW11" s="958"/>
      <c r="ABX11" s="958"/>
      <c r="ABY11" s="958"/>
      <c r="ABZ11" s="958"/>
      <c r="ACA11" s="958"/>
      <c r="ACB11" s="958"/>
      <c r="ACC11" s="958"/>
      <c r="ACD11" s="958"/>
      <c r="ACE11" s="958"/>
      <c r="ACF11" s="958"/>
      <c r="ACG11" s="958"/>
      <c r="ACH11" s="958"/>
      <c r="ACI11" s="958"/>
      <c r="ACJ11" s="958"/>
      <c r="ACK11" s="958"/>
      <c r="ACL11" s="958"/>
      <c r="ACM11" s="958"/>
      <c r="ACN11" s="958"/>
      <c r="ACO11" s="958"/>
      <c r="ACP11" s="958"/>
      <c r="ACQ11" s="958"/>
      <c r="ACR11" s="958"/>
      <c r="ACS11" s="958"/>
      <c r="ACT11" s="958"/>
      <c r="ACU11" s="958"/>
      <c r="ACV11" s="958"/>
      <c r="ACW11" s="958"/>
      <c r="ACX11" s="958"/>
      <c r="ACY11" s="958"/>
      <c r="ACZ11" s="958"/>
      <c r="ADA11" s="958"/>
      <c r="ADB11" s="958"/>
      <c r="ADC11" s="958"/>
      <c r="ADD11" s="958"/>
      <c r="ADE11" s="958"/>
      <c r="ADF11" s="958"/>
      <c r="ADG11" s="958"/>
      <c r="ADH11" s="958"/>
      <c r="ADI11" s="958"/>
      <c r="ADJ11" s="958"/>
      <c r="ADK11" s="958"/>
      <c r="ADL11" s="958"/>
      <c r="ADM11" s="958"/>
      <c r="ADN11" s="958"/>
      <c r="ADO11" s="958"/>
      <c r="ADP11" s="958"/>
      <c r="ADQ11" s="958"/>
      <c r="ADR11" s="958"/>
      <c r="ADS11" s="958"/>
      <c r="ADT11" s="958"/>
      <c r="ADU11" s="958"/>
      <c r="ADV11" s="958"/>
      <c r="ADW11" s="958"/>
      <c r="ADX11" s="958"/>
      <c r="ADY11" s="958"/>
      <c r="ADZ11" s="958"/>
      <c r="AEA11" s="958"/>
      <c r="AEB11" s="958"/>
      <c r="AEC11" s="958"/>
      <c r="AED11" s="958"/>
      <c r="AEE11" s="958"/>
      <c r="AEF11" s="958"/>
      <c r="AEG11" s="958"/>
      <c r="AEH11" s="958"/>
      <c r="AEI11" s="958"/>
      <c r="AEJ11" s="958"/>
      <c r="AEK11" s="958"/>
      <c r="AEL11" s="958"/>
      <c r="AEM11" s="958"/>
      <c r="AEN11" s="958"/>
      <c r="AEO11" s="958"/>
      <c r="AEP11" s="958"/>
      <c r="AEQ11" s="958"/>
      <c r="AER11" s="958"/>
      <c r="AES11" s="958"/>
      <c r="AET11" s="958"/>
      <c r="AEU11" s="958"/>
      <c r="AEV11" s="958"/>
      <c r="AEW11" s="958"/>
      <c r="AEX11" s="958"/>
      <c r="AEY11" s="958"/>
      <c r="AEZ11" s="958"/>
      <c r="AFA11" s="958"/>
      <c r="AFB11" s="958"/>
      <c r="AFC11" s="958"/>
      <c r="AFD11" s="958"/>
      <c r="AFE11" s="958"/>
      <c r="AFF11" s="958"/>
      <c r="AFG11" s="958"/>
      <c r="AFH11" s="958"/>
      <c r="AFI11" s="958"/>
      <c r="AFJ11" s="958"/>
      <c r="AFK11" s="958"/>
      <c r="AFL11" s="958"/>
      <c r="AFM11" s="958"/>
      <c r="AFN11" s="958"/>
      <c r="AFO11" s="958"/>
      <c r="AFP11" s="958"/>
      <c r="AFQ11" s="958"/>
      <c r="AFR11" s="958"/>
      <c r="AFS11" s="958"/>
      <c r="AFT11" s="958"/>
      <c r="AFU11" s="958"/>
      <c r="AFV11" s="958"/>
      <c r="AFW11" s="958"/>
      <c r="AFX11" s="958"/>
      <c r="AFY11" s="958"/>
      <c r="AFZ11" s="958"/>
      <c r="AGA11" s="958"/>
      <c r="AGB11" s="958"/>
      <c r="AGC11" s="958"/>
      <c r="AGD11" s="958"/>
      <c r="AGE11" s="958"/>
      <c r="AGF11" s="958"/>
      <c r="AGG11" s="958"/>
      <c r="AGH11" s="958"/>
      <c r="AGI11" s="958"/>
      <c r="AGJ11" s="958"/>
      <c r="AGK11" s="958"/>
      <c r="AGL11" s="958"/>
      <c r="AGM11" s="958"/>
      <c r="AGN11" s="958"/>
      <c r="AGO11" s="958"/>
      <c r="AGP11" s="958"/>
      <c r="AGQ11" s="958"/>
      <c r="AGR11" s="958"/>
      <c r="AGS11" s="958"/>
      <c r="AGT11" s="958"/>
      <c r="AGU11" s="958"/>
      <c r="AGV11" s="958"/>
      <c r="AGW11" s="958"/>
      <c r="AGX11" s="958"/>
      <c r="AGY11" s="958"/>
      <c r="AGZ11" s="958"/>
      <c r="AHA11" s="958"/>
      <c r="AHB11" s="958"/>
      <c r="AHC11" s="958"/>
      <c r="AHD11" s="958"/>
      <c r="AHE11" s="958"/>
      <c r="AHF11" s="958"/>
      <c r="AHG11" s="958"/>
      <c r="AHH11" s="958"/>
      <c r="AHI11" s="958"/>
      <c r="AHJ11" s="958"/>
      <c r="AHK11" s="958"/>
      <c r="AHL11" s="958"/>
      <c r="AHM11" s="958"/>
      <c r="AHN11" s="958"/>
      <c r="AHO11" s="958"/>
      <c r="AHP11" s="958"/>
      <c r="AHQ11" s="958"/>
      <c r="AHR11" s="958"/>
      <c r="AHS11" s="958"/>
      <c r="AHT11" s="958"/>
      <c r="AHU11" s="958"/>
      <c r="AHV11" s="958"/>
      <c r="AHW11" s="958"/>
      <c r="AHX11" s="958"/>
      <c r="AHY11" s="958"/>
      <c r="AHZ11" s="958"/>
      <c r="AIA11" s="958"/>
      <c r="AIB11" s="958"/>
      <c r="AIC11" s="958"/>
      <c r="AID11" s="958"/>
      <c r="AIE11" s="958"/>
      <c r="AIF11" s="958"/>
      <c r="AIG11" s="958"/>
      <c r="AIH11" s="958"/>
      <c r="AII11" s="958"/>
      <c r="AIJ11" s="958"/>
      <c r="AIK11" s="958"/>
      <c r="AIL11" s="958"/>
      <c r="AIM11" s="958"/>
      <c r="AIN11" s="958"/>
      <c r="AIO11" s="958"/>
      <c r="AIP11" s="958"/>
      <c r="AIQ11" s="958"/>
      <c r="AIR11" s="958"/>
      <c r="AIS11" s="958"/>
      <c r="AIT11" s="958"/>
      <c r="AIU11" s="958"/>
      <c r="AIV11" s="958"/>
      <c r="AIW11" s="958"/>
      <c r="AIX11" s="958"/>
      <c r="AIY11" s="958"/>
      <c r="AIZ11" s="958"/>
      <c r="AJA11" s="958"/>
      <c r="AJB11" s="958"/>
      <c r="AJC11" s="958"/>
      <c r="AJD11" s="958"/>
      <c r="AJE11" s="958"/>
      <c r="AJF11" s="958"/>
      <c r="AJG11" s="958"/>
      <c r="AJH11" s="958"/>
      <c r="AJI11" s="958"/>
      <c r="AJJ11" s="958"/>
      <c r="AJK11" s="958"/>
      <c r="AJL11" s="958"/>
      <c r="AJM11" s="958"/>
      <c r="AJN11" s="958"/>
      <c r="AJO11" s="958"/>
      <c r="AJP11" s="958"/>
      <c r="AJQ11" s="958"/>
      <c r="AJR11" s="958"/>
      <c r="AJS11" s="958"/>
      <c r="AJT11" s="958"/>
      <c r="AJU11" s="958"/>
      <c r="AJV11" s="958"/>
      <c r="AJW11" s="958"/>
      <c r="AJX11" s="958"/>
      <c r="AJY11" s="958"/>
      <c r="AJZ11" s="958"/>
      <c r="AKA11" s="958"/>
      <c r="AKB11" s="958"/>
      <c r="AKC11" s="958"/>
      <c r="AKD11" s="958"/>
      <c r="AKE11" s="958"/>
      <c r="AKF11" s="958"/>
      <c r="AKG11" s="958"/>
      <c r="AKH11" s="958"/>
      <c r="AKI11" s="958"/>
      <c r="AKJ11" s="958"/>
      <c r="AKK11" s="958"/>
      <c r="AKL11" s="958"/>
      <c r="AKM11" s="958"/>
      <c r="AKN11" s="958"/>
      <c r="AKO11" s="958"/>
      <c r="AKP11" s="958"/>
      <c r="AKQ11" s="958"/>
      <c r="AKR11" s="958"/>
      <c r="AKS11" s="958"/>
      <c r="AKT11" s="958"/>
      <c r="AKU11" s="958"/>
      <c r="AKV11" s="958"/>
      <c r="AKW11" s="958"/>
      <c r="AKX11" s="958"/>
      <c r="AKY11" s="958"/>
      <c r="AKZ11" s="958"/>
      <c r="ALA11" s="958"/>
      <c r="ALB11" s="958"/>
      <c r="ALC11" s="958"/>
      <c r="ALD11" s="958"/>
      <c r="ALE11" s="958"/>
      <c r="ALF11" s="958"/>
      <c r="ALG11" s="958"/>
      <c r="ALH11" s="958"/>
      <c r="ALI11" s="958"/>
      <c r="ALJ11" s="958"/>
      <c r="ALK11" s="958"/>
      <c r="ALL11" s="958"/>
      <c r="ALM11" s="958"/>
      <c r="ALN11" s="958"/>
      <c r="ALO11" s="958"/>
      <c r="ALP11" s="958"/>
      <c r="ALQ11" s="958"/>
      <c r="ALR11" s="958"/>
      <c r="ALS11" s="958"/>
      <c r="ALT11" s="958"/>
      <c r="ALU11" s="958"/>
      <c r="ALV11" s="958"/>
      <c r="ALW11" s="958"/>
      <c r="ALX11" s="958"/>
      <c r="ALY11" s="958"/>
      <c r="ALZ11" s="958"/>
      <c r="AMA11" s="958"/>
      <c r="AMB11" s="958"/>
      <c r="AMC11" s="958"/>
      <c r="AMD11" s="958"/>
      <c r="AME11" s="958"/>
      <c r="AMF11" s="958"/>
      <c r="AMG11" s="958"/>
      <c r="AMH11" s="958"/>
      <c r="AMI11" s="958"/>
      <c r="AMJ11" s="958"/>
      <c r="AMK11" s="958"/>
      <c r="AML11" s="958"/>
      <c r="AMM11" s="958"/>
      <c r="AMN11" s="958"/>
      <c r="AMO11" s="958"/>
      <c r="AMP11" s="958"/>
      <c r="AMQ11" s="958"/>
      <c r="AMR11" s="958"/>
      <c r="AMS11" s="958"/>
      <c r="AMT11" s="958"/>
      <c r="AMU11" s="958"/>
      <c r="AMV11" s="958"/>
      <c r="AMW11" s="958"/>
      <c r="AMX11" s="958"/>
      <c r="AMY11" s="958"/>
      <c r="AMZ11" s="958"/>
      <c r="ANA11" s="958"/>
      <c r="ANB11" s="958"/>
      <c r="ANC11" s="958"/>
      <c r="AND11" s="958"/>
      <c r="ANE11" s="958"/>
      <c r="ANF11" s="958"/>
      <c r="ANG11" s="958"/>
      <c r="ANH11" s="958"/>
      <c r="ANI11" s="958"/>
      <c r="ANJ11" s="958"/>
      <c r="ANK11" s="958"/>
      <c r="ANL11" s="958"/>
      <c r="ANM11" s="958"/>
      <c r="ANN11" s="958"/>
      <c r="ANO11" s="958"/>
      <c r="ANP11" s="958"/>
      <c r="ANQ11" s="958"/>
      <c r="ANR11" s="958"/>
      <c r="ANS11" s="958"/>
      <c r="ANT11" s="958"/>
      <c r="ANU11" s="958"/>
      <c r="ANV11" s="958"/>
      <c r="ANW11" s="958"/>
      <c r="ANX11" s="958"/>
      <c r="ANY11" s="958"/>
      <c r="ANZ11" s="958"/>
      <c r="AOA11" s="958"/>
      <c r="AOB11" s="958"/>
      <c r="AOC11" s="958"/>
      <c r="AOD11" s="958"/>
      <c r="AOE11" s="958"/>
      <c r="AOF11" s="958"/>
      <c r="AOG11" s="958"/>
      <c r="AOH11" s="958"/>
      <c r="AOI11" s="958"/>
      <c r="AOJ11" s="958"/>
      <c r="AOK11" s="958"/>
      <c r="AOL11" s="958"/>
      <c r="AOM11" s="958"/>
      <c r="AON11" s="958"/>
      <c r="AOO11" s="958"/>
      <c r="AOP11" s="958"/>
      <c r="AOQ11" s="958"/>
      <c r="AOR11" s="958"/>
      <c r="AOS11" s="958"/>
      <c r="AOT11" s="958"/>
      <c r="AOU11" s="958"/>
      <c r="AOV11" s="958"/>
      <c r="AOW11" s="958"/>
      <c r="AOX11" s="958"/>
      <c r="AOY11" s="958"/>
      <c r="AOZ11" s="958"/>
      <c r="APA11" s="958"/>
      <c r="APB11" s="958"/>
      <c r="APC11" s="958"/>
      <c r="APD11" s="958"/>
      <c r="APE11" s="958"/>
      <c r="APF11" s="958"/>
      <c r="APG11" s="958"/>
      <c r="APH11" s="958"/>
      <c r="API11" s="958"/>
      <c r="APJ11" s="958"/>
      <c r="APK11" s="958"/>
      <c r="APL11" s="958"/>
      <c r="APM11" s="958"/>
      <c r="APN11" s="958"/>
      <c r="APO11" s="958"/>
      <c r="APP11" s="958"/>
      <c r="APQ11" s="958"/>
      <c r="APR11" s="958"/>
      <c r="APS11" s="958"/>
      <c r="APT11" s="958"/>
      <c r="APU11" s="958"/>
      <c r="APV11" s="958"/>
      <c r="APW11" s="958"/>
      <c r="APX11" s="958"/>
      <c r="APY11" s="958"/>
      <c r="APZ11" s="958"/>
      <c r="AQA11" s="958"/>
      <c r="AQB11" s="958"/>
      <c r="AQC11" s="958"/>
      <c r="AQD11" s="958"/>
      <c r="AQE11" s="958"/>
      <c r="AQF11" s="958"/>
      <c r="AQG11" s="958"/>
      <c r="AQH11" s="958"/>
      <c r="AQI11" s="958"/>
      <c r="AQJ11" s="958"/>
      <c r="AQK11" s="958"/>
      <c r="AQL11" s="958"/>
      <c r="AQM11" s="958"/>
      <c r="AQN11" s="958"/>
      <c r="AQO11" s="958"/>
      <c r="AQP11" s="958"/>
      <c r="AQQ11" s="958"/>
      <c r="AQR11" s="958"/>
      <c r="AQS11" s="958"/>
      <c r="AQT11" s="958"/>
      <c r="AQU11" s="958"/>
      <c r="AQV11" s="958"/>
      <c r="AQW11" s="958"/>
      <c r="AQX11" s="958"/>
      <c r="AQY11" s="958"/>
      <c r="AQZ11" s="958"/>
      <c r="ARA11" s="958"/>
      <c r="ARB11" s="958"/>
      <c r="ARC11" s="958"/>
      <c r="ARD11" s="958"/>
      <c r="ARE11" s="958"/>
      <c r="ARF11" s="958"/>
      <c r="ARG11" s="958"/>
      <c r="ARH11" s="958"/>
      <c r="ARI11" s="958"/>
      <c r="ARJ11" s="958"/>
      <c r="ARK11" s="958"/>
      <c r="ARL11" s="958"/>
      <c r="ARM11" s="958"/>
      <c r="ARN11" s="958"/>
      <c r="ARO11" s="958"/>
      <c r="ARP11" s="958"/>
      <c r="ARQ11" s="958"/>
      <c r="ARR11" s="958"/>
      <c r="ARS11" s="958"/>
      <c r="ART11" s="958"/>
      <c r="ARU11" s="958"/>
      <c r="ARV11" s="958"/>
      <c r="ARW11" s="958"/>
      <c r="ARX11" s="958"/>
      <c r="ARY11" s="958"/>
      <c r="ARZ11" s="958"/>
      <c r="ASA11" s="958"/>
      <c r="ASB11" s="958"/>
      <c r="ASC11" s="958"/>
      <c r="ASD11" s="958"/>
      <c r="ASE11" s="958"/>
      <c r="ASF11" s="958"/>
      <c r="ASG11" s="958"/>
      <c r="ASH11" s="958"/>
      <c r="ASI11" s="958"/>
      <c r="ASJ11" s="958"/>
      <c r="ASK11" s="958"/>
      <c r="ASL11" s="958"/>
      <c r="ASM11" s="958"/>
      <c r="ASN11" s="958"/>
      <c r="ASO11" s="958"/>
      <c r="ASP11" s="958"/>
      <c r="ASQ11" s="958"/>
      <c r="ASR11" s="958"/>
      <c r="ASS11" s="958"/>
      <c r="AST11" s="958"/>
      <c r="ASU11" s="958"/>
      <c r="ASV11" s="958"/>
      <c r="ASW11" s="958"/>
      <c r="ASX11" s="958"/>
      <c r="ASY11" s="958"/>
      <c r="ASZ11" s="958"/>
    </row>
    <row r="12" spans="1:1196" s="22" customFormat="1" ht="51.75" customHeight="1" thickTop="1" thickBot="1">
      <c r="A12" s="2846"/>
      <c r="B12" s="2992"/>
      <c r="C12" s="2958"/>
      <c r="D12" s="111" t="s">
        <v>194</v>
      </c>
      <c r="E12" s="177" t="s">
        <v>195</v>
      </c>
      <c r="F12" s="177" t="s">
        <v>101</v>
      </c>
      <c r="G12" s="959">
        <v>16287158670</v>
      </c>
      <c r="H12" s="130"/>
      <c r="I12" s="960"/>
      <c r="J12" s="130"/>
      <c r="K12" s="179" t="s">
        <v>196</v>
      </c>
      <c r="L12" s="961">
        <v>542905289</v>
      </c>
      <c r="M12" s="962">
        <v>2126979041</v>
      </c>
      <c r="N12" s="73">
        <f t="shared" ref="N12:N42" si="3">+M12/L12</f>
        <v>3.9177718178391148</v>
      </c>
      <c r="O12" s="961">
        <v>542905289</v>
      </c>
      <c r="P12" s="962">
        <v>492428648</v>
      </c>
      <c r="Q12" s="73">
        <f t="shared" ref="Q12:Q42" si="4">+P12/O12</f>
        <v>0.90702495992813947</v>
      </c>
      <c r="R12" s="961">
        <v>542905289</v>
      </c>
      <c r="S12" s="962">
        <v>1329158592</v>
      </c>
      <c r="T12" s="73">
        <f t="shared" ref="T12:T42" si="5">+S12/R12</f>
        <v>2.4482329034742558</v>
      </c>
      <c r="U12" s="961">
        <v>2171621156</v>
      </c>
      <c r="V12" s="962">
        <v>0</v>
      </c>
      <c r="W12" s="73">
        <f t="shared" ref="W12:W42" si="6">+V12/U12</f>
        <v>0</v>
      </c>
      <c r="X12" s="961">
        <v>2171621156</v>
      </c>
      <c r="Y12" s="962">
        <v>0</v>
      </c>
      <c r="Z12" s="73">
        <f t="shared" ref="Z12:Z42" si="7">+Y12/X12</f>
        <v>0</v>
      </c>
      <c r="AA12" s="961">
        <v>2171621156</v>
      </c>
      <c r="AB12" s="961">
        <v>3486944932</v>
      </c>
      <c r="AC12" s="73">
        <f t="shared" ref="AC12:AC42" si="8">+AB12/AA12</f>
        <v>1.6056874940483403</v>
      </c>
      <c r="AD12" s="963">
        <f t="shared" ref="AD12:AD16" si="9">+M12+P12+S12+V12+Y12+AB12</f>
        <v>7435511213</v>
      </c>
      <c r="AE12" s="956">
        <f t="shared" ref="AE12:AE21" si="10">+AD12/G12</f>
        <v>0.45652598858116239</v>
      </c>
      <c r="AF12" s="963">
        <v>2171621156</v>
      </c>
      <c r="AG12" s="962">
        <v>774171700</v>
      </c>
      <c r="AH12" s="73">
        <f t="shared" ref="AH12:AH42" si="11">+AG12/AF12</f>
        <v>0.35649482316979231</v>
      </c>
      <c r="AI12" s="961">
        <v>2171621156</v>
      </c>
      <c r="AJ12" s="962">
        <v>7132720965</v>
      </c>
      <c r="AK12" s="73">
        <f t="shared" ref="AK12:AK33" si="12">+AJ12/AI12</f>
        <v>3.2845144031190308</v>
      </c>
      <c r="AL12" s="961">
        <v>2171621156</v>
      </c>
      <c r="AM12" s="962">
        <v>0</v>
      </c>
      <c r="AN12" s="73">
        <f t="shared" ref="AN12:AN42" si="13">+AM12/AL12</f>
        <v>0</v>
      </c>
      <c r="AO12" s="961">
        <v>542905289</v>
      </c>
      <c r="AP12" s="962">
        <v>0</v>
      </c>
      <c r="AQ12" s="73">
        <f t="shared" ref="AQ12:AQ42" si="14">+AP12/AO12</f>
        <v>0</v>
      </c>
      <c r="AR12" s="961">
        <v>542905289</v>
      </c>
      <c r="AS12" s="962">
        <v>755728858</v>
      </c>
      <c r="AT12" s="73">
        <f t="shared" ref="AT12:AT42" si="15">+AS12/AR12</f>
        <v>1.3920086492286872</v>
      </c>
      <c r="AU12" s="961">
        <v>542905289</v>
      </c>
      <c r="AV12" s="962">
        <v>2376490325</v>
      </c>
      <c r="AW12" s="73">
        <f t="shared" ref="AW12:AW42" si="16">+AV12/AU12</f>
        <v>4.3773571065725978</v>
      </c>
      <c r="AX12" s="964">
        <f t="shared" ref="AX12:AX16" si="17">+M12+P12+S12+V12+Y12++AG12+AJ12+AM12+AP12+AS12+AV12+AB12</f>
        <v>18474623061</v>
      </c>
      <c r="AY12" s="956">
        <f t="shared" ref="AY12:AY42" si="18">+AX12/G12</f>
        <v>1.1343060772797149</v>
      </c>
      <c r="AZ12" s="958"/>
      <c r="BA12" s="958"/>
      <c r="BB12" s="958"/>
      <c r="BC12" s="958"/>
      <c r="BD12" s="958"/>
      <c r="BE12" s="958"/>
      <c r="BF12" s="958"/>
      <c r="BG12" s="958"/>
      <c r="BH12" s="958"/>
      <c r="BI12" s="958"/>
      <c r="BJ12" s="958"/>
      <c r="BK12" s="958"/>
      <c r="BL12" s="958"/>
      <c r="BM12" s="958"/>
      <c r="BN12" s="958"/>
      <c r="BO12" s="958"/>
      <c r="BP12" s="958"/>
      <c r="BQ12" s="958"/>
      <c r="BR12" s="958"/>
      <c r="BS12" s="958"/>
      <c r="BT12" s="958"/>
      <c r="BU12" s="958"/>
      <c r="BV12" s="958"/>
      <c r="BW12" s="958"/>
      <c r="BX12" s="958"/>
      <c r="BY12" s="958"/>
      <c r="BZ12" s="958"/>
      <c r="CA12" s="958"/>
      <c r="CB12" s="958"/>
      <c r="CC12" s="958"/>
      <c r="CD12" s="958"/>
      <c r="CE12" s="958"/>
      <c r="CF12" s="958"/>
      <c r="CG12" s="958"/>
      <c r="CH12" s="958"/>
      <c r="CI12" s="958"/>
      <c r="CJ12" s="958"/>
      <c r="CK12" s="958"/>
      <c r="CL12" s="958"/>
      <c r="CM12" s="958"/>
      <c r="CN12" s="958"/>
      <c r="CO12" s="958"/>
      <c r="CP12" s="958"/>
      <c r="CQ12" s="958"/>
      <c r="CR12" s="958"/>
      <c r="CS12" s="958"/>
      <c r="CT12" s="958"/>
      <c r="CU12" s="958"/>
      <c r="CV12" s="958"/>
      <c r="CW12" s="958"/>
      <c r="CX12" s="958"/>
      <c r="CY12" s="958"/>
      <c r="CZ12" s="958"/>
      <c r="DA12" s="958"/>
      <c r="DB12" s="958"/>
      <c r="DC12" s="958"/>
      <c r="DD12" s="958"/>
      <c r="DE12" s="958"/>
      <c r="DF12" s="958"/>
      <c r="DG12" s="958"/>
      <c r="DH12" s="958"/>
      <c r="DI12" s="958"/>
      <c r="DJ12" s="958"/>
      <c r="DK12" s="958"/>
      <c r="DL12" s="958"/>
      <c r="DM12" s="958"/>
      <c r="DN12" s="958"/>
      <c r="DO12" s="958"/>
      <c r="DP12" s="958"/>
      <c r="DQ12" s="958"/>
      <c r="DR12" s="958"/>
      <c r="DS12" s="958"/>
      <c r="DT12" s="958"/>
      <c r="DU12" s="958"/>
      <c r="DV12" s="958"/>
      <c r="DW12" s="958"/>
      <c r="DX12" s="958"/>
      <c r="DY12" s="958"/>
      <c r="DZ12" s="958"/>
      <c r="EA12" s="958"/>
      <c r="EB12" s="958"/>
      <c r="EC12" s="958"/>
      <c r="ED12" s="958"/>
      <c r="EE12" s="958"/>
      <c r="EF12" s="958"/>
      <c r="EG12" s="958"/>
      <c r="EH12" s="958"/>
      <c r="EI12" s="958"/>
      <c r="EJ12" s="958"/>
      <c r="EK12" s="958"/>
      <c r="EL12" s="958"/>
      <c r="EM12" s="958"/>
      <c r="EN12" s="958"/>
      <c r="EO12" s="958"/>
      <c r="EP12" s="958"/>
      <c r="EQ12" s="958"/>
      <c r="ER12" s="958"/>
      <c r="ES12" s="958"/>
      <c r="ET12" s="958"/>
      <c r="EU12" s="958"/>
      <c r="EV12" s="958"/>
      <c r="EW12" s="958"/>
      <c r="EX12" s="958"/>
      <c r="EY12" s="958"/>
      <c r="EZ12" s="958"/>
      <c r="FA12" s="958"/>
      <c r="FB12" s="958"/>
      <c r="FC12" s="958"/>
      <c r="FD12" s="958"/>
      <c r="FE12" s="958"/>
      <c r="FF12" s="958"/>
      <c r="FG12" s="958"/>
      <c r="FH12" s="958"/>
      <c r="FI12" s="958"/>
      <c r="FJ12" s="958"/>
      <c r="FK12" s="958"/>
      <c r="FL12" s="958"/>
      <c r="FM12" s="958"/>
      <c r="FN12" s="958"/>
      <c r="FO12" s="958"/>
      <c r="FP12" s="958"/>
      <c r="FQ12" s="958"/>
      <c r="FR12" s="958"/>
      <c r="FS12" s="958"/>
      <c r="FT12" s="958"/>
      <c r="FU12" s="958"/>
      <c r="FV12" s="958"/>
      <c r="FW12" s="958"/>
      <c r="FX12" s="958"/>
      <c r="FY12" s="958"/>
      <c r="FZ12" s="958"/>
      <c r="GA12" s="958"/>
      <c r="GB12" s="958"/>
      <c r="GC12" s="958"/>
      <c r="GD12" s="958"/>
      <c r="GE12" s="958"/>
      <c r="GF12" s="958"/>
      <c r="GG12" s="958"/>
      <c r="GH12" s="958"/>
      <c r="GI12" s="958"/>
      <c r="GJ12" s="958"/>
      <c r="GK12" s="958"/>
      <c r="GL12" s="958"/>
      <c r="GM12" s="958"/>
      <c r="GN12" s="958"/>
      <c r="GO12" s="958"/>
      <c r="GP12" s="958"/>
      <c r="GQ12" s="958"/>
      <c r="GR12" s="958"/>
      <c r="GS12" s="958"/>
      <c r="GT12" s="958"/>
      <c r="GU12" s="958"/>
      <c r="GV12" s="958"/>
      <c r="GW12" s="958"/>
      <c r="GX12" s="958"/>
      <c r="GY12" s="958"/>
      <c r="GZ12" s="958"/>
      <c r="HA12" s="958"/>
      <c r="HB12" s="958"/>
      <c r="HC12" s="958"/>
      <c r="HD12" s="958"/>
      <c r="HE12" s="958"/>
      <c r="HF12" s="958"/>
      <c r="HG12" s="958"/>
      <c r="HH12" s="958"/>
      <c r="HI12" s="958"/>
      <c r="HJ12" s="958"/>
      <c r="HK12" s="958"/>
      <c r="HL12" s="958"/>
      <c r="HM12" s="958"/>
      <c r="HN12" s="958"/>
      <c r="HO12" s="958"/>
      <c r="HP12" s="958"/>
      <c r="HQ12" s="958"/>
      <c r="HR12" s="958"/>
      <c r="HS12" s="958"/>
      <c r="HT12" s="958"/>
      <c r="HU12" s="958"/>
      <c r="HV12" s="958"/>
      <c r="HW12" s="958"/>
      <c r="HX12" s="958"/>
      <c r="HY12" s="958"/>
      <c r="HZ12" s="958"/>
      <c r="IA12" s="958"/>
      <c r="IB12" s="958"/>
      <c r="IC12" s="958"/>
      <c r="ID12" s="958"/>
      <c r="IE12" s="958"/>
      <c r="IF12" s="958"/>
      <c r="IG12" s="958"/>
      <c r="IH12" s="958"/>
      <c r="II12" s="958"/>
      <c r="IJ12" s="958"/>
      <c r="IK12" s="958"/>
      <c r="IL12" s="958"/>
      <c r="IM12" s="958"/>
      <c r="IN12" s="958"/>
      <c r="IO12" s="958"/>
      <c r="IP12" s="958"/>
      <c r="IQ12" s="958"/>
      <c r="IR12" s="958"/>
      <c r="IS12" s="958"/>
      <c r="IT12" s="958"/>
      <c r="IU12" s="958"/>
      <c r="IV12" s="958"/>
      <c r="IW12" s="958"/>
      <c r="IX12" s="958"/>
      <c r="IY12" s="958"/>
      <c r="IZ12" s="958"/>
      <c r="JA12" s="958"/>
      <c r="JB12" s="958"/>
      <c r="JC12" s="958"/>
      <c r="JD12" s="958"/>
      <c r="JE12" s="958"/>
      <c r="JF12" s="958"/>
      <c r="JG12" s="958"/>
      <c r="JH12" s="958"/>
      <c r="JI12" s="958"/>
      <c r="JJ12" s="958"/>
      <c r="JK12" s="958"/>
      <c r="JL12" s="958"/>
      <c r="JM12" s="958"/>
      <c r="JN12" s="958"/>
      <c r="JO12" s="958"/>
      <c r="JP12" s="958"/>
      <c r="JQ12" s="958"/>
      <c r="JR12" s="958"/>
      <c r="JS12" s="958"/>
      <c r="JT12" s="958"/>
      <c r="JU12" s="958"/>
      <c r="JV12" s="958"/>
      <c r="JW12" s="958"/>
      <c r="JX12" s="958"/>
      <c r="JY12" s="958"/>
      <c r="JZ12" s="958"/>
      <c r="KA12" s="958"/>
      <c r="KB12" s="958"/>
      <c r="KC12" s="958"/>
      <c r="KD12" s="958"/>
      <c r="KE12" s="958"/>
      <c r="KF12" s="958"/>
      <c r="KG12" s="958"/>
      <c r="KH12" s="958"/>
      <c r="KI12" s="958"/>
      <c r="KJ12" s="958"/>
      <c r="KK12" s="958"/>
      <c r="KL12" s="958"/>
      <c r="KM12" s="958"/>
      <c r="KN12" s="958"/>
      <c r="KO12" s="958"/>
      <c r="KP12" s="958"/>
      <c r="KQ12" s="958"/>
      <c r="KR12" s="958"/>
      <c r="KS12" s="958"/>
      <c r="KT12" s="958"/>
      <c r="KU12" s="958"/>
      <c r="KV12" s="958"/>
      <c r="KW12" s="958"/>
      <c r="KX12" s="958"/>
      <c r="KY12" s="958"/>
      <c r="KZ12" s="958"/>
      <c r="LA12" s="958"/>
      <c r="LB12" s="958"/>
      <c r="LC12" s="958"/>
      <c r="LD12" s="958"/>
      <c r="LE12" s="958"/>
      <c r="LF12" s="958"/>
      <c r="LG12" s="958"/>
      <c r="LH12" s="958"/>
      <c r="LI12" s="958"/>
      <c r="LJ12" s="958"/>
      <c r="LK12" s="958"/>
      <c r="LL12" s="958"/>
      <c r="LM12" s="958"/>
      <c r="LN12" s="958"/>
      <c r="LO12" s="958"/>
      <c r="LP12" s="958"/>
      <c r="LQ12" s="958"/>
      <c r="LR12" s="958"/>
      <c r="LS12" s="958"/>
      <c r="LT12" s="958"/>
      <c r="LU12" s="958"/>
      <c r="LV12" s="958"/>
      <c r="LW12" s="958"/>
      <c r="LX12" s="958"/>
      <c r="LY12" s="958"/>
      <c r="LZ12" s="958"/>
      <c r="MA12" s="958"/>
      <c r="MB12" s="958"/>
      <c r="MC12" s="958"/>
      <c r="MD12" s="958"/>
      <c r="ME12" s="958"/>
      <c r="MF12" s="958"/>
      <c r="MG12" s="958"/>
      <c r="MH12" s="958"/>
      <c r="MI12" s="958"/>
      <c r="MJ12" s="958"/>
      <c r="MK12" s="958"/>
      <c r="ML12" s="958"/>
      <c r="MM12" s="958"/>
      <c r="MN12" s="958"/>
      <c r="MO12" s="958"/>
      <c r="MP12" s="958"/>
      <c r="MQ12" s="958"/>
      <c r="MR12" s="958"/>
      <c r="MS12" s="958"/>
      <c r="MT12" s="958"/>
      <c r="MU12" s="958"/>
      <c r="MV12" s="958"/>
      <c r="MW12" s="958"/>
      <c r="MX12" s="958"/>
      <c r="MY12" s="958"/>
      <c r="MZ12" s="958"/>
      <c r="NA12" s="958"/>
      <c r="NB12" s="958"/>
      <c r="NC12" s="958"/>
      <c r="ND12" s="958"/>
      <c r="NE12" s="958"/>
      <c r="NF12" s="958"/>
      <c r="NG12" s="958"/>
      <c r="NH12" s="958"/>
      <c r="NI12" s="958"/>
      <c r="NJ12" s="958"/>
      <c r="NK12" s="958"/>
      <c r="NL12" s="958"/>
      <c r="NM12" s="958"/>
      <c r="NN12" s="958"/>
      <c r="NO12" s="958"/>
      <c r="NP12" s="958"/>
      <c r="NQ12" s="958"/>
      <c r="NR12" s="958"/>
      <c r="NS12" s="958"/>
      <c r="NT12" s="958"/>
      <c r="NU12" s="958"/>
      <c r="NV12" s="958"/>
      <c r="NW12" s="958"/>
      <c r="NX12" s="958"/>
      <c r="NY12" s="958"/>
      <c r="NZ12" s="958"/>
      <c r="OA12" s="958"/>
      <c r="OB12" s="958"/>
      <c r="OC12" s="958"/>
      <c r="OD12" s="958"/>
      <c r="OE12" s="958"/>
      <c r="OF12" s="958"/>
      <c r="OG12" s="958"/>
      <c r="OH12" s="958"/>
      <c r="OI12" s="958"/>
      <c r="OJ12" s="958"/>
      <c r="OK12" s="958"/>
      <c r="OL12" s="958"/>
      <c r="OM12" s="958"/>
      <c r="ON12" s="958"/>
      <c r="OO12" s="958"/>
      <c r="OP12" s="958"/>
      <c r="OQ12" s="958"/>
      <c r="OR12" s="958"/>
      <c r="OS12" s="958"/>
      <c r="OT12" s="958"/>
      <c r="OU12" s="958"/>
      <c r="OV12" s="958"/>
      <c r="OW12" s="958"/>
      <c r="OX12" s="958"/>
      <c r="OY12" s="958"/>
      <c r="OZ12" s="958"/>
      <c r="PA12" s="958"/>
      <c r="PB12" s="958"/>
      <c r="PC12" s="958"/>
      <c r="PD12" s="958"/>
      <c r="PE12" s="958"/>
      <c r="PF12" s="958"/>
      <c r="PG12" s="958"/>
      <c r="PH12" s="958"/>
      <c r="PI12" s="958"/>
      <c r="PJ12" s="958"/>
      <c r="PK12" s="958"/>
      <c r="PL12" s="958"/>
      <c r="PM12" s="958"/>
      <c r="PN12" s="958"/>
      <c r="PO12" s="958"/>
      <c r="PP12" s="958"/>
      <c r="PQ12" s="958"/>
      <c r="PR12" s="958"/>
      <c r="PS12" s="958"/>
      <c r="PT12" s="958"/>
      <c r="PU12" s="958"/>
      <c r="PV12" s="958"/>
      <c r="PW12" s="958"/>
      <c r="PX12" s="958"/>
      <c r="PY12" s="958"/>
      <c r="PZ12" s="958"/>
      <c r="QA12" s="958"/>
      <c r="QB12" s="958"/>
      <c r="QC12" s="958"/>
      <c r="QD12" s="958"/>
      <c r="QE12" s="958"/>
      <c r="QF12" s="958"/>
      <c r="QG12" s="958"/>
      <c r="QH12" s="958"/>
      <c r="QI12" s="958"/>
      <c r="QJ12" s="958"/>
      <c r="QK12" s="958"/>
      <c r="QL12" s="958"/>
      <c r="QM12" s="958"/>
      <c r="QN12" s="958"/>
      <c r="QO12" s="958"/>
      <c r="QP12" s="958"/>
      <c r="QQ12" s="958"/>
      <c r="QR12" s="958"/>
      <c r="QS12" s="958"/>
      <c r="QT12" s="958"/>
      <c r="QU12" s="958"/>
      <c r="QV12" s="958"/>
      <c r="QW12" s="958"/>
      <c r="QX12" s="958"/>
      <c r="QY12" s="958"/>
      <c r="QZ12" s="958"/>
      <c r="RA12" s="958"/>
      <c r="RB12" s="958"/>
      <c r="RC12" s="958"/>
      <c r="RD12" s="958"/>
      <c r="RE12" s="958"/>
      <c r="RF12" s="958"/>
      <c r="RG12" s="958"/>
      <c r="RH12" s="958"/>
      <c r="RI12" s="958"/>
      <c r="RJ12" s="958"/>
      <c r="RK12" s="958"/>
      <c r="RL12" s="958"/>
      <c r="RM12" s="958"/>
      <c r="RN12" s="958"/>
      <c r="RO12" s="958"/>
      <c r="RP12" s="958"/>
      <c r="RQ12" s="958"/>
      <c r="RR12" s="958"/>
      <c r="RS12" s="958"/>
      <c r="RT12" s="958"/>
      <c r="RU12" s="958"/>
      <c r="RV12" s="958"/>
      <c r="RW12" s="958"/>
      <c r="RX12" s="958"/>
      <c r="RY12" s="958"/>
      <c r="RZ12" s="958"/>
      <c r="SA12" s="958"/>
      <c r="SB12" s="958"/>
      <c r="SC12" s="958"/>
      <c r="SD12" s="958"/>
      <c r="SE12" s="958"/>
      <c r="SF12" s="958"/>
      <c r="SG12" s="958"/>
      <c r="SH12" s="958"/>
      <c r="SI12" s="958"/>
      <c r="SJ12" s="958"/>
      <c r="SK12" s="958"/>
      <c r="SL12" s="958"/>
      <c r="SM12" s="958"/>
      <c r="SN12" s="958"/>
      <c r="SO12" s="958"/>
      <c r="SP12" s="958"/>
      <c r="SQ12" s="958"/>
      <c r="SR12" s="958"/>
      <c r="SS12" s="958"/>
      <c r="ST12" s="958"/>
      <c r="SU12" s="958"/>
      <c r="SV12" s="958"/>
      <c r="SW12" s="958"/>
      <c r="SX12" s="958"/>
      <c r="SY12" s="958"/>
      <c r="SZ12" s="958"/>
      <c r="TA12" s="958"/>
      <c r="TB12" s="958"/>
      <c r="TC12" s="958"/>
      <c r="TD12" s="958"/>
      <c r="TE12" s="958"/>
      <c r="TF12" s="958"/>
      <c r="TG12" s="958"/>
      <c r="TH12" s="958"/>
      <c r="TI12" s="958"/>
      <c r="TJ12" s="958"/>
      <c r="TK12" s="958"/>
      <c r="TL12" s="958"/>
      <c r="TM12" s="958"/>
      <c r="TN12" s="958"/>
      <c r="TO12" s="958"/>
      <c r="TP12" s="958"/>
      <c r="TQ12" s="958"/>
      <c r="TR12" s="958"/>
      <c r="TS12" s="958"/>
      <c r="TT12" s="958"/>
      <c r="TU12" s="958"/>
      <c r="TV12" s="958"/>
      <c r="TW12" s="958"/>
      <c r="TX12" s="958"/>
      <c r="TY12" s="958"/>
      <c r="TZ12" s="958"/>
      <c r="UA12" s="958"/>
      <c r="UB12" s="958"/>
      <c r="UC12" s="958"/>
      <c r="UD12" s="958"/>
      <c r="UE12" s="958"/>
      <c r="UF12" s="958"/>
      <c r="UG12" s="958"/>
      <c r="UH12" s="958"/>
      <c r="UI12" s="958"/>
      <c r="UJ12" s="958"/>
      <c r="UK12" s="958"/>
      <c r="UL12" s="958"/>
      <c r="UM12" s="958"/>
      <c r="UN12" s="958"/>
      <c r="UO12" s="958"/>
      <c r="UP12" s="958"/>
      <c r="UQ12" s="958"/>
      <c r="UR12" s="958"/>
      <c r="US12" s="958"/>
      <c r="UT12" s="958"/>
      <c r="UU12" s="958"/>
      <c r="UV12" s="958"/>
      <c r="UW12" s="958"/>
      <c r="UX12" s="958"/>
      <c r="UY12" s="958"/>
      <c r="UZ12" s="958"/>
      <c r="VA12" s="958"/>
      <c r="VB12" s="958"/>
      <c r="VC12" s="958"/>
      <c r="VD12" s="958"/>
      <c r="VE12" s="958"/>
      <c r="VF12" s="958"/>
      <c r="VG12" s="958"/>
      <c r="VH12" s="958"/>
      <c r="VI12" s="958"/>
      <c r="VJ12" s="958"/>
      <c r="VK12" s="958"/>
      <c r="VL12" s="958"/>
      <c r="VM12" s="958"/>
      <c r="VN12" s="958"/>
      <c r="VO12" s="958"/>
      <c r="VP12" s="958"/>
      <c r="VQ12" s="958"/>
      <c r="VR12" s="958"/>
      <c r="VS12" s="958"/>
      <c r="VT12" s="958"/>
      <c r="VU12" s="958"/>
      <c r="VV12" s="958"/>
      <c r="VW12" s="958"/>
      <c r="VX12" s="958"/>
      <c r="VY12" s="958"/>
      <c r="VZ12" s="958"/>
      <c r="WA12" s="958"/>
      <c r="WB12" s="958"/>
      <c r="WC12" s="958"/>
      <c r="WD12" s="958"/>
      <c r="WE12" s="958"/>
      <c r="WF12" s="958"/>
      <c r="WG12" s="958"/>
      <c r="WH12" s="958"/>
      <c r="WI12" s="958"/>
      <c r="WJ12" s="958"/>
      <c r="WK12" s="958"/>
      <c r="WL12" s="958"/>
      <c r="WM12" s="958"/>
      <c r="WN12" s="958"/>
      <c r="WO12" s="958"/>
      <c r="WP12" s="958"/>
      <c r="WQ12" s="958"/>
      <c r="WR12" s="958"/>
      <c r="WS12" s="958"/>
      <c r="WT12" s="958"/>
      <c r="WU12" s="958"/>
      <c r="WV12" s="958"/>
      <c r="WW12" s="958"/>
      <c r="WX12" s="958"/>
      <c r="WY12" s="958"/>
      <c r="WZ12" s="958"/>
      <c r="XA12" s="958"/>
      <c r="XB12" s="958"/>
      <c r="XC12" s="958"/>
      <c r="XD12" s="958"/>
      <c r="XE12" s="958"/>
      <c r="XF12" s="958"/>
      <c r="XG12" s="958"/>
      <c r="XH12" s="958"/>
      <c r="XI12" s="958"/>
      <c r="XJ12" s="958"/>
      <c r="XK12" s="958"/>
      <c r="XL12" s="958"/>
      <c r="XM12" s="958"/>
      <c r="XN12" s="958"/>
      <c r="XO12" s="958"/>
      <c r="XP12" s="958"/>
      <c r="XQ12" s="958"/>
      <c r="XR12" s="958"/>
      <c r="XS12" s="958"/>
      <c r="XT12" s="958"/>
      <c r="XU12" s="958"/>
      <c r="XV12" s="958"/>
      <c r="XW12" s="958"/>
      <c r="XX12" s="958"/>
      <c r="XY12" s="958"/>
      <c r="XZ12" s="958"/>
      <c r="YA12" s="958"/>
      <c r="YB12" s="958"/>
      <c r="YC12" s="958"/>
      <c r="YD12" s="958"/>
      <c r="YE12" s="958"/>
      <c r="YF12" s="958"/>
      <c r="YG12" s="958"/>
      <c r="YH12" s="958"/>
      <c r="YI12" s="958"/>
      <c r="YJ12" s="958"/>
      <c r="YK12" s="958"/>
      <c r="YL12" s="958"/>
      <c r="YM12" s="958"/>
      <c r="YN12" s="958"/>
      <c r="YO12" s="958"/>
      <c r="YP12" s="958"/>
      <c r="YQ12" s="958"/>
      <c r="YR12" s="958"/>
      <c r="YS12" s="958"/>
      <c r="YT12" s="958"/>
      <c r="YU12" s="958"/>
      <c r="YV12" s="958"/>
      <c r="YW12" s="958"/>
      <c r="YX12" s="958"/>
      <c r="YY12" s="958"/>
      <c r="YZ12" s="958"/>
      <c r="ZA12" s="958"/>
      <c r="ZB12" s="958"/>
      <c r="ZC12" s="958"/>
      <c r="ZD12" s="958"/>
      <c r="ZE12" s="958"/>
      <c r="ZF12" s="958"/>
      <c r="ZG12" s="958"/>
      <c r="ZH12" s="958"/>
      <c r="ZI12" s="958"/>
      <c r="ZJ12" s="958"/>
      <c r="ZK12" s="958"/>
      <c r="ZL12" s="958"/>
      <c r="ZM12" s="958"/>
      <c r="ZN12" s="958"/>
      <c r="ZO12" s="958"/>
      <c r="ZP12" s="958"/>
      <c r="ZQ12" s="958"/>
      <c r="ZR12" s="958"/>
      <c r="ZS12" s="958"/>
      <c r="ZT12" s="958"/>
      <c r="ZU12" s="958"/>
      <c r="ZV12" s="958"/>
      <c r="ZW12" s="958"/>
      <c r="ZX12" s="958"/>
      <c r="ZY12" s="958"/>
      <c r="ZZ12" s="958"/>
      <c r="AAA12" s="958"/>
      <c r="AAB12" s="958"/>
      <c r="AAC12" s="958"/>
      <c r="AAD12" s="958"/>
      <c r="AAE12" s="958"/>
      <c r="AAF12" s="958"/>
      <c r="AAG12" s="958"/>
      <c r="AAH12" s="958"/>
      <c r="AAI12" s="958"/>
      <c r="AAJ12" s="958"/>
      <c r="AAK12" s="958"/>
      <c r="AAL12" s="958"/>
      <c r="AAM12" s="958"/>
      <c r="AAN12" s="958"/>
      <c r="AAO12" s="958"/>
      <c r="AAP12" s="958"/>
      <c r="AAQ12" s="958"/>
      <c r="AAR12" s="958"/>
      <c r="AAS12" s="958"/>
      <c r="AAT12" s="958"/>
      <c r="AAU12" s="958"/>
      <c r="AAV12" s="958"/>
      <c r="AAW12" s="958"/>
      <c r="AAX12" s="958"/>
      <c r="AAY12" s="958"/>
      <c r="AAZ12" s="958"/>
      <c r="ABA12" s="958"/>
      <c r="ABB12" s="958"/>
      <c r="ABC12" s="958"/>
      <c r="ABD12" s="958"/>
      <c r="ABE12" s="958"/>
      <c r="ABF12" s="958"/>
      <c r="ABG12" s="958"/>
      <c r="ABH12" s="958"/>
      <c r="ABI12" s="958"/>
      <c r="ABJ12" s="958"/>
      <c r="ABK12" s="958"/>
      <c r="ABL12" s="958"/>
      <c r="ABM12" s="958"/>
      <c r="ABN12" s="958"/>
      <c r="ABO12" s="958"/>
      <c r="ABP12" s="958"/>
      <c r="ABQ12" s="958"/>
      <c r="ABR12" s="958"/>
      <c r="ABS12" s="958"/>
      <c r="ABT12" s="958"/>
      <c r="ABU12" s="958"/>
      <c r="ABV12" s="958"/>
      <c r="ABW12" s="958"/>
      <c r="ABX12" s="958"/>
      <c r="ABY12" s="958"/>
      <c r="ABZ12" s="958"/>
      <c r="ACA12" s="958"/>
      <c r="ACB12" s="958"/>
      <c r="ACC12" s="958"/>
      <c r="ACD12" s="958"/>
      <c r="ACE12" s="958"/>
      <c r="ACF12" s="958"/>
      <c r="ACG12" s="958"/>
      <c r="ACH12" s="958"/>
      <c r="ACI12" s="958"/>
      <c r="ACJ12" s="958"/>
      <c r="ACK12" s="958"/>
      <c r="ACL12" s="958"/>
      <c r="ACM12" s="958"/>
      <c r="ACN12" s="958"/>
      <c r="ACO12" s="958"/>
      <c r="ACP12" s="958"/>
      <c r="ACQ12" s="958"/>
      <c r="ACR12" s="958"/>
      <c r="ACS12" s="958"/>
      <c r="ACT12" s="958"/>
      <c r="ACU12" s="958"/>
      <c r="ACV12" s="958"/>
      <c r="ACW12" s="958"/>
      <c r="ACX12" s="958"/>
      <c r="ACY12" s="958"/>
      <c r="ACZ12" s="958"/>
      <c r="ADA12" s="958"/>
      <c r="ADB12" s="958"/>
      <c r="ADC12" s="958"/>
      <c r="ADD12" s="958"/>
      <c r="ADE12" s="958"/>
      <c r="ADF12" s="958"/>
      <c r="ADG12" s="958"/>
      <c r="ADH12" s="958"/>
      <c r="ADI12" s="958"/>
      <c r="ADJ12" s="958"/>
      <c r="ADK12" s="958"/>
      <c r="ADL12" s="958"/>
      <c r="ADM12" s="958"/>
      <c r="ADN12" s="958"/>
      <c r="ADO12" s="958"/>
      <c r="ADP12" s="958"/>
      <c r="ADQ12" s="958"/>
      <c r="ADR12" s="958"/>
      <c r="ADS12" s="958"/>
      <c r="ADT12" s="958"/>
      <c r="ADU12" s="958"/>
      <c r="ADV12" s="958"/>
      <c r="ADW12" s="958"/>
      <c r="ADX12" s="958"/>
      <c r="ADY12" s="958"/>
      <c r="ADZ12" s="958"/>
      <c r="AEA12" s="958"/>
      <c r="AEB12" s="958"/>
      <c r="AEC12" s="958"/>
      <c r="AED12" s="958"/>
      <c r="AEE12" s="958"/>
      <c r="AEF12" s="958"/>
      <c r="AEG12" s="958"/>
      <c r="AEH12" s="958"/>
      <c r="AEI12" s="958"/>
      <c r="AEJ12" s="958"/>
      <c r="AEK12" s="958"/>
      <c r="AEL12" s="958"/>
      <c r="AEM12" s="958"/>
      <c r="AEN12" s="958"/>
      <c r="AEO12" s="958"/>
      <c r="AEP12" s="958"/>
      <c r="AEQ12" s="958"/>
      <c r="AER12" s="958"/>
      <c r="AES12" s="958"/>
      <c r="AET12" s="958"/>
      <c r="AEU12" s="958"/>
      <c r="AEV12" s="958"/>
      <c r="AEW12" s="958"/>
      <c r="AEX12" s="958"/>
      <c r="AEY12" s="958"/>
      <c r="AEZ12" s="958"/>
      <c r="AFA12" s="958"/>
      <c r="AFB12" s="958"/>
      <c r="AFC12" s="958"/>
      <c r="AFD12" s="958"/>
      <c r="AFE12" s="958"/>
      <c r="AFF12" s="958"/>
      <c r="AFG12" s="958"/>
      <c r="AFH12" s="958"/>
      <c r="AFI12" s="958"/>
      <c r="AFJ12" s="958"/>
      <c r="AFK12" s="958"/>
      <c r="AFL12" s="958"/>
      <c r="AFM12" s="958"/>
      <c r="AFN12" s="958"/>
      <c r="AFO12" s="958"/>
      <c r="AFP12" s="958"/>
      <c r="AFQ12" s="958"/>
      <c r="AFR12" s="958"/>
      <c r="AFS12" s="958"/>
      <c r="AFT12" s="958"/>
      <c r="AFU12" s="958"/>
      <c r="AFV12" s="958"/>
      <c r="AFW12" s="958"/>
      <c r="AFX12" s="958"/>
      <c r="AFY12" s="958"/>
      <c r="AFZ12" s="958"/>
      <c r="AGA12" s="958"/>
      <c r="AGB12" s="958"/>
      <c r="AGC12" s="958"/>
      <c r="AGD12" s="958"/>
      <c r="AGE12" s="958"/>
      <c r="AGF12" s="958"/>
      <c r="AGG12" s="958"/>
      <c r="AGH12" s="958"/>
      <c r="AGI12" s="958"/>
      <c r="AGJ12" s="958"/>
      <c r="AGK12" s="958"/>
      <c r="AGL12" s="958"/>
      <c r="AGM12" s="958"/>
      <c r="AGN12" s="958"/>
      <c r="AGO12" s="958"/>
      <c r="AGP12" s="958"/>
      <c r="AGQ12" s="958"/>
      <c r="AGR12" s="958"/>
      <c r="AGS12" s="958"/>
      <c r="AGT12" s="958"/>
      <c r="AGU12" s="958"/>
      <c r="AGV12" s="958"/>
      <c r="AGW12" s="958"/>
      <c r="AGX12" s="958"/>
      <c r="AGY12" s="958"/>
      <c r="AGZ12" s="958"/>
      <c r="AHA12" s="958"/>
      <c r="AHB12" s="958"/>
      <c r="AHC12" s="958"/>
      <c r="AHD12" s="958"/>
      <c r="AHE12" s="958"/>
      <c r="AHF12" s="958"/>
      <c r="AHG12" s="958"/>
      <c r="AHH12" s="958"/>
      <c r="AHI12" s="958"/>
      <c r="AHJ12" s="958"/>
      <c r="AHK12" s="958"/>
      <c r="AHL12" s="958"/>
      <c r="AHM12" s="958"/>
      <c r="AHN12" s="958"/>
      <c r="AHO12" s="958"/>
      <c r="AHP12" s="958"/>
      <c r="AHQ12" s="958"/>
      <c r="AHR12" s="958"/>
      <c r="AHS12" s="958"/>
      <c r="AHT12" s="958"/>
      <c r="AHU12" s="958"/>
      <c r="AHV12" s="958"/>
      <c r="AHW12" s="958"/>
      <c r="AHX12" s="958"/>
      <c r="AHY12" s="958"/>
      <c r="AHZ12" s="958"/>
      <c r="AIA12" s="958"/>
      <c r="AIB12" s="958"/>
      <c r="AIC12" s="958"/>
      <c r="AID12" s="958"/>
      <c r="AIE12" s="958"/>
      <c r="AIF12" s="958"/>
      <c r="AIG12" s="958"/>
      <c r="AIH12" s="958"/>
      <c r="AII12" s="958"/>
      <c r="AIJ12" s="958"/>
      <c r="AIK12" s="958"/>
      <c r="AIL12" s="958"/>
      <c r="AIM12" s="958"/>
      <c r="AIN12" s="958"/>
      <c r="AIO12" s="958"/>
      <c r="AIP12" s="958"/>
      <c r="AIQ12" s="958"/>
      <c r="AIR12" s="958"/>
      <c r="AIS12" s="958"/>
      <c r="AIT12" s="958"/>
      <c r="AIU12" s="958"/>
      <c r="AIV12" s="958"/>
      <c r="AIW12" s="958"/>
      <c r="AIX12" s="958"/>
      <c r="AIY12" s="958"/>
      <c r="AIZ12" s="958"/>
      <c r="AJA12" s="958"/>
      <c r="AJB12" s="958"/>
      <c r="AJC12" s="958"/>
      <c r="AJD12" s="958"/>
      <c r="AJE12" s="958"/>
      <c r="AJF12" s="958"/>
      <c r="AJG12" s="958"/>
      <c r="AJH12" s="958"/>
      <c r="AJI12" s="958"/>
      <c r="AJJ12" s="958"/>
      <c r="AJK12" s="958"/>
      <c r="AJL12" s="958"/>
      <c r="AJM12" s="958"/>
      <c r="AJN12" s="958"/>
      <c r="AJO12" s="958"/>
      <c r="AJP12" s="958"/>
      <c r="AJQ12" s="958"/>
      <c r="AJR12" s="958"/>
      <c r="AJS12" s="958"/>
      <c r="AJT12" s="958"/>
      <c r="AJU12" s="958"/>
      <c r="AJV12" s="958"/>
      <c r="AJW12" s="958"/>
      <c r="AJX12" s="958"/>
      <c r="AJY12" s="958"/>
      <c r="AJZ12" s="958"/>
      <c r="AKA12" s="958"/>
      <c r="AKB12" s="958"/>
      <c r="AKC12" s="958"/>
      <c r="AKD12" s="958"/>
      <c r="AKE12" s="958"/>
      <c r="AKF12" s="958"/>
      <c r="AKG12" s="958"/>
      <c r="AKH12" s="958"/>
      <c r="AKI12" s="958"/>
      <c r="AKJ12" s="958"/>
      <c r="AKK12" s="958"/>
      <c r="AKL12" s="958"/>
      <c r="AKM12" s="958"/>
      <c r="AKN12" s="958"/>
      <c r="AKO12" s="958"/>
      <c r="AKP12" s="958"/>
      <c r="AKQ12" s="958"/>
      <c r="AKR12" s="958"/>
      <c r="AKS12" s="958"/>
      <c r="AKT12" s="958"/>
      <c r="AKU12" s="958"/>
      <c r="AKV12" s="958"/>
      <c r="AKW12" s="958"/>
      <c r="AKX12" s="958"/>
      <c r="AKY12" s="958"/>
      <c r="AKZ12" s="958"/>
      <c r="ALA12" s="958"/>
      <c r="ALB12" s="958"/>
      <c r="ALC12" s="958"/>
      <c r="ALD12" s="958"/>
      <c r="ALE12" s="958"/>
      <c r="ALF12" s="958"/>
      <c r="ALG12" s="958"/>
      <c r="ALH12" s="958"/>
      <c r="ALI12" s="958"/>
      <c r="ALJ12" s="958"/>
      <c r="ALK12" s="958"/>
      <c r="ALL12" s="958"/>
      <c r="ALM12" s="958"/>
      <c r="ALN12" s="958"/>
      <c r="ALO12" s="958"/>
      <c r="ALP12" s="958"/>
      <c r="ALQ12" s="958"/>
      <c r="ALR12" s="958"/>
      <c r="ALS12" s="958"/>
      <c r="ALT12" s="958"/>
      <c r="ALU12" s="958"/>
      <c r="ALV12" s="958"/>
      <c r="ALW12" s="958"/>
      <c r="ALX12" s="958"/>
      <c r="ALY12" s="958"/>
      <c r="ALZ12" s="958"/>
      <c r="AMA12" s="958"/>
      <c r="AMB12" s="958"/>
      <c r="AMC12" s="958"/>
      <c r="AMD12" s="958"/>
      <c r="AME12" s="958"/>
      <c r="AMF12" s="958"/>
      <c r="AMG12" s="958"/>
      <c r="AMH12" s="958"/>
      <c r="AMI12" s="958"/>
      <c r="AMJ12" s="958"/>
      <c r="AMK12" s="958"/>
      <c r="AML12" s="958"/>
      <c r="AMM12" s="958"/>
      <c r="AMN12" s="958"/>
      <c r="AMO12" s="958"/>
      <c r="AMP12" s="958"/>
      <c r="AMQ12" s="958"/>
      <c r="AMR12" s="958"/>
      <c r="AMS12" s="958"/>
      <c r="AMT12" s="958"/>
      <c r="AMU12" s="958"/>
      <c r="AMV12" s="958"/>
      <c r="AMW12" s="958"/>
      <c r="AMX12" s="958"/>
      <c r="AMY12" s="958"/>
      <c r="AMZ12" s="958"/>
      <c r="ANA12" s="958"/>
      <c r="ANB12" s="958"/>
      <c r="ANC12" s="958"/>
      <c r="AND12" s="958"/>
      <c r="ANE12" s="958"/>
      <c r="ANF12" s="958"/>
      <c r="ANG12" s="958"/>
      <c r="ANH12" s="958"/>
      <c r="ANI12" s="958"/>
      <c r="ANJ12" s="958"/>
      <c r="ANK12" s="958"/>
      <c r="ANL12" s="958"/>
      <c r="ANM12" s="958"/>
      <c r="ANN12" s="958"/>
      <c r="ANO12" s="958"/>
      <c r="ANP12" s="958"/>
      <c r="ANQ12" s="958"/>
      <c r="ANR12" s="958"/>
      <c r="ANS12" s="958"/>
      <c r="ANT12" s="958"/>
      <c r="ANU12" s="958"/>
      <c r="ANV12" s="958"/>
      <c r="ANW12" s="958"/>
      <c r="ANX12" s="958"/>
      <c r="ANY12" s="958"/>
      <c r="ANZ12" s="958"/>
      <c r="AOA12" s="958"/>
      <c r="AOB12" s="958"/>
      <c r="AOC12" s="958"/>
      <c r="AOD12" s="958"/>
      <c r="AOE12" s="958"/>
      <c r="AOF12" s="958"/>
      <c r="AOG12" s="958"/>
      <c r="AOH12" s="958"/>
      <c r="AOI12" s="958"/>
      <c r="AOJ12" s="958"/>
      <c r="AOK12" s="958"/>
      <c r="AOL12" s="958"/>
      <c r="AOM12" s="958"/>
      <c r="AON12" s="958"/>
      <c r="AOO12" s="958"/>
      <c r="AOP12" s="958"/>
      <c r="AOQ12" s="958"/>
      <c r="AOR12" s="958"/>
      <c r="AOS12" s="958"/>
      <c r="AOT12" s="958"/>
      <c r="AOU12" s="958"/>
      <c r="AOV12" s="958"/>
      <c r="AOW12" s="958"/>
      <c r="AOX12" s="958"/>
      <c r="AOY12" s="958"/>
      <c r="AOZ12" s="958"/>
      <c r="APA12" s="958"/>
      <c r="APB12" s="958"/>
      <c r="APC12" s="958"/>
      <c r="APD12" s="958"/>
      <c r="APE12" s="958"/>
      <c r="APF12" s="958"/>
      <c r="APG12" s="958"/>
      <c r="APH12" s="958"/>
      <c r="API12" s="958"/>
      <c r="APJ12" s="958"/>
      <c r="APK12" s="958"/>
      <c r="APL12" s="958"/>
      <c r="APM12" s="958"/>
      <c r="APN12" s="958"/>
      <c r="APO12" s="958"/>
      <c r="APP12" s="958"/>
      <c r="APQ12" s="958"/>
      <c r="APR12" s="958"/>
      <c r="APS12" s="958"/>
      <c r="APT12" s="958"/>
      <c r="APU12" s="958"/>
      <c r="APV12" s="958"/>
      <c r="APW12" s="958"/>
      <c r="APX12" s="958"/>
      <c r="APY12" s="958"/>
      <c r="APZ12" s="958"/>
      <c r="AQA12" s="958"/>
      <c r="AQB12" s="958"/>
      <c r="AQC12" s="958"/>
      <c r="AQD12" s="958"/>
      <c r="AQE12" s="958"/>
      <c r="AQF12" s="958"/>
      <c r="AQG12" s="958"/>
      <c r="AQH12" s="958"/>
      <c r="AQI12" s="958"/>
      <c r="AQJ12" s="958"/>
      <c r="AQK12" s="958"/>
      <c r="AQL12" s="958"/>
      <c r="AQM12" s="958"/>
      <c r="AQN12" s="958"/>
      <c r="AQO12" s="958"/>
      <c r="AQP12" s="958"/>
      <c r="AQQ12" s="958"/>
      <c r="AQR12" s="958"/>
      <c r="AQS12" s="958"/>
      <c r="AQT12" s="958"/>
      <c r="AQU12" s="958"/>
      <c r="AQV12" s="958"/>
      <c r="AQW12" s="958"/>
      <c r="AQX12" s="958"/>
      <c r="AQY12" s="958"/>
      <c r="AQZ12" s="958"/>
      <c r="ARA12" s="958"/>
      <c r="ARB12" s="958"/>
      <c r="ARC12" s="958"/>
      <c r="ARD12" s="958"/>
      <c r="ARE12" s="958"/>
      <c r="ARF12" s="958"/>
      <c r="ARG12" s="958"/>
      <c r="ARH12" s="958"/>
      <c r="ARI12" s="958"/>
      <c r="ARJ12" s="958"/>
      <c r="ARK12" s="958"/>
      <c r="ARL12" s="958"/>
      <c r="ARM12" s="958"/>
      <c r="ARN12" s="958"/>
      <c r="ARO12" s="958"/>
      <c r="ARP12" s="958"/>
      <c r="ARQ12" s="958"/>
      <c r="ARR12" s="958"/>
      <c r="ARS12" s="958"/>
      <c r="ART12" s="958"/>
      <c r="ARU12" s="958"/>
      <c r="ARV12" s="958"/>
      <c r="ARW12" s="958"/>
      <c r="ARX12" s="958"/>
      <c r="ARY12" s="958"/>
      <c r="ARZ12" s="958"/>
      <c r="ASA12" s="958"/>
      <c r="ASB12" s="958"/>
      <c r="ASC12" s="958"/>
      <c r="ASD12" s="958"/>
      <c r="ASE12" s="958"/>
      <c r="ASF12" s="958"/>
      <c r="ASG12" s="958"/>
      <c r="ASH12" s="958"/>
      <c r="ASI12" s="958"/>
      <c r="ASJ12" s="958"/>
      <c r="ASK12" s="958"/>
      <c r="ASL12" s="958"/>
      <c r="ASM12" s="958"/>
      <c r="ASN12" s="958"/>
      <c r="ASO12" s="958"/>
      <c r="ASP12" s="958"/>
      <c r="ASQ12" s="958"/>
      <c r="ASR12" s="958"/>
      <c r="ASS12" s="958"/>
      <c r="AST12" s="958"/>
      <c r="ASU12" s="958"/>
      <c r="ASV12" s="958"/>
      <c r="ASW12" s="958"/>
      <c r="ASX12" s="958"/>
      <c r="ASY12" s="958"/>
      <c r="ASZ12" s="958"/>
    </row>
    <row r="13" spans="1:1196" s="22" customFormat="1" ht="112.5" customHeight="1" thickTop="1" thickBot="1">
      <c r="A13" s="2846"/>
      <c r="B13" s="2992"/>
      <c r="C13" s="2958"/>
      <c r="D13" s="171" t="s">
        <v>197</v>
      </c>
      <c r="E13" s="172" t="s">
        <v>198</v>
      </c>
      <c r="F13" s="172" t="s">
        <v>101</v>
      </c>
      <c r="G13" s="951">
        <v>2723363593</v>
      </c>
      <c r="H13" s="133"/>
      <c r="I13" s="133"/>
      <c r="J13" s="133"/>
      <c r="K13" s="172" t="s">
        <v>140</v>
      </c>
      <c r="L13" s="953">
        <v>181557572.86192068</v>
      </c>
      <c r="M13" s="954">
        <v>405912950</v>
      </c>
      <c r="N13" s="73">
        <f t="shared" si="3"/>
        <v>2.2357258009210526</v>
      </c>
      <c r="O13" s="953">
        <v>181557572.86192068</v>
      </c>
      <c r="P13" s="954">
        <v>272354613</v>
      </c>
      <c r="Q13" s="73">
        <f t="shared" si="4"/>
        <v>1.5001005394973685</v>
      </c>
      <c r="R13" s="953">
        <v>181557572.86192068</v>
      </c>
      <c r="S13" s="954">
        <v>32779000</v>
      </c>
      <c r="T13" s="73">
        <f t="shared" si="5"/>
        <v>0.18054328157894736</v>
      </c>
      <c r="U13" s="953">
        <v>272336359.29288101</v>
      </c>
      <c r="V13" s="954">
        <v>0</v>
      </c>
      <c r="W13" s="73">
        <f t="shared" si="6"/>
        <v>0</v>
      </c>
      <c r="X13" s="953">
        <v>272336359.29288101</v>
      </c>
      <c r="Y13" s="954">
        <v>0</v>
      </c>
      <c r="Z13" s="73">
        <f t="shared" si="7"/>
        <v>0</v>
      </c>
      <c r="AA13" s="953">
        <v>272336359.29288101</v>
      </c>
      <c r="AB13" s="953">
        <v>695935585</v>
      </c>
      <c r="AC13" s="73">
        <f t="shared" si="8"/>
        <v>2.5554266305350879</v>
      </c>
      <c r="AD13" s="955">
        <f t="shared" si="9"/>
        <v>1406982148</v>
      </c>
      <c r="AE13" s="956">
        <f t="shared" si="10"/>
        <v>0.51663397117316168</v>
      </c>
      <c r="AF13" s="955">
        <v>272336359.29288101</v>
      </c>
      <c r="AG13" s="954">
        <v>420598939</v>
      </c>
      <c r="AH13" s="73">
        <f t="shared" si="11"/>
        <v>1.5444097882929826</v>
      </c>
      <c r="AI13" s="953">
        <v>272336359.29288101</v>
      </c>
      <c r="AJ13" s="954">
        <v>201195761</v>
      </c>
      <c r="AK13" s="73">
        <f t="shared" si="12"/>
        <v>0.73877671539122813</v>
      </c>
      <c r="AL13" s="953">
        <v>272336359.29288101</v>
      </c>
      <c r="AM13" s="954">
        <v>406334097</v>
      </c>
      <c r="AN13" s="73">
        <f t="shared" si="13"/>
        <v>1.4920302895105264</v>
      </c>
      <c r="AO13" s="953">
        <v>181557572.86192068</v>
      </c>
      <c r="AP13" s="954">
        <v>313794868</v>
      </c>
      <c r="AQ13" s="73">
        <f t="shared" si="14"/>
        <v>1.7283491019052633</v>
      </c>
      <c r="AR13" s="953">
        <v>181557572.86192068</v>
      </c>
      <c r="AS13" s="954">
        <v>1178427008</v>
      </c>
      <c r="AT13" s="73">
        <f t="shared" si="15"/>
        <v>6.49065191511579</v>
      </c>
      <c r="AU13" s="953">
        <v>181557572.86192068</v>
      </c>
      <c r="AV13" s="954">
        <v>196246593</v>
      </c>
      <c r="AW13" s="73">
        <f t="shared" si="16"/>
        <v>1.0809055767078948</v>
      </c>
      <c r="AX13" s="957">
        <f t="shared" si="17"/>
        <v>4123579414</v>
      </c>
      <c r="AY13" s="956">
        <f t="shared" si="18"/>
        <v>1.5141494233818231</v>
      </c>
      <c r="AZ13" s="958"/>
      <c r="BA13" s="958"/>
      <c r="BB13" s="958"/>
      <c r="BC13" s="958"/>
      <c r="BD13" s="958"/>
      <c r="BE13" s="958"/>
      <c r="BF13" s="958"/>
      <c r="BG13" s="958"/>
      <c r="BH13" s="958"/>
      <c r="BI13" s="958"/>
      <c r="BJ13" s="958"/>
      <c r="BK13" s="958"/>
      <c r="BL13" s="958"/>
      <c r="BM13" s="958"/>
      <c r="BN13" s="958"/>
      <c r="BO13" s="958"/>
      <c r="BP13" s="958"/>
      <c r="BQ13" s="958"/>
      <c r="BR13" s="958"/>
      <c r="BS13" s="958"/>
      <c r="BT13" s="958"/>
      <c r="BU13" s="958"/>
      <c r="BV13" s="958"/>
      <c r="BW13" s="958"/>
      <c r="BX13" s="958"/>
      <c r="BY13" s="958"/>
      <c r="BZ13" s="958"/>
      <c r="CA13" s="958"/>
      <c r="CB13" s="958"/>
      <c r="CC13" s="958"/>
      <c r="CD13" s="958"/>
      <c r="CE13" s="958"/>
      <c r="CF13" s="958"/>
      <c r="CG13" s="958"/>
      <c r="CH13" s="958"/>
      <c r="CI13" s="958"/>
      <c r="CJ13" s="958"/>
      <c r="CK13" s="958"/>
      <c r="CL13" s="958"/>
      <c r="CM13" s="958"/>
      <c r="CN13" s="958"/>
      <c r="CO13" s="958"/>
      <c r="CP13" s="958"/>
      <c r="CQ13" s="958"/>
      <c r="CR13" s="958"/>
      <c r="CS13" s="958"/>
      <c r="CT13" s="958"/>
      <c r="CU13" s="958"/>
      <c r="CV13" s="958"/>
      <c r="CW13" s="958"/>
      <c r="CX13" s="958"/>
      <c r="CY13" s="958"/>
      <c r="CZ13" s="958"/>
      <c r="DA13" s="958"/>
      <c r="DB13" s="958"/>
      <c r="DC13" s="958"/>
      <c r="DD13" s="958"/>
      <c r="DE13" s="958"/>
      <c r="DF13" s="958"/>
      <c r="DG13" s="958"/>
      <c r="DH13" s="958"/>
      <c r="DI13" s="958"/>
      <c r="DJ13" s="958"/>
      <c r="DK13" s="958"/>
      <c r="DL13" s="958"/>
      <c r="DM13" s="958"/>
      <c r="DN13" s="958"/>
      <c r="DO13" s="958"/>
      <c r="DP13" s="958"/>
      <c r="DQ13" s="958"/>
      <c r="DR13" s="958"/>
      <c r="DS13" s="958"/>
      <c r="DT13" s="958"/>
      <c r="DU13" s="958"/>
      <c r="DV13" s="958"/>
      <c r="DW13" s="958"/>
      <c r="DX13" s="958"/>
      <c r="DY13" s="958"/>
      <c r="DZ13" s="958"/>
      <c r="EA13" s="958"/>
      <c r="EB13" s="958"/>
      <c r="EC13" s="958"/>
      <c r="ED13" s="958"/>
      <c r="EE13" s="958"/>
      <c r="EF13" s="958"/>
      <c r="EG13" s="958"/>
      <c r="EH13" s="958"/>
      <c r="EI13" s="958"/>
      <c r="EJ13" s="958"/>
      <c r="EK13" s="958"/>
      <c r="EL13" s="958"/>
      <c r="EM13" s="958"/>
      <c r="EN13" s="958"/>
      <c r="EO13" s="958"/>
      <c r="EP13" s="958"/>
      <c r="EQ13" s="958"/>
      <c r="ER13" s="958"/>
      <c r="ES13" s="958"/>
      <c r="ET13" s="958"/>
      <c r="EU13" s="958"/>
      <c r="EV13" s="958"/>
      <c r="EW13" s="958"/>
      <c r="EX13" s="958"/>
      <c r="EY13" s="958"/>
      <c r="EZ13" s="958"/>
      <c r="FA13" s="958"/>
      <c r="FB13" s="958"/>
      <c r="FC13" s="958"/>
      <c r="FD13" s="958"/>
      <c r="FE13" s="958"/>
      <c r="FF13" s="958"/>
      <c r="FG13" s="958"/>
      <c r="FH13" s="958"/>
      <c r="FI13" s="958"/>
      <c r="FJ13" s="958"/>
      <c r="FK13" s="958"/>
      <c r="FL13" s="958"/>
      <c r="FM13" s="958"/>
      <c r="FN13" s="958"/>
      <c r="FO13" s="958"/>
      <c r="FP13" s="958"/>
      <c r="FQ13" s="958"/>
      <c r="FR13" s="958"/>
      <c r="FS13" s="958"/>
      <c r="FT13" s="958"/>
      <c r="FU13" s="958"/>
      <c r="FV13" s="958"/>
      <c r="FW13" s="958"/>
      <c r="FX13" s="958"/>
      <c r="FY13" s="958"/>
      <c r="FZ13" s="958"/>
      <c r="GA13" s="958"/>
      <c r="GB13" s="958"/>
      <c r="GC13" s="958"/>
      <c r="GD13" s="958"/>
      <c r="GE13" s="958"/>
      <c r="GF13" s="958"/>
      <c r="GG13" s="958"/>
      <c r="GH13" s="958"/>
      <c r="GI13" s="958"/>
      <c r="GJ13" s="958"/>
      <c r="GK13" s="958"/>
      <c r="GL13" s="958"/>
      <c r="GM13" s="958"/>
      <c r="GN13" s="958"/>
      <c r="GO13" s="958"/>
      <c r="GP13" s="958"/>
      <c r="GQ13" s="958"/>
      <c r="GR13" s="958"/>
      <c r="GS13" s="958"/>
      <c r="GT13" s="958"/>
      <c r="GU13" s="958"/>
      <c r="GV13" s="958"/>
      <c r="GW13" s="958"/>
      <c r="GX13" s="958"/>
      <c r="GY13" s="958"/>
      <c r="GZ13" s="958"/>
      <c r="HA13" s="958"/>
      <c r="HB13" s="958"/>
      <c r="HC13" s="958"/>
      <c r="HD13" s="958"/>
      <c r="HE13" s="958"/>
      <c r="HF13" s="958"/>
      <c r="HG13" s="958"/>
      <c r="HH13" s="958"/>
      <c r="HI13" s="958"/>
      <c r="HJ13" s="958"/>
      <c r="HK13" s="958"/>
      <c r="HL13" s="958"/>
      <c r="HM13" s="958"/>
      <c r="HN13" s="958"/>
      <c r="HO13" s="958"/>
      <c r="HP13" s="958"/>
      <c r="HQ13" s="958"/>
      <c r="HR13" s="958"/>
      <c r="HS13" s="958"/>
      <c r="HT13" s="958"/>
      <c r="HU13" s="958"/>
      <c r="HV13" s="958"/>
      <c r="HW13" s="958"/>
      <c r="HX13" s="958"/>
      <c r="HY13" s="958"/>
      <c r="HZ13" s="958"/>
      <c r="IA13" s="958"/>
      <c r="IB13" s="958"/>
      <c r="IC13" s="958"/>
      <c r="ID13" s="958"/>
      <c r="IE13" s="958"/>
      <c r="IF13" s="958"/>
      <c r="IG13" s="958"/>
      <c r="IH13" s="958"/>
      <c r="II13" s="958"/>
      <c r="IJ13" s="958"/>
      <c r="IK13" s="958"/>
      <c r="IL13" s="958"/>
      <c r="IM13" s="958"/>
      <c r="IN13" s="958"/>
      <c r="IO13" s="958"/>
      <c r="IP13" s="958"/>
      <c r="IQ13" s="958"/>
      <c r="IR13" s="958"/>
      <c r="IS13" s="958"/>
      <c r="IT13" s="958"/>
      <c r="IU13" s="958"/>
      <c r="IV13" s="958"/>
      <c r="IW13" s="958"/>
      <c r="IX13" s="958"/>
      <c r="IY13" s="958"/>
      <c r="IZ13" s="958"/>
      <c r="JA13" s="958"/>
      <c r="JB13" s="958"/>
      <c r="JC13" s="958"/>
      <c r="JD13" s="958"/>
      <c r="JE13" s="958"/>
      <c r="JF13" s="958"/>
      <c r="JG13" s="958"/>
      <c r="JH13" s="958"/>
      <c r="JI13" s="958"/>
      <c r="JJ13" s="958"/>
      <c r="JK13" s="958"/>
      <c r="JL13" s="958"/>
      <c r="JM13" s="958"/>
      <c r="JN13" s="958"/>
      <c r="JO13" s="958"/>
      <c r="JP13" s="958"/>
      <c r="JQ13" s="958"/>
      <c r="JR13" s="958"/>
      <c r="JS13" s="958"/>
      <c r="JT13" s="958"/>
      <c r="JU13" s="958"/>
      <c r="JV13" s="958"/>
      <c r="JW13" s="958"/>
      <c r="JX13" s="958"/>
      <c r="JY13" s="958"/>
      <c r="JZ13" s="958"/>
      <c r="KA13" s="958"/>
      <c r="KB13" s="958"/>
      <c r="KC13" s="958"/>
      <c r="KD13" s="958"/>
      <c r="KE13" s="958"/>
      <c r="KF13" s="958"/>
      <c r="KG13" s="958"/>
      <c r="KH13" s="958"/>
      <c r="KI13" s="958"/>
      <c r="KJ13" s="958"/>
      <c r="KK13" s="958"/>
      <c r="KL13" s="958"/>
      <c r="KM13" s="958"/>
      <c r="KN13" s="958"/>
      <c r="KO13" s="958"/>
      <c r="KP13" s="958"/>
      <c r="KQ13" s="958"/>
      <c r="KR13" s="958"/>
      <c r="KS13" s="958"/>
      <c r="KT13" s="958"/>
      <c r="KU13" s="958"/>
      <c r="KV13" s="958"/>
      <c r="KW13" s="958"/>
      <c r="KX13" s="958"/>
      <c r="KY13" s="958"/>
      <c r="KZ13" s="958"/>
      <c r="LA13" s="958"/>
      <c r="LB13" s="958"/>
      <c r="LC13" s="958"/>
      <c r="LD13" s="958"/>
      <c r="LE13" s="958"/>
      <c r="LF13" s="958"/>
      <c r="LG13" s="958"/>
      <c r="LH13" s="958"/>
      <c r="LI13" s="958"/>
      <c r="LJ13" s="958"/>
      <c r="LK13" s="958"/>
      <c r="LL13" s="958"/>
      <c r="LM13" s="958"/>
      <c r="LN13" s="958"/>
      <c r="LO13" s="958"/>
      <c r="LP13" s="958"/>
      <c r="LQ13" s="958"/>
      <c r="LR13" s="958"/>
      <c r="LS13" s="958"/>
      <c r="LT13" s="958"/>
      <c r="LU13" s="958"/>
      <c r="LV13" s="958"/>
      <c r="LW13" s="958"/>
      <c r="LX13" s="958"/>
      <c r="LY13" s="958"/>
      <c r="LZ13" s="958"/>
      <c r="MA13" s="958"/>
      <c r="MB13" s="958"/>
      <c r="MC13" s="958"/>
      <c r="MD13" s="958"/>
      <c r="ME13" s="958"/>
      <c r="MF13" s="958"/>
      <c r="MG13" s="958"/>
      <c r="MH13" s="958"/>
      <c r="MI13" s="958"/>
      <c r="MJ13" s="958"/>
      <c r="MK13" s="958"/>
      <c r="ML13" s="958"/>
      <c r="MM13" s="958"/>
      <c r="MN13" s="958"/>
      <c r="MO13" s="958"/>
      <c r="MP13" s="958"/>
      <c r="MQ13" s="958"/>
      <c r="MR13" s="958"/>
      <c r="MS13" s="958"/>
      <c r="MT13" s="958"/>
      <c r="MU13" s="958"/>
      <c r="MV13" s="958"/>
      <c r="MW13" s="958"/>
      <c r="MX13" s="958"/>
      <c r="MY13" s="958"/>
      <c r="MZ13" s="958"/>
      <c r="NA13" s="958"/>
      <c r="NB13" s="958"/>
      <c r="NC13" s="958"/>
      <c r="ND13" s="958"/>
      <c r="NE13" s="958"/>
      <c r="NF13" s="958"/>
      <c r="NG13" s="958"/>
      <c r="NH13" s="958"/>
      <c r="NI13" s="958"/>
      <c r="NJ13" s="958"/>
      <c r="NK13" s="958"/>
      <c r="NL13" s="958"/>
      <c r="NM13" s="958"/>
      <c r="NN13" s="958"/>
      <c r="NO13" s="958"/>
      <c r="NP13" s="958"/>
      <c r="NQ13" s="958"/>
      <c r="NR13" s="958"/>
      <c r="NS13" s="958"/>
      <c r="NT13" s="958"/>
      <c r="NU13" s="958"/>
      <c r="NV13" s="958"/>
      <c r="NW13" s="958"/>
      <c r="NX13" s="958"/>
      <c r="NY13" s="958"/>
      <c r="NZ13" s="958"/>
      <c r="OA13" s="958"/>
      <c r="OB13" s="958"/>
      <c r="OC13" s="958"/>
      <c r="OD13" s="958"/>
      <c r="OE13" s="958"/>
      <c r="OF13" s="958"/>
      <c r="OG13" s="958"/>
      <c r="OH13" s="958"/>
      <c r="OI13" s="958"/>
      <c r="OJ13" s="958"/>
      <c r="OK13" s="958"/>
      <c r="OL13" s="958"/>
      <c r="OM13" s="958"/>
      <c r="ON13" s="958"/>
      <c r="OO13" s="958"/>
      <c r="OP13" s="958"/>
      <c r="OQ13" s="958"/>
      <c r="OR13" s="958"/>
      <c r="OS13" s="958"/>
      <c r="OT13" s="958"/>
      <c r="OU13" s="958"/>
      <c r="OV13" s="958"/>
      <c r="OW13" s="958"/>
      <c r="OX13" s="958"/>
      <c r="OY13" s="958"/>
      <c r="OZ13" s="958"/>
      <c r="PA13" s="958"/>
      <c r="PB13" s="958"/>
      <c r="PC13" s="958"/>
      <c r="PD13" s="958"/>
      <c r="PE13" s="958"/>
      <c r="PF13" s="958"/>
      <c r="PG13" s="958"/>
      <c r="PH13" s="958"/>
      <c r="PI13" s="958"/>
      <c r="PJ13" s="958"/>
      <c r="PK13" s="958"/>
      <c r="PL13" s="958"/>
      <c r="PM13" s="958"/>
      <c r="PN13" s="958"/>
      <c r="PO13" s="958"/>
      <c r="PP13" s="958"/>
      <c r="PQ13" s="958"/>
      <c r="PR13" s="958"/>
      <c r="PS13" s="958"/>
      <c r="PT13" s="958"/>
      <c r="PU13" s="958"/>
      <c r="PV13" s="958"/>
      <c r="PW13" s="958"/>
      <c r="PX13" s="958"/>
      <c r="PY13" s="958"/>
      <c r="PZ13" s="958"/>
      <c r="QA13" s="958"/>
      <c r="QB13" s="958"/>
      <c r="QC13" s="958"/>
      <c r="QD13" s="958"/>
      <c r="QE13" s="958"/>
      <c r="QF13" s="958"/>
      <c r="QG13" s="958"/>
      <c r="QH13" s="958"/>
      <c r="QI13" s="958"/>
      <c r="QJ13" s="958"/>
      <c r="QK13" s="958"/>
      <c r="QL13" s="958"/>
      <c r="QM13" s="958"/>
      <c r="QN13" s="958"/>
      <c r="QO13" s="958"/>
      <c r="QP13" s="958"/>
      <c r="QQ13" s="958"/>
      <c r="QR13" s="958"/>
      <c r="QS13" s="958"/>
      <c r="QT13" s="958"/>
      <c r="QU13" s="958"/>
      <c r="QV13" s="958"/>
      <c r="QW13" s="958"/>
      <c r="QX13" s="958"/>
      <c r="QY13" s="958"/>
      <c r="QZ13" s="958"/>
      <c r="RA13" s="958"/>
      <c r="RB13" s="958"/>
      <c r="RC13" s="958"/>
      <c r="RD13" s="958"/>
      <c r="RE13" s="958"/>
      <c r="RF13" s="958"/>
      <c r="RG13" s="958"/>
      <c r="RH13" s="958"/>
      <c r="RI13" s="958"/>
      <c r="RJ13" s="958"/>
      <c r="RK13" s="958"/>
      <c r="RL13" s="958"/>
      <c r="RM13" s="958"/>
      <c r="RN13" s="958"/>
      <c r="RO13" s="958"/>
      <c r="RP13" s="958"/>
      <c r="RQ13" s="958"/>
      <c r="RR13" s="958"/>
      <c r="RS13" s="958"/>
      <c r="RT13" s="958"/>
      <c r="RU13" s="958"/>
      <c r="RV13" s="958"/>
      <c r="RW13" s="958"/>
      <c r="RX13" s="958"/>
      <c r="RY13" s="958"/>
      <c r="RZ13" s="958"/>
      <c r="SA13" s="958"/>
      <c r="SB13" s="958"/>
      <c r="SC13" s="958"/>
      <c r="SD13" s="958"/>
      <c r="SE13" s="958"/>
      <c r="SF13" s="958"/>
      <c r="SG13" s="958"/>
      <c r="SH13" s="958"/>
      <c r="SI13" s="958"/>
      <c r="SJ13" s="958"/>
      <c r="SK13" s="958"/>
      <c r="SL13" s="958"/>
      <c r="SM13" s="958"/>
      <c r="SN13" s="958"/>
      <c r="SO13" s="958"/>
      <c r="SP13" s="958"/>
      <c r="SQ13" s="958"/>
      <c r="SR13" s="958"/>
      <c r="SS13" s="958"/>
      <c r="ST13" s="958"/>
      <c r="SU13" s="958"/>
      <c r="SV13" s="958"/>
      <c r="SW13" s="958"/>
      <c r="SX13" s="958"/>
      <c r="SY13" s="958"/>
      <c r="SZ13" s="958"/>
      <c r="TA13" s="958"/>
      <c r="TB13" s="958"/>
      <c r="TC13" s="958"/>
      <c r="TD13" s="958"/>
      <c r="TE13" s="958"/>
      <c r="TF13" s="958"/>
      <c r="TG13" s="958"/>
      <c r="TH13" s="958"/>
      <c r="TI13" s="958"/>
      <c r="TJ13" s="958"/>
      <c r="TK13" s="958"/>
      <c r="TL13" s="958"/>
      <c r="TM13" s="958"/>
      <c r="TN13" s="958"/>
      <c r="TO13" s="958"/>
      <c r="TP13" s="958"/>
      <c r="TQ13" s="958"/>
      <c r="TR13" s="958"/>
      <c r="TS13" s="958"/>
      <c r="TT13" s="958"/>
      <c r="TU13" s="958"/>
      <c r="TV13" s="958"/>
      <c r="TW13" s="958"/>
      <c r="TX13" s="958"/>
      <c r="TY13" s="958"/>
      <c r="TZ13" s="958"/>
      <c r="UA13" s="958"/>
      <c r="UB13" s="958"/>
      <c r="UC13" s="958"/>
      <c r="UD13" s="958"/>
      <c r="UE13" s="958"/>
      <c r="UF13" s="958"/>
      <c r="UG13" s="958"/>
      <c r="UH13" s="958"/>
      <c r="UI13" s="958"/>
      <c r="UJ13" s="958"/>
      <c r="UK13" s="958"/>
      <c r="UL13" s="958"/>
      <c r="UM13" s="958"/>
      <c r="UN13" s="958"/>
      <c r="UO13" s="958"/>
      <c r="UP13" s="958"/>
      <c r="UQ13" s="958"/>
      <c r="UR13" s="958"/>
      <c r="US13" s="958"/>
      <c r="UT13" s="958"/>
      <c r="UU13" s="958"/>
      <c r="UV13" s="958"/>
      <c r="UW13" s="958"/>
      <c r="UX13" s="958"/>
      <c r="UY13" s="958"/>
      <c r="UZ13" s="958"/>
      <c r="VA13" s="958"/>
      <c r="VB13" s="958"/>
      <c r="VC13" s="958"/>
      <c r="VD13" s="958"/>
      <c r="VE13" s="958"/>
      <c r="VF13" s="958"/>
      <c r="VG13" s="958"/>
      <c r="VH13" s="958"/>
      <c r="VI13" s="958"/>
      <c r="VJ13" s="958"/>
      <c r="VK13" s="958"/>
      <c r="VL13" s="958"/>
      <c r="VM13" s="958"/>
      <c r="VN13" s="958"/>
      <c r="VO13" s="958"/>
      <c r="VP13" s="958"/>
      <c r="VQ13" s="958"/>
      <c r="VR13" s="958"/>
      <c r="VS13" s="958"/>
      <c r="VT13" s="958"/>
      <c r="VU13" s="958"/>
      <c r="VV13" s="958"/>
      <c r="VW13" s="958"/>
      <c r="VX13" s="958"/>
      <c r="VY13" s="958"/>
      <c r="VZ13" s="958"/>
      <c r="WA13" s="958"/>
      <c r="WB13" s="958"/>
      <c r="WC13" s="958"/>
      <c r="WD13" s="958"/>
      <c r="WE13" s="958"/>
      <c r="WF13" s="958"/>
      <c r="WG13" s="958"/>
      <c r="WH13" s="958"/>
      <c r="WI13" s="958"/>
      <c r="WJ13" s="958"/>
      <c r="WK13" s="958"/>
      <c r="WL13" s="958"/>
      <c r="WM13" s="958"/>
      <c r="WN13" s="958"/>
      <c r="WO13" s="958"/>
      <c r="WP13" s="958"/>
      <c r="WQ13" s="958"/>
      <c r="WR13" s="958"/>
      <c r="WS13" s="958"/>
      <c r="WT13" s="958"/>
      <c r="WU13" s="958"/>
      <c r="WV13" s="958"/>
      <c r="WW13" s="958"/>
      <c r="WX13" s="958"/>
      <c r="WY13" s="958"/>
      <c r="WZ13" s="958"/>
      <c r="XA13" s="958"/>
      <c r="XB13" s="958"/>
      <c r="XC13" s="958"/>
      <c r="XD13" s="958"/>
      <c r="XE13" s="958"/>
      <c r="XF13" s="958"/>
      <c r="XG13" s="958"/>
      <c r="XH13" s="958"/>
      <c r="XI13" s="958"/>
      <c r="XJ13" s="958"/>
      <c r="XK13" s="958"/>
      <c r="XL13" s="958"/>
      <c r="XM13" s="958"/>
      <c r="XN13" s="958"/>
      <c r="XO13" s="958"/>
      <c r="XP13" s="958"/>
      <c r="XQ13" s="958"/>
      <c r="XR13" s="958"/>
      <c r="XS13" s="958"/>
      <c r="XT13" s="958"/>
      <c r="XU13" s="958"/>
      <c r="XV13" s="958"/>
      <c r="XW13" s="958"/>
      <c r="XX13" s="958"/>
      <c r="XY13" s="958"/>
      <c r="XZ13" s="958"/>
      <c r="YA13" s="958"/>
      <c r="YB13" s="958"/>
      <c r="YC13" s="958"/>
      <c r="YD13" s="958"/>
      <c r="YE13" s="958"/>
      <c r="YF13" s="958"/>
      <c r="YG13" s="958"/>
      <c r="YH13" s="958"/>
      <c r="YI13" s="958"/>
      <c r="YJ13" s="958"/>
      <c r="YK13" s="958"/>
      <c r="YL13" s="958"/>
      <c r="YM13" s="958"/>
      <c r="YN13" s="958"/>
      <c r="YO13" s="958"/>
      <c r="YP13" s="958"/>
      <c r="YQ13" s="958"/>
      <c r="YR13" s="958"/>
      <c r="YS13" s="958"/>
      <c r="YT13" s="958"/>
      <c r="YU13" s="958"/>
      <c r="YV13" s="958"/>
      <c r="YW13" s="958"/>
      <c r="YX13" s="958"/>
      <c r="YY13" s="958"/>
      <c r="YZ13" s="958"/>
      <c r="ZA13" s="958"/>
      <c r="ZB13" s="958"/>
      <c r="ZC13" s="958"/>
      <c r="ZD13" s="958"/>
      <c r="ZE13" s="958"/>
      <c r="ZF13" s="958"/>
      <c r="ZG13" s="958"/>
      <c r="ZH13" s="958"/>
      <c r="ZI13" s="958"/>
      <c r="ZJ13" s="958"/>
      <c r="ZK13" s="958"/>
      <c r="ZL13" s="958"/>
      <c r="ZM13" s="958"/>
      <c r="ZN13" s="958"/>
      <c r="ZO13" s="958"/>
      <c r="ZP13" s="958"/>
      <c r="ZQ13" s="958"/>
      <c r="ZR13" s="958"/>
      <c r="ZS13" s="958"/>
      <c r="ZT13" s="958"/>
      <c r="ZU13" s="958"/>
      <c r="ZV13" s="958"/>
      <c r="ZW13" s="958"/>
      <c r="ZX13" s="958"/>
      <c r="ZY13" s="958"/>
      <c r="ZZ13" s="958"/>
      <c r="AAA13" s="958"/>
      <c r="AAB13" s="958"/>
      <c r="AAC13" s="958"/>
      <c r="AAD13" s="958"/>
      <c r="AAE13" s="958"/>
      <c r="AAF13" s="958"/>
      <c r="AAG13" s="958"/>
      <c r="AAH13" s="958"/>
      <c r="AAI13" s="958"/>
      <c r="AAJ13" s="958"/>
      <c r="AAK13" s="958"/>
      <c r="AAL13" s="958"/>
      <c r="AAM13" s="958"/>
      <c r="AAN13" s="958"/>
      <c r="AAO13" s="958"/>
      <c r="AAP13" s="958"/>
      <c r="AAQ13" s="958"/>
      <c r="AAR13" s="958"/>
      <c r="AAS13" s="958"/>
      <c r="AAT13" s="958"/>
      <c r="AAU13" s="958"/>
      <c r="AAV13" s="958"/>
      <c r="AAW13" s="958"/>
      <c r="AAX13" s="958"/>
      <c r="AAY13" s="958"/>
      <c r="AAZ13" s="958"/>
      <c r="ABA13" s="958"/>
      <c r="ABB13" s="958"/>
      <c r="ABC13" s="958"/>
      <c r="ABD13" s="958"/>
      <c r="ABE13" s="958"/>
      <c r="ABF13" s="958"/>
      <c r="ABG13" s="958"/>
      <c r="ABH13" s="958"/>
      <c r="ABI13" s="958"/>
      <c r="ABJ13" s="958"/>
      <c r="ABK13" s="958"/>
      <c r="ABL13" s="958"/>
      <c r="ABM13" s="958"/>
      <c r="ABN13" s="958"/>
      <c r="ABO13" s="958"/>
      <c r="ABP13" s="958"/>
      <c r="ABQ13" s="958"/>
      <c r="ABR13" s="958"/>
      <c r="ABS13" s="958"/>
      <c r="ABT13" s="958"/>
      <c r="ABU13" s="958"/>
      <c r="ABV13" s="958"/>
      <c r="ABW13" s="958"/>
      <c r="ABX13" s="958"/>
      <c r="ABY13" s="958"/>
      <c r="ABZ13" s="958"/>
      <c r="ACA13" s="958"/>
      <c r="ACB13" s="958"/>
      <c r="ACC13" s="958"/>
      <c r="ACD13" s="958"/>
      <c r="ACE13" s="958"/>
      <c r="ACF13" s="958"/>
      <c r="ACG13" s="958"/>
      <c r="ACH13" s="958"/>
      <c r="ACI13" s="958"/>
      <c r="ACJ13" s="958"/>
      <c r="ACK13" s="958"/>
      <c r="ACL13" s="958"/>
      <c r="ACM13" s="958"/>
      <c r="ACN13" s="958"/>
      <c r="ACO13" s="958"/>
      <c r="ACP13" s="958"/>
      <c r="ACQ13" s="958"/>
      <c r="ACR13" s="958"/>
      <c r="ACS13" s="958"/>
      <c r="ACT13" s="958"/>
      <c r="ACU13" s="958"/>
      <c r="ACV13" s="958"/>
      <c r="ACW13" s="958"/>
      <c r="ACX13" s="958"/>
      <c r="ACY13" s="958"/>
      <c r="ACZ13" s="958"/>
      <c r="ADA13" s="958"/>
      <c r="ADB13" s="958"/>
      <c r="ADC13" s="958"/>
      <c r="ADD13" s="958"/>
      <c r="ADE13" s="958"/>
      <c r="ADF13" s="958"/>
      <c r="ADG13" s="958"/>
      <c r="ADH13" s="958"/>
      <c r="ADI13" s="958"/>
      <c r="ADJ13" s="958"/>
      <c r="ADK13" s="958"/>
      <c r="ADL13" s="958"/>
      <c r="ADM13" s="958"/>
      <c r="ADN13" s="958"/>
      <c r="ADO13" s="958"/>
      <c r="ADP13" s="958"/>
      <c r="ADQ13" s="958"/>
      <c r="ADR13" s="958"/>
      <c r="ADS13" s="958"/>
      <c r="ADT13" s="958"/>
      <c r="ADU13" s="958"/>
      <c r="ADV13" s="958"/>
      <c r="ADW13" s="958"/>
      <c r="ADX13" s="958"/>
      <c r="ADY13" s="958"/>
      <c r="ADZ13" s="958"/>
      <c r="AEA13" s="958"/>
      <c r="AEB13" s="958"/>
      <c r="AEC13" s="958"/>
      <c r="AED13" s="958"/>
      <c r="AEE13" s="958"/>
      <c r="AEF13" s="958"/>
      <c r="AEG13" s="958"/>
      <c r="AEH13" s="958"/>
      <c r="AEI13" s="958"/>
      <c r="AEJ13" s="958"/>
      <c r="AEK13" s="958"/>
      <c r="AEL13" s="958"/>
      <c r="AEM13" s="958"/>
      <c r="AEN13" s="958"/>
      <c r="AEO13" s="958"/>
      <c r="AEP13" s="958"/>
      <c r="AEQ13" s="958"/>
      <c r="AER13" s="958"/>
      <c r="AES13" s="958"/>
      <c r="AET13" s="958"/>
      <c r="AEU13" s="958"/>
      <c r="AEV13" s="958"/>
      <c r="AEW13" s="958"/>
      <c r="AEX13" s="958"/>
      <c r="AEY13" s="958"/>
      <c r="AEZ13" s="958"/>
      <c r="AFA13" s="958"/>
      <c r="AFB13" s="958"/>
      <c r="AFC13" s="958"/>
      <c r="AFD13" s="958"/>
      <c r="AFE13" s="958"/>
      <c r="AFF13" s="958"/>
      <c r="AFG13" s="958"/>
      <c r="AFH13" s="958"/>
      <c r="AFI13" s="958"/>
      <c r="AFJ13" s="958"/>
      <c r="AFK13" s="958"/>
      <c r="AFL13" s="958"/>
      <c r="AFM13" s="958"/>
      <c r="AFN13" s="958"/>
      <c r="AFO13" s="958"/>
      <c r="AFP13" s="958"/>
      <c r="AFQ13" s="958"/>
      <c r="AFR13" s="958"/>
      <c r="AFS13" s="958"/>
      <c r="AFT13" s="958"/>
      <c r="AFU13" s="958"/>
      <c r="AFV13" s="958"/>
      <c r="AFW13" s="958"/>
      <c r="AFX13" s="958"/>
      <c r="AFY13" s="958"/>
      <c r="AFZ13" s="958"/>
      <c r="AGA13" s="958"/>
      <c r="AGB13" s="958"/>
      <c r="AGC13" s="958"/>
      <c r="AGD13" s="958"/>
      <c r="AGE13" s="958"/>
      <c r="AGF13" s="958"/>
      <c r="AGG13" s="958"/>
      <c r="AGH13" s="958"/>
      <c r="AGI13" s="958"/>
      <c r="AGJ13" s="958"/>
      <c r="AGK13" s="958"/>
      <c r="AGL13" s="958"/>
      <c r="AGM13" s="958"/>
      <c r="AGN13" s="958"/>
      <c r="AGO13" s="958"/>
      <c r="AGP13" s="958"/>
      <c r="AGQ13" s="958"/>
      <c r="AGR13" s="958"/>
      <c r="AGS13" s="958"/>
      <c r="AGT13" s="958"/>
      <c r="AGU13" s="958"/>
      <c r="AGV13" s="958"/>
      <c r="AGW13" s="958"/>
      <c r="AGX13" s="958"/>
      <c r="AGY13" s="958"/>
      <c r="AGZ13" s="958"/>
      <c r="AHA13" s="958"/>
      <c r="AHB13" s="958"/>
      <c r="AHC13" s="958"/>
      <c r="AHD13" s="958"/>
      <c r="AHE13" s="958"/>
      <c r="AHF13" s="958"/>
      <c r="AHG13" s="958"/>
      <c r="AHH13" s="958"/>
      <c r="AHI13" s="958"/>
      <c r="AHJ13" s="958"/>
      <c r="AHK13" s="958"/>
      <c r="AHL13" s="958"/>
      <c r="AHM13" s="958"/>
      <c r="AHN13" s="958"/>
      <c r="AHO13" s="958"/>
      <c r="AHP13" s="958"/>
      <c r="AHQ13" s="958"/>
      <c r="AHR13" s="958"/>
      <c r="AHS13" s="958"/>
      <c r="AHT13" s="958"/>
      <c r="AHU13" s="958"/>
      <c r="AHV13" s="958"/>
      <c r="AHW13" s="958"/>
      <c r="AHX13" s="958"/>
      <c r="AHY13" s="958"/>
      <c r="AHZ13" s="958"/>
      <c r="AIA13" s="958"/>
      <c r="AIB13" s="958"/>
      <c r="AIC13" s="958"/>
      <c r="AID13" s="958"/>
      <c r="AIE13" s="958"/>
      <c r="AIF13" s="958"/>
      <c r="AIG13" s="958"/>
      <c r="AIH13" s="958"/>
      <c r="AII13" s="958"/>
      <c r="AIJ13" s="958"/>
      <c r="AIK13" s="958"/>
      <c r="AIL13" s="958"/>
      <c r="AIM13" s="958"/>
      <c r="AIN13" s="958"/>
      <c r="AIO13" s="958"/>
      <c r="AIP13" s="958"/>
      <c r="AIQ13" s="958"/>
      <c r="AIR13" s="958"/>
      <c r="AIS13" s="958"/>
      <c r="AIT13" s="958"/>
      <c r="AIU13" s="958"/>
      <c r="AIV13" s="958"/>
      <c r="AIW13" s="958"/>
      <c r="AIX13" s="958"/>
      <c r="AIY13" s="958"/>
      <c r="AIZ13" s="958"/>
      <c r="AJA13" s="958"/>
      <c r="AJB13" s="958"/>
      <c r="AJC13" s="958"/>
      <c r="AJD13" s="958"/>
      <c r="AJE13" s="958"/>
      <c r="AJF13" s="958"/>
      <c r="AJG13" s="958"/>
      <c r="AJH13" s="958"/>
      <c r="AJI13" s="958"/>
      <c r="AJJ13" s="958"/>
      <c r="AJK13" s="958"/>
      <c r="AJL13" s="958"/>
      <c r="AJM13" s="958"/>
      <c r="AJN13" s="958"/>
      <c r="AJO13" s="958"/>
      <c r="AJP13" s="958"/>
      <c r="AJQ13" s="958"/>
      <c r="AJR13" s="958"/>
      <c r="AJS13" s="958"/>
      <c r="AJT13" s="958"/>
      <c r="AJU13" s="958"/>
      <c r="AJV13" s="958"/>
      <c r="AJW13" s="958"/>
      <c r="AJX13" s="958"/>
      <c r="AJY13" s="958"/>
      <c r="AJZ13" s="958"/>
      <c r="AKA13" s="958"/>
      <c r="AKB13" s="958"/>
      <c r="AKC13" s="958"/>
      <c r="AKD13" s="958"/>
      <c r="AKE13" s="958"/>
      <c r="AKF13" s="958"/>
      <c r="AKG13" s="958"/>
      <c r="AKH13" s="958"/>
      <c r="AKI13" s="958"/>
      <c r="AKJ13" s="958"/>
      <c r="AKK13" s="958"/>
      <c r="AKL13" s="958"/>
      <c r="AKM13" s="958"/>
      <c r="AKN13" s="958"/>
      <c r="AKO13" s="958"/>
      <c r="AKP13" s="958"/>
      <c r="AKQ13" s="958"/>
      <c r="AKR13" s="958"/>
      <c r="AKS13" s="958"/>
      <c r="AKT13" s="958"/>
      <c r="AKU13" s="958"/>
      <c r="AKV13" s="958"/>
      <c r="AKW13" s="958"/>
      <c r="AKX13" s="958"/>
      <c r="AKY13" s="958"/>
      <c r="AKZ13" s="958"/>
      <c r="ALA13" s="958"/>
      <c r="ALB13" s="958"/>
      <c r="ALC13" s="958"/>
      <c r="ALD13" s="958"/>
      <c r="ALE13" s="958"/>
      <c r="ALF13" s="958"/>
      <c r="ALG13" s="958"/>
      <c r="ALH13" s="958"/>
      <c r="ALI13" s="958"/>
      <c r="ALJ13" s="958"/>
      <c r="ALK13" s="958"/>
      <c r="ALL13" s="958"/>
      <c r="ALM13" s="958"/>
      <c r="ALN13" s="958"/>
      <c r="ALO13" s="958"/>
      <c r="ALP13" s="958"/>
      <c r="ALQ13" s="958"/>
      <c r="ALR13" s="958"/>
      <c r="ALS13" s="958"/>
      <c r="ALT13" s="958"/>
      <c r="ALU13" s="958"/>
      <c r="ALV13" s="958"/>
      <c r="ALW13" s="958"/>
      <c r="ALX13" s="958"/>
      <c r="ALY13" s="958"/>
      <c r="ALZ13" s="958"/>
      <c r="AMA13" s="958"/>
      <c r="AMB13" s="958"/>
      <c r="AMC13" s="958"/>
      <c r="AMD13" s="958"/>
      <c r="AME13" s="958"/>
      <c r="AMF13" s="958"/>
      <c r="AMG13" s="958"/>
      <c r="AMH13" s="958"/>
      <c r="AMI13" s="958"/>
      <c r="AMJ13" s="958"/>
      <c r="AMK13" s="958"/>
      <c r="AML13" s="958"/>
      <c r="AMM13" s="958"/>
      <c r="AMN13" s="958"/>
      <c r="AMO13" s="958"/>
      <c r="AMP13" s="958"/>
      <c r="AMQ13" s="958"/>
      <c r="AMR13" s="958"/>
      <c r="AMS13" s="958"/>
      <c r="AMT13" s="958"/>
      <c r="AMU13" s="958"/>
      <c r="AMV13" s="958"/>
      <c r="AMW13" s="958"/>
      <c r="AMX13" s="958"/>
      <c r="AMY13" s="958"/>
      <c r="AMZ13" s="958"/>
      <c r="ANA13" s="958"/>
      <c r="ANB13" s="958"/>
      <c r="ANC13" s="958"/>
      <c r="AND13" s="958"/>
      <c r="ANE13" s="958"/>
      <c r="ANF13" s="958"/>
      <c r="ANG13" s="958"/>
      <c r="ANH13" s="958"/>
      <c r="ANI13" s="958"/>
      <c r="ANJ13" s="958"/>
      <c r="ANK13" s="958"/>
      <c r="ANL13" s="958"/>
      <c r="ANM13" s="958"/>
      <c r="ANN13" s="958"/>
      <c r="ANO13" s="958"/>
      <c r="ANP13" s="958"/>
      <c r="ANQ13" s="958"/>
      <c r="ANR13" s="958"/>
      <c r="ANS13" s="958"/>
      <c r="ANT13" s="958"/>
      <c r="ANU13" s="958"/>
      <c r="ANV13" s="958"/>
      <c r="ANW13" s="958"/>
      <c r="ANX13" s="958"/>
      <c r="ANY13" s="958"/>
      <c r="ANZ13" s="958"/>
      <c r="AOA13" s="958"/>
      <c r="AOB13" s="958"/>
      <c r="AOC13" s="958"/>
      <c r="AOD13" s="958"/>
      <c r="AOE13" s="958"/>
      <c r="AOF13" s="958"/>
      <c r="AOG13" s="958"/>
      <c r="AOH13" s="958"/>
      <c r="AOI13" s="958"/>
      <c r="AOJ13" s="958"/>
      <c r="AOK13" s="958"/>
      <c r="AOL13" s="958"/>
      <c r="AOM13" s="958"/>
      <c r="AON13" s="958"/>
      <c r="AOO13" s="958"/>
      <c r="AOP13" s="958"/>
      <c r="AOQ13" s="958"/>
      <c r="AOR13" s="958"/>
      <c r="AOS13" s="958"/>
      <c r="AOT13" s="958"/>
      <c r="AOU13" s="958"/>
      <c r="AOV13" s="958"/>
      <c r="AOW13" s="958"/>
      <c r="AOX13" s="958"/>
      <c r="AOY13" s="958"/>
      <c r="AOZ13" s="958"/>
      <c r="APA13" s="958"/>
      <c r="APB13" s="958"/>
      <c r="APC13" s="958"/>
      <c r="APD13" s="958"/>
      <c r="APE13" s="958"/>
      <c r="APF13" s="958"/>
      <c r="APG13" s="958"/>
      <c r="APH13" s="958"/>
      <c r="API13" s="958"/>
      <c r="APJ13" s="958"/>
      <c r="APK13" s="958"/>
      <c r="APL13" s="958"/>
      <c r="APM13" s="958"/>
      <c r="APN13" s="958"/>
      <c r="APO13" s="958"/>
      <c r="APP13" s="958"/>
      <c r="APQ13" s="958"/>
      <c r="APR13" s="958"/>
      <c r="APS13" s="958"/>
      <c r="APT13" s="958"/>
      <c r="APU13" s="958"/>
      <c r="APV13" s="958"/>
      <c r="APW13" s="958"/>
      <c r="APX13" s="958"/>
      <c r="APY13" s="958"/>
      <c r="APZ13" s="958"/>
      <c r="AQA13" s="958"/>
      <c r="AQB13" s="958"/>
      <c r="AQC13" s="958"/>
      <c r="AQD13" s="958"/>
      <c r="AQE13" s="958"/>
      <c r="AQF13" s="958"/>
      <c r="AQG13" s="958"/>
      <c r="AQH13" s="958"/>
      <c r="AQI13" s="958"/>
      <c r="AQJ13" s="958"/>
      <c r="AQK13" s="958"/>
      <c r="AQL13" s="958"/>
      <c r="AQM13" s="958"/>
      <c r="AQN13" s="958"/>
      <c r="AQO13" s="958"/>
      <c r="AQP13" s="958"/>
      <c r="AQQ13" s="958"/>
      <c r="AQR13" s="958"/>
      <c r="AQS13" s="958"/>
      <c r="AQT13" s="958"/>
      <c r="AQU13" s="958"/>
      <c r="AQV13" s="958"/>
      <c r="AQW13" s="958"/>
      <c r="AQX13" s="958"/>
      <c r="AQY13" s="958"/>
      <c r="AQZ13" s="958"/>
      <c r="ARA13" s="958"/>
      <c r="ARB13" s="958"/>
      <c r="ARC13" s="958"/>
      <c r="ARD13" s="958"/>
      <c r="ARE13" s="958"/>
      <c r="ARF13" s="958"/>
      <c r="ARG13" s="958"/>
      <c r="ARH13" s="958"/>
      <c r="ARI13" s="958"/>
      <c r="ARJ13" s="958"/>
      <c r="ARK13" s="958"/>
      <c r="ARL13" s="958"/>
      <c r="ARM13" s="958"/>
      <c r="ARN13" s="958"/>
      <c r="ARO13" s="958"/>
      <c r="ARP13" s="958"/>
      <c r="ARQ13" s="958"/>
      <c r="ARR13" s="958"/>
      <c r="ARS13" s="958"/>
      <c r="ART13" s="958"/>
      <c r="ARU13" s="958"/>
      <c r="ARV13" s="958"/>
      <c r="ARW13" s="958"/>
      <c r="ARX13" s="958"/>
      <c r="ARY13" s="958"/>
      <c r="ARZ13" s="958"/>
      <c r="ASA13" s="958"/>
      <c r="ASB13" s="958"/>
      <c r="ASC13" s="958"/>
      <c r="ASD13" s="958"/>
      <c r="ASE13" s="958"/>
      <c r="ASF13" s="958"/>
      <c r="ASG13" s="958"/>
      <c r="ASH13" s="958"/>
      <c r="ASI13" s="958"/>
      <c r="ASJ13" s="958"/>
      <c r="ASK13" s="958"/>
      <c r="ASL13" s="958"/>
      <c r="ASM13" s="958"/>
      <c r="ASN13" s="958"/>
      <c r="ASO13" s="958"/>
      <c r="ASP13" s="958"/>
      <c r="ASQ13" s="958"/>
      <c r="ASR13" s="958"/>
      <c r="ASS13" s="958"/>
      <c r="AST13" s="958"/>
      <c r="ASU13" s="958"/>
      <c r="ASV13" s="958"/>
      <c r="ASW13" s="958"/>
      <c r="ASX13" s="958"/>
      <c r="ASY13" s="958"/>
      <c r="ASZ13" s="958"/>
    </row>
    <row r="14" spans="1:1196" s="22" customFormat="1" ht="62.25" customHeight="1" thickTop="1" thickBot="1">
      <c r="A14" s="2846"/>
      <c r="B14" s="2992"/>
      <c r="C14" s="2958"/>
      <c r="D14" s="111" t="s">
        <v>199</v>
      </c>
      <c r="E14" s="177" t="s">
        <v>200</v>
      </c>
      <c r="F14" s="177" t="s">
        <v>101</v>
      </c>
      <c r="G14" s="959">
        <v>29200000000</v>
      </c>
      <c r="H14" s="130"/>
      <c r="I14" s="965"/>
      <c r="J14" s="130"/>
      <c r="K14" s="179" t="s">
        <v>140</v>
      </c>
      <c r="L14" s="953">
        <v>1946666666.6666667</v>
      </c>
      <c r="M14" s="954">
        <v>143897386</v>
      </c>
      <c r="N14" s="73">
        <f t="shared" si="3"/>
        <v>7.3919890068493144E-2</v>
      </c>
      <c r="O14" s="953">
        <v>1946666666.6666667</v>
      </c>
      <c r="P14" s="954">
        <v>1276267330</v>
      </c>
      <c r="Q14" s="73">
        <f t="shared" si="4"/>
        <v>0.65561677910958904</v>
      </c>
      <c r="R14" s="953">
        <v>1946666666.6666667</v>
      </c>
      <c r="S14" s="954">
        <v>221016032</v>
      </c>
      <c r="T14" s="73">
        <f t="shared" si="5"/>
        <v>0.11353563287671233</v>
      </c>
      <c r="U14" s="953">
        <v>2920000000</v>
      </c>
      <c r="V14" s="954">
        <v>6222000</v>
      </c>
      <c r="W14" s="73">
        <f t="shared" si="6"/>
        <v>2.1308219178082194E-3</v>
      </c>
      <c r="X14" s="953">
        <v>2920000000</v>
      </c>
      <c r="Y14" s="954">
        <v>0</v>
      </c>
      <c r="Z14" s="73">
        <f t="shared" si="7"/>
        <v>0</v>
      </c>
      <c r="AA14" s="953">
        <v>2920000000</v>
      </c>
      <c r="AB14" s="953">
        <v>8870045974</v>
      </c>
      <c r="AC14" s="73">
        <f t="shared" si="8"/>
        <v>3.0376869773972603</v>
      </c>
      <c r="AD14" s="955">
        <f t="shared" si="9"/>
        <v>10517448722</v>
      </c>
      <c r="AE14" s="956">
        <f t="shared" si="10"/>
        <v>0.36018660006849312</v>
      </c>
      <c r="AF14" s="955">
        <v>2920000000</v>
      </c>
      <c r="AG14" s="954">
        <v>404289409</v>
      </c>
      <c r="AH14" s="73">
        <f t="shared" si="11"/>
        <v>0.13845527705479452</v>
      </c>
      <c r="AI14" s="953">
        <v>2920000000</v>
      </c>
      <c r="AJ14" s="954">
        <v>617995271</v>
      </c>
      <c r="AK14" s="73">
        <f t="shared" si="12"/>
        <v>0.2116422160958904</v>
      </c>
      <c r="AL14" s="953">
        <v>2920000000</v>
      </c>
      <c r="AM14" s="954">
        <v>0</v>
      </c>
      <c r="AN14" s="73">
        <f t="shared" si="13"/>
        <v>0</v>
      </c>
      <c r="AO14" s="953">
        <v>1946666666.6666667</v>
      </c>
      <c r="AP14" s="954">
        <v>1322803166</v>
      </c>
      <c r="AQ14" s="73">
        <f t="shared" si="14"/>
        <v>0.67952217431506845</v>
      </c>
      <c r="AR14" s="953">
        <v>1946666666.6666667</v>
      </c>
      <c r="AS14" s="954">
        <v>1618453029</v>
      </c>
      <c r="AT14" s="73">
        <f t="shared" si="15"/>
        <v>0.83139710393835609</v>
      </c>
      <c r="AU14" s="953">
        <v>1946666666.6666667</v>
      </c>
      <c r="AV14" s="954">
        <v>5449916450</v>
      </c>
      <c r="AW14" s="73">
        <f t="shared" si="16"/>
        <v>2.7996146147260275</v>
      </c>
      <c r="AX14" s="957">
        <f t="shared" si="17"/>
        <v>19930906047</v>
      </c>
      <c r="AY14" s="956">
        <f t="shared" si="18"/>
        <v>0.68256527558219182</v>
      </c>
      <c r="AZ14" s="958"/>
      <c r="BA14" s="958"/>
      <c r="BB14" s="958"/>
      <c r="BC14" s="958"/>
      <c r="BD14" s="958"/>
      <c r="BE14" s="958"/>
      <c r="BF14" s="958"/>
      <c r="BG14" s="958"/>
      <c r="BH14" s="958"/>
      <c r="BI14" s="958"/>
      <c r="BJ14" s="958"/>
      <c r="BK14" s="958"/>
      <c r="BL14" s="958"/>
      <c r="BM14" s="958"/>
      <c r="BN14" s="958"/>
      <c r="BO14" s="958"/>
      <c r="BP14" s="958"/>
      <c r="BQ14" s="958"/>
      <c r="BR14" s="958"/>
      <c r="BS14" s="958"/>
      <c r="BT14" s="958"/>
      <c r="BU14" s="958"/>
      <c r="BV14" s="958"/>
      <c r="BW14" s="958"/>
      <c r="BX14" s="958"/>
      <c r="BY14" s="958"/>
      <c r="BZ14" s="958"/>
      <c r="CA14" s="958"/>
      <c r="CB14" s="958"/>
      <c r="CC14" s="958"/>
      <c r="CD14" s="958"/>
      <c r="CE14" s="958"/>
      <c r="CF14" s="958"/>
      <c r="CG14" s="958"/>
      <c r="CH14" s="958"/>
      <c r="CI14" s="958"/>
      <c r="CJ14" s="958"/>
      <c r="CK14" s="958"/>
      <c r="CL14" s="958"/>
      <c r="CM14" s="958"/>
      <c r="CN14" s="958"/>
      <c r="CO14" s="958"/>
      <c r="CP14" s="958"/>
      <c r="CQ14" s="958"/>
      <c r="CR14" s="958"/>
      <c r="CS14" s="958"/>
      <c r="CT14" s="958"/>
      <c r="CU14" s="958"/>
      <c r="CV14" s="958"/>
      <c r="CW14" s="958"/>
      <c r="CX14" s="958"/>
      <c r="CY14" s="958"/>
      <c r="CZ14" s="958"/>
      <c r="DA14" s="958"/>
      <c r="DB14" s="958"/>
      <c r="DC14" s="958"/>
      <c r="DD14" s="958"/>
      <c r="DE14" s="958"/>
      <c r="DF14" s="958"/>
      <c r="DG14" s="958"/>
      <c r="DH14" s="958"/>
      <c r="DI14" s="958"/>
      <c r="DJ14" s="958"/>
      <c r="DK14" s="958"/>
      <c r="DL14" s="958"/>
      <c r="DM14" s="958"/>
      <c r="DN14" s="958"/>
      <c r="DO14" s="958"/>
      <c r="DP14" s="958"/>
      <c r="DQ14" s="958"/>
      <c r="DR14" s="958"/>
      <c r="DS14" s="958"/>
      <c r="DT14" s="958"/>
      <c r="DU14" s="958"/>
      <c r="DV14" s="958"/>
      <c r="DW14" s="958"/>
      <c r="DX14" s="958"/>
      <c r="DY14" s="958"/>
      <c r="DZ14" s="958"/>
      <c r="EA14" s="958"/>
      <c r="EB14" s="958"/>
      <c r="EC14" s="958"/>
      <c r="ED14" s="958"/>
      <c r="EE14" s="958"/>
      <c r="EF14" s="958"/>
      <c r="EG14" s="958"/>
      <c r="EH14" s="958"/>
      <c r="EI14" s="958"/>
      <c r="EJ14" s="958"/>
      <c r="EK14" s="958"/>
      <c r="EL14" s="958"/>
      <c r="EM14" s="958"/>
      <c r="EN14" s="958"/>
      <c r="EO14" s="958"/>
      <c r="EP14" s="958"/>
      <c r="EQ14" s="958"/>
      <c r="ER14" s="958"/>
      <c r="ES14" s="958"/>
      <c r="ET14" s="958"/>
      <c r="EU14" s="958"/>
      <c r="EV14" s="958"/>
      <c r="EW14" s="958"/>
      <c r="EX14" s="958"/>
      <c r="EY14" s="958"/>
      <c r="EZ14" s="958"/>
      <c r="FA14" s="958"/>
      <c r="FB14" s="958"/>
      <c r="FC14" s="958"/>
      <c r="FD14" s="958"/>
      <c r="FE14" s="958"/>
      <c r="FF14" s="958"/>
      <c r="FG14" s="958"/>
      <c r="FH14" s="958"/>
      <c r="FI14" s="958"/>
      <c r="FJ14" s="958"/>
      <c r="FK14" s="958"/>
      <c r="FL14" s="958"/>
      <c r="FM14" s="958"/>
      <c r="FN14" s="958"/>
      <c r="FO14" s="958"/>
      <c r="FP14" s="958"/>
      <c r="FQ14" s="958"/>
      <c r="FR14" s="958"/>
      <c r="FS14" s="958"/>
      <c r="FT14" s="958"/>
      <c r="FU14" s="958"/>
      <c r="FV14" s="958"/>
      <c r="FW14" s="958"/>
      <c r="FX14" s="958"/>
      <c r="FY14" s="958"/>
      <c r="FZ14" s="958"/>
      <c r="GA14" s="958"/>
      <c r="GB14" s="958"/>
      <c r="GC14" s="958"/>
      <c r="GD14" s="958"/>
      <c r="GE14" s="958"/>
      <c r="GF14" s="958"/>
      <c r="GG14" s="958"/>
      <c r="GH14" s="958"/>
      <c r="GI14" s="958"/>
      <c r="GJ14" s="958"/>
      <c r="GK14" s="958"/>
      <c r="GL14" s="958"/>
      <c r="GM14" s="958"/>
      <c r="GN14" s="958"/>
      <c r="GO14" s="958"/>
      <c r="GP14" s="958"/>
      <c r="GQ14" s="958"/>
      <c r="GR14" s="958"/>
      <c r="GS14" s="958"/>
      <c r="GT14" s="958"/>
      <c r="GU14" s="958"/>
      <c r="GV14" s="958"/>
      <c r="GW14" s="958"/>
      <c r="GX14" s="958"/>
      <c r="GY14" s="958"/>
      <c r="GZ14" s="958"/>
      <c r="HA14" s="958"/>
      <c r="HB14" s="958"/>
      <c r="HC14" s="958"/>
      <c r="HD14" s="958"/>
      <c r="HE14" s="958"/>
      <c r="HF14" s="958"/>
      <c r="HG14" s="958"/>
      <c r="HH14" s="958"/>
      <c r="HI14" s="958"/>
      <c r="HJ14" s="958"/>
      <c r="HK14" s="958"/>
      <c r="HL14" s="958"/>
      <c r="HM14" s="958"/>
      <c r="HN14" s="958"/>
      <c r="HO14" s="958"/>
      <c r="HP14" s="958"/>
      <c r="HQ14" s="958"/>
      <c r="HR14" s="958"/>
      <c r="HS14" s="958"/>
      <c r="HT14" s="958"/>
      <c r="HU14" s="958"/>
      <c r="HV14" s="958"/>
      <c r="HW14" s="958"/>
      <c r="HX14" s="958"/>
      <c r="HY14" s="958"/>
      <c r="HZ14" s="958"/>
      <c r="IA14" s="958"/>
      <c r="IB14" s="958"/>
      <c r="IC14" s="958"/>
      <c r="ID14" s="958"/>
      <c r="IE14" s="958"/>
      <c r="IF14" s="958"/>
      <c r="IG14" s="958"/>
      <c r="IH14" s="958"/>
      <c r="II14" s="958"/>
      <c r="IJ14" s="958"/>
      <c r="IK14" s="958"/>
      <c r="IL14" s="958"/>
      <c r="IM14" s="958"/>
      <c r="IN14" s="958"/>
      <c r="IO14" s="958"/>
      <c r="IP14" s="958"/>
      <c r="IQ14" s="958"/>
      <c r="IR14" s="958"/>
      <c r="IS14" s="958"/>
      <c r="IT14" s="958"/>
      <c r="IU14" s="958"/>
      <c r="IV14" s="958"/>
      <c r="IW14" s="958"/>
      <c r="IX14" s="958"/>
      <c r="IY14" s="958"/>
      <c r="IZ14" s="958"/>
      <c r="JA14" s="958"/>
      <c r="JB14" s="958"/>
      <c r="JC14" s="958"/>
      <c r="JD14" s="958"/>
      <c r="JE14" s="958"/>
      <c r="JF14" s="958"/>
      <c r="JG14" s="958"/>
      <c r="JH14" s="958"/>
      <c r="JI14" s="958"/>
      <c r="JJ14" s="958"/>
      <c r="JK14" s="958"/>
      <c r="JL14" s="958"/>
      <c r="JM14" s="958"/>
      <c r="JN14" s="958"/>
      <c r="JO14" s="958"/>
      <c r="JP14" s="958"/>
      <c r="JQ14" s="958"/>
      <c r="JR14" s="958"/>
      <c r="JS14" s="958"/>
      <c r="JT14" s="958"/>
      <c r="JU14" s="958"/>
      <c r="JV14" s="958"/>
      <c r="JW14" s="958"/>
      <c r="JX14" s="958"/>
      <c r="JY14" s="958"/>
      <c r="JZ14" s="958"/>
      <c r="KA14" s="958"/>
      <c r="KB14" s="958"/>
      <c r="KC14" s="958"/>
      <c r="KD14" s="958"/>
      <c r="KE14" s="958"/>
      <c r="KF14" s="958"/>
      <c r="KG14" s="958"/>
      <c r="KH14" s="958"/>
      <c r="KI14" s="958"/>
      <c r="KJ14" s="958"/>
      <c r="KK14" s="958"/>
      <c r="KL14" s="958"/>
      <c r="KM14" s="958"/>
      <c r="KN14" s="958"/>
      <c r="KO14" s="958"/>
      <c r="KP14" s="958"/>
      <c r="KQ14" s="958"/>
      <c r="KR14" s="958"/>
      <c r="KS14" s="958"/>
      <c r="KT14" s="958"/>
      <c r="KU14" s="958"/>
      <c r="KV14" s="958"/>
      <c r="KW14" s="958"/>
      <c r="KX14" s="958"/>
      <c r="KY14" s="958"/>
      <c r="KZ14" s="958"/>
      <c r="LA14" s="958"/>
      <c r="LB14" s="958"/>
      <c r="LC14" s="958"/>
      <c r="LD14" s="958"/>
      <c r="LE14" s="958"/>
      <c r="LF14" s="958"/>
      <c r="LG14" s="958"/>
      <c r="LH14" s="958"/>
      <c r="LI14" s="958"/>
      <c r="LJ14" s="958"/>
      <c r="LK14" s="958"/>
      <c r="LL14" s="958"/>
      <c r="LM14" s="958"/>
      <c r="LN14" s="958"/>
      <c r="LO14" s="958"/>
      <c r="LP14" s="958"/>
      <c r="LQ14" s="958"/>
      <c r="LR14" s="958"/>
      <c r="LS14" s="958"/>
      <c r="LT14" s="958"/>
      <c r="LU14" s="958"/>
      <c r="LV14" s="958"/>
      <c r="LW14" s="958"/>
      <c r="LX14" s="958"/>
      <c r="LY14" s="958"/>
      <c r="LZ14" s="958"/>
      <c r="MA14" s="958"/>
      <c r="MB14" s="958"/>
      <c r="MC14" s="958"/>
      <c r="MD14" s="958"/>
      <c r="ME14" s="958"/>
      <c r="MF14" s="958"/>
      <c r="MG14" s="958"/>
      <c r="MH14" s="958"/>
      <c r="MI14" s="958"/>
      <c r="MJ14" s="958"/>
      <c r="MK14" s="958"/>
      <c r="ML14" s="958"/>
      <c r="MM14" s="958"/>
      <c r="MN14" s="958"/>
      <c r="MO14" s="958"/>
      <c r="MP14" s="958"/>
      <c r="MQ14" s="958"/>
      <c r="MR14" s="958"/>
      <c r="MS14" s="958"/>
      <c r="MT14" s="958"/>
      <c r="MU14" s="958"/>
      <c r="MV14" s="958"/>
      <c r="MW14" s="958"/>
      <c r="MX14" s="958"/>
      <c r="MY14" s="958"/>
      <c r="MZ14" s="958"/>
      <c r="NA14" s="958"/>
      <c r="NB14" s="958"/>
      <c r="NC14" s="958"/>
      <c r="ND14" s="958"/>
      <c r="NE14" s="958"/>
      <c r="NF14" s="958"/>
      <c r="NG14" s="958"/>
      <c r="NH14" s="958"/>
      <c r="NI14" s="958"/>
      <c r="NJ14" s="958"/>
      <c r="NK14" s="958"/>
      <c r="NL14" s="958"/>
      <c r="NM14" s="958"/>
      <c r="NN14" s="958"/>
      <c r="NO14" s="958"/>
      <c r="NP14" s="958"/>
      <c r="NQ14" s="958"/>
      <c r="NR14" s="958"/>
      <c r="NS14" s="958"/>
      <c r="NT14" s="958"/>
      <c r="NU14" s="958"/>
      <c r="NV14" s="958"/>
      <c r="NW14" s="958"/>
      <c r="NX14" s="958"/>
      <c r="NY14" s="958"/>
      <c r="NZ14" s="958"/>
      <c r="OA14" s="958"/>
      <c r="OB14" s="958"/>
      <c r="OC14" s="958"/>
      <c r="OD14" s="958"/>
      <c r="OE14" s="958"/>
      <c r="OF14" s="958"/>
      <c r="OG14" s="958"/>
      <c r="OH14" s="958"/>
      <c r="OI14" s="958"/>
      <c r="OJ14" s="958"/>
      <c r="OK14" s="958"/>
      <c r="OL14" s="958"/>
      <c r="OM14" s="958"/>
      <c r="ON14" s="958"/>
      <c r="OO14" s="958"/>
      <c r="OP14" s="958"/>
      <c r="OQ14" s="958"/>
      <c r="OR14" s="958"/>
      <c r="OS14" s="958"/>
      <c r="OT14" s="958"/>
      <c r="OU14" s="958"/>
      <c r="OV14" s="958"/>
      <c r="OW14" s="958"/>
      <c r="OX14" s="958"/>
      <c r="OY14" s="958"/>
      <c r="OZ14" s="958"/>
      <c r="PA14" s="958"/>
      <c r="PB14" s="958"/>
      <c r="PC14" s="958"/>
      <c r="PD14" s="958"/>
      <c r="PE14" s="958"/>
      <c r="PF14" s="958"/>
      <c r="PG14" s="958"/>
      <c r="PH14" s="958"/>
      <c r="PI14" s="958"/>
      <c r="PJ14" s="958"/>
      <c r="PK14" s="958"/>
      <c r="PL14" s="958"/>
      <c r="PM14" s="958"/>
      <c r="PN14" s="958"/>
      <c r="PO14" s="958"/>
      <c r="PP14" s="958"/>
      <c r="PQ14" s="958"/>
      <c r="PR14" s="958"/>
      <c r="PS14" s="958"/>
      <c r="PT14" s="958"/>
      <c r="PU14" s="958"/>
      <c r="PV14" s="958"/>
      <c r="PW14" s="958"/>
      <c r="PX14" s="958"/>
      <c r="PY14" s="958"/>
      <c r="PZ14" s="958"/>
      <c r="QA14" s="958"/>
      <c r="QB14" s="958"/>
      <c r="QC14" s="958"/>
      <c r="QD14" s="958"/>
      <c r="QE14" s="958"/>
      <c r="QF14" s="958"/>
      <c r="QG14" s="958"/>
      <c r="QH14" s="958"/>
      <c r="QI14" s="958"/>
      <c r="QJ14" s="958"/>
      <c r="QK14" s="958"/>
      <c r="QL14" s="958"/>
      <c r="QM14" s="958"/>
      <c r="QN14" s="958"/>
      <c r="QO14" s="958"/>
      <c r="QP14" s="958"/>
      <c r="QQ14" s="958"/>
      <c r="QR14" s="958"/>
      <c r="QS14" s="958"/>
      <c r="QT14" s="958"/>
      <c r="QU14" s="958"/>
      <c r="QV14" s="958"/>
      <c r="QW14" s="958"/>
      <c r="QX14" s="958"/>
      <c r="QY14" s="958"/>
      <c r="QZ14" s="958"/>
      <c r="RA14" s="958"/>
      <c r="RB14" s="958"/>
      <c r="RC14" s="958"/>
      <c r="RD14" s="958"/>
      <c r="RE14" s="958"/>
      <c r="RF14" s="958"/>
      <c r="RG14" s="958"/>
      <c r="RH14" s="958"/>
      <c r="RI14" s="958"/>
      <c r="RJ14" s="958"/>
      <c r="RK14" s="958"/>
      <c r="RL14" s="958"/>
      <c r="RM14" s="958"/>
      <c r="RN14" s="958"/>
      <c r="RO14" s="958"/>
      <c r="RP14" s="958"/>
      <c r="RQ14" s="958"/>
      <c r="RR14" s="958"/>
      <c r="RS14" s="958"/>
      <c r="RT14" s="958"/>
      <c r="RU14" s="958"/>
      <c r="RV14" s="958"/>
      <c r="RW14" s="958"/>
      <c r="RX14" s="958"/>
      <c r="RY14" s="958"/>
      <c r="RZ14" s="958"/>
      <c r="SA14" s="958"/>
      <c r="SB14" s="958"/>
      <c r="SC14" s="958"/>
      <c r="SD14" s="958"/>
      <c r="SE14" s="958"/>
      <c r="SF14" s="958"/>
      <c r="SG14" s="958"/>
      <c r="SH14" s="958"/>
      <c r="SI14" s="958"/>
      <c r="SJ14" s="958"/>
      <c r="SK14" s="958"/>
      <c r="SL14" s="958"/>
      <c r="SM14" s="958"/>
      <c r="SN14" s="958"/>
      <c r="SO14" s="958"/>
      <c r="SP14" s="958"/>
      <c r="SQ14" s="958"/>
      <c r="SR14" s="958"/>
      <c r="SS14" s="958"/>
      <c r="ST14" s="958"/>
      <c r="SU14" s="958"/>
      <c r="SV14" s="958"/>
      <c r="SW14" s="958"/>
      <c r="SX14" s="958"/>
      <c r="SY14" s="958"/>
      <c r="SZ14" s="958"/>
      <c r="TA14" s="958"/>
      <c r="TB14" s="958"/>
      <c r="TC14" s="958"/>
      <c r="TD14" s="958"/>
      <c r="TE14" s="958"/>
      <c r="TF14" s="958"/>
      <c r="TG14" s="958"/>
      <c r="TH14" s="958"/>
      <c r="TI14" s="958"/>
      <c r="TJ14" s="958"/>
      <c r="TK14" s="958"/>
      <c r="TL14" s="958"/>
      <c r="TM14" s="958"/>
      <c r="TN14" s="958"/>
      <c r="TO14" s="958"/>
      <c r="TP14" s="958"/>
      <c r="TQ14" s="958"/>
      <c r="TR14" s="958"/>
      <c r="TS14" s="958"/>
      <c r="TT14" s="958"/>
      <c r="TU14" s="958"/>
      <c r="TV14" s="958"/>
      <c r="TW14" s="958"/>
      <c r="TX14" s="958"/>
      <c r="TY14" s="958"/>
      <c r="TZ14" s="958"/>
      <c r="UA14" s="958"/>
      <c r="UB14" s="958"/>
      <c r="UC14" s="958"/>
      <c r="UD14" s="958"/>
      <c r="UE14" s="958"/>
      <c r="UF14" s="958"/>
      <c r="UG14" s="958"/>
      <c r="UH14" s="958"/>
      <c r="UI14" s="958"/>
      <c r="UJ14" s="958"/>
      <c r="UK14" s="958"/>
      <c r="UL14" s="958"/>
      <c r="UM14" s="958"/>
      <c r="UN14" s="958"/>
      <c r="UO14" s="958"/>
      <c r="UP14" s="958"/>
      <c r="UQ14" s="958"/>
      <c r="UR14" s="958"/>
      <c r="US14" s="958"/>
      <c r="UT14" s="958"/>
      <c r="UU14" s="958"/>
      <c r="UV14" s="958"/>
      <c r="UW14" s="958"/>
      <c r="UX14" s="958"/>
      <c r="UY14" s="958"/>
      <c r="UZ14" s="958"/>
      <c r="VA14" s="958"/>
      <c r="VB14" s="958"/>
      <c r="VC14" s="958"/>
      <c r="VD14" s="958"/>
      <c r="VE14" s="958"/>
      <c r="VF14" s="958"/>
      <c r="VG14" s="958"/>
      <c r="VH14" s="958"/>
      <c r="VI14" s="958"/>
      <c r="VJ14" s="958"/>
      <c r="VK14" s="958"/>
      <c r="VL14" s="958"/>
      <c r="VM14" s="958"/>
      <c r="VN14" s="958"/>
      <c r="VO14" s="958"/>
      <c r="VP14" s="958"/>
      <c r="VQ14" s="958"/>
      <c r="VR14" s="958"/>
      <c r="VS14" s="958"/>
      <c r="VT14" s="958"/>
      <c r="VU14" s="958"/>
      <c r="VV14" s="958"/>
      <c r="VW14" s="958"/>
      <c r="VX14" s="958"/>
      <c r="VY14" s="958"/>
      <c r="VZ14" s="958"/>
      <c r="WA14" s="958"/>
      <c r="WB14" s="958"/>
      <c r="WC14" s="958"/>
      <c r="WD14" s="958"/>
      <c r="WE14" s="958"/>
      <c r="WF14" s="958"/>
      <c r="WG14" s="958"/>
      <c r="WH14" s="958"/>
      <c r="WI14" s="958"/>
      <c r="WJ14" s="958"/>
      <c r="WK14" s="958"/>
      <c r="WL14" s="958"/>
      <c r="WM14" s="958"/>
      <c r="WN14" s="958"/>
      <c r="WO14" s="958"/>
      <c r="WP14" s="958"/>
      <c r="WQ14" s="958"/>
      <c r="WR14" s="958"/>
      <c r="WS14" s="958"/>
      <c r="WT14" s="958"/>
      <c r="WU14" s="958"/>
      <c r="WV14" s="958"/>
      <c r="WW14" s="958"/>
      <c r="WX14" s="958"/>
      <c r="WY14" s="958"/>
      <c r="WZ14" s="958"/>
      <c r="XA14" s="958"/>
      <c r="XB14" s="958"/>
      <c r="XC14" s="958"/>
      <c r="XD14" s="958"/>
      <c r="XE14" s="958"/>
      <c r="XF14" s="958"/>
      <c r="XG14" s="958"/>
      <c r="XH14" s="958"/>
      <c r="XI14" s="958"/>
      <c r="XJ14" s="958"/>
      <c r="XK14" s="958"/>
      <c r="XL14" s="958"/>
      <c r="XM14" s="958"/>
      <c r="XN14" s="958"/>
      <c r="XO14" s="958"/>
      <c r="XP14" s="958"/>
      <c r="XQ14" s="958"/>
      <c r="XR14" s="958"/>
      <c r="XS14" s="958"/>
      <c r="XT14" s="958"/>
      <c r="XU14" s="958"/>
      <c r="XV14" s="958"/>
      <c r="XW14" s="958"/>
      <c r="XX14" s="958"/>
      <c r="XY14" s="958"/>
      <c r="XZ14" s="958"/>
      <c r="YA14" s="958"/>
      <c r="YB14" s="958"/>
      <c r="YC14" s="958"/>
      <c r="YD14" s="958"/>
      <c r="YE14" s="958"/>
      <c r="YF14" s="958"/>
      <c r="YG14" s="958"/>
      <c r="YH14" s="958"/>
      <c r="YI14" s="958"/>
      <c r="YJ14" s="958"/>
      <c r="YK14" s="958"/>
      <c r="YL14" s="958"/>
      <c r="YM14" s="958"/>
      <c r="YN14" s="958"/>
      <c r="YO14" s="958"/>
      <c r="YP14" s="958"/>
      <c r="YQ14" s="958"/>
      <c r="YR14" s="958"/>
      <c r="YS14" s="958"/>
      <c r="YT14" s="958"/>
      <c r="YU14" s="958"/>
      <c r="YV14" s="958"/>
      <c r="YW14" s="958"/>
      <c r="YX14" s="958"/>
      <c r="YY14" s="958"/>
      <c r="YZ14" s="958"/>
      <c r="ZA14" s="958"/>
      <c r="ZB14" s="958"/>
      <c r="ZC14" s="958"/>
      <c r="ZD14" s="958"/>
      <c r="ZE14" s="958"/>
      <c r="ZF14" s="958"/>
      <c r="ZG14" s="958"/>
      <c r="ZH14" s="958"/>
      <c r="ZI14" s="958"/>
      <c r="ZJ14" s="958"/>
      <c r="ZK14" s="958"/>
      <c r="ZL14" s="958"/>
      <c r="ZM14" s="958"/>
      <c r="ZN14" s="958"/>
      <c r="ZO14" s="958"/>
      <c r="ZP14" s="958"/>
      <c r="ZQ14" s="958"/>
      <c r="ZR14" s="958"/>
      <c r="ZS14" s="958"/>
      <c r="ZT14" s="958"/>
      <c r="ZU14" s="958"/>
      <c r="ZV14" s="958"/>
      <c r="ZW14" s="958"/>
      <c r="ZX14" s="958"/>
      <c r="ZY14" s="958"/>
      <c r="ZZ14" s="958"/>
      <c r="AAA14" s="958"/>
      <c r="AAB14" s="958"/>
      <c r="AAC14" s="958"/>
      <c r="AAD14" s="958"/>
      <c r="AAE14" s="958"/>
      <c r="AAF14" s="958"/>
      <c r="AAG14" s="958"/>
      <c r="AAH14" s="958"/>
      <c r="AAI14" s="958"/>
      <c r="AAJ14" s="958"/>
      <c r="AAK14" s="958"/>
      <c r="AAL14" s="958"/>
      <c r="AAM14" s="958"/>
      <c r="AAN14" s="958"/>
      <c r="AAO14" s="958"/>
      <c r="AAP14" s="958"/>
      <c r="AAQ14" s="958"/>
      <c r="AAR14" s="958"/>
      <c r="AAS14" s="958"/>
      <c r="AAT14" s="958"/>
      <c r="AAU14" s="958"/>
      <c r="AAV14" s="958"/>
      <c r="AAW14" s="958"/>
      <c r="AAX14" s="958"/>
      <c r="AAY14" s="958"/>
      <c r="AAZ14" s="958"/>
      <c r="ABA14" s="958"/>
      <c r="ABB14" s="958"/>
      <c r="ABC14" s="958"/>
      <c r="ABD14" s="958"/>
      <c r="ABE14" s="958"/>
      <c r="ABF14" s="958"/>
      <c r="ABG14" s="958"/>
      <c r="ABH14" s="958"/>
      <c r="ABI14" s="958"/>
      <c r="ABJ14" s="958"/>
      <c r="ABK14" s="958"/>
      <c r="ABL14" s="958"/>
      <c r="ABM14" s="958"/>
      <c r="ABN14" s="958"/>
      <c r="ABO14" s="958"/>
      <c r="ABP14" s="958"/>
      <c r="ABQ14" s="958"/>
      <c r="ABR14" s="958"/>
      <c r="ABS14" s="958"/>
      <c r="ABT14" s="958"/>
      <c r="ABU14" s="958"/>
      <c r="ABV14" s="958"/>
      <c r="ABW14" s="958"/>
      <c r="ABX14" s="958"/>
      <c r="ABY14" s="958"/>
      <c r="ABZ14" s="958"/>
      <c r="ACA14" s="958"/>
      <c r="ACB14" s="958"/>
      <c r="ACC14" s="958"/>
      <c r="ACD14" s="958"/>
      <c r="ACE14" s="958"/>
      <c r="ACF14" s="958"/>
      <c r="ACG14" s="958"/>
      <c r="ACH14" s="958"/>
      <c r="ACI14" s="958"/>
      <c r="ACJ14" s="958"/>
      <c r="ACK14" s="958"/>
      <c r="ACL14" s="958"/>
      <c r="ACM14" s="958"/>
      <c r="ACN14" s="958"/>
      <c r="ACO14" s="958"/>
      <c r="ACP14" s="958"/>
      <c r="ACQ14" s="958"/>
      <c r="ACR14" s="958"/>
      <c r="ACS14" s="958"/>
      <c r="ACT14" s="958"/>
      <c r="ACU14" s="958"/>
      <c r="ACV14" s="958"/>
      <c r="ACW14" s="958"/>
      <c r="ACX14" s="958"/>
      <c r="ACY14" s="958"/>
      <c r="ACZ14" s="958"/>
      <c r="ADA14" s="958"/>
      <c r="ADB14" s="958"/>
      <c r="ADC14" s="958"/>
      <c r="ADD14" s="958"/>
      <c r="ADE14" s="958"/>
      <c r="ADF14" s="958"/>
      <c r="ADG14" s="958"/>
      <c r="ADH14" s="958"/>
      <c r="ADI14" s="958"/>
      <c r="ADJ14" s="958"/>
      <c r="ADK14" s="958"/>
      <c r="ADL14" s="958"/>
      <c r="ADM14" s="958"/>
      <c r="ADN14" s="958"/>
      <c r="ADO14" s="958"/>
      <c r="ADP14" s="958"/>
      <c r="ADQ14" s="958"/>
      <c r="ADR14" s="958"/>
      <c r="ADS14" s="958"/>
      <c r="ADT14" s="958"/>
      <c r="ADU14" s="958"/>
      <c r="ADV14" s="958"/>
      <c r="ADW14" s="958"/>
      <c r="ADX14" s="958"/>
      <c r="ADY14" s="958"/>
      <c r="ADZ14" s="958"/>
      <c r="AEA14" s="958"/>
      <c r="AEB14" s="958"/>
      <c r="AEC14" s="958"/>
      <c r="AED14" s="958"/>
      <c r="AEE14" s="958"/>
      <c r="AEF14" s="958"/>
      <c r="AEG14" s="958"/>
      <c r="AEH14" s="958"/>
      <c r="AEI14" s="958"/>
      <c r="AEJ14" s="958"/>
      <c r="AEK14" s="958"/>
      <c r="AEL14" s="958"/>
      <c r="AEM14" s="958"/>
      <c r="AEN14" s="958"/>
      <c r="AEO14" s="958"/>
      <c r="AEP14" s="958"/>
      <c r="AEQ14" s="958"/>
      <c r="AER14" s="958"/>
      <c r="AES14" s="958"/>
      <c r="AET14" s="958"/>
      <c r="AEU14" s="958"/>
      <c r="AEV14" s="958"/>
      <c r="AEW14" s="958"/>
      <c r="AEX14" s="958"/>
      <c r="AEY14" s="958"/>
      <c r="AEZ14" s="958"/>
      <c r="AFA14" s="958"/>
      <c r="AFB14" s="958"/>
      <c r="AFC14" s="958"/>
      <c r="AFD14" s="958"/>
      <c r="AFE14" s="958"/>
      <c r="AFF14" s="958"/>
      <c r="AFG14" s="958"/>
      <c r="AFH14" s="958"/>
      <c r="AFI14" s="958"/>
      <c r="AFJ14" s="958"/>
      <c r="AFK14" s="958"/>
      <c r="AFL14" s="958"/>
      <c r="AFM14" s="958"/>
      <c r="AFN14" s="958"/>
      <c r="AFO14" s="958"/>
      <c r="AFP14" s="958"/>
      <c r="AFQ14" s="958"/>
      <c r="AFR14" s="958"/>
      <c r="AFS14" s="958"/>
      <c r="AFT14" s="958"/>
      <c r="AFU14" s="958"/>
      <c r="AFV14" s="958"/>
      <c r="AFW14" s="958"/>
      <c r="AFX14" s="958"/>
      <c r="AFY14" s="958"/>
      <c r="AFZ14" s="958"/>
      <c r="AGA14" s="958"/>
      <c r="AGB14" s="958"/>
      <c r="AGC14" s="958"/>
      <c r="AGD14" s="958"/>
      <c r="AGE14" s="958"/>
      <c r="AGF14" s="958"/>
      <c r="AGG14" s="958"/>
      <c r="AGH14" s="958"/>
      <c r="AGI14" s="958"/>
      <c r="AGJ14" s="958"/>
      <c r="AGK14" s="958"/>
      <c r="AGL14" s="958"/>
      <c r="AGM14" s="958"/>
      <c r="AGN14" s="958"/>
      <c r="AGO14" s="958"/>
      <c r="AGP14" s="958"/>
      <c r="AGQ14" s="958"/>
      <c r="AGR14" s="958"/>
      <c r="AGS14" s="958"/>
      <c r="AGT14" s="958"/>
      <c r="AGU14" s="958"/>
      <c r="AGV14" s="958"/>
      <c r="AGW14" s="958"/>
      <c r="AGX14" s="958"/>
      <c r="AGY14" s="958"/>
      <c r="AGZ14" s="958"/>
      <c r="AHA14" s="958"/>
      <c r="AHB14" s="958"/>
      <c r="AHC14" s="958"/>
      <c r="AHD14" s="958"/>
      <c r="AHE14" s="958"/>
      <c r="AHF14" s="958"/>
      <c r="AHG14" s="958"/>
      <c r="AHH14" s="958"/>
      <c r="AHI14" s="958"/>
      <c r="AHJ14" s="958"/>
      <c r="AHK14" s="958"/>
      <c r="AHL14" s="958"/>
      <c r="AHM14" s="958"/>
      <c r="AHN14" s="958"/>
      <c r="AHO14" s="958"/>
      <c r="AHP14" s="958"/>
      <c r="AHQ14" s="958"/>
      <c r="AHR14" s="958"/>
      <c r="AHS14" s="958"/>
      <c r="AHT14" s="958"/>
      <c r="AHU14" s="958"/>
      <c r="AHV14" s="958"/>
      <c r="AHW14" s="958"/>
      <c r="AHX14" s="958"/>
      <c r="AHY14" s="958"/>
      <c r="AHZ14" s="958"/>
      <c r="AIA14" s="958"/>
      <c r="AIB14" s="958"/>
      <c r="AIC14" s="958"/>
      <c r="AID14" s="958"/>
      <c r="AIE14" s="958"/>
      <c r="AIF14" s="958"/>
      <c r="AIG14" s="958"/>
      <c r="AIH14" s="958"/>
      <c r="AII14" s="958"/>
      <c r="AIJ14" s="958"/>
      <c r="AIK14" s="958"/>
      <c r="AIL14" s="958"/>
      <c r="AIM14" s="958"/>
      <c r="AIN14" s="958"/>
      <c r="AIO14" s="958"/>
      <c r="AIP14" s="958"/>
      <c r="AIQ14" s="958"/>
      <c r="AIR14" s="958"/>
      <c r="AIS14" s="958"/>
      <c r="AIT14" s="958"/>
      <c r="AIU14" s="958"/>
      <c r="AIV14" s="958"/>
      <c r="AIW14" s="958"/>
      <c r="AIX14" s="958"/>
      <c r="AIY14" s="958"/>
      <c r="AIZ14" s="958"/>
      <c r="AJA14" s="958"/>
      <c r="AJB14" s="958"/>
      <c r="AJC14" s="958"/>
      <c r="AJD14" s="958"/>
      <c r="AJE14" s="958"/>
      <c r="AJF14" s="958"/>
      <c r="AJG14" s="958"/>
      <c r="AJH14" s="958"/>
      <c r="AJI14" s="958"/>
      <c r="AJJ14" s="958"/>
      <c r="AJK14" s="958"/>
      <c r="AJL14" s="958"/>
      <c r="AJM14" s="958"/>
      <c r="AJN14" s="958"/>
      <c r="AJO14" s="958"/>
      <c r="AJP14" s="958"/>
      <c r="AJQ14" s="958"/>
      <c r="AJR14" s="958"/>
      <c r="AJS14" s="958"/>
      <c r="AJT14" s="958"/>
      <c r="AJU14" s="958"/>
      <c r="AJV14" s="958"/>
      <c r="AJW14" s="958"/>
      <c r="AJX14" s="958"/>
      <c r="AJY14" s="958"/>
      <c r="AJZ14" s="958"/>
      <c r="AKA14" s="958"/>
      <c r="AKB14" s="958"/>
      <c r="AKC14" s="958"/>
      <c r="AKD14" s="958"/>
      <c r="AKE14" s="958"/>
      <c r="AKF14" s="958"/>
      <c r="AKG14" s="958"/>
      <c r="AKH14" s="958"/>
      <c r="AKI14" s="958"/>
      <c r="AKJ14" s="958"/>
      <c r="AKK14" s="958"/>
      <c r="AKL14" s="958"/>
      <c r="AKM14" s="958"/>
      <c r="AKN14" s="958"/>
      <c r="AKO14" s="958"/>
      <c r="AKP14" s="958"/>
      <c r="AKQ14" s="958"/>
      <c r="AKR14" s="958"/>
      <c r="AKS14" s="958"/>
      <c r="AKT14" s="958"/>
      <c r="AKU14" s="958"/>
      <c r="AKV14" s="958"/>
      <c r="AKW14" s="958"/>
      <c r="AKX14" s="958"/>
      <c r="AKY14" s="958"/>
      <c r="AKZ14" s="958"/>
      <c r="ALA14" s="958"/>
      <c r="ALB14" s="958"/>
      <c r="ALC14" s="958"/>
      <c r="ALD14" s="958"/>
      <c r="ALE14" s="958"/>
      <c r="ALF14" s="958"/>
      <c r="ALG14" s="958"/>
      <c r="ALH14" s="958"/>
      <c r="ALI14" s="958"/>
      <c r="ALJ14" s="958"/>
      <c r="ALK14" s="958"/>
      <c r="ALL14" s="958"/>
      <c r="ALM14" s="958"/>
      <c r="ALN14" s="958"/>
      <c r="ALO14" s="958"/>
      <c r="ALP14" s="958"/>
      <c r="ALQ14" s="958"/>
      <c r="ALR14" s="958"/>
      <c r="ALS14" s="958"/>
      <c r="ALT14" s="958"/>
      <c r="ALU14" s="958"/>
      <c r="ALV14" s="958"/>
      <c r="ALW14" s="958"/>
      <c r="ALX14" s="958"/>
      <c r="ALY14" s="958"/>
      <c r="ALZ14" s="958"/>
      <c r="AMA14" s="958"/>
      <c r="AMB14" s="958"/>
      <c r="AMC14" s="958"/>
      <c r="AMD14" s="958"/>
      <c r="AME14" s="958"/>
      <c r="AMF14" s="958"/>
      <c r="AMG14" s="958"/>
      <c r="AMH14" s="958"/>
      <c r="AMI14" s="958"/>
      <c r="AMJ14" s="958"/>
      <c r="AMK14" s="958"/>
      <c r="AML14" s="958"/>
      <c r="AMM14" s="958"/>
      <c r="AMN14" s="958"/>
      <c r="AMO14" s="958"/>
      <c r="AMP14" s="958"/>
      <c r="AMQ14" s="958"/>
      <c r="AMR14" s="958"/>
      <c r="AMS14" s="958"/>
      <c r="AMT14" s="958"/>
      <c r="AMU14" s="958"/>
      <c r="AMV14" s="958"/>
      <c r="AMW14" s="958"/>
      <c r="AMX14" s="958"/>
      <c r="AMY14" s="958"/>
      <c r="AMZ14" s="958"/>
      <c r="ANA14" s="958"/>
      <c r="ANB14" s="958"/>
      <c r="ANC14" s="958"/>
      <c r="AND14" s="958"/>
      <c r="ANE14" s="958"/>
      <c r="ANF14" s="958"/>
      <c r="ANG14" s="958"/>
      <c r="ANH14" s="958"/>
      <c r="ANI14" s="958"/>
      <c r="ANJ14" s="958"/>
      <c r="ANK14" s="958"/>
      <c r="ANL14" s="958"/>
      <c r="ANM14" s="958"/>
      <c r="ANN14" s="958"/>
      <c r="ANO14" s="958"/>
      <c r="ANP14" s="958"/>
      <c r="ANQ14" s="958"/>
      <c r="ANR14" s="958"/>
      <c r="ANS14" s="958"/>
      <c r="ANT14" s="958"/>
      <c r="ANU14" s="958"/>
      <c r="ANV14" s="958"/>
      <c r="ANW14" s="958"/>
      <c r="ANX14" s="958"/>
      <c r="ANY14" s="958"/>
      <c r="ANZ14" s="958"/>
      <c r="AOA14" s="958"/>
      <c r="AOB14" s="958"/>
      <c r="AOC14" s="958"/>
      <c r="AOD14" s="958"/>
      <c r="AOE14" s="958"/>
      <c r="AOF14" s="958"/>
      <c r="AOG14" s="958"/>
      <c r="AOH14" s="958"/>
      <c r="AOI14" s="958"/>
      <c r="AOJ14" s="958"/>
      <c r="AOK14" s="958"/>
      <c r="AOL14" s="958"/>
      <c r="AOM14" s="958"/>
      <c r="AON14" s="958"/>
      <c r="AOO14" s="958"/>
      <c r="AOP14" s="958"/>
      <c r="AOQ14" s="958"/>
      <c r="AOR14" s="958"/>
      <c r="AOS14" s="958"/>
      <c r="AOT14" s="958"/>
      <c r="AOU14" s="958"/>
      <c r="AOV14" s="958"/>
      <c r="AOW14" s="958"/>
      <c r="AOX14" s="958"/>
      <c r="AOY14" s="958"/>
      <c r="AOZ14" s="958"/>
      <c r="APA14" s="958"/>
      <c r="APB14" s="958"/>
      <c r="APC14" s="958"/>
      <c r="APD14" s="958"/>
      <c r="APE14" s="958"/>
      <c r="APF14" s="958"/>
      <c r="APG14" s="958"/>
      <c r="APH14" s="958"/>
      <c r="API14" s="958"/>
      <c r="APJ14" s="958"/>
      <c r="APK14" s="958"/>
      <c r="APL14" s="958"/>
      <c r="APM14" s="958"/>
      <c r="APN14" s="958"/>
      <c r="APO14" s="958"/>
      <c r="APP14" s="958"/>
      <c r="APQ14" s="958"/>
      <c r="APR14" s="958"/>
      <c r="APS14" s="958"/>
      <c r="APT14" s="958"/>
      <c r="APU14" s="958"/>
      <c r="APV14" s="958"/>
      <c r="APW14" s="958"/>
      <c r="APX14" s="958"/>
      <c r="APY14" s="958"/>
      <c r="APZ14" s="958"/>
      <c r="AQA14" s="958"/>
      <c r="AQB14" s="958"/>
      <c r="AQC14" s="958"/>
      <c r="AQD14" s="958"/>
      <c r="AQE14" s="958"/>
      <c r="AQF14" s="958"/>
      <c r="AQG14" s="958"/>
      <c r="AQH14" s="958"/>
      <c r="AQI14" s="958"/>
      <c r="AQJ14" s="958"/>
      <c r="AQK14" s="958"/>
      <c r="AQL14" s="958"/>
      <c r="AQM14" s="958"/>
      <c r="AQN14" s="958"/>
      <c r="AQO14" s="958"/>
      <c r="AQP14" s="958"/>
      <c r="AQQ14" s="958"/>
      <c r="AQR14" s="958"/>
      <c r="AQS14" s="958"/>
      <c r="AQT14" s="958"/>
      <c r="AQU14" s="958"/>
      <c r="AQV14" s="958"/>
      <c r="AQW14" s="958"/>
      <c r="AQX14" s="958"/>
      <c r="AQY14" s="958"/>
      <c r="AQZ14" s="958"/>
      <c r="ARA14" s="958"/>
      <c r="ARB14" s="958"/>
      <c r="ARC14" s="958"/>
      <c r="ARD14" s="958"/>
      <c r="ARE14" s="958"/>
      <c r="ARF14" s="958"/>
      <c r="ARG14" s="958"/>
      <c r="ARH14" s="958"/>
      <c r="ARI14" s="958"/>
      <c r="ARJ14" s="958"/>
      <c r="ARK14" s="958"/>
      <c r="ARL14" s="958"/>
      <c r="ARM14" s="958"/>
      <c r="ARN14" s="958"/>
      <c r="ARO14" s="958"/>
      <c r="ARP14" s="958"/>
      <c r="ARQ14" s="958"/>
      <c r="ARR14" s="958"/>
      <c r="ARS14" s="958"/>
      <c r="ART14" s="958"/>
      <c r="ARU14" s="958"/>
      <c r="ARV14" s="958"/>
      <c r="ARW14" s="958"/>
      <c r="ARX14" s="958"/>
      <c r="ARY14" s="958"/>
      <c r="ARZ14" s="958"/>
      <c r="ASA14" s="958"/>
      <c r="ASB14" s="958"/>
      <c r="ASC14" s="958"/>
      <c r="ASD14" s="958"/>
      <c r="ASE14" s="958"/>
      <c r="ASF14" s="958"/>
      <c r="ASG14" s="958"/>
      <c r="ASH14" s="958"/>
      <c r="ASI14" s="958"/>
      <c r="ASJ14" s="958"/>
      <c r="ASK14" s="958"/>
      <c r="ASL14" s="958"/>
      <c r="ASM14" s="958"/>
      <c r="ASN14" s="958"/>
      <c r="ASO14" s="958"/>
      <c r="ASP14" s="958"/>
      <c r="ASQ14" s="958"/>
      <c r="ASR14" s="958"/>
      <c r="ASS14" s="958"/>
      <c r="AST14" s="958"/>
      <c r="ASU14" s="958"/>
      <c r="ASV14" s="958"/>
      <c r="ASW14" s="958"/>
      <c r="ASX14" s="958"/>
      <c r="ASY14" s="958"/>
      <c r="ASZ14" s="958"/>
    </row>
    <row r="15" spans="1:1196" s="22" customFormat="1" ht="51.75" customHeight="1" thickTop="1" thickBot="1">
      <c r="A15" s="2846"/>
      <c r="B15" s="2992"/>
      <c r="C15" s="2958"/>
      <c r="D15" s="171" t="s">
        <v>201</v>
      </c>
      <c r="E15" s="172" t="s">
        <v>202</v>
      </c>
      <c r="F15" s="172" t="s">
        <v>101</v>
      </c>
      <c r="G15" s="951">
        <v>3989600000</v>
      </c>
      <c r="H15" s="133"/>
      <c r="I15" s="133"/>
      <c r="J15" s="133"/>
      <c r="K15" s="172" t="s">
        <v>196</v>
      </c>
      <c r="L15" s="966">
        <v>132986667</v>
      </c>
      <c r="M15" s="967">
        <v>14711062</v>
      </c>
      <c r="N15" s="73">
        <f t="shared" si="3"/>
        <v>0.11062057822683834</v>
      </c>
      <c r="O15" s="966">
        <v>132986667</v>
      </c>
      <c r="P15" s="967">
        <v>37904500</v>
      </c>
      <c r="Q15" s="73">
        <f t="shared" si="4"/>
        <v>0.28502481380332662</v>
      </c>
      <c r="R15" s="966">
        <v>132986667</v>
      </c>
      <c r="S15" s="967">
        <v>17116848</v>
      </c>
      <c r="T15" s="73">
        <f t="shared" si="5"/>
        <v>0.12871100829980198</v>
      </c>
      <c r="U15" s="966">
        <v>531946667</v>
      </c>
      <c r="V15" s="967">
        <v>0</v>
      </c>
      <c r="W15" s="73">
        <f t="shared" si="6"/>
        <v>0</v>
      </c>
      <c r="X15" s="966">
        <v>531946667</v>
      </c>
      <c r="Y15" s="967">
        <v>0</v>
      </c>
      <c r="Z15" s="73">
        <f t="shared" si="7"/>
        <v>0</v>
      </c>
      <c r="AA15" s="966">
        <v>531946667</v>
      </c>
      <c r="AB15" s="966">
        <v>291802846</v>
      </c>
      <c r="AC15" s="73">
        <f t="shared" si="8"/>
        <v>0.54855658302301191</v>
      </c>
      <c r="AD15" s="968">
        <f t="shared" si="9"/>
        <v>361535256</v>
      </c>
      <c r="AE15" s="956">
        <f t="shared" si="10"/>
        <v>9.0619424503709647E-2</v>
      </c>
      <c r="AF15" s="968">
        <v>531946667</v>
      </c>
      <c r="AG15" s="967">
        <v>324184665</v>
      </c>
      <c r="AH15" s="73">
        <f t="shared" si="11"/>
        <v>0.60943076648697192</v>
      </c>
      <c r="AI15" s="966">
        <v>531946667</v>
      </c>
      <c r="AJ15" s="967">
        <v>134885973</v>
      </c>
      <c r="AK15" s="73">
        <f t="shared" si="12"/>
        <v>0.25357048247094288</v>
      </c>
      <c r="AL15" s="966">
        <v>531946666</v>
      </c>
      <c r="AM15" s="967">
        <v>97553300</v>
      </c>
      <c r="AN15" s="73">
        <f t="shared" si="13"/>
        <v>0.18338924977866108</v>
      </c>
      <c r="AO15" s="966">
        <v>132986666</v>
      </c>
      <c r="AP15" s="967">
        <v>390804757</v>
      </c>
      <c r="AQ15" s="73">
        <f t="shared" si="14"/>
        <v>2.9386762504445372</v>
      </c>
      <c r="AR15" s="966">
        <v>132986666</v>
      </c>
      <c r="AS15" s="967">
        <v>1335367912</v>
      </c>
      <c r="AT15" s="73">
        <f t="shared" si="15"/>
        <v>10.041366944261915</v>
      </c>
      <c r="AU15" s="966">
        <v>132986666</v>
      </c>
      <c r="AV15" s="967">
        <v>538620904</v>
      </c>
      <c r="AW15" s="73">
        <f t="shared" si="16"/>
        <v>4.0501872871976508</v>
      </c>
      <c r="AX15" s="969">
        <f t="shared" si="17"/>
        <v>3182952767</v>
      </c>
      <c r="AY15" s="2815">
        <f t="shared" si="18"/>
        <v>0.79781250426107886</v>
      </c>
      <c r="AZ15" s="958"/>
      <c r="BA15" s="958"/>
      <c r="BB15" s="958"/>
      <c r="BC15" s="958"/>
      <c r="BD15" s="958"/>
      <c r="BE15" s="958"/>
      <c r="BF15" s="958"/>
      <c r="BG15" s="958"/>
      <c r="BH15" s="958"/>
      <c r="BI15" s="958"/>
      <c r="BJ15" s="958"/>
      <c r="BK15" s="958"/>
      <c r="BL15" s="958"/>
      <c r="BM15" s="958"/>
      <c r="BN15" s="958"/>
      <c r="BO15" s="958"/>
      <c r="BP15" s="958"/>
      <c r="BQ15" s="958"/>
      <c r="BR15" s="958"/>
      <c r="BS15" s="958"/>
      <c r="BT15" s="958"/>
      <c r="BU15" s="958"/>
      <c r="BV15" s="958"/>
      <c r="BW15" s="958"/>
      <c r="BX15" s="958"/>
      <c r="BY15" s="958"/>
      <c r="BZ15" s="958"/>
      <c r="CA15" s="958"/>
      <c r="CB15" s="958"/>
      <c r="CC15" s="958"/>
      <c r="CD15" s="958"/>
      <c r="CE15" s="958"/>
      <c r="CF15" s="958"/>
      <c r="CG15" s="958"/>
      <c r="CH15" s="958"/>
      <c r="CI15" s="958"/>
      <c r="CJ15" s="958"/>
      <c r="CK15" s="958"/>
      <c r="CL15" s="958"/>
      <c r="CM15" s="958"/>
      <c r="CN15" s="958"/>
      <c r="CO15" s="958"/>
      <c r="CP15" s="958"/>
      <c r="CQ15" s="958"/>
      <c r="CR15" s="958"/>
      <c r="CS15" s="958"/>
      <c r="CT15" s="958"/>
      <c r="CU15" s="958"/>
      <c r="CV15" s="958"/>
      <c r="CW15" s="958"/>
      <c r="CX15" s="958"/>
      <c r="CY15" s="958"/>
      <c r="CZ15" s="958"/>
      <c r="DA15" s="958"/>
      <c r="DB15" s="958"/>
      <c r="DC15" s="958"/>
      <c r="DD15" s="958"/>
      <c r="DE15" s="958"/>
      <c r="DF15" s="958"/>
      <c r="DG15" s="958"/>
      <c r="DH15" s="958"/>
      <c r="DI15" s="958"/>
      <c r="DJ15" s="958"/>
      <c r="DK15" s="958"/>
      <c r="DL15" s="958"/>
      <c r="DM15" s="958"/>
      <c r="DN15" s="958"/>
      <c r="DO15" s="958"/>
      <c r="DP15" s="958"/>
      <c r="DQ15" s="958"/>
      <c r="DR15" s="958"/>
      <c r="DS15" s="958"/>
      <c r="DT15" s="958"/>
      <c r="DU15" s="958"/>
      <c r="DV15" s="958"/>
      <c r="DW15" s="958"/>
      <c r="DX15" s="958"/>
      <c r="DY15" s="958"/>
      <c r="DZ15" s="958"/>
      <c r="EA15" s="958"/>
      <c r="EB15" s="958"/>
      <c r="EC15" s="958"/>
      <c r="ED15" s="958"/>
      <c r="EE15" s="958"/>
      <c r="EF15" s="958"/>
      <c r="EG15" s="958"/>
      <c r="EH15" s="958"/>
      <c r="EI15" s="958"/>
      <c r="EJ15" s="958"/>
      <c r="EK15" s="958"/>
      <c r="EL15" s="958"/>
      <c r="EM15" s="958"/>
      <c r="EN15" s="958"/>
      <c r="EO15" s="958"/>
      <c r="EP15" s="958"/>
      <c r="EQ15" s="958"/>
      <c r="ER15" s="958"/>
      <c r="ES15" s="958"/>
      <c r="ET15" s="958"/>
      <c r="EU15" s="958"/>
      <c r="EV15" s="958"/>
      <c r="EW15" s="958"/>
      <c r="EX15" s="958"/>
      <c r="EY15" s="958"/>
      <c r="EZ15" s="958"/>
      <c r="FA15" s="958"/>
      <c r="FB15" s="958"/>
      <c r="FC15" s="958"/>
      <c r="FD15" s="958"/>
      <c r="FE15" s="958"/>
      <c r="FF15" s="958"/>
      <c r="FG15" s="958"/>
      <c r="FH15" s="958"/>
      <c r="FI15" s="958"/>
      <c r="FJ15" s="958"/>
      <c r="FK15" s="958"/>
      <c r="FL15" s="958"/>
      <c r="FM15" s="958"/>
      <c r="FN15" s="958"/>
      <c r="FO15" s="958"/>
      <c r="FP15" s="958"/>
      <c r="FQ15" s="958"/>
      <c r="FR15" s="958"/>
      <c r="FS15" s="958"/>
      <c r="FT15" s="958"/>
      <c r="FU15" s="958"/>
      <c r="FV15" s="958"/>
      <c r="FW15" s="958"/>
      <c r="FX15" s="958"/>
      <c r="FY15" s="958"/>
      <c r="FZ15" s="958"/>
      <c r="GA15" s="958"/>
      <c r="GB15" s="958"/>
      <c r="GC15" s="958"/>
      <c r="GD15" s="958"/>
      <c r="GE15" s="958"/>
      <c r="GF15" s="958"/>
      <c r="GG15" s="958"/>
      <c r="GH15" s="958"/>
      <c r="GI15" s="958"/>
      <c r="GJ15" s="958"/>
      <c r="GK15" s="958"/>
      <c r="GL15" s="958"/>
      <c r="GM15" s="958"/>
      <c r="GN15" s="958"/>
      <c r="GO15" s="958"/>
      <c r="GP15" s="958"/>
      <c r="GQ15" s="958"/>
      <c r="GR15" s="958"/>
      <c r="GS15" s="958"/>
      <c r="GT15" s="958"/>
      <c r="GU15" s="958"/>
      <c r="GV15" s="958"/>
      <c r="GW15" s="958"/>
      <c r="GX15" s="958"/>
      <c r="GY15" s="958"/>
      <c r="GZ15" s="958"/>
      <c r="HA15" s="958"/>
      <c r="HB15" s="958"/>
      <c r="HC15" s="958"/>
      <c r="HD15" s="958"/>
      <c r="HE15" s="958"/>
      <c r="HF15" s="958"/>
      <c r="HG15" s="958"/>
      <c r="HH15" s="958"/>
      <c r="HI15" s="958"/>
      <c r="HJ15" s="958"/>
      <c r="HK15" s="958"/>
      <c r="HL15" s="958"/>
      <c r="HM15" s="958"/>
      <c r="HN15" s="958"/>
      <c r="HO15" s="958"/>
      <c r="HP15" s="958"/>
      <c r="HQ15" s="958"/>
      <c r="HR15" s="958"/>
      <c r="HS15" s="958"/>
      <c r="HT15" s="958"/>
      <c r="HU15" s="958"/>
      <c r="HV15" s="958"/>
      <c r="HW15" s="958"/>
      <c r="HX15" s="958"/>
      <c r="HY15" s="958"/>
      <c r="HZ15" s="958"/>
      <c r="IA15" s="958"/>
      <c r="IB15" s="958"/>
      <c r="IC15" s="958"/>
      <c r="ID15" s="958"/>
      <c r="IE15" s="958"/>
      <c r="IF15" s="958"/>
      <c r="IG15" s="958"/>
      <c r="IH15" s="958"/>
      <c r="II15" s="958"/>
      <c r="IJ15" s="958"/>
      <c r="IK15" s="958"/>
      <c r="IL15" s="958"/>
      <c r="IM15" s="958"/>
      <c r="IN15" s="958"/>
      <c r="IO15" s="958"/>
      <c r="IP15" s="958"/>
      <c r="IQ15" s="958"/>
      <c r="IR15" s="958"/>
      <c r="IS15" s="958"/>
      <c r="IT15" s="958"/>
      <c r="IU15" s="958"/>
      <c r="IV15" s="958"/>
      <c r="IW15" s="958"/>
      <c r="IX15" s="958"/>
      <c r="IY15" s="958"/>
      <c r="IZ15" s="958"/>
      <c r="JA15" s="958"/>
      <c r="JB15" s="958"/>
      <c r="JC15" s="958"/>
      <c r="JD15" s="958"/>
      <c r="JE15" s="958"/>
      <c r="JF15" s="958"/>
      <c r="JG15" s="958"/>
      <c r="JH15" s="958"/>
      <c r="JI15" s="958"/>
      <c r="JJ15" s="958"/>
      <c r="JK15" s="958"/>
      <c r="JL15" s="958"/>
      <c r="JM15" s="958"/>
      <c r="JN15" s="958"/>
      <c r="JO15" s="958"/>
      <c r="JP15" s="958"/>
      <c r="JQ15" s="958"/>
      <c r="JR15" s="958"/>
      <c r="JS15" s="958"/>
      <c r="JT15" s="958"/>
      <c r="JU15" s="958"/>
      <c r="JV15" s="958"/>
      <c r="JW15" s="958"/>
      <c r="JX15" s="958"/>
      <c r="JY15" s="958"/>
      <c r="JZ15" s="958"/>
      <c r="KA15" s="958"/>
      <c r="KB15" s="958"/>
      <c r="KC15" s="958"/>
      <c r="KD15" s="958"/>
      <c r="KE15" s="958"/>
      <c r="KF15" s="958"/>
      <c r="KG15" s="958"/>
      <c r="KH15" s="958"/>
      <c r="KI15" s="958"/>
      <c r="KJ15" s="958"/>
      <c r="KK15" s="958"/>
      <c r="KL15" s="958"/>
      <c r="KM15" s="958"/>
      <c r="KN15" s="958"/>
      <c r="KO15" s="958"/>
      <c r="KP15" s="958"/>
      <c r="KQ15" s="958"/>
      <c r="KR15" s="958"/>
      <c r="KS15" s="958"/>
      <c r="KT15" s="958"/>
      <c r="KU15" s="958"/>
      <c r="KV15" s="958"/>
      <c r="KW15" s="958"/>
      <c r="KX15" s="958"/>
      <c r="KY15" s="958"/>
      <c r="KZ15" s="958"/>
      <c r="LA15" s="958"/>
      <c r="LB15" s="958"/>
      <c r="LC15" s="958"/>
      <c r="LD15" s="958"/>
      <c r="LE15" s="958"/>
      <c r="LF15" s="958"/>
      <c r="LG15" s="958"/>
      <c r="LH15" s="958"/>
      <c r="LI15" s="958"/>
      <c r="LJ15" s="958"/>
      <c r="LK15" s="958"/>
      <c r="LL15" s="958"/>
      <c r="LM15" s="958"/>
      <c r="LN15" s="958"/>
      <c r="LO15" s="958"/>
      <c r="LP15" s="958"/>
      <c r="LQ15" s="958"/>
      <c r="LR15" s="958"/>
      <c r="LS15" s="958"/>
      <c r="LT15" s="958"/>
      <c r="LU15" s="958"/>
      <c r="LV15" s="958"/>
      <c r="LW15" s="958"/>
      <c r="LX15" s="958"/>
      <c r="LY15" s="958"/>
      <c r="LZ15" s="958"/>
      <c r="MA15" s="958"/>
      <c r="MB15" s="958"/>
      <c r="MC15" s="958"/>
      <c r="MD15" s="958"/>
      <c r="ME15" s="958"/>
      <c r="MF15" s="958"/>
      <c r="MG15" s="958"/>
      <c r="MH15" s="958"/>
      <c r="MI15" s="958"/>
      <c r="MJ15" s="958"/>
      <c r="MK15" s="958"/>
      <c r="ML15" s="958"/>
      <c r="MM15" s="958"/>
      <c r="MN15" s="958"/>
      <c r="MO15" s="958"/>
      <c r="MP15" s="958"/>
      <c r="MQ15" s="958"/>
      <c r="MR15" s="958"/>
      <c r="MS15" s="958"/>
      <c r="MT15" s="958"/>
      <c r="MU15" s="958"/>
      <c r="MV15" s="958"/>
      <c r="MW15" s="958"/>
      <c r="MX15" s="958"/>
      <c r="MY15" s="958"/>
      <c r="MZ15" s="958"/>
      <c r="NA15" s="958"/>
      <c r="NB15" s="958"/>
      <c r="NC15" s="958"/>
      <c r="ND15" s="958"/>
      <c r="NE15" s="958"/>
      <c r="NF15" s="958"/>
      <c r="NG15" s="958"/>
      <c r="NH15" s="958"/>
      <c r="NI15" s="958"/>
      <c r="NJ15" s="958"/>
      <c r="NK15" s="958"/>
      <c r="NL15" s="958"/>
      <c r="NM15" s="958"/>
      <c r="NN15" s="958"/>
      <c r="NO15" s="958"/>
      <c r="NP15" s="958"/>
      <c r="NQ15" s="958"/>
      <c r="NR15" s="958"/>
      <c r="NS15" s="958"/>
      <c r="NT15" s="958"/>
      <c r="NU15" s="958"/>
      <c r="NV15" s="958"/>
      <c r="NW15" s="958"/>
      <c r="NX15" s="958"/>
      <c r="NY15" s="958"/>
      <c r="NZ15" s="958"/>
      <c r="OA15" s="958"/>
      <c r="OB15" s="958"/>
      <c r="OC15" s="958"/>
      <c r="OD15" s="958"/>
      <c r="OE15" s="958"/>
      <c r="OF15" s="958"/>
      <c r="OG15" s="958"/>
      <c r="OH15" s="958"/>
      <c r="OI15" s="958"/>
      <c r="OJ15" s="958"/>
      <c r="OK15" s="958"/>
      <c r="OL15" s="958"/>
      <c r="OM15" s="958"/>
      <c r="ON15" s="958"/>
      <c r="OO15" s="958"/>
      <c r="OP15" s="958"/>
      <c r="OQ15" s="958"/>
      <c r="OR15" s="958"/>
      <c r="OS15" s="958"/>
      <c r="OT15" s="958"/>
      <c r="OU15" s="958"/>
      <c r="OV15" s="958"/>
      <c r="OW15" s="958"/>
      <c r="OX15" s="958"/>
      <c r="OY15" s="958"/>
      <c r="OZ15" s="958"/>
      <c r="PA15" s="958"/>
      <c r="PB15" s="958"/>
      <c r="PC15" s="958"/>
      <c r="PD15" s="958"/>
      <c r="PE15" s="958"/>
      <c r="PF15" s="958"/>
      <c r="PG15" s="958"/>
      <c r="PH15" s="958"/>
      <c r="PI15" s="958"/>
      <c r="PJ15" s="958"/>
      <c r="PK15" s="958"/>
      <c r="PL15" s="958"/>
      <c r="PM15" s="958"/>
      <c r="PN15" s="958"/>
      <c r="PO15" s="958"/>
      <c r="PP15" s="958"/>
      <c r="PQ15" s="958"/>
      <c r="PR15" s="958"/>
      <c r="PS15" s="958"/>
      <c r="PT15" s="958"/>
      <c r="PU15" s="958"/>
      <c r="PV15" s="958"/>
      <c r="PW15" s="958"/>
      <c r="PX15" s="958"/>
      <c r="PY15" s="958"/>
      <c r="PZ15" s="958"/>
      <c r="QA15" s="958"/>
      <c r="QB15" s="958"/>
      <c r="QC15" s="958"/>
      <c r="QD15" s="958"/>
      <c r="QE15" s="958"/>
      <c r="QF15" s="958"/>
      <c r="QG15" s="958"/>
      <c r="QH15" s="958"/>
      <c r="QI15" s="958"/>
      <c r="QJ15" s="958"/>
      <c r="QK15" s="958"/>
      <c r="QL15" s="958"/>
      <c r="QM15" s="958"/>
      <c r="QN15" s="958"/>
      <c r="QO15" s="958"/>
      <c r="QP15" s="958"/>
      <c r="QQ15" s="958"/>
      <c r="QR15" s="958"/>
      <c r="QS15" s="958"/>
      <c r="QT15" s="958"/>
      <c r="QU15" s="958"/>
      <c r="QV15" s="958"/>
      <c r="QW15" s="958"/>
      <c r="QX15" s="958"/>
      <c r="QY15" s="958"/>
      <c r="QZ15" s="958"/>
      <c r="RA15" s="958"/>
      <c r="RB15" s="958"/>
      <c r="RC15" s="958"/>
      <c r="RD15" s="958"/>
      <c r="RE15" s="958"/>
      <c r="RF15" s="958"/>
      <c r="RG15" s="958"/>
      <c r="RH15" s="958"/>
      <c r="RI15" s="958"/>
      <c r="RJ15" s="958"/>
      <c r="RK15" s="958"/>
      <c r="RL15" s="958"/>
      <c r="RM15" s="958"/>
      <c r="RN15" s="958"/>
      <c r="RO15" s="958"/>
      <c r="RP15" s="958"/>
      <c r="RQ15" s="958"/>
      <c r="RR15" s="958"/>
      <c r="RS15" s="958"/>
      <c r="RT15" s="958"/>
      <c r="RU15" s="958"/>
      <c r="RV15" s="958"/>
      <c r="RW15" s="958"/>
      <c r="RX15" s="958"/>
      <c r="RY15" s="958"/>
      <c r="RZ15" s="958"/>
      <c r="SA15" s="958"/>
      <c r="SB15" s="958"/>
      <c r="SC15" s="958"/>
      <c r="SD15" s="958"/>
      <c r="SE15" s="958"/>
      <c r="SF15" s="958"/>
      <c r="SG15" s="958"/>
      <c r="SH15" s="958"/>
      <c r="SI15" s="958"/>
      <c r="SJ15" s="958"/>
      <c r="SK15" s="958"/>
      <c r="SL15" s="958"/>
      <c r="SM15" s="958"/>
      <c r="SN15" s="958"/>
      <c r="SO15" s="958"/>
      <c r="SP15" s="958"/>
      <c r="SQ15" s="958"/>
      <c r="SR15" s="958"/>
      <c r="SS15" s="958"/>
      <c r="ST15" s="958"/>
      <c r="SU15" s="958"/>
      <c r="SV15" s="958"/>
      <c r="SW15" s="958"/>
      <c r="SX15" s="958"/>
      <c r="SY15" s="958"/>
      <c r="SZ15" s="958"/>
      <c r="TA15" s="958"/>
      <c r="TB15" s="958"/>
      <c r="TC15" s="958"/>
      <c r="TD15" s="958"/>
      <c r="TE15" s="958"/>
      <c r="TF15" s="958"/>
      <c r="TG15" s="958"/>
      <c r="TH15" s="958"/>
      <c r="TI15" s="958"/>
      <c r="TJ15" s="958"/>
      <c r="TK15" s="958"/>
      <c r="TL15" s="958"/>
      <c r="TM15" s="958"/>
      <c r="TN15" s="958"/>
      <c r="TO15" s="958"/>
      <c r="TP15" s="958"/>
      <c r="TQ15" s="958"/>
      <c r="TR15" s="958"/>
      <c r="TS15" s="958"/>
      <c r="TT15" s="958"/>
      <c r="TU15" s="958"/>
      <c r="TV15" s="958"/>
      <c r="TW15" s="958"/>
      <c r="TX15" s="958"/>
      <c r="TY15" s="958"/>
      <c r="TZ15" s="958"/>
      <c r="UA15" s="958"/>
      <c r="UB15" s="958"/>
      <c r="UC15" s="958"/>
      <c r="UD15" s="958"/>
      <c r="UE15" s="958"/>
      <c r="UF15" s="958"/>
      <c r="UG15" s="958"/>
      <c r="UH15" s="958"/>
      <c r="UI15" s="958"/>
      <c r="UJ15" s="958"/>
      <c r="UK15" s="958"/>
      <c r="UL15" s="958"/>
      <c r="UM15" s="958"/>
      <c r="UN15" s="958"/>
      <c r="UO15" s="958"/>
      <c r="UP15" s="958"/>
      <c r="UQ15" s="958"/>
      <c r="UR15" s="958"/>
      <c r="US15" s="958"/>
      <c r="UT15" s="958"/>
      <c r="UU15" s="958"/>
      <c r="UV15" s="958"/>
      <c r="UW15" s="958"/>
      <c r="UX15" s="958"/>
      <c r="UY15" s="958"/>
      <c r="UZ15" s="958"/>
      <c r="VA15" s="958"/>
      <c r="VB15" s="958"/>
      <c r="VC15" s="958"/>
      <c r="VD15" s="958"/>
      <c r="VE15" s="958"/>
      <c r="VF15" s="958"/>
      <c r="VG15" s="958"/>
      <c r="VH15" s="958"/>
      <c r="VI15" s="958"/>
      <c r="VJ15" s="958"/>
      <c r="VK15" s="958"/>
      <c r="VL15" s="958"/>
      <c r="VM15" s="958"/>
      <c r="VN15" s="958"/>
      <c r="VO15" s="958"/>
      <c r="VP15" s="958"/>
      <c r="VQ15" s="958"/>
      <c r="VR15" s="958"/>
      <c r="VS15" s="958"/>
      <c r="VT15" s="958"/>
      <c r="VU15" s="958"/>
      <c r="VV15" s="958"/>
      <c r="VW15" s="958"/>
      <c r="VX15" s="958"/>
      <c r="VY15" s="958"/>
      <c r="VZ15" s="958"/>
      <c r="WA15" s="958"/>
      <c r="WB15" s="958"/>
      <c r="WC15" s="958"/>
      <c r="WD15" s="958"/>
      <c r="WE15" s="958"/>
      <c r="WF15" s="958"/>
      <c r="WG15" s="958"/>
      <c r="WH15" s="958"/>
      <c r="WI15" s="958"/>
      <c r="WJ15" s="958"/>
      <c r="WK15" s="958"/>
      <c r="WL15" s="958"/>
      <c r="WM15" s="958"/>
      <c r="WN15" s="958"/>
      <c r="WO15" s="958"/>
      <c r="WP15" s="958"/>
      <c r="WQ15" s="958"/>
      <c r="WR15" s="958"/>
      <c r="WS15" s="958"/>
      <c r="WT15" s="958"/>
      <c r="WU15" s="958"/>
      <c r="WV15" s="958"/>
      <c r="WW15" s="958"/>
      <c r="WX15" s="958"/>
      <c r="WY15" s="958"/>
      <c r="WZ15" s="958"/>
      <c r="XA15" s="958"/>
      <c r="XB15" s="958"/>
      <c r="XC15" s="958"/>
      <c r="XD15" s="958"/>
      <c r="XE15" s="958"/>
      <c r="XF15" s="958"/>
      <c r="XG15" s="958"/>
      <c r="XH15" s="958"/>
      <c r="XI15" s="958"/>
      <c r="XJ15" s="958"/>
      <c r="XK15" s="958"/>
      <c r="XL15" s="958"/>
      <c r="XM15" s="958"/>
      <c r="XN15" s="958"/>
      <c r="XO15" s="958"/>
      <c r="XP15" s="958"/>
      <c r="XQ15" s="958"/>
      <c r="XR15" s="958"/>
      <c r="XS15" s="958"/>
      <c r="XT15" s="958"/>
      <c r="XU15" s="958"/>
      <c r="XV15" s="958"/>
      <c r="XW15" s="958"/>
      <c r="XX15" s="958"/>
      <c r="XY15" s="958"/>
      <c r="XZ15" s="958"/>
      <c r="YA15" s="958"/>
      <c r="YB15" s="958"/>
      <c r="YC15" s="958"/>
      <c r="YD15" s="958"/>
      <c r="YE15" s="958"/>
      <c r="YF15" s="958"/>
      <c r="YG15" s="958"/>
      <c r="YH15" s="958"/>
      <c r="YI15" s="958"/>
      <c r="YJ15" s="958"/>
      <c r="YK15" s="958"/>
      <c r="YL15" s="958"/>
      <c r="YM15" s="958"/>
      <c r="YN15" s="958"/>
      <c r="YO15" s="958"/>
      <c r="YP15" s="958"/>
      <c r="YQ15" s="958"/>
      <c r="YR15" s="958"/>
      <c r="YS15" s="958"/>
      <c r="YT15" s="958"/>
      <c r="YU15" s="958"/>
      <c r="YV15" s="958"/>
      <c r="YW15" s="958"/>
      <c r="YX15" s="958"/>
      <c r="YY15" s="958"/>
      <c r="YZ15" s="958"/>
      <c r="ZA15" s="958"/>
      <c r="ZB15" s="958"/>
      <c r="ZC15" s="958"/>
      <c r="ZD15" s="958"/>
      <c r="ZE15" s="958"/>
      <c r="ZF15" s="958"/>
      <c r="ZG15" s="958"/>
      <c r="ZH15" s="958"/>
      <c r="ZI15" s="958"/>
      <c r="ZJ15" s="958"/>
      <c r="ZK15" s="958"/>
      <c r="ZL15" s="958"/>
      <c r="ZM15" s="958"/>
      <c r="ZN15" s="958"/>
      <c r="ZO15" s="958"/>
      <c r="ZP15" s="958"/>
      <c r="ZQ15" s="958"/>
      <c r="ZR15" s="958"/>
      <c r="ZS15" s="958"/>
      <c r="ZT15" s="958"/>
      <c r="ZU15" s="958"/>
      <c r="ZV15" s="958"/>
      <c r="ZW15" s="958"/>
      <c r="ZX15" s="958"/>
      <c r="ZY15" s="958"/>
      <c r="ZZ15" s="958"/>
      <c r="AAA15" s="958"/>
      <c r="AAB15" s="958"/>
      <c r="AAC15" s="958"/>
      <c r="AAD15" s="958"/>
      <c r="AAE15" s="958"/>
      <c r="AAF15" s="958"/>
      <c r="AAG15" s="958"/>
      <c r="AAH15" s="958"/>
      <c r="AAI15" s="958"/>
      <c r="AAJ15" s="958"/>
      <c r="AAK15" s="958"/>
      <c r="AAL15" s="958"/>
      <c r="AAM15" s="958"/>
      <c r="AAN15" s="958"/>
      <c r="AAO15" s="958"/>
      <c r="AAP15" s="958"/>
      <c r="AAQ15" s="958"/>
      <c r="AAR15" s="958"/>
      <c r="AAS15" s="958"/>
      <c r="AAT15" s="958"/>
      <c r="AAU15" s="958"/>
      <c r="AAV15" s="958"/>
      <c r="AAW15" s="958"/>
      <c r="AAX15" s="958"/>
      <c r="AAY15" s="958"/>
      <c r="AAZ15" s="958"/>
      <c r="ABA15" s="958"/>
      <c r="ABB15" s="958"/>
      <c r="ABC15" s="958"/>
      <c r="ABD15" s="958"/>
      <c r="ABE15" s="958"/>
      <c r="ABF15" s="958"/>
      <c r="ABG15" s="958"/>
      <c r="ABH15" s="958"/>
      <c r="ABI15" s="958"/>
      <c r="ABJ15" s="958"/>
      <c r="ABK15" s="958"/>
      <c r="ABL15" s="958"/>
      <c r="ABM15" s="958"/>
      <c r="ABN15" s="958"/>
      <c r="ABO15" s="958"/>
      <c r="ABP15" s="958"/>
      <c r="ABQ15" s="958"/>
      <c r="ABR15" s="958"/>
      <c r="ABS15" s="958"/>
      <c r="ABT15" s="958"/>
      <c r="ABU15" s="958"/>
      <c r="ABV15" s="958"/>
      <c r="ABW15" s="958"/>
      <c r="ABX15" s="958"/>
      <c r="ABY15" s="958"/>
      <c r="ABZ15" s="958"/>
      <c r="ACA15" s="958"/>
      <c r="ACB15" s="958"/>
      <c r="ACC15" s="958"/>
      <c r="ACD15" s="958"/>
      <c r="ACE15" s="958"/>
      <c r="ACF15" s="958"/>
      <c r="ACG15" s="958"/>
      <c r="ACH15" s="958"/>
      <c r="ACI15" s="958"/>
      <c r="ACJ15" s="958"/>
      <c r="ACK15" s="958"/>
      <c r="ACL15" s="958"/>
      <c r="ACM15" s="958"/>
      <c r="ACN15" s="958"/>
      <c r="ACO15" s="958"/>
      <c r="ACP15" s="958"/>
      <c r="ACQ15" s="958"/>
      <c r="ACR15" s="958"/>
      <c r="ACS15" s="958"/>
      <c r="ACT15" s="958"/>
      <c r="ACU15" s="958"/>
      <c r="ACV15" s="958"/>
      <c r="ACW15" s="958"/>
      <c r="ACX15" s="958"/>
      <c r="ACY15" s="958"/>
      <c r="ACZ15" s="958"/>
      <c r="ADA15" s="958"/>
      <c r="ADB15" s="958"/>
      <c r="ADC15" s="958"/>
      <c r="ADD15" s="958"/>
      <c r="ADE15" s="958"/>
      <c r="ADF15" s="958"/>
      <c r="ADG15" s="958"/>
      <c r="ADH15" s="958"/>
      <c r="ADI15" s="958"/>
      <c r="ADJ15" s="958"/>
      <c r="ADK15" s="958"/>
      <c r="ADL15" s="958"/>
      <c r="ADM15" s="958"/>
      <c r="ADN15" s="958"/>
      <c r="ADO15" s="958"/>
      <c r="ADP15" s="958"/>
      <c r="ADQ15" s="958"/>
      <c r="ADR15" s="958"/>
      <c r="ADS15" s="958"/>
      <c r="ADT15" s="958"/>
      <c r="ADU15" s="958"/>
      <c r="ADV15" s="958"/>
      <c r="ADW15" s="958"/>
      <c r="ADX15" s="958"/>
      <c r="ADY15" s="958"/>
      <c r="ADZ15" s="958"/>
      <c r="AEA15" s="958"/>
      <c r="AEB15" s="958"/>
      <c r="AEC15" s="958"/>
      <c r="AED15" s="958"/>
      <c r="AEE15" s="958"/>
      <c r="AEF15" s="958"/>
      <c r="AEG15" s="958"/>
      <c r="AEH15" s="958"/>
      <c r="AEI15" s="958"/>
      <c r="AEJ15" s="958"/>
      <c r="AEK15" s="958"/>
      <c r="AEL15" s="958"/>
      <c r="AEM15" s="958"/>
      <c r="AEN15" s="958"/>
      <c r="AEO15" s="958"/>
      <c r="AEP15" s="958"/>
      <c r="AEQ15" s="958"/>
      <c r="AER15" s="958"/>
      <c r="AES15" s="958"/>
      <c r="AET15" s="958"/>
      <c r="AEU15" s="958"/>
      <c r="AEV15" s="958"/>
      <c r="AEW15" s="958"/>
      <c r="AEX15" s="958"/>
      <c r="AEY15" s="958"/>
      <c r="AEZ15" s="958"/>
      <c r="AFA15" s="958"/>
      <c r="AFB15" s="958"/>
      <c r="AFC15" s="958"/>
      <c r="AFD15" s="958"/>
      <c r="AFE15" s="958"/>
      <c r="AFF15" s="958"/>
      <c r="AFG15" s="958"/>
      <c r="AFH15" s="958"/>
      <c r="AFI15" s="958"/>
      <c r="AFJ15" s="958"/>
      <c r="AFK15" s="958"/>
      <c r="AFL15" s="958"/>
      <c r="AFM15" s="958"/>
      <c r="AFN15" s="958"/>
      <c r="AFO15" s="958"/>
      <c r="AFP15" s="958"/>
      <c r="AFQ15" s="958"/>
      <c r="AFR15" s="958"/>
      <c r="AFS15" s="958"/>
      <c r="AFT15" s="958"/>
      <c r="AFU15" s="958"/>
      <c r="AFV15" s="958"/>
      <c r="AFW15" s="958"/>
      <c r="AFX15" s="958"/>
      <c r="AFY15" s="958"/>
      <c r="AFZ15" s="958"/>
      <c r="AGA15" s="958"/>
      <c r="AGB15" s="958"/>
      <c r="AGC15" s="958"/>
      <c r="AGD15" s="958"/>
      <c r="AGE15" s="958"/>
      <c r="AGF15" s="958"/>
      <c r="AGG15" s="958"/>
      <c r="AGH15" s="958"/>
      <c r="AGI15" s="958"/>
      <c r="AGJ15" s="958"/>
      <c r="AGK15" s="958"/>
      <c r="AGL15" s="958"/>
      <c r="AGM15" s="958"/>
      <c r="AGN15" s="958"/>
      <c r="AGO15" s="958"/>
      <c r="AGP15" s="958"/>
      <c r="AGQ15" s="958"/>
      <c r="AGR15" s="958"/>
      <c r="AGS15" s="958"/>
      <c r="AGT15" s="958"/>
      <c r="AGU15" s="958"/>
      <c r="AGV15" s="958"/>
      <c r="AGW15" s="958"/>
      <c r="AGX15" s="958"/>
      <c r="AGY15" s="958"/>
      <c r="AGZ15" s="958"/>
      <c r="AHA15" s="958"/>
      <c r="AHB15" s="958"/>
      <c r="AHC15" s="958"/>
      <c r="AHD15" s="958"/>
      <c r="AHE15" s="958"/>
      <c r="AHF15" s="958"/>
      <c r="AHG15" s="958"/>
      <c r="AHH15" s="958"/>
      <c r="AHI15" s="958"/>
      <c r="AHJ15" s="958"/>
      <c r="AHK15" s="958"/>
      <c r="AHL15" s="958"/>
      <c r="AHM15" s="958"/>
      <c r="AHN15" s="958"/>
      <c r="AHO15" s="958"/>
      <c r="AHP15" s="958"/>
      <c r="AHQ15" s="958"/>
      <c r="AHR15" s="958"/>
      <c r="AHS15" s="958"/>
      <c r="AHT15" s="958"/>
      <c r="AHU15" s="958"/>
      <c r="AHV15" s="958"/>
      <c r="AHW15" s="958"/>
      <c r="AHX15" s="958"/>
      <c r="AHY15" s="958"/>
      <c r="AHZ15" s="958"/>
      <c r="AIA15" s="958"/>
      <c r="AIB15" s="958"/>
      <c r="AIC15" s="958"/>
      <c r="AID15" s="958"/>
      <c r="AIE15" s="958"/>
      <c r="AIF15" s="958"/>
      <c r="AIG15" s="958"/>
      <c r="AIH15" s="958"/>
      <c r="AII15" s="958"/>
      <c r="AIJ15" s="958"/>
      <c r="AIK15" s="958"/>
      <c r="AIL15" s="958"/>
      <c r="AIM15" s="958"/>
      <c r="AIN15" s="958"/>
      <c r="AIO15" s="958"/>
      <c r="AIP15" s="958"/>
      <c r="AIQ15" s="958"/>
      <c r="AIR15" s="958"/>
      <c r="AIS15" s="958"/>
      <c r="AIT15" s="958"/>
      <c r="AIU15" s="958"/>
      <c r="AIV15" s="958"/>
      <c r="AIW15" s="958"/>
      <c r="AIX15" s="958"/>
      <c r="AIY15" s="958"/>
      <c r="AIZ15" s="958"/>
      <c r="AJA15" s="958"/>
      <c r="AJB15" s="958"/>
      <c r="AJC15" s="958"/>
      <c r="AJD15" s="958"/>
      <c r="AJE15" s="958"/>
      <c r="AJF15" s="958"/>
      <c r="AJG15" s="958"/>
      <c r="AJH15" s="958"/>
      <c r="AJI15" s="958"/>
      <c r="AJJ15" s="958"/>
      <c r="AJK15" s="958"/>
      <c r="AJL15" s="958"/>
      <c r="AJM15" s="958"/>
      <c r="AJN15" s="958"/>
      <c r="AJO15" s="958"/>
      <c r="AJP15" s="958"/>
      <c r="AJQ15" s="958"/>
      <c r="AJR15" s="958"/>
      <c r="AJS15" s="958"/>
      <c r="AJT15" s="958"/>
      <c r="AJU15" s="958"/>
      <c r="AJV15" s="958"/>
      <c r="AJW15" s="958"/>
      <c r="AJX15" s="958"/>
      <c r="AJY15" s="958"/>
      <c r="AJZ15" s="958"/>
      <c r="AKA15" s="958"/>
      <c r="AKB15" s="958"/>
      <c r="AKC15" s="958"/>
      <c r="AKD15" s="958"/>
      <c r="AKE15" s="958"/>
      <c r="AKF15" s="958"/>
      <c r="AKG15" s="958"/>
      <c r="AKH15" s="958"/>
      <c r="AKI15" s="958"/>
      <c r="AKJ15" s="958"/>
      <c r="AKK15" s="958"/>
      <c r="AKL15" s="958"/>
      <c r="AKM15" s="958"/>
      <c r="AKN15" s="958"/>
      <c r="AKO15" s="958"/>
      <c r="AKP15" s="958"/>
      <c r="AKQ15" s="958"/>
      <c r="AKR15" s="958"/>
      <c r="AKS15" s="958"/>
      <c r="AKT15" s="958"/>
      <c r="AKU15" s="958"/>
      <c r="AKV15" s="958"/>
      <c r="AKW15" s="958"/>
      <c r="AKX15" s="958"/>
      <c r="AKY15" s="958"/>
      <c r="AKZ15" s="958"/>
      <c r="ALA15" s="958"/>
      <c r="ALB15" s="958"/>
      <c r="ALC15" s="958"/>
      <c r="ALD15" s="958"/>
      <c r="ALE15" s="958"/>
      <c r="ALF15" s="958"/>
      <c r="ALG15" s="958"/>
      <c r="ALH15" s="958"/>
      <c r="ALI15" s="958"/>
      <c r="ALJ15" s="958"/>
      <c r="ALK15" s="958"/>
      <c r="ALL15" s="958"/>
      <c r="ALM15" s="958"/>
      <c r="ALN15" s="958"/>
      <c r="ALO15" s="958"/>
      <c r="ALP15" s="958"/>
      <c r="ALQ15" s="958"/>
      <c r="ALR15" s="958"/>
      <c r="ALS15" s="958"/>
      <c r="ALT15" s="958"/>
      <c r="ALU15" s="958"/>
      <c r="ALV15" s="958"/>
      <c r="ALW15" s="958"/>
      <c r="ALX15" s="958"/>
      <c r="ALY15" s="958"/>
      <c r="ALZ15" s="958"/>
      <c r="AMA15" s="958"/>
      <c r="AMB15" s="958"/>
      <c r="AMC15" s="958"/>
      <c r="AMD15" s="958"/>
      <c r="AME15" s="958"/>
      <c r="AMF15" s="958"/>
      <c r="AMG15" s="958"/>
      <c r="AMH15" s="958"/>
      <c r="AMI15" s="958"/>
      <c r="AMJ15" s="958"/>
      <c r="AMK15" s="958"/>
      <c r="AML15" s="958"/>
      <c r="AMM15" s="958"/>
      <c r="AMN15" s="958"/>
      <c r="AMO15" s="958"/>
      <c r="AMP15" s="958"/>
      <c r="AMQ15" s="958"/>
      <c r="AMR15" s="958"/>
      <c r="AMS15" s="958"/>
      <c r="AMT15" s="958"/>
      <c r="AMU15" s="958"/>
      <c r="AMV15" s="958"/>
      <c r="AMW15" s="958"/>
      <c r="AMX15" s="958"/>
      <c r="AMY15" s="958"/>
      <c r="AMZ15" s="958"/>
      <c r="ANA15" s="958"/>
      <c r="ANB15" s="958"/>
      <c r="ANC15" s="958"/>
      <c r="AND15" s="958"/>
      <c r="ANE15" s="958"/>
      <c r="ANF15" s="958"/>
      <c r="ANG15" s="958"/>
      <c r="ANH15" s="958"/>
      <c r="ANI15" s="958"/>
      <c r="ANJ15" s="958"/>
      <c r="ANK15" s="958"/>
      <c r="ANL15" s="958"/>
      <c r="ANM15" s="958"/>
      <c r="ANN15" s="958"/>
      <c r="ANO15" s="958"/>
      <c r="ANP15" s="958"/>
      <c r="ANQ15" s="958"/>
      <c r="ANR15" s="958"/>
      <c r="ANS15" s="958"/>
      <c r="ANT15" s="958"/>
      <c r="ANU15" s="958"/>
      <c r="ANV15" s="958"/>
      <c r="ANW15" s="958"/>
      <c r="ANX15" s="958"/>
      <c r="ANY15" s="958"/>
      <c r="ANZ15" s="958"/>
      <c r="AOA15" s="958"/>
      <c r="AOB15" s="958"/>
      <c r="AOC15" s="958"/>
      <c r="AOD15" s="958"/>
      <c r="AOE15" s="958"/>
      <c r="AOF15" s="958"/>
      <c r="AOG15" s="958"/>
      <c r="AOH15" s="958"/>
      <c r="AOI15" s="958"/>
      <c r="AOJ15" s="958"/>
      <c r="AOK15" s="958"/>
      <c r="AOL15" s="958"/>
      <c r="AOM15" s="958"/>
      <c r="AON15" s="958"/>
      <c r="AOO15" s="958"/>
      <c r="AOP15" s="958"/>
      <c r="AOQ15" s="958"/>
      <c r="AOR15" s="958"/>
      <c r="AOS15" s="958"/>
      <c r="AOT15" s="958"/>
      <c r="AOU15" s="958"/>
      <c r="AOV15" s="958"/>
      <c r="AOW15" s="958"/>
      <c r="AOX15" s="958"/>
      <c r="AOY15" s="958"/>
      <c r="AOZ15" s="958"/>
      <c r="APA15" s="958"/>
      <c r="APB15" s="958"/>
      <c r="APC15" s="958"/>
      <c r="APD15" s="958"/>
      <c r="APE15" s="958"/>
      <c r="APF15" s="958"/>
      <c r="APG15" s="958"/>
      <c r="APH15" s="958"/>
      <c r="API15" s="958"/>
      <c r="APJ15" s="958"/>
      <c r="APK15" s="958"/>
      <c r="APL15" s="958"/>
      <c r="APM15" s="958"/>
      <c r="APN15" s="958"/>
      <c r="APO15" s="958"/>
      <c r="APP15" s="958"/>
      <c r="APQ15" s="958"/>
      <c r="APR15" s="958"/>
      <c r="APS15" s="958"/>
      <c r="APT15" s="958"/>
      <c r="APU15" s="958"/>
      <c r="APV15" s="958"/>
      <c r="APW15" s="958"/>
      <c r="APX15" s="958"/>
      <c r="APY15" s="958"/>
      <c r="APZ15" s="958"/>
      <c r="AQA15" s="958"/>
      <c r="AQB15" s="958"/>
      <c r="AQC15" s="958"/>
      <c r="AQD15" s="958"/>
      <c r="AQE15" s="958"/>
      <c r="AQF15" s="958"/>
      <c r="AQG15" s="958"/>
      <c r="AQH15" s="958"/>
      <c r="AQI15" s="958"/>
      <c r="AQJ15" s="958"/>
      <c r="AQK15" s="958"/>
      <c r="AQL15" s="958"/>
      <c r="AQM15" s="958"/>
      <c r="AQN15" s="958"/>
      <c r="AQO15" s="958"/>
      <c r="AQP15" s="958"/>
      <c r="AQQ15" s="958"/>
      <c r="AQR15" s="958"/>
      <c r="AQS15" s="958"/>
      <c r="AQT15" s="958"/>
      <c r="AQU15" s="958"/>
      <c r="AQV15" s="958"/>
      <c r="AQW15" s="958"/>
      <c r="AQX15" s="958"/>
      <c r="AQY15" s="958"/>
      <c r="AQZ15" s="958"/>
      <c r="ARA15" s="958"/>
      <c r="ARB15" s="958"/>
      <c r="ARC15" s="958"/>
      <c r="ARD15" s="958"/>
      <c r="ARE15" s="958"/>
      <c r="ARF15" s="958"/>
      <c r="ARG15" s="958"/>
      <c r="ARH15" s="958"/>
      <c r="ARI15" s="958"/>
      <c r="ARJ15" s="958"/>
      <c r="ARK15" s="958"/>
      <c r="ARL15" s="958"/>
      <c r="ARM15" s="958"/>
      <c r="ARN15" s="958"/>
      <c r="ARO15" s="958"/>
      <c r="ARP15" s="958"/>
      <c r="ARQ15" s="958"/>
      <c r="ARR15" s="958"/>
      <c r="ARS15" s="958"/>
      <c r="ART15" s="958"/>
      <c r="ARU15" s="958"/>
      <c r="ARV15" s="958"/>
      <c r="ARW15" s="958"/>
      <c r="ARX15" s="958"/>
      <c r="ARY15" s="958"/>
      <c r="ARZ15" s="958"/>
      <c r="ASA15" s="958"/>
      <c r="ASB15" s="958"/>
      <c r="ASC15" s="958"/>
      <c r="ASD15" s="958"/>
      <c r="ASE15" s="958"/>
      <c r="ASF15" s="958"/>
      <c r="ASG15" s="958"/>
      <c r="ASH15" s="958"/>
      <c r="ASI15" s="958"/>
      <c r="ASJ15" s="958"/>
      <c r="ASK15" s="958"/>
      <c r="ASL15" s="958"/>
      <c r="ASM15" s="958"/>
      <c r="ASN15" s="958"/>
      <c r="ASO15" s="958"/>
      <c r="ASP15" s="958"/>
      <c r="ASQ15" s="958"/>
      <c r="ASR15" s="958"/>
      <c r="ASS15" s="958"/>
      <c r="AST15" s="958"/>
      <c r="ASU15" s="958"/>
      <c r="ASV15" s="958"/>
      <c r="ASW15" s="958"/>
      <c r="ASX15" s="958"/>
      <c r="ASY15" s="958"/>
      <c r="ASZ15" s="958"/>
    </row>
    <row r="16" spans="1:1196" s="22" customFormat="1" ht="56.25" customHeight="1" thickTop="1" thickBot="1">
      <c r="A16" s="2846"/>
      <c r="B16" s="2992"/>
      <c r="C16" s="2959"/>
      <c r="D16" s="111" t="s">
        <v>203</v>
      </c>
      <c r="E16" s="177" t="s">
        <v>202</v>
      </c>
      <c r="F16" s="177" t="s">
        <v>101</v>
      </c>
      <c r="G16" s="959">
        <v>18352160015</v>
      </c>
      <c r="H16" s="130"/>
      <c r="I16" s="965"/>
      <c r="J16" s="130"/>
      <c r="K16" s="179" t="s">
        <v>196</v>
      </c>
      <c r="L16" s="953">
        <v>611738668</v>
      </c>
      <c r="M16" s="954">
        <v>266691102</v>
      </c>
      <c r="N16" s="73">
        <f t="shared" si="3"/>
        <v>0.43595593339213273</v>
      </c>
      <c r="O16" s="953">
        <v>611738668</v>
      </c>
      <c r="P16" s="954">
        <v>37480679</v>
      </c>
      <c r="Q16" s="73">
        <f t="shared" si="4"/>
        <v>6.1269102250047724E-2</v>
      </c>
      <c r="R16" s="953">
        <v>611738668</v>
      </c>
      <c r="S16" s="954">
        <v>11510736889</v>
      </c>
      <c r="T16" s="73">
        <f t="shared" si="5"/>
        <v>18.816428470400371</v>
      </c>
      <c r="U16" s="953">
        <v>2446954668</v>
      </c>
      <c r="V16" s="954">
        <v>1952157</v>
      </c>
      <c r="W16" s="73">
        <f t="shared" si="6"/>
        <v>7.9779042314485579E-4</v>
      </c>
      <c r="X16" s="953">
        <v>2446954668</v>
      </c>
      <c r="Y16" s="954">
        <v>0</v>
      </c>
      <c r="Z16" s="73">
        <f t="shared" si="7"/>
        <v>0</v>
      </c>
      <c r="AA16" s="953">
        <v>2446954668</v>
      </c>
      <c r="AB16" s="953">
        <v>130801304</v>
      </c>
      <c r="AC16" s="73">
        <f t="shared" si="8"/>
        <v>5.3454731185073184E-2</v>
      </c>
      <c r="AD16" s="955">
        <f t="shared" si="9"/>
        <v>11947662131</v>
      </c>
      <c r="AE16" s="956">
        <f t="shared" si="10"/>
        <v>0.65102212062420273</v>
      </c>
      <c r="AF16" s="955">
        <v>2446954668</v>
      </c>
      <c r="AG16" s="954">
        <v>90553044</v>
      </c>
      <c r="AH16" s="73">
        <f t="shared" si="11"/>
        <v>3.7006424836636985E-2</v>
      </c>
      <c r="AI16" s="953">
        <v>2446954668</v>
      </c>
      <c r="AJ16" s="954">
        <v>247380951</v>
      </c>
      <c r="AK16" s="73">
        <f t="shared" si="12"/>
        <v>0.10109748015977549</v>
      </c>
      <c r="AL16" s="953">
        <v>2446954668</v>
      </c>
      <c r="AM16" s="954">
        <v>39334168</v>
      </c>
      <c r="AN16" s="73">
        <f t="shared" si="13"/>
        <v>1.6074743236722682E-2</v>
      </c>
      <c r="AO16" s="953">
        <v>611738667</v>
      </c>
      <c r="AP16" s="954">
        <v>7921515405</v>
      </c>
      <c r="AQ16" s="73">
        <f t="shared" si="14"/>
        <v>12.949182113740736</v>
      </c>
      <c r="AR16" s="953">
        <v>611738668</v>
      </c>
      <c r="AS16" s="954">
        <v>57046682</v>
      </c>
      <c r="AT16" s="73">
        <f t="shared" si="15"/>
        <v>9.3253353080502019E-2</v>
      </c>
      <c r="AU16" s="953">
        <v>611738668</v>
      </c>
      <c r="AV16" s="954">
        <v>2396161731</v>
      </c>
      <c r="AW16" s="73">
        <f t="shared" si="16"/>
        <v>3.9169695432756262</v>
      </c>
      <c r="AX16" s="957">
        <f t="shared" si="17"/>
        <v>22699654112</v>
      </c>
      <c r="AY16" s="956">
        <f t="shared" si="18"/>
        <v>1.2368927741174123</v>
      </c>
      <c r="AZ16" s="958"/>
      <c r="BA16" s="958"/>
      <c r="BB16" s="958"/>
      <c r="BC16" s="958"/>
      <c r="BD16" s="958"/>
      <c r="BE16" s="958"/>
      <c r="BF16" s="958"/>
      <c r="BG16" s="958"/>
      <c r="BH16" s="958"/>
      <c r="BI16" s="958"/>
      <c r="BJ16" s="958"/>
      <c r="BK16" s="958"/>
      <c r="BL16" s="958"/>
      <c r="BM16" s="958"/>
      <c r="BN16" s="958"/>
      <c r="BO16" s="958"/>
      <c r="BP16" s="958"/>
      <c r="BQ16" s="958"/>
      <c r="BR16" s="958"/>
      <c r="BS16" s="958"/>
      <c r="BT16" s="958"/>
      <c r="BU16" s="958"/>
      <c r="BV16" s="958"/>
      <c r="BW16" s="958"/>
      <c r="BX16" s="958"/>
      <c r="BY16" s="958"/>
      <c r="BZ16" s="958"/>
      <c r="CA16" s="958"/>
      <c r="CB16" s="958"/>
      <c r="CC16" s="958"/>
      <c r="CD16" s="958"/>
      <c r="CE16" s="958"/>
      <c r="CF16" s="958"/>
      <c r="CG16" s="958"/>
      <c r="CH16" s="958"/>
      <c r="CI16" s="958"/>
      <c r="CJ16" s="958"/>
      <c r="CK16" s="958"/>
      <c r="CL16" s="958"/>
      <c r="CM16" s="958"/>
      <c r="CN16" s="958"/>
      <c r="CO16" s="958"/>
      <c r="CP16" s="958"/>
      <c r="CQ16" s="958"/>
      <c r="CR16" s="958"/>
      <c r="CS16" s="958"/>
      <c r="CT16" s="958"/>
      <c r="CU16" s="958"/>
      <c r="CV16" s="958"/>
      <c r="CW16" s="958"/>
      <c r="CX16" s="958"/>
      <c r="CY16" s="958"/>
      <c r="CZ16" s="958"/>
      <c r="DA16" s="958"/>
      <c r="DB16" s="958"/>
      <c r="DC16" s="958"/>
      <c r="DD16" s="958"/>
      <c r="DE16" s="958"/>
      <c r="DF16" s="958"/>
      <c r="DG16" s="958"/>
      <c r="DH16" s="958"/>
      <c r="DI16" s="958"/>
      <c r="DJ16" s="958"/>
      <c r="DK16" s="958"/>
      <c r="DL16" s="958"/>
      <c r="DM16" s="958"/>
      <c r="DN16" s="958"/>
      <c r="DO16" s="958"/>
      <c r="DP16" s="958"/>
      <c r="DQ16" s="958"/>
      <c r="DR16" s="958"/>
      <c r="DS16" s="958"/>
      <c r="DT16" s="958"/>
      <c r="DU16" s="958"/>
      <c r="DV16" s="958"/>
      <c r="DW16" s="958"/>
      <c r="DX16" s="958"/>
      <c r="DY16" s="958"/>
      <c r="DZ16" s="958"/>
      <c r="EA16" s="958"/>
      <c r="EB16" s="958"/>
      <c r="EC16" s="958"/>
      <c r="ED16" s="958"/>
      <c r="EE16" s="958"/>
      <c r="EF16" s="958"/>
      <c r="EG16" s="958"/>
      <c r="EH16" s="958"/>
      <c r="EI16" s="958"/>
      <c r="EJ16" s="958"/>
      <c r="EK16" s="958"/>
      <c r="EL16" s="958"/>
      <c r="EM16" s="958"/>
      <c r="EN16" s="958"/>
      <c r="EO16" s="958"/>
      <c r="EP16" s="958"/>
      <c r="EQ16" s="958"/>
      <c r="ER16" s="958"/>
      <c r="ES16" s="958"/>
      <c r="ET16" s="958"/>
      <c r="EU16" s="958"/>
      <c r="EV16" s="958"/>
      <c r="EW16" s="958"/>
      <c r="EX16" s="958"/>
      <c r="EY16" s="958"/>
      <c r="EZ16" s="958"/>
      <c r="FA16" s="958"/>
      <c r="FB16" s="958"/>
      <c r="FC16" s="958"/>
      <c r="FD16" s="958"/>
      <c r="FE16" s="958"/>
      <c r="FF16" s="958"/>
      <c r="FG16" s="958"/>
      <c r="FH16" s="958"/>
      <c r="FI16" s="958"/>
      <c r="FJ16" s="958"/>
      <c r="FK16" s="958"/>
      <c r="FL16" s="958"/>
      <c r="FM16" s="958"/>
      <c r="FN16" s="958"/>
      <c r="FO16" s="958"/>
      <c r="FP16" s="958"/>
      <c r="FQ16" s="958"/>
      <c r="FR16" s="958"/>
      <c r="FS16" s="958"/>
      <c r="FT16" s="958"/>
      <c r="FU16" s="958"/>
      <c r="FV16" s="958"/>
      <c r="FW16" s="958"/>
      <c r="FX16" s="958"/>
      <c r="FY16" s="958"/>
      <c r="FZ16" s="958"/>
      <c r="GA16" s="958"/>
      <c r="GB16" s="958"/>
      <c r="GC16" s="958"/>
      <c r="GD16" s="958"/>
      <c r="GE16" s="958"/>
      <c r="GF16" s="958"/>
      <c r="GG16" s="958"/>
      <c r="GH16" s="958"/>
      <c r="GI16" s="958"/>
      <c r="GJ16" s="958"/>
      <c r="GK16" s="958"/>
      <c r="GL16" s="958"/>
      <c r="GM16" s="958"/>
      <c r="GN16" s="958"/>
      <c r="GO16" s="958"/>
      <c r="GP16" s="958"/>
      <c r="GQ16" s="958"/>
      <c r="GR16" s="958"/>
      <c r="GS16" s="958"/>
      <c r="GT16" s="958"/>
      <c r="GU16" s="958"/>
      <c r="GV16" s="958"/>
      <c r="GW16" s="958"/>
      <c r="GX16" s="958"/>
      <c r="GY16" s="958"/>
      <c r="GZ16" s="958"/>
      <c r="HA16" s="958"/>
      <c r="HB16" s="958"/>
      <c r="HC16" s="958"/>
      <c r="HD16" s="958"/>
      <c r="HE16" s="958"/>
      <c r="HF16" s="958"/>
      <c r="HG16" s="958"/>
      <c r="HH16" s="958"/>
      <c r="HI16" s="958"/>
      <c r="HJ16" s="958"/>
      <c r="HK16" s="958"/>
      <c r="HL16" s="958"/>
      <c r="HM16" s="958"/>
      <c r="HN16" s="958"/>
      <c r="HO16" s="958"/>
      <c r="HP16" s="958"/>
      <c r="HQ16" s="958"/>
      <c r="HR16" s="958"/>
      <c r="HS16" s="958"/>
      <c r="HT16" s="958"/>
      <c r="HU16" s="958"/>
      <c r="HV16" s="958"/>
      <c r="HW16" s="958"/>
      <c r="HX16" s="958"/>
      <c r="HY16" s="958"/>
      <c r="HZ16" s="958"/>
      <c r="IA16" s="958"/>
      <c r="IB16" s="958"/>
      <c r="IC16" s="958"/>
      <c r="ID16" s="958"/>
      <c r="IE16" s="958"/>
      <c r="IF16" s="958"/>
      <c r="IG16" s="958"/>
      <c r="IH16" s="958"/>
      <c r="II16" s="958"/>
      <c r="IJ16" s="958"/>
      <c r="IK16" s="958"/>
      <c r="IL16" s="958"/>
      <c r="IM16" s="958"/>
      <c r="IN16" s="958"/>
      <c r="IO16" s="958"/>
      <c r="IP16" s="958"/>
      <c r="IQ16" s="958"/>
      <c r="IR16" s="958"/>
      <c r="IS16" s="958"/>
      <c r="IT16" s="958"/>
      <c r="IU16" s="958"/>
      <c r="IV16" s="958"/>
      <c r="IW16" s="958"/>
      <c r="IX16" s="958"/>
      <c r="IY16" s="958"/>
      <c r="IZ16" s="958"/>
      <c r="JA16" s="958"/>
      <c r="JB16" s="958"/>
      <c r="JC16" s="958"/>
      <c r="JD16" s="958"/>
      <c r="JE16" s="958"/>
      <c r="JF16" s="958"/>
      <c r="JG16" s="958"/>
      <c r="JH16" s="958"/>
      <c r="JI16" s="958"/>
      <c r="JJ16" s="958"/>
      <c r="JK16" s="958"/>
      <c r="JL16" s="958"/>
      <c r="JM16" s="958"/>
      <c r="JN16" s="958"/>
      <c r="JO16" s="958"/>
      <c r="JP16" s="958"/>
      <c r="JQ16" s="958"/>
      <c r="JR16" s="958"/>
      <c r="JS16" s="958"/>
      <c r="JT16" s="958"/>
      <c r="JU16" s="958"/>
      <c r="JV16" s="958"/>
      <c r="JW16" s="958"/>
      <c r="JX16" s="958"/>
      <c r="JY16" s="958"/>
      <c r="JZ16" s="958"/>
      <c r="KA16" s="958"/>
      <c r="KB16" s="958"/>
      <c r="KC16" s="958"/>
      <c r="KD16" s="958"/>
      <c r="KE16" s="958"/>
      <c r="KF16" s="958"/>
      <c r="KG16" s="958"/>
      <c r="KH16" s="958"/>
      <c r="KI16" s="958"/>
      <c r="KJ16" s="958"/>
      <c r="KK16" s="958"/>
      <c r="KL16" s="958"/>
      <c r="KM16" s="958"/>
      <c r="KN16" s="958"/>
      <c r="KO16" s="958"/>
      <c r="KP16" s="958"/>
      <c r="KQ16" s="958"/>
      <c r="KR16" s="958"/>
      <c r="KS16" s="958"/>
      <c r="KT16" s="958"/>
      <c r="KU16" s="958"/>
      <c r="KV16" s="958"/>
      <c r="KW16" s="958"/>
      <c r="KX16" s="958"/>
      <c r="KY16" s="958"/>
      <c r="KZ16" s="958"/>
      <c r="LA16" s="958"/>
      <c r="LB16" s="958"/>
      <c r="LC16" s="958"/>
      <c r="LD16" s="958"/>
      <c r="LE16" s="958"/>
      <c r="LF16" s="958"/>
      <c r="LG16" s="958"/>
      <c r="LH16" s="958"/>
      <c r="LI16" s="958"/>
      <c r="LJ16" s="958"/>
      <c r="LK16" s="958"/>
      <c r="LL16" s="958"/>
      <c r="LM16" s="958"/>
      <c r="LN16" s="958"/>
      <c r="LO16" s="958"/>
      <c r="LP16" s="958"/>
      <c r="LQ16" s="958"/>
      <c r="LR16" s="958"/>
      <c r="LS16" s="958"/>
      <c r="LT16" s="958"/>
      <c r="LU16" s="958"/>
      <c r="LV16" s="958"/>
      <c r="LW16" s="958"/>
      <c r="LX16" s="958"/>
      <c r="LY16" s="958"/>
      <c r="LZ16" s="958"/>
      <c r="MA16" s="958"/>
      <c r="MB16" s="958"/>
      <c r="MC16" s="958"/>
      <c r="MD16" s="958"/>
      <c r="ME16" s="958"/>
      <c r="MF16" s="958"/>
      <c r="MG16" s="958"/>
      <c r="MH16" s="958"/>
      <c r="MI16" s="958"/>
      <c r="MJ16" s="958"/>
      <c r="MK16" s="958"/>
      <c r="ML16" s="958"/>
      <c r="MM16" s="958"/>
      <c r="MN16" s="958"/>
      <c r="MO16" s="958"/>
      <c r="MP16" s="958"/>
      <c r="MQ16" s="958"/>
      <c r="MR16" s="958"/>
      <c r="MS16" s="958"/>
      <c r="MT16" s="958"/>
      <c r="MU16" s="958"/>
      <c r="MV16" s="958"/>
      <c r="MW16" s="958"/>
      <c r="MX16" s="958"/>
      <c r="MY16" s="958"/>
      <c r="MZ16" s="958"/>
      <c r="NA16" s="958"/>
      <c r="NB16" s="958"/>
      <c r="NC16" s="958"/>
      <c r="ND16" s="958"/>
      <c r="NE16" s="958"/>
      <c r="NF16" s="958"/>
      <c r="NG16" s="958"/>
      <c r="NH16" s="958"/>
      <c r="NI16" s="958"/>
      <c r="NJ16" s="958"/>
      <c r="NK16" s="958"/>
      <c r="NL16" s="958"/>
      <c r="NM16" s="958"/>
      <c r="NN16" s="958"/>
      <c r="NO16" s="958"/>
      <c r="NP16" s="958"/>
      <c r="NQ16" s="958"/>
      <c r="NR16" s="958"/>
      <c r="NS16" s="958"/>
      <c r="NT16" s="958"/>
      <c r="NU16" s="958"/>
      <c r="NV16" s="958"/>
      <c r="NW16" s="958"/>
      <c r="NX16" s="958"/>
      <c r="NY16" s="958"/>
      <c r="NZ16" s="958"/>
      <c r="OA16" s="958"/>
      <c r="OB16" s="958"/>
      <c r="OC16" s="958"/>
      <c r="OD16" s="958"/>
      <c r="OE16" s="958"/>
      <c r="OF16" s="958"/>
      <c r="OG16" s="958"/>
      <c r="OH16" s="958"/>
      <c r="OI16" s="958"/>
      <c r="OJ16" s="958"/>
      <c r="OK16" s="958"/>
      <c r="OL16" s="958"/>
      <c r="OM16" s="958"/>
      <c r="ON16" s="958"/>
      <c r="OO16" s="958"/>
      <c r="OP16" s="958"/>
      <c r="OQ16" s="958"/>
      <c r="OR16" s="958"/>
      <c r="OS16" s="958"/>
      <c r="OT16" s="958"/>
      <c r="OU16" s="958"/>
      <c r="OV16" s="958"/>
      <c r="OW16" s="958"/>
      <c r="OX16" s="958"/>
      <c r="OY16" s="958"/>
      <c r="OZ16" s="958"/>
      <c r="PA16" s="958"/>
      <c r="PB16" s="958"/>
      <c r="PC16" s="958"/>
      <c r="PD16" s="958"/>
      <c r="PE16" s="958"/>
      <c r="PF16" s="958"/>
      <c r="PG16" s="958"/>
      <c r="PH16" s="958"/>
      <c r="PI16" s="958"/>
      <c r="PJ16" s="958"/>
      <c r="PK16" s="958"/>
      <c r="PL16" s="958"/>
      <c r="PM16" s="958"/>
      <c r="PN16" s="958"/>
      <c r="PO16" s="958"/>
      <c r="PP16" s="958"/>
      <c r="PQ16" s="958"/>
      <c r="PR16" s="958"/>
      <c r="PS16" s="958"/>
      <c r="PT16" s="958"/>
      <c r="PU16" s="958"/>
      <c r="PV16" s="958"/>
      <c r="PW16" s="958"/>
      <c r="PX16" s="958"/>
      <c r="PY16" s="958"/>
      <c r="PZ16" s="958"/>
      <c r="QA16" s="958"/>
      <c r="QB16" s="958"/>
      <c r="QC16" s="958"/>
      <c r="QD16" s="958"/>
      <c r="QE16" s="958"/>
      <c r="QF16" s="958"/>
      <c r="QG16" s="958"/>
      <c r="QH16" s="958"/>
      <c r="QI16" s="958"/>
      <c r="QJ16" s="958"/>
      <c r="QK16" s="958"/>
      <c r="QL16" s="958"/>
      <c r="QM16" s="958"/>
      <c r="QN16" s="958"/>
      <c r="QO16" s="958"/>
      <c r="QP16" s="958"/>
      <c r="QQ16" s="958"/>
      <c r="QR16" s="958"/>
      <c r="QS16" s="958"/>
      <c r="QT16" s="958"/>
      <c r="QU16" s="958"/>
      <c r="QV16" s="958"/>
      <c r="QW16" s="958"/>
      <c r="QX16" s="958"/>
      <c r="QY16" s="958"/>
      <c r="QZ16" s="958"/>
      <c r="RA16" s="958"/>
      <c r="RB16" s="958"/>
      <c r="RC16" s="958"/>
      <c r="RD16" s="958"/>
      <c r="RE16" s="958"/>
      <c r="RF16" s="958"/>
      <c r="RG16" s="958"/>
      <c r="RH16" s="958"/>
      <c r="RI16" s="958"/>
      <c r="RJ16" s="958"/>
      <c r="RK16" s="958"/>
      <c r="RL16" s="958"/>
      <c r="RM16" s="958"/>
      <c r="RN16" s="958"/>
      <c r="RO16" s="958"/>
      <c r="RP16" s="958"/>
      <c r="RQ16" s="958"/>
      <c r="RR16" s="958"/>
      <c r="RS16" s="958"/>
      <c r="RT16" s="958"/>
      <c r="RU16" s="958"/>
      <c r="RV16" s="958"/>
      <c r="RW16" s="958"/>
      <c r="RX16" s="958"/>
      <c r="RY16" s="958"/>
      <c r="RZ16" s="958"/>
      <c r="SA16" s="958"/>
      <c r="SB16" s="958"/>
      <c r="SC16" s="958"/>
      <c r="SD16" s="958"/>
      <c r="SE16" s="958"/>
      <c r="SF16" s="958"/>
      <c r="SG16" s="958"/>
      <c r="SH16" s="958"/>
      <c r="SI16" s="958"/>
      <c r="SJ16" s="958"/>
      <c r="SK16" s="958"/>
      <c r="SL16" s="958"/>
      <c r="SM16" s="958"/>
      <c r="SN16" s="958"/>
      <c r="SO16" s="958"/>
      <c r="SP16" s="958"/>
      <c r="SQ16" s="958"/>
      <c r="SR16" s="958"/>
      <c r="SS16" s="958"/>
      <c r="ST16" s="958"/>
      <c r="SU16" s="958"/>
      <c r="SV16" s="958"/>
      <c r="SW16" s="958"/>
      <c r="SX16" s="958"/>
      <c r="SY16" s="958"/>
      <c r="SZ16" s="958"/>
      <c r="TA16" s="958"/>
      <c r="TB16" s="958"/>
      <c r="TC16" s="958"/>
      <c r="TD16" s="958"/>
      <c r="TE16" s="958"/>
      <c r="TF16" s="958"/>
      <c r="TG16" s="958"/>
      <c r="TH16" s="958"/>
      <c r="TI16" s="958"/>
      <c r="TJ16" s="958"/>
      <c r="TK16" s="958"/>
      <c r="TL16" s="958"/>
      <c r="TM16" s="958"/>
      <c r="TN16" s="958"/>
      <c r="TO16" s="958"/>
      <c r="TP16" s="958"/>
      <c r="TQ16" s="958"/>
      <c r="TR16" s="958"/>
      <c r="TS16" s="958"/>
      <c r="TT16" s="958"/>
      <c r="TU16" s="958"/>
      <c r="TV16" s="958"/>
      <c r="TW16" s="958"/>
      <c r="TX16" s="958"/>
      <c r="TY16" s="958"/>
      <c r="TZ16" s="958"/>
      <c r="UA16" s="958"/>
      <c r="UB16" s="958"/>
      <c r="UC16" s="958"/>
      <c r="UD16" s="958"/>
      <c r="UE16" s="958"/>
      <c r="UF16" s="958"/>
      <c r="UG16" s="958"/>
      <c r="UH16" s="958"/>
      <c r="UI16" s="958"/>
      <c r="UJ16" s="958"/>
      <c r="UK16" s="958"/>
      <c r="UL16" s="958"/>
      <c r="UM16" s="958"/>
      <c r="UN16" s="958"/>
      <c r="UO16" s="958"/>
      <c r="UP16" s="958"/>
      <c r="UQ16" s="958"/>
      <c r="UR16" s="958"/>
      <c r="US16" s="958"/>
      <c r="UT16" s="958"/>
      <c r="UU16" s="958"/>
      <c r="UV16" s="958"/>
      <c r="UW16" s="958"/>
      <c r="UX16" s="958"/>
      <c r="UY16" s="958"/>
      <c r="UZ16" s="958"/>
      <c r="VA16" s="958"/>
      <c r="VB16" s="958"/>
      <c r="VC16" s="958"/>
      <c r="VD16" s="958"/>
      <c r="VE16" s="958"/>
      <c r="VF16" s="958"/>
      <c r="VG16" s="958"/>
      <c r="VH16" s="958"/>
      <c r="VI16" s="958"/>
      <c r="VJ16" s="958"/>
      <c r="VK16" s="958"/>
      <c r="VL16" s="958"/>
      <c r="VM16" s="958"/>
      <c r="VN16" s="958"/>
      <c r="VO16" s="958"/>
      <c r="VP16" s="958"/>
      <c r="VQ16" s="958"/>
      <c r="VR16" s="958"/>
      <c r="VS16" s="958"/>
      <c r="VT16" s="958"/>
      <c r="VU16" s="958"/>
      <c r="VV16" s="958"/>
      <c r="VW16" s="958"/>
      <c r="VX16" s="958"/>
      <c r="VY16" s="958"/>
      <c r="VZ16" s="958"/>
      <c r="WA16" s="958"/>
      <c r="WB16" s="958"/>
      <c r="WC16" s="958"/>
      <c r="WD16" s="958"/>
      <c r="WE16" s="958"/>
      <c r="WF16" s="958"/>
      <c r="WG16" s="958"/>
      <c r="WH16" s="958"/>
      <c r="WI16" s="958"/>
      <c r="WJ16" s="958"/>
      <c r="WK16" s="958"/>
      <c r="WL16" s="958"/>
      <c r="WM16" s="958"/>
      <c r="WN16" s="958"/>
      <c r="WO16" s="958"/>
      <c r="WP16" s="958"/>
      <c r="WQ16" s="958"/>
      <c r="WR16" s="958"/>
      <c r="WS16" s="958"/>
      <c r="WT16" s="958"/>
      <c r="WU16" s="958"/>
      <c r="WV16" s="958"/>
      <c r="WW16" s="958"/>
      <c r="WX16" s="958"/>
      <c r="WY16" s="958"/>
      <c r="WZ16" s="958"/>
      <c r="XA16" s="958"/>
      <c r="XB16" s="958"/>
      <c r="XC16" s="958"/>
      <c r="XD16" s="958"/>
      <c r="XE16" s="958"/>
      <c r="XF16" s="958"/>
      <c r="XG16" s="958"/>
      <c r="XH16" s="958"/>
      <c r="XI16" s="958"/>
      <c r="XJ16" s="958"/>
      <c r="XK16" s="958"/>
      <c r="XL16" s="958"/>
      <c r="XM16" s="958"/>
      <c r="XN16" s="958"/>
      <c r="XO16" s="958"/>
      <c r="XP16" s="958"/>
      <c r="XQ16" s="958"/>
      <c r="XR16" s="958"/>
      <c r="XS16" s="958"/>
      <c r="XT16" s="958"/>
      <c r="XU16" s="958"/>
      <c r="XV16" s="958"/>
      <c r="XW16" s="958"/>
      <c r="XX16" s="958"/>
      <c r="XY16" s="958"/>
      <c r="XZ16" s="958"/>
      <c r="YA16" s="958"/>
      <c r="YB16" s="958"/>
      <c r="YC16" s="958"/>
      <c r="YD16" s="958"/>
      <c r="YE16" s="958"/>
      <c r="YF16" s="958"/>
      <c r="YG16" s="958"/>
      <c r="YH16" s="958"/>
      <c r="YI16" s="958"/>
      <c r="YJ16" s="958"/>
      <c r="YK16" s="958"/>
      <c r="YL16" s="958"/>
      <c r="YM16" s="958"/>
      <c r="YN16" s="958"/>
      <c r="YO16" s="958"/>
      <c r="YP16" s="958"/>
      <c r="YQ16" s="958"/>
      <c r="YR16" s="958"/>
      <c r="YS16" s="958"/>
      <c r="YT16" s="958"/>
      <c r="YU16" s="958"/>
      <c r="YV16" s="958"/>
      <c r="YW16" s="958"/>
      <c r="YX16" s="958"/>
      <c r="YY16" s="958"/>
      <c r="YZ16" s="958"/>
      <c r="ZA16" s="958"/>
      <c r="ZB16" s="958"/>
      <c r="ZC16" s="958"/>
      <c r="ZD16" s="958"/>
      <c r="ZE16" s="958"/>
      <c r="ZF16" s="958"/>
      <c r="ZG16" s="958"/>
      <c r="ZH16" s="958"/>
      <c r="ZI16" s="958"/>
      <c r="ZJ16" s="958"/>
      <c r="ZK16" s="958"/>
      <c r="ZL16" s="958"/>
      <c r="ZM16" s="958"/>
      <c r="ZN16" s="958"/>
      <c r="ZO16" s="958"/>
      <c r="ZP16" s="958"/>
      <c r="ZQ16" s="958"/>
      <c r="ZR16" s="958"/>
      <c r="ZS16" s="958"/>
      <c r="ZT16" s="958"/>
      <c r="ZU16" s="958"/>
      <c r="ZV16" s="958"/>
      <c r="ZW16" s="958"/>
      <c r="ZX16" s="958"/>
      <c r="ZY16" s="958"/>
      <c r="ZZ16" s="958"/>
      <c r="AAA16" s="958"/>
      <c r="AAB16" s="958"/>
      <c r="AAC16" s="958"/>
      <c r="AAD16" s="958"/>
      <c r="AAE16" s="958"/>
      <c r="AAF16" s="958"/>
      <c r="AAG16" s="958"/>
      <c r="AAH16" s="958"/>
      <c r="AAI16" s="958"/>
      <c r="AAJ16" s="958"/>
      <c r="AAK16" s="958"/>
      <c r="AAL16" s="958"/>
      <c r="AAM16" s="958"/>
      <c r="AAN16" s="958"/>
      <c r="AAO16" s="958"/>
      <c r="AAP16" s="958"/>
      <c r="AAQ16" s="958"/>
      <c r="AAR16" s="958"/>
      <c r="AAS16" s="958"/>
      <c r="AAT16" s="958"/>
      <c r="AAU16" s="958"/>
      <c r="AAV16" s="958"/>
      <c r="AAW16" s="958"/>
      <c r="AAX16" s="958"/>
      <c r="AAY16" s="958"/>
      <c r="AAZ16" s="958"/>
      <c r="ABA16" s="958"/>
      <c r="ABB16" s="958"/>
      <c r="ABC16" s="958"/>
      <c r="ABD16" s="958"/>
      <c r="ABE16" s="958"/>
      <c r="ABF16" s="958"/>
      <c r="ABG16" s="958"/>
      <c r="ABH16" s="958"/>
      <c r="ABI16" s="958"/>
      <c r="ABJ16" s="958"/>
      <c r="ABK16" s="958"/>
      <c r="ABL16" s="958"/>
      <c r="ABM16" s="958"/>
      <c r="ABN16" s="958"/>
      <c r="ABO16" s="958"/>
      <c r="ABP16" s="958"/>
      <c r="ABQ16" s="958"/>
      <c r="ABR16" s="958"/>
      <c r="ABS16" s="958"/>
      <c r="ABT16" s="958"/>
      <c r="ABU16" s="958"/>
      <c r="ABV16" s="958"/>
      <c r="ABW16" s="958"/>
      <c r="ABX16" s="958"/>
      <c r="ABY16" s="958"/>
      <c r="ABZ16" s="958"/>
      <c r="ACA16" s="958"/>
      <c r="ACB16" s="958"/>
      <c r="ACC16" s="958"/>
      <c r="ACD16" s="958"/>
      <c r="ACE16" s="958"/>
      <c r="ACF16" s="958"/>
      <c r="ACG16" s="958"/>
      <c r="ACH16" s="958"/>
      <c r="ACI16" s="958"/>
      <c r="ACJ16" s="958"/>
      <c r="ACK16" s="958"/>
      <c r="ACL16" s="958"/>
      <c r="ACM16" s="958"/>
      <c r="ACN16" s="958"/>
      <c r="ACO16" s="958"/>
      <c r="ACP16" s="958"/>
      <c r="ACQ16" s="958"/>
      <c r="ACR16" s="958"/>
      <c r="ACS16" s="958"/>
      <c r="ACT16" s="958"/>
      <c r="ACU16" s="958"/>
      <c r="ACV16" s="958"/>
      <c r="ACW16" s="958"/>
      <c r="ACX16" s="958"/>
      <c r="ACY16" s="958"/>
      <c r="ACZ16" s="958"/>
      <c r="ADA16" s="958"/>
      <c r="ADB16" s="958"/>
      <c r="ADC16" s="958"/>
      <c r="ADD16" s="958"/>
      <c r="ADE16" s="958"/>
      <c r="ADF16" s="958"/>
      <c r="ADG16" s="958"/>
      <c r="ADH16" s="958"/>
      <c r="ADI16" s="958"/>
      <c r="ADJ16" s="958"/>
      <c r="ADK16" s="958"/>
      <c r="ADL16" s="958"/>
      <c r="ADM16" s="958"/>
      <c r="ADN16" s="958"/>
      <c r="ADO16" s="958"/>
      <c r="ADP16" s="958"/>
      <c r="ADQ16" s="958"/>
      <c r="ADR16" s="958"/>
      <c r="ADS16" s="958"/>
      <c r="ADT16" s="958"/>
      <c r="ADU16" s="958"/>
      <c r="ADV16" s="958"/>
      <c r="ADW16" s="958"/>
      <c r="ADX16" s="958"/>
      <c r="ADY16" s="958"/>
      <c r="ADZ16" s="958"/>
      <c r="AEA16" s="958"/>
      <c r="AEB16" s="958"/>
      <c r="AEC16" s="958"/>
      <c r="AED16" s="958"/>
      <c r="AEE16" s="958"/>
      <c r="AEF16" s="958"/>
      <c r="AEG16" s="958"/>
      <c r="AEH16" s="958"/>
      <c r="AEI16" s="958"/>
      <c r="AEJ16" s="958"/>
      <c r="AEK16" s="958"/>
      <c r="AEL16" s="958"/>
      <c r="AEM16" s="958"/>
      <c r="AEN16" s="958"/>
      <c r="AEO16" s="958"/>
      <c r="AEP16" s="958"/>
      <c r="AEQ16" s="958"/>
      <c r="AER16" s="958"/>
      <c r="AES16" s="958"/>
      <c r="AET16" s="958"/>
      <c r="AEU16" s="958"/>
      <c r="AEV16" s="958"/>
      <c r="AEW16" s="958"/>
      <c r="AEX16" s="958"/>
      <c r="AEY16" s="958"/>
      <c r="AEZ16" s="958"/>
      <c r="AFA16" s="958"/>
      <c r="AFB16" s="958"/>
      <c r="AFC16" s="958"/>
      <c r="AFD16" s="958"/>
      <c r="AFE16" s="958"/>
      <c r="AFF16" s="958"/>
      <c r="AFG16" s="958"/>
      <c r="AFH16" s="958"/>
      <c r="AFI16" s="958"/>
      <c r="AFJ16" s="958"/>
      <c r="AFK16" s="958"/>
      <c r="AFL16" s="958"/>
      <c r="AFM16" s="958"/>
      <c r="AFN16" s="958"/>
      <c r="AFO16" s="958"/>
      <c r="AFP16" s="958"/>
      <c r="AFQ16" s="958"/>
      <c r="AFR16" s="958"/>
      <c r="AFS16" s="958"/>
      <c r="AFT16" s="958"/>
      <c r="AFU16" s="958"/>
      <c r="AFV16" s="958"/>
      <c r="AFW16" s="958"/>
      <c r="AFX16" s="958"/>
      <c r="AFY16" s="958"/>
      <c r="AFZ16" s="958"/>
      <c r="AGA16" s="958"/>
      <c r="AGB16" s="958"/>
      <c r="AGC16" s="958"/>
      <c r="AGD16" s="958"/>
      <c r="AGE16" s="958"/>
      <c r="AGF16" s="958"/>
      <c r="AGG16" s="958"/>
      <c r="AGH16" s="958"/>
      <c r="AGI16" s="958"/>
      <c r="AGJ16" s="958"/>
      <c r="AGK16" s="958"/>
      <c r="AGL16" s="958"/>
      <c r="AGM16" s="958"/>
      <c r="AGN16" s="958"/>
      <c r="AGO16" s="958"/>
      <c r="AGP16" s="958"/>
      <c r="AGQ16" s="958"/>
      <c r="AGR16" s="958"/>
      <c r="AGS16" s="958"/>
      <c r="AGT16" s="958"/>
      <c r="AGU16" s="958"/>
      <c r="AGV16" s="958"/>
      <c r="AGW16" s="958"/>
      <c r="AGX16" s="958"/>
      <c r="AGY16" s="958"/>
      <c r="AGZ16" s="958"/>
      <c r="AHA16" s="958"/>
      <c r="AHB16" s="958"/>
      <c r="AHC16" s="958"/>
      <c r="AHD16" s="958"/>
      <c r="AHE16" s="958"/>
      <c r="AHF16" s="958"/>
      <c r="AHG16" s="958"/>
      <c r="AHH16" s="958"/>
      <c r="AHI16" s="958"/>
      <c r="AHJ16" s="958"/>
      <c r="AHK16" s="958"/>
      <c r="AHL16" s="958"/>
      <c r="AHM16" s="958"/>
      <c r="AHN16" s="958"/>
      <c r="AHO16" s="958"/>
      <c r="AHP16" s="958"/>
      <c r="AHQ16" s="958"/>
      <c r="AHR16" s="958"/>
      <c r="AHS16" s="958"/>
      <c r="AHT16" s="958"/>
      <c r="AHU16" s="958"/>
      <c r="AHV16" s="958"/>
      <c r="AHW16" s="958"/>
      <c r="AHX16" s="958"/>
      <c r="AHY16" s="958"/>
      <c r="AHZ16" s="958"/>
      <c r="AIA16" s="958"/>
      <c r="AIB16" s="958"/>
      <c r="AIC16" s="958"/>
      <c r="AID16" s="958"/>
      <c r="AIE16" s="958"/>
      <c r="AIF16" s="958"/>
      <c r="AIG16" s="958"/>
      <c r="AIH16" s="958"/>
      <c r="AII16" s="958"/>
      <c r="AIJ16" s="958"/>
      <c r="AIK16" s="958"/>
      <c r="AIL16" s="958"/>
      <c r="AIM16" s="958"/>
      <c r="AIN16" s="958"/>
      <c r="AIO16" s="958"/>
      <c r="AIP16" s="958"/>
      <c r="AIQ16" s="958"/>
      <c r="AIR16" s="958"/>
      <c r="AIS16" s="958"/>
      <c r="AIT16" s="958"/>
      <c r="AIU16" s="958"/>
      <c r="AIV16" s="958"/>
      <c r="AIW16" s="958"/>
      <c r="AIX16" s="958"/>
      <c r="AIY16" s="958"/>
      <c r="AIZ16" s="958"/>
      <c r="AJA16" s="958"/>
      <c r="AJB16" s="958"/>
      <c r="AJC16" s="958"/>
      <c r="AJD16" s="958"/>
      <c r="AJE16" s="958"/>
      <c r="AJF16" s="958"/>
      <c r="AJG16" s="958"/>
      <c r="AJH16" s="958"/>
      <c r="AJI16" s="958"/>
      <c r="AJJ16" s="958"/>
      <c r="AJK16" s="958"/>
      <c r="AJL16" s="958"/>
      <c r="AJM16" s="958"/>
      <c r="AJN16" s="958"/>
      <c r="AJO16" s="958"/>
      <c r="AJP16" s="958"/>
      <c r="AJQ16" s="958"/>
      <c r="AJR16" s="958"/>
      <c r="AJS16" s="958"/>
      <c r="AJT16" s="958"/>
      <c r="AJU16" s="958"/>
      <c r="AJV16" s="958"/>
      <c r="AJW16" s="958"/>
      <c r="AJX16" s="958"/>
      <c r="AJY16" s="958"/>
      <c r="AJZ16" s="958"/>
      <c r="AKA16" s="958"/>
      <c r="AKB16" s="958"/>
      <c r="AKC16" s="958"/>
      <c r="AKD16" s="958"/>
      <c r="AKE16" s="958"/>
      <c r="AKF16" s="958"/>
      <c r="AKG16" s="958"/>
      <c r="AKH16" s="958"/>
      <c r="AKI16" s="958"/>
      <c r="AKJ16" s="958"/>
      <c r="AKK16" s="958"/>
      <c r="AKL16" s="958"/>
      <c r="AKM16" s="958"/>
      <c r="AKN16" s="958"/>
      <c r="AKO16" s="958"/>
      <c r="AKP16" s="958"/>
      <c r="AKQ16" s="958"/>
      <c r="AKR16" s="958"/>
      <c r="AKS16" s="958"/>
      <c r="AKT16" s="958"/>
      <c r="AKU16" s="958"/>
      <c r="AKV16" s="958"/>
      <c r="AKW16" s="958"/>
      <c r="AKX16" s="958"/>
      <c r="AKY16" s="958"/>
      <c r="AKZ16" s="958"/>
      <c r="ALA16" s="958"/>
      <c r="ALB16" s="958"/>
      <c r="ALC16" s="958"/>
      <c r="ALD16" s="958"/>
      <c r="ALE16" s="958"/>
      <c r="ALF16" s="958"/>
      <c r="ALG16" s="958"/>
      <c r="ALH16" s="958"/>
      <c r="ALI16" s="958"/>
      <c r="ALJ16" s="958"/>
      <c r="ALK16" s="958"/>
      <c r="ALL16" s="958"/>
      <c r="ALM16" s="958"/>
      <c r="ALN16" s="958"/>
      <c r="ALO16" s="958"/>
      <c r="ALP16" s="958"/>
      <c r="ALQ16" s="958"/>
      <c r="ALR16" s="958"/>
      <c r="ALS16" s="958"/>
      <c r="ALT16" s="958"/>
      <c r="ALU16" s="958"/>
      <c r="ALV16" s="958"/>
      <c r="ALW16" s="958"/>
      <c r="ALX16" s="958"/>
      <c r="ALY16" s="958"/>
      <c r="ALZ16" s="958"/>
      <c r="AMA16" s="958"/>
      <c r="AMB16" s="958"/>
      <c r="AMC16" s="958"/>
      <c r="AMD16" s="958"/>
      <c r="AME16" s="958"/>
      <c r="AMF16" s="958"/>
      <c r="AMG16" s="958"/>
      <c r="AMH16" s="958"/>
      <c r="AMI16" s="958"/>
      <c r="AMJ16" s="958"/>
      <c r="AMK16" s="958"/>
      <c r="AML16" s="958"/>
      <c r="AMM16" s="958"/>
      <c r="AMN16" s="958"/>
      <c r="AMO16" s="958"/>
      <c r="AMP16" s="958"/>
      <c r="AMQ16" s="958"/>
      <c r="AMR16" s="958"/>
      <c r="AMS16" s="958"/>
      <c r="AMT16" s="958"/>
      <c r="AMU16" s="958"/>
      <c r="AMV16" s="958"/>
      <c r="AMW16" s="958"/>
      <c r="AMX16" s="958"/>
      <c r="AMY16" s="958"/>
      <c r="AMZ16" s="958"/>
      <c r="ANA16" s="958"/>
      <c r="ANB16" s="958"/>
      <c r="ANC16" s="958"/>
      <c r="AND16" s="958"/>
      <c r="ANE16" s="958"/>
      <c r="ANF16" s="958"/>
      <c r="ANG16" s="958"/>
      <c r="ANH16" s="958"/>
      <c r="ANI16" s="958"/>
      <c r="ANJ16" s="958"/>
      <c r="ANK16" s="958"/>
      <c r="ANL16" s="958"/>
      <c r="ANM16" s="958"/>
      <c r="ANN16" s="958"/>
      <c r="ANO16" s="958"/>
      <c r="ANP16" s="958"/>
      <c r="ANQ16" s="958"/>
      <c r="ANR16" s="958"/>
      <c r="ANS16" s="958"/>
      <c r="ANT16" s="958"/>
      <c r="ANU16" s="958"/>
      <c r="ANV16" s="958"/>
      <c r="ANW16" s="958"/>
      <c r="ANX16" s="958"/>
      <c r="ANY16" s="958"/>
      <c r="ANZ16" s="958"/>
      <c r="AOA16" s="958"/>
      <c r="AOB16" s="958"/>
      <c r="AOC16" s="958"/>
      <c r="AOD16" s="958"/>
      <c r="AOE16" s="958"/>
      <c r="AOF16" s="958"/>
      <c r="AOG16" s="958"/>
      <c r="AOH16" s="958"/>
      <c r="AOI16" s="958"/>
      <c r="AOJ16" s="958"/>
      <c r="AOK16" s="958"/>
      <c r="AOL16" s="958"/>
      <c r="AOM16" s="958"/>
      <c r="AON16" s="958"/>
      <c r="AOO16" s="958"/>
      <c r="AOP16" s="958"/>
      <c r="AOQ16" s="958"/>
      <c r="AOR16" s="958"/>
      <c r="AOS16" s="958"/>
      <c r="AOT16" s="958"/>
      <c r="AOU16" s="958"/>
      <c r="AOV16" s="958"/>
      <c r="AOW16" s="958"/>
      <c r="AOX16" s="958"/>
      <c r="AOY16" s="958"/>
      <c r="AOZ16" s="958"/>
      <c r="APA16" s="958"/>
      <c r="APB16" s="958"/>
      <c r="APC16" s="958"/>
      <c r="APD16" s="958"/>
      <c r="APE16" s="958"/>
      <c r="APF16" s="958"/>
      <c r="APG16" s="958"/>
      <c r="APH16" s="958"/>
      <c r="API16" s="958"/>
      <c r="APJ16" s="958"/>
      <c r="APK16" s="958"/>
      <c r="APL16" s="958"/>
      <c r="APM16" s="958"/>
      <c r="APN16" s="958"/>
      <c r="APO16" s="958"/>
      <c r="APP16" s="958"/>
      <c r="APQ16" s="958"/>
      <c r="APR16" s="958"/>
      <c r="APS16" s="958"/>
      <c r="APT16" s="958"/>
      <c r="APU16" s="958"/>
      <c r="APV16" s="958"/>
      <c r="APW16" s="958"/>
      <c r="APX16" s="958"/>
      <c r="APY16" s="958"/>
      <c r="APZ16" s="958"/>
      <c r="AQA16" s="958"/>
      <c r="AQB16" s="958"/>
      <c r="AQC16" s="958"/>
      <c r="AQD16" s="958"/>
      <c r="AQE16" s="958"/>
      <c r="AQF16" s="958"/>
      <c r="AQG16" s="958"/>
      <c r="AQH16" s="958"/>
      <c r="AQI16" s="958"/>
      <c r="AQJ16" s="958"/>
      <c r="AQK16" s="958"/>
      <c r="AQL16" s="958"/>
      <c r="AQM16" s="958"/>
      <c r="AQN16" s="958"/>
      <c r="AQO16" s="958"/>
      <c r="AQP16" s="958"/>
      <c r="AQQ16" s="958"/>
      <c r="AQR16" s="958"/>
      <c r="AQS16" s="958"/>
      <c r="AQT16" s="958"/>
      <c r="AQU16" s="958"/>
      <c r="AQV16" s="958"/>
      <c r="AQW16" s="958"/>
      <c r="AQX16" s="958"/>
      <c r="AQY16" s="958"/>
      <c r="AQZ16" s="958"/>
      <c r="ARA16" s="958"/>
      <c r="ARB16" s="958"/>
      <c r="ARC16" s="958"/>
      <c r="ARD16" s="958"/>
      <c r="ARE16" s="958"/>
      <c r="ARF16" s="958"/>
      <c r="ARG16" s="958"/>
      <c r="ARH16" s="958"/>
      <c r="ARI16" s="958"/>
      <c r="ARJ16" s="958"/>
      <c r="ARK16" s="958"/>
      <c r="ARL16" s="958"/>
      <c r="ARM16" s="958"/>
      <c r="ARN16" s="958"/>
      <c r="ARO16" s="958"/>
      <c r="ARP16" s="958"/>
      <c r="ARQ16" s="958"/>
      <c r="ARR16" s="958"/>
      <c r="ARS16" s="958"/>
      <c r="ART16" s="958"/>
      <c r="ARU16" s="958"/>
      <c r="ARV16" s="958"/>
      <c r="ARW16" s="958"/>
      <c r="ARX16" s="958"/>
      <c r="ARY16" s="958"/>
      <c r="ARZ16" s="958"/>
      <c r="ASA16" s="958"/>
      <c r="ASB16" s="958"/>
      <c r="ASC16" s="958"/>
      <c r="ASD16" s="958"/>
      <c r="ASE16" s="958"/>
      <c r="ASF16" s="958"/>
      <c r="ASG16" s="958"/>
      <c r="ASH16" s="958"/>
      <c r="ASI16" s="958"/>
      <c r="ASJ16" s="958"/>
      <c r="ASK16" s="958"/>
      <c r="ASL16" s="958"/>
      <c r="ASM16" s="958"/>
      <c r="ASN16" s="958"/>
      <c r="ASO16" s="958"/>
      <c r="ASP16" s="958"/>
      <c r="ASQ16" s="958"/>
      <c r="ASR16" s="958"/>
      <c r="ASS16" s="958"/>
      <c r="AST16" s="958"/>
      <c r="ASU16" s="958"/>
      <c r="ASV16" s="958"/>
      <c r="ASW16" s="958"/>
      <c r="ASX16" s="958"/>
      <c r="ASY16" s="958"/>
      <c r="ASZ16" s="958"/>
    </row>
    <row r="17" spans="1:1196" s="22" customFormat="1" ht="77.25" customHeight="1" thickTop="1" thickBot="1">
      <c r="A17" s="2846"/>
      <c r="B17" s="2992"/>
      <c r="C17" s="3024" t="s">
        <v>479</v>
      </c>
      <c r="D17" s="171" t="s">
        <v>205</v>
      </c>
      <c r="E17" s="172" t="s">
        <v>206</v>
      </c>
      <c r="F17" s="172" t="s">
        <v>24</v>
      </c>
      <c r="G17" s="180">
        <v>12</v>
      </c>
      <c r="H17" s="133"/>
      <c r="I17" s="133"/>
      <c r="J17" s="133"/>
      <c r="K17" s="172" t="s">
        <v>196</v>
      </c>
      <c r="L17" s="970">
        <v>0</v>
      </c>
      <c r="M17" s="971">
        <v>0</v>
      </c>
      <c r="N17" s="73" t="e">
        <f t="shared" si="3"/>
        <v>#DIV/0!</v>
      </c>
      <c r="O17" s="970">
        <v>0</v>
      </c>
      <c r="P17" s="971">
        <v>0</v>
      </c>
      <c r="Q17" s="73" t="e">
        <f t="shared" si="4"/>
        <v>#DIV/0!</v>
      </c>
      <c r="R17" s="970">
        <v>0</v>
      </c>
      <c r="S17" s="971"/>
      <c r="T17" s="73" t="e">
        <f t="shared" si="5"/>
        <v>#DIV/0!</v>
      </c>
      <c r="U17" s="970">
        <v>0</v>
      </c>
      <c r="V17" s="971"/>
      <c r="W17" s="73" t="e">
        <f t="shared" si="6"/>
        <v>#DIV/0!</v>
      </c>
      <c r="X17" s="970">
        <v>6</v>
      </c>
      <c r="Y17" s="971">
        <v>8</v>
      </c>
      <c r="Z17" s="73">
        <f t="shared" si="7"/>
        <v>1.3333333333333333</v>
      </c>
      <c r="AA17" s="970">
        <v>0</v>
      </c>
      <c r="AB17" s="970"/>
      <c r="AC17" s="73" t="e">
        <f t="shared" si="8"/>
        <v>#DIV/0!</v>
      </c>
      <c r="AD17" s="972">
        <f>+Y17</f>
        <v>8</v>
      </c>
      <c r="AE17" s="956">
        <f t="shared" si="10"/>
        <v>0.66666666666666663</v>
      </c>
      <c r="AF17" s="972">
        <v>0</v>
      </c>
      <c r="AG17" s="971"/>
      <c r="AH17" s="73" t="e">
        <f t="shared" si="11"/>
        <v>#DIV/0!</v>
      </c>
      <c r="AI17" s="970">
        <v>0</v>
      </c>
      <c r="AJ17" s="971"/>
      <c r="AK17" s="73" t="e">
        <f t="shared" si="12"/>
        <v>#DIV/0!</v>
      </c>
      <c r="AL17" s="970">
        <v>6</v>
      </c>
      <c r="AM17" s="971">
        <v>4</v>
      </c>
      <c r="AN17" s="73">
        <f t="shared" si="13"/>
        <v>0.66666666666666663</v>
      </c>
      <c r="AO17" s="970">
        <v>0</v>
      </c>
      <c r="AP17" s="971"/>
      <c r="AQ17" s="73" t="e">
        <f t="shared" si="14"/>
        <v>#DIV/0!</v>
      </c>
      <c r="AR17" s="970">
        <v>0</v>
      </c>
      <c r="AS17" s="971"/>
      <c r="AT17" s="73" t="e">
        <f t="shared" si="15"/>
        <v>#DIV/0!</v>
      </c>
      <c r="AU17" s="970">
        <v>0</v>
      </c>
      <c r="AV17" s="971"/>
      <c r="AW17" s="73" t="e">
        <f t="shared" si="16"/>
        <v>#DIV/0!</v>
      </c>
      <c r="AX17" s="122">
        <f>+AM17+Y17</f>
        <v>12</v>
      </c>
      <c r="AY17" s="956">
        <f t="shared" si="18"/>
        <v>1</v>
      </c>
      <c r="AZ17" s="958"/>
      <c r="BA17" s="958"/>
      <c r="BB17" s="958"/>
      <c r="BC17" s="958"/>
      <c r="BD17" s="958"/>
      <c r="BE17" s="958"/>
      <c r="BF17" s="958"/>
      <c r="BG17" s="958"/>
      <c r="BH17" s="958"/>
      <c r="BI17" s="958"/>
      <c r="BJ17" s="958"/>
      <c r="BK17" s="958"/>
      <c r="BL17" s="958"/>
      <c r="BM17" s="958"/>
      <c r="BN17" s="958"/>
      <c r="BO17" s="958"/>
      <c r="BP17" s="958"/>
      <c r="BQ17" s="958"/>
      <c r="BR17" s="958"/>
      <c r="BS17" s="958"/>
      <c r="BT17" s="958"/>
      <c r="BU17" s="958"/>
      <c r="BV17" s="958"/>
      <c r="BW17" s="958"/>
      <c r="BX17" s="958"/>
      <c r="BY17" s="958"/>
      <c r="BZ17" s="958"/>
      <c r="CA17" s="958"/>
      <c r="CB17" s="958"/>
      <c r="CC17" s="958"/>
      <c r="CD17" s="958"/>
      <c r="CE17" s="958"/>
      <c r="CF17" s="958"/>
      <c r="CG17" s="958"/>
      <c r="CH17" s="958"/>
      <c r="CI17" s="958"/>
      <c r="CJ17" s="958"/>
      <c r="CK17" s="958"/>
      <c r="CL17" s="958"/>
      <c r="CM17" s="958"/>
      <c r="CN17" s="958"/>
      <c r="CO17" s="958"/>
      <c r="CP17" s="958"/>
      <c r="CQ17" s="958"/>
      <c r="CR17" s="958"/>
      <c r="CS17" s="958"/>
      <c r="CT17" s="958"/>
      <c r="CU17" s="958"/>
      <c r="CV17" s="958"/>
      <c r="CW17" s="958"/>
      <c r="CX17" s="958"/>
      <c r="CY17" s="958"/>
      <c r="CZ17" s="958"/>
      <c r="DA17" s="958"/>
      <c r="DB17" s="958"/>
      <c r="DC17" s="958"/>
      <c r="DD17" s="958"/>
      <c r="DE17" s="958"/>
      <c r="DF17" s="958"/>
      <c r="DG17" s="958"/>
      <c r="DH17" s="958"/>
      <c r="DI17" s="958"/>
      <c r="DJ17" s="958"/>
      <c r="DK17" s="958"/>
      <c r="DL17" s="958"/>
      <c r="DM17" s="958"/>
      <c r="DN17" s="958"/>
      <c r="DO17" s="958"/>
      <c r="DP17" s="958"/>
      <c r="DQ17" s="958"/>
      <c r="DR17" s="958"/>
      <c r="DS17" s="958"/>
      <c r="DT17" s="958"/>
      <c r="DU17" s="958"/>
      <c r="DV17" s="958"/>
      <c r="DW17" s="958"/>
      <c r="DX17" s="958"/>
      <c r="DY17" s="958"/>
      <c r="DZ17" s="958"/>
      <c r="EA17" s="958"/>
      <c r="EB17" s="958"/>
      <c r="EC17" s="958"/>
      <c r="ED17" s="958"/>
      <c r="EE17" s="958"/>
      <c r="EF17" s="958"/>
      <c r="EG17" s="958"/>
      <c r="EH17" s="958"/>
      <c r="EI17" s="958"/>
      <c r="EJ17" s="958"/>
      <c r="EK17" s="958"/>
      <c r="EL17" s="958"/>
      <c r="EM17" s="958"/>
      <c r="EN17" s="958"/>
      <c r="EO17" s="958"/>
      <c r="EP17" s="958"/>
      <c r="EQ17" s="958"/>
      <c r="ER17" s="958"/>
      <c r="ES17" s="958"/>
      <c r="ET17" s="958"/>
      <c r="EU17" s="958"/>
      <c r="EV17" s="958"/>
      <c r="EW17" s="958"/>
      <c r="EX17" s="958"/>
      <c r="EY17" s="958"/>
      <c r="EZ17" s="958"/>
      <c r="FA17" s="958"/>
      <c r="FB17" s="958"/>
      <c r="FC17" s="958"/>
      <c r="FD17" s="958"/>
      <c r="FE17" s="958"/>
      <c r="FF17" s="958"/>
      <c r="FG17" s="958"/>
      <c r="FH17" s="958"/>
      <c r="FI17" s="958"/>
      <c r="FJ17" s="958"/>
      <c r="FK17" s="958"/>
      <c r="FL17" s="958"/>
      <c r="FM17" s="958"/>
      <c r="FN17" s="958"/>
      <c r="FO17" s="958"/>
      <c r="FP17" s="958"/>
      <c r="FQ17" s="958"/>
      <c r="FR17" s="958"/>
      <c r="FS17" s="958"/>
      <c r="FT17" s="958"/>
      <c r="FU17" s="958"/>
      <c r="FV17" s="958"/>
      <c r="FW17" s="958"/>
      <c r="FX17" s="958"/>
      <c r="FY17" s="958"/>
      <c r="FZ17" s="958"/>
      <c r="GA17" s="958"/>
      <c r="GB17" s="958"/>
      <c r="GC17" s="958"/>
      <c r="GD17" s="958"/>
      <c r="GE17" s="958"/>
      <c r="GF17" s="958"/>
      <c r="GG17" s="958"/>
      <c r="GH17" s="958"/>
      <c r="GI17" s="958"/>
      <c r="GJ17" s="958"/>
      <c r="GK17" s="958"/>
      <c r="GL17" s="958"/>
      <c r="GM17" s="958"/>
      <c r="GN17" s="958"/>
      <c r="GO17" s="958"/>
      <c r="GP17" s="958"/>
      <c r="GQ17" s="958"/>
      <c r="GR17" s="958"/>
      <c r="GS17" s="958"/>
      <c r="GT17" s="958"/>
      <c r="GU17" s="958"/>
      <c r="GV17" s="958"/>
      <c r="GW17" s="958"/>
      <c r="GX17" s="958"/>
      <c r="GY17" s="958"/>
      <c r="GZ17" s="958"/>
      <c r="HA17" s="958"/>
      <c r="HB17" s="958"/>
      <c r="HC17" s="958"/>
      <c r="HD17" s="958"/>
      <c r="HE17" s="958"/>
      <c r="HF17" s="958"/>
      <c r="HG17" s="958"/>
      <c r="HH17" s="958"/>
      <c r="HI17" s="958"/>
      <c r="HJ17" s="958"/>
      <c r="HK17" s="958"/>
      <c r="HL17" s="958"/>
      <c r="HM17" s="958"/>
      <c r="HN17" s="958"/>
      <c r="HO17" s="958"/>
      <c r="HP17" s="958"/>
      <c r="HQ17" s="958"/>
      <c r="HR17" s="958"/>
      <c r="HS17" s="958"/>
      <c r="HT17" s="958"/>
      <c r="HU17" s="958"/>
      <c r="HV17" s="958"/>
      <c r="HW17" s="958"/>
      <c r="HX17" s="958"/>
      <c r="HY17" s="958"/>
      <c r="HZ17" s="958"/>
      <c r="IA17" s="958"/>
      <c r="IB17" s="958"/>
      <c r="IC17" s="958"/>
      <c r="ID17" s="958"/>
      <c r="IE17" s="958"/>
      <c r="IF17" s="958"/>
      <c r="IG17" s="958"/>
      <c r="IH17" s="958"/>
      <c r="II17" s="958"/>
      <c r="IJ17" s="958"/>
      <c r="IK17" s="958"/>
      <c r="IL17" s="958"/>
      <c r="IM17" s="958"/>
      <c r="IN17" s="958"/>
      <c r="IO17" s="958"/>
      <c r="IP17" s="958"/>
      <c r="IQ17" s="958"/>
      <c r="IR17" s="958"/>
      <c r="IS17" s="958"/>
      <c r="IT17" s="958"/>
      <c r="IU17" s="958"/>
      <c r="IV17" s="958"/>
      <c r="IW17" s="958"/>
      <c r="IX17" s="958"/>
      <c r="IY17" s="958"/>
      <c r="IZ17" s="958"/>
      <c r="JA17" s="958"/>
      <c r="JB17" s="958"/>
      <c r="JC17" s="958"/>
      <c r="JD17" s="958"/>
      <c r="JE17" s="958"/>
      <c r="JF17" s="958"/>
      <c r="JG17" s="958"/>
      <c r="JH17" s="958"/>
      <c r="JI17" s="958"/>
      <c r="JJ17" s="958"/>
      <c r="JK17" s="958"/>
      <c r="JL17" s="958"/>
      <c r="JM17" s="958"/>
      <c r="JN17" s="958"/>
      <c r="JO17" s="958"/>
      <c r="JP17" s="958"/>
      <c r="JQ17" s="958"/>
      <c r="JR17" s="958"/>
      <c r="JS17" s="958"/>
      <c r="JT17" s="958"/>
      <c r="JU17" s="958"/>
      <c r="JV17" s="958"/>
      <c r="JW17" s="958"/>
      <c r="JX17" s="958"/>
      <c r="JY17" s="958"/>
      <c r="JZ17" s="958"/>
      <c r="KA17" s="958"/>
      <c r="KB17" s="958"/>
      <c r="KC17" s="958"/>
      <c r="KD17" s="958"/>
      <c r="KE17" s="958"/>
      <c r="KF17" s="958"/>
      <c r="KG17" s="958"/>
      <c r="KH17" s="958"/>
      <c r="KI17" s="958"/>
      <c r="KJ17" s="958"/>
      <c r="KK17" s="958"/>
      <c r="KL17" s="958"/>
      <c r="KM17" s="958"/>
      <c r="KN17" s="958"/>
      <c r="KO17" s="958"/>
      <c r="KP17" s="958"/>
      <c r="KQ17" s="958"/>
      <c r="KR17" s="958"/>
      <c r="KS17" s="958"/>
      <c r="KT17" s="958"/>
      <c r="KU17" s="958"/>
      <c r="KV17" s="958"/>
      <c r="KW17" s="958"/>
      <c r="KX17" s="958"/>
      <c r="KY17" s="958"/>
      <c r="KZ17" s="958"/>
      <c r="LA17" s="958"/>
      <c r="LB17" s="958"/>
      <c r="LC17" s="958"/>
      <c r="LD17" s="958"/>
      <c r="LE17" s="958"/>
      <c r="LF17" s="958"/>
      <c r="LG17" s="958"/>
      <c r="LH17" s="958"/>
      <c r="LI17" s="958"/>
      <c r="LJ17" s="958"/>
      <c r="LK17" s="958"/>
      <c r="LL17" s="958"/>
      <c r="LM17" s="958"/>
      <c r="LN17" s="958"/>
      <c r="LO17" s="958"/>
      <c r="LP17" s="958"/>
      <c r="LQ17" s="958"/>
      <c r="LR17" s="958"/>
      <c r="LS17" s="958"/>
      <c r="LT17" s="958"/>
      <c r="LU17" s="958"/>
      <c r="LV17" s="958"/>
      <c r="LW17" s="958"/>
      <c r="LX17" s="958"/>
      <c r="LY17" s="958"/>
      <c r="LZ17" s="958"/>
      <c r="MA17" s="958"/>
      <c r="MB17" s="958"/>
      <c r="MC17" s="958"/>
      <c r="MD17" s="958"/>
      <c r="ME17" s="958"/>
      <c r="MF17" s="958"/>
      <c r="MG17" s="958"/>
      <c r="MH17" s="958"/>
      <c r="MI17" s="958"/>
      <c r="MJ17" s="958"/>
      <c r="MK17" s="958"/>
      <c r="ML17" s="958"/>
      <c r="MM17" s="958"/>
      <c r="MN17" s="958"/>
      <c r="MO17" s="958"/>
      <c r="MP17" s="958"/>
      <c r="MQ17" s="958"/>
      <c r="MR17" s="958"/>
      <c r="MS17" s="958"/>
      <c r="MT17" s="958"/>
      <c r="MU17" s="958"/>
      <c r="MV17" s="958"/>
      <c r="MW17" s="958"/>
      <c r="MX17" s="958"/>
      <c r="MY17" s="958"/>
      <c r="MZ17" s="958"/>
      <c r="NA17" s="958"/>
      <c r="NB17" s="958"/>
      <c r="NC17" s="958"/>
      <c r="ND17" s="958"/>
      <c r="NE17" s="958"/>
      <c r="NF17" s="958"/>
      <c r="NG17" s="958"/>
      <c r="NH17" s="958"/>
      <c r="NI17" s="958"/>
      <c r="NJ17" s="958"/>
      <c r="NK17" s="958"/>
      <c r="NL17" s="958"/>
      <c r="NM17" s="958"/>
      <c r="NN17" s="958"/>
      <c r="NO17" s="958"/>
      <c r="NP17" s="958"/>
      <c r="NQ17" s="958"/>
      <c r="NR17" s="958"/>
      <c r="NS17" s="958"/>
      <c r="NT17" s="958"/>
      <c r="NU17" s="958"/>
      <c r="NV17" s="958"/>
      <c r="NW17" s="958"/>
      <c r="NX17" s="958"/>
      <c r="NY17" s="958"/>
      <c r="NZ17" s="958"/>
      <c r="OA17" s="958"/>
      <c r="OB17" s="958"/>
      <c r="OC17" s="958"/>
      <c r="OD17" s="958"/>
      <c r="OE17" s="958"/>
      <c r="OF17" s="958"/>
      <c r="OG17" s="958"/>
      <c r="OH17" s="958"/>
      <c r="OI17" s="958"/>
      <c r="OJ17" s="958"/>
      <c r="OK17" s="958"/>
      <c r="OL17" s="958"/>
      <c r="OM17" s="958"/>
      <c r="ON17" s="958"/>
      <c r="OO17" s="958"/>
      <c r="OP17" s="958"/>
      <c r="OQ17" s="958"/>
      <c r="OR17" s="958"/>
      <c r="OS17" s="958"/>
      <c r="OT17" s="958"/>
      <c r="OU17" s="958"/>
      <c r="OV17" s="958"/>
      <c r="OW17" s="958"/>
      <c r="OX17" s="958"/>
      <c r="OY17" s="958"/>
      <c r="OZ17" s="958"/>
      <c r="PA17" s="958"/>
      <c r="PB17" s="958"/>
      <c r="PC17" s="958"/>
      <c r="PD17" s="958"/>
      <c r="PE17" s="958"/>
      <c r="PF17" s="958"/>
      <c r="PG17" s="958"/>
      <c r="PH17" s="958"/>
      <c r="PI17" s="958"/>
      <c r="PJ17" s="958"/>
      <c r="PK17" s="958"/>
      <c r="PL17" s="958"/>
      <c r="PM17" s="958"/>
      <c r="PN17" s="958"/>
      <c r="PO17" s="958"/>
      <c r="PP17" s="958"/>
      <c r="PQ17" s="958"/>
      <c r="PR17" s="958"/>
      <c r="PS17" s="958"/>
      <c r="PT17" s="958"/>
      <c r="PU17" s="958"/>
      <c r="PV17" s="958"/>
      <c r="PW17" s="958"/>
      <c r="PX17" s="958"/>
      <c r="PY17" s="958"/>
      <c r="PZ17" s="958"/>
      <c r="QA17" s="958"/>
      <c r="QB17" s="958"/>
      <c r="QC17" s="958"/>
      <c r="QD17" s="958"/>
      <c r="QE17" s="958"/>
      <c r="QF17" s="958"/>
      <c r="QG17" s="958"/>
      <c r="QH17" s="958"/>
      <c r="QI17" s="958"/>
      <c r="QJ17" s="958"/>
      <c r="QK17" s="958"/>
      <c r="QL17" s="958"/>
      <c r="QM17" s="958"/>
      <c r="QN17" s="958"/>
      <c r="QO17" s="958"/>
      <c r="QP17" s="958"/>
      <c r="QQ17" s="958"/>
      <c r="QR17" s="958"/>
      <c r="QS17" s="958"/>
      <c r="QT17" s="958"/>
      <c r="QU17" s="958"/>
      <c r="QV17" s="958"/>
      <c r="QW17" s="958"/>
      <c r="QX17" s="958"/>
      <c r="QY17" s="958"/>
      <c r="QZ17" s="958"/>
      <c r="RA17" s="958"/>
      <c r="RB17" s="958"/>
      <c r="RC17" s="958"/>
      <c r="RD17" s="958"/>
      <c r="RE17" s="958"/>
      <c r="RF17" s="958"/>
      <c r="RG17" s="958"/>
      <c r="RH17" s="958"/>
      <c r="RI17" s="958"/>
      <c r="RJ17" s="958"/>
      <c r="RK17" s="958"/>
      <c r="RL17" s="958"/>
      <c r="RM17" s="958"/>
      <c r="RN17" s="958"/>
      <c r="RO17" s="958"/>
      <c r="RP17" s="958"/>
      <c r="RQ17" s="958"/>
      <c r="RR17" s="958"/>
      <c r="RS17" s="958"/>
      <c r="RT17" s="958"/>
      <c r="RU17" s="958"/>
      <c r="RV17" s="958"/>
      <c r="RW17" s="958"/>
      <c r="RX17" s="958"/>
      <c r="RY17" s="958"/>
      <c r="RZ17" s="958"/>
      <c r="SA17" s="958"/>
      <c r="SB17" s="958"/>
      <c r="SC17" s="958"/>
      <c r="SD17" s="958"/>
      <c r="SE17" s="958"/>
      <c r="SF17" s="958"/>
      <c r="SG17" s="958"/>
      <c r="SH17" s="958"/>
      <c r="SI17" s="958"/>
      <c r="SJ17" s="958"/>
      <c r="SK17" s="958"/>
      <c r="SL17" s="958"/>
      <c r="SM17" s="958"/>
      <c r="SN17" s="958"/>
      <c r="SO17" s="958"/>
      <c r="SP17" s="958"/>
      <c r="SQ17" s="958"/>
      <c r="SR17" s="958"/>
      <c r="SS17" s="958"/>
      <c r="ST17" s="958"/>
      <c r="SU17" s="958"/>
      <c r="SV17" s="958"/>
      <c r="SW17" s="958"/>
      <c r="SX17" s="958"/>
      <c r="SY17" s="958"/>
      <c r="SZ17" s="958"/>
      <c r="TA17" s="958"/>
      <c r="TB17" s="958"/>
      <c r="TC17" s="958"/>
      <c r="TD17" s="958"/>
      <c r="TE17" s="958"/>
      <c r="TF17" s="958"/>
      <c r="TG17" s="958"/>
      <c r="TH17" s="958"/>
      <c r="TI17" s="958"/>
      <c r="TJ17" s="958"/>
      <c r="TK17" s="958"/>
      <c r="TL17" s="958"/>
      <c r="TM17" s="958"/>
      <c r="TN17" s="958"/>
      <c r="TO17" s="958"/>
      <c r="TP17" s="958"/>
      <c r="TQ17" s="958"/>
      <c r="TR17" s="958"/>
      <c r="TS17" s="958"/>
      <c r="TT17" s="958"/>
      <c r="TU17" s="958"/>
      <c r="TV17" s="958"/>
      <c r="TW17" s="958"/>
      <c r="TX17" s="958"/>
      <c r="TY17" s="958"/>
      <c r="TZ17" s="958"/>
      <c r="UA17" s="958"/>
      <c r="UB17" s="958"/>
      <c r="UC17" s="958"/>
      <c r="UD17" s="958"/>
      <c r="UE17" s="958"/>
      <c r="UF17" s="958"/>
      <c r="UG17" s="958"/>
      <c r="UH17" s="958"/>
      <c r="UI17" s="958"/>
      <c r="UJ17" s="958"/>
      <c r="UK17" s="958"/>
      <c r="UL17" s="958"/>
      <c r="UM17" s="958"/>
      <c r="UN17" s="958"/>
      <c r="UO17" s="958"/>
      <c r="UP17" s="958"/>
      <c r="UQ17" s="958"/>
      <c r="UR17" s="958"/>
      <c r="US17" s="958"/>
      <c r="UT17" s="958"/>
      <c r="UU17" s="958"/>
      <c r="UV17" s="958"/>
      <c r="UW17" s="958"/>
      <c r="UX17" s="958"/>
      <c r="UY17" s="958"/>
      <c r="UZ17" s="958"/>
      <c r="VA17" s="958"/>
      <c r="VB17" s="958"/>
      <c r="VC17" s="958"/>
      <c r="VD17" s="958"/>
      <c r="VE17" s="958"/>
      <c r="VF17" s="958"/>
      <c r="VG17" s="958"/>
      <c r="VH17" s="958"/>
      <c r="VI17" s="958"/>
      <c r="VJ17" s="958"/>
      <c r="VK17" s="958"/>
      <c r="VL17" s="958"/>
      <c r="VM17" s="958"/>
      <c r="VN17" s="958"/>
      <c r="VO17" s="958"/>
      <c r="VP17" s="958"/>
      <c r="VQ17" s="958"/>
      <c r="VR17" s="958"/>
      <c r="VS17" s="958"/>
      <c r="VT17" s="958"/>
      <c r="VU17" s="958"/>
      <c r="VV17" s="958"/>
      <c r="VW17" s="958"/>
      <c r="VX17" s="958"/>
      <c r="VY17" s="958"/>
      <c r="VZ17" s="958"/>
      <c r="WA17" s="958"/>
      <c r="WB17" s="958"/>
      <c r="WC17" s="958"/>
      <c r="WD17" s="958"/>
      <c r="WE17" s="958"/>
      <c r="WF17" s="958"/>
      <c r="WG17" s="958"/>
      <c r="WH17" s="958"/>
      <c r="WI17" s="958"/>
      <c r="WJ17" s="958"/>
      <c r="WK17" s="958"/>
      <c r="WL17" s="958"/>
      <c r="WM17" s="958"/>
      <c r="WN17" s="958"/>
      <c r="WO17" s="958"/>
      <c r="WP17" s="958"/>
      <c r="WQ17" s="958"/>
      <c r="WR17" s="958"/>
      <c r="WS17" s="958"/>
      <c r="WT17" s="958"/>
      <c r="WU17" s="958"/>
      <c r="WV17" s="958"/>
      <c r="WW17" s="958"/>
      <c r="WX17" s="958"/>
      <c r="WY17" s="958"/>
      <c r="WZ17" s="958"/>
      <c r="XA17" s="958"/>
      <c r="XB17" s="958"/>
      <c r="XC17" s="958"/>
      <c r="XD17" s="958"/>
      <c r="XE17" s="958"/>
      <c r="XF17" s="958"/>
      <c r="XG17" s="958"/>
      <c r="XH17" s="958"/>
      <c r="XI17" s="958"/>
      <c r="XJ17" s="958"/>
      <c r="XK17" s="958"/>
      <c r="XL17" s="958"/>
      <c r="XM17" s="958"/>
      <c r="XN17" s="958"/>
      <c r="XO17" s="958"/>
      <c r="XP17" s="958"/>
      <c r="XQ17" s="958"/>
      <c r="XR17" s="958"/>
      <c r="XS17" s="958"/>
      <c r="XT17" s="958"/>
      <c r="XU17" s="958"/>
      <c r="XV17" s="958"/>
      <c r="XW17" s="958"/>
      <c r="XX17" s="958"/>
      <c r="XY17" s="958"/>
      <c r="XZ17" s="958"/>
      <c r="YA17" s="958"/>
      <c r="YB17" s="958"/>
      <c r="YC17" s="958"/>
      <c r="YD17" s="958"/>
      <c r="YE17" s="958"/>
      <c r="YF17" s="958"/>
      <c r="YG17" s="958"/>
      <c r="YH17" s="958"/>
      <c r="YI17" s="958"/>
      <c r="YJ17" s="958"/>
      <c r="YK17" s="958"/>
      <c r="YL17" s="958"/>
      <c r="YM17" s="958"/>
      <c r="YN17" s="958"/>
      <c r="YO17" s="958"/>
      <c r="YP17" s="958"/>
      <c r="YQ17" s="958"/>
      <c r="YR17" s="958"/>
      <c r="YS17" s="958"/>
      <c r="YT17" s="958"/>
      <c r="YU17" s="958"/>
      <c r="YV17" s="958"/>
      <c r="YW17" s="958"/>
      <c r="YX17" s="958"/>
      <c r="YY17" s="958"/>
      <c r="YZ17" s="958"/>
      <c r="ZA17" s="958"/>
      <c r="ZB17" s="958"/>
      <c r="ZC17" s="958"/>
      <c r="ZD17" s="958"/>
      <c r="ZE17" s="958"/>
      <c r="ZF17" s="958"/>
      <c r="ZG17" s="958"/>
      <c r="ZH17" s="958"/>
      <c r="ZI17" s="958"/>
      <c r="ZJ17" s="958"/>
      <c r="ZK17" s="958"/>
      <c r="ZL17" s="958"/>
      <c r="ZM17" s="958"/>
      <c r="ZN17" s="958"/>
      <c r="ZO17" s="958"/>
      <c r="ZP17" s="958"/>
      <c r="ZQ17" s="958"/>
      <c r="ZR17" s="958"/>
      <c r="ZS17" s="958"/>
      <c r="ZT17" s="958"/>
      <c r="ZU17" s="958"/>
      <c r="ZV17" s="958"/>
      <c r="ZW17" s="958"/>
      <c r="ZX17" s="958"/>
      <c r="ZY17" s="958"/>
      <c r="ZZ17" s="958"/>
      <c r="AAA17" s="958"/>
      <c r="AAB17" s="958"/>
      <c r="AAC17" s="958"/>
      <c r="AAD17" s="958"/>
      <c r="AAE17" s="958"/>
      <c r="AAF17" s="958"/>
      <c r="AAG17" s="958"/>
      <c r="AAH17" s="958"/>
      <c r="AAI17" s="958"/>
      <c r="AAJ17" s="958"/>
      <c r="AAK17" s="958"/>
      <c r="AAL17" s="958"/>
      <c r="AAM17" s="958"/>
      <c r="AAN17" s="958"/>
      <c r="AAO17" s="958"/>
      <c r="AAP17" s="958"/>
      <c r="AAQ17" s="958"/>
      <c r="AAR17" s="958"/>
      <c r="AAS17" s="958"/>
      <c r="AAT17" s="958"/>
      <c r="AAU17" s="958"/>
      <c r="AAV17" s="958"/>
      <c r="AAW17" s="958"/>
      <c r="AAX17" s="958"/>
      <c r="AAY17" s="958"/>
      <c r="AAZ17" s="958"/>
      <c r="ABA17" s="958"/>
      <c r="ABB17" s="958"/>
      <c r="ABC17" s="958"/>
      <c r="ABD17" s="958"/>
      <c r="ABE17" s="958"/>
      <c r="ABF17" s="958"/>
      <c r="ABG17" s="958"/>
      <c r="ABH17" s="958"/>
      <c r="ABI17" s="958"/>
      <c r="ABJ17" s="958"/>
      <c r="ABK17" s="958"/>
      <c r="ABL17" s="958"/>
      <c r="ABM17" s="958"/>
      <c r="ABN17" s="958"/>
      <c r="ABO17" s="958"/>
      <c r="ABP17" s="958"/>
      <c r="ABQ17" s="958"/>
      <c r="ABR17" s="958"/>
      <c r="ABS17" s="958"/>
      <c r="ABT17" s="958"/>
      <c r="ABU17" s="958"/>
      <c r="ABV17" s="958"/>
      <c r="ABW17" s="958"/>
      <c r="ABX17" s="958"/>
      <c r="ABY17" s="958"/>
      <c r="ABZ17" s="958"/>
      <c r="ACA17" s="958"/>
      <c r="ACB17" s="958"/>
      <c r="ACC17" s="958"/>
      <c r="ACD17" s="958"/>
      <c r="ACE17" s="958"/>
      <c r="ACF17" s="958"/>
      <c r="ACG17" s="958"/>
      <c r="ACH17" s="958"/>
      <c r="ACI17" s="958"/>
      <c r="ACJ17" s="958"/>
      <c r="ACK17" s="958"/>
      <c r="ACL17" s="958"/>
      <c r="ACM17" s="958"/>
      <c r="ACN17" s="958"/>
      <c r="ACO17" s="958"/>
      <c r="ACP17" s="958"/>
      <c r="ACQ17" s="958"/>
      <c r="ACR17" s="958"/>
      <c r="ACS17" s="958"/>
      <c r="ACT17" s="958"/>
      <c r="ACU17" s="958"/>
      <c r="ACV17" s="958"/>
      <c r="ACW17" s="958"/>
      <c r="ACX17" s="958"/>
      <c r="ACY17" s="958"/>
      <c r="ACZ17" s="958"/>
      <c r="ADA17" s="958"/>
      <c r="ADB17" s="958"/>
      <c r="ADC17" s="958"/>
      <c r="ADD17" s="958"/>
      <c r="ADE17" s="958"/>
      <c r="ADF17" s="958"/>
      <c r="ADG17" s="958"/>
      <c r="ADH17" s="958"/>
      <c r="ADI17" s="958"/>
      <c r="ADJ17" s="958"/>
      <c r="ADK17" s="958"/>
      <c r="ADL17" s="958"/>
      <c r="ADM17" s="958"/>
      <c r="ADN17" s="958"/>
      <c r="ADO17" s="958"/>
      <c r="ADP17" s="958"/>
      <c r="ADQ17" s="958"/>
      <c r="ADR17" s="958"/>
      <c r="ADS17" s="958"/>
      <c r="ADT17" s="958"/>
      <c r="ADU17" s="958"/>
      <c r="ADV17" s="958"/>
      <c r="ADW17" s="958"/>
      <c r="ADX17" s="958"/>
      <c r="ADY17" s="958"/>
      <c r="ADZ17" s="958"/>
      <c r="AEA17" s="958"/>
      <c r="AEB17" s="958"/>
      <c r="AEC17" s="958"/>
      <c r="AED17" s="958"/>
      <c r="AEE17" s="958"/>
      <c r="AEF17" s="958"/>
      <c r="AEG17" s="958"/>
      <c r="AEH17" s="958"/>
      <c r="AEI17" s="958"/>
      <c r="AEJ17" s="958"/>
      <c r="AEK17" s="958"/>
      <c r="AEL17" s="958"/>
      <c r="AEM17" s="958"/>
      <c r="AEN17" s="958"/>
      <c r="AEO17" s="958"/>
      <c r="AEP17" s="958"/>
      <c r="AEQ17" s="958"/>
      <c r="AER17" s="958"/>
      <c r="AES17" s="958"/>
      <c r="AET17" s="958"/>
      <c r="AEU17" s="958"/>
      <c r="AEV17" s="958"/>
      <c r="AEW17" s="958"/>
      <c r="AEX17" s="958"/>
      <c r="AEY17" s="958"/>
      <c r="AEZ17" s="958"/>
      <c r="AFA17" s="958"/>
      <c r="AFB17" s="958"/>
      <c r="AFC17" s="958"/>
      <c r="AFD17" s="958"/>
      <c r="AFE17" s="958"/>
      <c r="AFF17" s="958"/>
      <c r="AFG17" s="958"/>
      <c r="AFH17" s="958"/>
      <c r="AFI17" s="958"/>
      <c r="AFJ17" s="958"/>
      <c r="AFK17" s="958"/>
      <c r="AFL17" s="958"/>
      <c r="AFM17" s="958"/>
      <c r="AFN17" s="958"/>
      <c r="AFO17" s="958"/>
      <c r="AFP17" s="958"/>
      <c r="AFQ17" s="958"/>
      <c r="AFR17" s="958"/>
      <c r="AFS17" s="958"/>
      <c r="AFT17" s="958"/>
      <c r="AFU17" s="958"/>
      <c r="AFV17" s="958"/>
      <c r="AFW17" s="958"/>
      <c r="AFX17" s="958"/>
      <c r="AFY17" s="958"/>
      <c r="AFZ17" s="958"/>
      <c r="AGA17" s="958"/>
      <c r="AGB17" s="958"/>
      <c r="AGC17" s="958"/>
      <c r="AGD17" s="958"/>
      <c r="AGE17" s="958"/>
      <c r="AGF17" s="958"/>
      <c r="AGG17" s="958"/>
      <c r="AGH17" s="958"/>
      <c r="AGI17" s="958"/>
      <c r="AGJ17" s="958"/>
      <c r="AGK17" s="958"/>
      <c r="AGL17" s="958"/>
      <c r="AGM17" s="958"/>
      <c r="AGN17" s="958"/>
      <c r="AGO17" s="958"/>
      <c r="AGP17" s="958"/>
      <c r="AGQ17" s="958"/>
      <c r="AGR17" s="958"/>
      <c r="AGS17" s="958"/>
      <c r="AGT17" s="958"/>
      <c r="AGU17" s="958"/>
      <c r="AGV17" s="958"/>
      <c r="AGW17" s="958"/>
      <c r="AGX17" s="958"/>
      <c r="AGY17" s="958"/>
      <c r="AGZ17" s="958"/>
      <c r="AHA17" s="958"/>
      <c r="AHB17" s="958"/>
      <c r="AHC17" s="958"/>
      <c r="AHD17" s="958"/>
      <c r="AHE17" s="958"/>
      <c r="AHF17" s="958"/>
      <c r="AHG17" s="958"/>
      <c r="AHH17" s="958"/>
      <c r="AHI17" s="958"/>
      <c r="AHJ17" s="958"/>
      <c r="AHK17" s="958"/>
      <c r="AHL17" s="958"/>
      <c r="AHM17" s="958"/>
      <c r="AHN17" s="958"/>
      <c r="AHO17" s="958"/>
      <c r="AHP17" s="958"/>
      <c r="AHQ17" s="958"/>
      <c r="AHR17" s="958"/>
      <c r="AHS17" s="958"/>
      <c r="AHT17" s="958"/>
      <c r="AHU17" s="958"/>
      <c r="AHV17" s="958"/>
      <c r="AHW17" s="958"/>
      <c r="AHX17" s="958"/>
      <c r="AHY17" s="958"/>
      <c r="AHZ17" s="958"/>
      <c r="AIA17" s="958"/>
      <c r="AIB17" s="958"/>
      <c r="AIC17" s="958"/>
      <c r="AID17" s="958"/>
      <c r="AIE17" s="958"/>
      <c r="AIF17" s="958"/>
      <c r="AIG17" s="958"/>
      <c r="AIH17" s="958"/>
      <c r="AII17" s="958"/>
      <c r="AIJ17" s="958"/>
      <c r="AIK17" s="958"/>
      <c r="AIL17" s="958"/>
      <c r="AIM17" s="958"/>
      <c r="AIN17" s="958"/>
      <c r="AIO17" s="958"/>
      <c r="AIP17" s="958"/>
      <c r="AIQ17" s="958"/>
      <c r="AIR17" s="958"/>
      <c r="AIS17" s="958"/>
      <c r="AIT17" s="958"/>
      <c r="AIU17" s="958"/>
      <c r="AIV17" s="958"/>
      <c r="AIW17" s="958"/>
      <c r="AIX17" s="958"/>
      <c r="AIY17" s="958"/>
      <c r="AIZ17" s="958"/>
      <c r="AJA17" s="958"/>
      <c r="AJB17" s="958"/>
      <c r="AJC17" s="958"/>
      <c r="AJD17" s="958"/>
      <c r="AJE17" s="958"/>
      <c r="AJF17" s="958"/>
      <c r="AJG17" s="958"/>
      <c r="AJH17" s="958"/>
      <c r="AJI17" s="958"/>
      <c r="AJJ17" s="958"/>
      <c r="AJK17" s="958"/>
      <c r="AJL17" s="958"/>
      <c r="AJM17" s="958"/>
      <c r="AJN17" s="958"/>
      <c r="AJO17" s="958"/>
      <c r="AJP17" s="958"/>
      <c r="AJQ17" s="958"/>
      <c r="AJR17" s="958"/>
      <c r="AJS17" s="958"/>
      <c r="AJT17" s="958"/>
      <c r="AJU17" s="958"/>
      <c r="AJV17" s="958"/>
      <c r="AJW17" s="958"/>
      <c r="AJX17" s="958"/>
      <c r="AJY17" s="958"/>
      <c r="AJZ17" s="958"/>
      <c r="AKA17" s="958"/>
      <c r="AKB17" s="958"/>
      <c r="AKC17" s="958"/>
      <c r="AKD17" s="958"/>
      <c r="AKE17" s="958"/>
      <c r="AKF17" s="958"/>
      <c r="AKG17" s="958"/>
      <c r="AKH17" s="958"/>
      <c r="AKI17" s="958"/>
      <c r="AKJ17" s="958"/>
      <c r="AKK17" s="958"/>
      <c r="AKL17" s="958"/>
      <c r="AKM17" s="958"/>
      <c r="AKN17" s="958"/>
      <c r="AKO17" s="958"/>
      <c r="AKP17" s="958"/>
      <c r="AKQ17" s="958"/>
      <c r="AKR17" s="958"/>
      <c r="AKS17" s="958"/>
      <c r="AKT17" s="958"/>
      <c r="AKU17" s="958"/>
      <c r="AKV17" s="958"/>
      <c r="AKW17" s="958"/>
      <c r="AKX17" s="958"/>
      <c r="AKY17" s="958"/>
      <c r="AKZ17" s="958"/>
      <c r="ALA17" s="958"/>
      <c r="ALB17" s="958"/>
      <c r="ALC17" s="958"/>
      <c r="ALD17" s="958"/>
      <c r="ALE17" s="958"/>
      <c r="ALF17" s="958"/>
      <c r="ALG17" s="958"/>
      <c r="ALH17" s="958"/>
      <c r="ALI17" s="958"/>
      <c r="ALJ17" s="958"/>
      <c r="ALK17" s="958"/>
      <c r="ALL17" s="958"/>
      <c r="ALM17" s="958"/>
      <c r="ALN17" s="958"/>
      <c r="ALO17" s="958"/>
      <c r="ALP17" s="958"/>
      <c r="ALQ17" s="958"/>
      <c r="ALR17" s="958"/>
      <c r="ALS17" s="958"/>
      <c r="ALT17" s="958"/>
      <c r="ALU17" s="958"/>
      <c r="ALV17" s="958"/>
      <c r="ALW17" s="958"/>
      <c r="ALX17" s="958"/>
      <c r="ALY17" s="958"/>
      <c r="ALZ17" s="958"/>
      <c r="AMA17" s="958"/>
      <c r="AMB17" s="958"/>
      <c r="AMC17" s="958"/>
      <c r="AMD17" s="958"/>
      <c r="AME17" s="958"/>
      <c r="AMF17" s="958"/>
      <c r="AMG17" s="958"/>
      <c r="AMH17" s="958"/>
      <c r="AMI17" s="958"/>
      <c r="AMJ17" s="958"/>
      <c r="AMK17" s="958"/>
      <c r="AML17" s="958"/>
      <c r="AMM17" s="958"/>
      <c r="AMN17" s="958"/>
      <c r="AMO17" s="958"/>
      <c r="AMP17" s="958"/>
      <c r="AMQ17" s="958"/>
      <c r="AMR17" s="958"/>
      <c r="AMS17" s="958"/>
      <c r="AMT17" s="958"/>
      <c r="AMU17" s="958"/>
      <c r="AMV17" s="958"/>
      <c r="AMW17" s="958"/>
      <c r="AMX17" s="958"/>
      <c r="AMY17" s="958"/>
      <c r="AMZ17" s="958"/>
      <c r="ANA17" s="958"/>
      <c r="ANB17" s="958"/>
      <c r="ANC17" s="958"/>
      <c r="AND17" s="958"/>
      <c r="ANE17" s="958"/>
      <c r="ANF17" s="958"/>
      <c r="ANG17" s="958"/>
      <c r="ANH17" s="958"/>
      <c r="ANI17" s="958"/>
      <c r="ANJ17" s="958"/>
      <c r="ANK17" s="958"/>
      <c r="ANL17" s="958"/>
      <c r="ANM17" s="958"/>
      <c r="ANN17" s="958"/>
      <c r="ANO17" s="958"/>
      <c r="ANP17" s="958"/>
      <c r="ANQ17" s="958"/>
      <c r="ANR17" s="958"/>
      <c r="ANS17" s="958"/>
      <c r="ANT17" s="958"/>
      <c r="ANU17" s="958"/>
      <c r="ANV17" s="958"/>
      <c r="ANW17" s="958"/>
      <c r="ANX17" s="958"/>
      <c r="ANY17" s="958"/>
      <c r="ANZ17" s="958"/>
      <c r="AOA17" s="958"/>
      <c r="AOB17" s="958"/>
      <c r="AOC17" s="958"/>
      <c r="AOD17" s="958"/>
      <c r="AOE17" s="958"/>
      <c r="AOF17" s="958"/>
      <c r="AOG17" s="958"/>
      <c r="AOH17" s="958"/>
      <c r="AOI17" s="958"/>
      <c r="AOJ17" s="958"/>
      <c r="AOK17" s="958"/>
      <c r="AOL17" s="958"/>
      <c r="AOM17" s="958"/>
      <c r="AON17" s="958"/>
      <c r="AOO17" s="958"/>
      <c r="AOP17" s="958"/>
      <c r="AOQ17" s="958"/>
      <c r="AOR17" s="958"/>
      <c r="AOS17" s="958"/>
      <c r="AOT17" s="958"/>
      <c r="AOU17" s="958"/>
      <c r="AOV17" s="958"/>
      <c r="AOW17" s="958"/>
      <c r="AOX17" s="958"/>
      <c r="AOY17" s="958"/>
      <c r="AOZ17" s="958"/>
      <c r="APA17" s="958"/>
      <c r="APB17" s="958"/>
      <c r="APC17" s="958"/>
      <c r="APD17" s="958"/>
      <c r="APE17" s="958"/>
      <c r="APF17" s="958"/>
      <c r="APG17" s="958"/>
      <c r="APH17" s="958"/>
      <c r="API17" s="958"/>
      <c r="APJ17" s="958"/>
      <c r="APK17" s="958"/>
      <c r="APL17" s="958"/>
      <c r="APM17" s="958"/>
      <c r="APN17" s="958"/>
      <c r="APO17" s="958"/>
      <c r="APP17" s="958"/>
      <c r="APQ17" s="958"/>
      <c r="APR17" s="958"/>
      <c r="APS17" s="958"/>
      <c r="APT17" s="958"/>
      <c r="APU17" s="958"/>
      <c r="APV17" s="958"/>
      <c r="APW17" s="958"/>
      <c r="APX17" s="958"/>
      <c r="APY17" s="958"/>
      <c r="APZ17" s="958"/>
      <c r="AQA17" s="958"/>
      <c r="AQB17" s="958"/>
      <c r="AQC17" s="958"/>
      <c r="AQD17" s="958"/>
      <c r="AQE17" s="958"/>
      <c r="AQF17" s="958"/>
      <c r="AQG17" s="958"/>
      <c r="AQH17" s="958"/>
      <c r="AQI17" s="958"/>
      <c r="AQJ17" s="958"/>
      <c r="AQK17" s="958"/>
      <c r="AQL17" s="958"/>
      <c r="AQM17" s="958"/>
      <c r="AQN17" s="958"/>
      <c r="AQO17" s="958"/>
      <c r="AQP17" s="958"/>
      <c r="AQQ17" s="958"/>
      <c r="AQR17" s="958"/>
      <c r="AQS17" s="958"/>
      <c r="AQT17" s="958"/>
      <c r="AQU17" s="958"/>
      <c r="AQV17" s="958"/>
      <c r="AQW17" s="958"/>
      <c r="AQX17" s="958"/>
      <c r="AQY17" s="958"/>
      <c r="AQZ17" s="958"/>
      <c r="ARA17" s="958"/>
      <c r="ARB17" s="958"/>
      <c r="ARC17" s="958"/>
      <c r="ARD17" s="958"/>
      <c r="ARE17" s="958"/>
      <c r="ARF17" s="958"/>
      <c r="ARG17" s="958"/>
      <c r="ARH17" s="958"/>
      <c r="ARI17" s="958"/>
      <c r="ARJ17" s="958"/>
      <c r="ARK17" s="958"/>
      <c r="ARL17" s="958"/>
      <c r="ARM17" s="958"/>
      <c r="ARN17" s="958"/>
      <c r="ARO17" s="958"/>
      <c r="ARP17" s="958"/>
      <c r="ARQ17" s="958"/>
      <c r="ARR17" s="958"/>
      <c r="ARS17" s="958"/>
      <c r="ART17" s="958"/>
      <c r="ARU17" s="958"/>
      <c r="ARV17" s="958"/>
      <c r="ARW17" s="958"/>
      <c r="ARX17" s="958"/>
      <c r="ARY17" s="958"/>
      <c r="ARZ17" s="958"/>
      <c r="ASA17" s="958"/>
      <c r="ASB17" s="958"/>
      <c r="ASC17" s="958"/>
      <c r="ASD17" s="958"/>
      <c r="ASE17" s="958"/>
      <c r="ASF17" s="958"/>
      <c r="ASG17" s="958"/>
      <c r="ASH17" s="958"/>
      <c r="ASI17" s="958"/>
      <c r="ASJ17" s="958"/>
      <c r="ASK17" s="958"/>
      <c r="ASL17" s="958"/>
      <c r="ASM17" s="958"/>
      <c r="ASN17" s="958"/>
      <c r="ASO17" s="958"/>
      <c r="ASP17" s="958"/>
      <c r="ASQ17" s="958"/>
      <c r="ASR17" s="958"/>
      <c r="ASS17" s="958"/>
      <c r="AST17" s="958"/>
      <c r="ASU17" s="958"/>
      <c r="ASV17" s="958"/>
      <c r="ASW17" s="958"/>
      <c r="ASX17" s="958"/>
      <c r="ASY17" s="958"/>
      <c r="ASZ17" s="958"/>
    </row>
    <row r="18" spans="1:1196" s="22" customFormat="1" ht="51" customHeight="1" thickTop="1" thickBot="1">
      <c r="A18" s="2846"/>
      <c r="B18" s="2992"/>
      <c r="C18" s="3025"/>
      <c r="D18" s="111" t="s">
        <v>207</v>
      </c>
      <c r="E18" s="177" t="s">
        <v>206</v>
      </c>
      <c r="F18" s="177" t="s">
        <v>24</v>
      </c>
      <c r="G18" s="973">
        <v>17</v>
      </c>
      <c r="H18" s="78"/>
      <c r="I18" s="91"/>
      <c r="J18" s="78"/>
      <c r="K18" s="179" t="s">
        <v>196</v>
      </c>
      <c r="L18" s="514">
        <v>0</v>
      </c>
      <c r="M18" s="496"/>
      <c r="N18" s="73" t="e">
        <f t="shared" si="3"/>
        <v>#DIV/0!</v>
      </c>
      <c r="O18" s="514">
        <v>0</v>
      </c>
      <c r="P18" s="496"/>
      <c r="Q18" s="73" t="e">
        <f t="shared" si="4"/>
        <v>#DIV/0!</v>
      </c>
      <c r="R18" s="514">
        <v>0</v>
      </c>
      <c r="S18" s="496"/>
      <c r="T18" s="73" t="e">
        <f t="shared" si="5"/>
        <v>#DIV/0!</v>
      </c>
      <c r="U18" s="514">
        <v>0</v>
      </c>
      <c r="V18" s="496"/>
      <c r="W18" s="73" t="e">
        <f t="shared" si="6"/>
        <v>#DIV/0!</v>
      </c>
      <c r="X18" s="514">
        <v>9</v>
      </c>
      <c r="Y18" s="496">
        <v>12</v>
      </c>
      <c r="Z18" s="73">
        <f t="shared" si="7"/>
        <v>1.3333333333333333</v>
      </c>
      <c r="AA18" s="514">
        <v>0</v>
      </c>
      <c r="AB18" s="514"/>
      <c r="AC18" s="73" t="e">
        <f t="shared" si="8"/>
        <v>#DIV/0!</v>
      </c>
      <c r="AD18" s="782">
        <f>+Y18</f>
        <v>12</v>
      </c>
      <c r="AE18" s="956">
        <f t="shared" si="10"/>
        <v>0.70588235294117652</v>
      </c>
      <c r="AF18" s="782">
        <v>0</v>
      </c>
      <c r="AG18" s="496"/>
      <c r="AH18" s="73" t="e">
        <f t="shared" si="11"/>
        <v>#DIV/0!</v>
      </c>
      <c r="AI18" s="514">
        <v>0</v>
      </c>
      <c r="AJ18" s="496"/>
      <c r="AK18" s="73" t="e">
        <f t="shared" si="12"/>
        <v>#DIV/0!</v>
      </c>
      <c r="AL18" s="514">
        <v>8</v>
      </c>
      <c r="AM18" s="496">
        <v>5</v>
      </c>
      <c r="AN18" s="73">
        <f t="shared" si="13"/>
        <v>0.625</v>
      </c>
      <c r="AO18" s="514">
        <v>0</v>
      </c>
      <c r="AP18" s="496"/>
      <c r="AQ18" s="73" t="e">
        <f t="shared" si="14"/>
        <v>#DIV/0!</v>
      </c>
      <c r="AR18" s="514">
        <v>0</v>
      </c>
      <c r="AS18" s="496"/>
      <c r="AT18" s="73" t="e">
        <f t="shared" si="15"/>
        <v>#DIV/0!</v>
      </c>
      <c r="AU18" s="514">
        <v>0</v>
      </c>
      <c r="AV18" s="496"/>
      <c r="AW18" s="73" t="e">
        <f t="shared" si="16"/>
        <v>#DIV/0!</v>
      </c>
      <c r="AX18" s="949">
        <f>+AM18+Y18</f>
        <v>17</v>
      </c>
      <c r="AY18" s="956">
        <f t="shared" si="18"/>
        <v>1</v>
      </c>
      <c r="AZ18" s="958"/>
      <c r="BA18" s="958"/>
      <c r="BB18" s="958"/>
      <c r="BC18" s="958"/>
      <c r="BD18" s="958"/>
      <c r="BE18" s="958"/>
      <c r="BF18" s="958"/>
      <c r="BG18" s="958"/>
      <c r="BH18" s="958"/>
      <c r="BI18" s="958"/>
      <c r="BJ18" s="958"/>
      <c r="BK18" s="958"/>
      <c r="BL18" s="958"/>
      <c r="BM18" s="958"/>
      <c r="BN18" s="958"/>
      <c r="BO18" s="958"/>
      <c r="BP18" s="958"/>
      <c r="BQ18" s="958"/>
      <c r="BR18" s="958"/>
      <c r="BS18" s="958"/>
      <c r="BT18" s="958"/>
      <c r="BU18" s="958"/>
      <c r="BV18" s="958"/>
      <c r="BW18" s="958"/>
      <c r="BX18" s="958"/>
      <c r="BY18" s="958"/>
      <c r="BZ18" s="958"/>
      <c r="CA18" s="958"/>
      <c r="CB18" s="958"/>
      <c r="CC18" s="958"/>
      <c r="CD18" s="958"/>
      <c r="CE18" s="958"/>
      <c r="CF18" s="958"/>
      <c r="CG18" s="958"/>
      <c r="CH18" s="958"/>
      <c r="CI18" s="958"/>
      <c r="CJ18" s="958"/>
      <c r="CK18" s="958"/>
      <c r="CL18" s="958"/>
      <c r="CM18" s="958"/>
      <c r="CN18" s="958"/>
      <c r="CO18" s="958"/>
      <c r="CP18" s="958"/>
      <c r="CQ18" s="958"/>
      <c r="CR18" s="958"/>
      <c r="CS18" s="958"/>
      <c r="CT18" s="958"/>
      <c r="CU18" s="958"/>
      <c r="CV18" s="958"/>
      <c r="CW18" s="958"/>
      <c r="CX18" s="958"/>
      <c r="CY18" s="958"/>
      <c r="CZ18" s="958"/>
      <c r="DA18" s="958"/>
      <c r="DB18" s="958"/>
      <c r="DC18" s="958"/>
      <c r="DD18" s="958"/>
      <c r="DE18" s="958"/>
      <c r="DF18" s="958"/>
      <c r="DG18" s="958"/>
      <c r="DH18" s="958"/>
      <c r="DI18" s="958"/>
      <c r="DJ18" s="958"/>
      <c r="DK18" s="958"/>
      <c r="DL18" s="958"/>
      <c r="DM18" s="958"/>
      <c r="DN18" s="958"/>
      <c r="DO18" s="958"/>
      <c r="DP18" s="958"/>
      <c r="DQ18" s="958"/>
      <c r="DR18" s="958"/>
      <c r="DS18" s="958"/>
      <c r="DT18" s="958"/>
      <c r="DU18" s="958"/>
      <c r="DV18" s="958"/>
      <c r="DW18" s="958"/>
      <c r="DX18" s="958"/>
      <c r="DY18" s="958"/>
      <c r="DZ18" s="958"/>
      <c r="EA18" s="958"/>
      <c r="EB18" s="958"/>
      <c r="EC18" s="958"/>
      <c r="ED18" s="958"/>
      <c r="EE18" s="958"/>
      <c r="EF18" s="958"/>
      <c r="EG18" s="958"/>
      <c r="EH18" s="958"/>
      <c r="EI18" s="958"/>
      <c r="EJ18" s="958"/>
      <c r="EK18" s="958"/>
      <c r="EL18" s="958"/>
      <c r="EM18" s="958"/>
      <c r="EN18" s="958"/>
      <c r="EO18" s="958"/>
      <c r="EP18" s="958"/>
      <c r="EQ18" s="958"/>
      <c r="ER18" s="958"/>
      <c r="ES18" s="958"/>
      <c r="ET18" s="958"/>
      <c r="EU18" s="958"/>
      <c r="EV18" s="958"/>
      <c r="EW18" s="958"/>
      <c r="EX18" s="958"/>
      <c r="EY18" s="958"/>
      <c r="EZ18" s="958"/>
      <c r="FA18" s="958"/>
      <c r="FB18" s="958"/>
      <c r="FC18" s="958"/>
      <c r="FD18" s="958"/>
      <c r="FE18" s="958"/>
      <c r="FF18" s="958"/>
      <c r="FG18" s="958"/>
      <c r="FH18" s="958"/>
      <c r="FI18" s="958"/>
      <c r="FJ18" s="958"/>
      <c r="FK18" s="958"/>
      <c r="FL18" s="958"/>
      <c r="FM18" s="958"/>
      <c r="FN18" s="958"/>
      <c r="FO18" s="958"/>
      <c r="FP18" s="958"/>
      <c r="FQ18" s="958"/>
      <c r="FR18" s="958"/>
      <c r="FS18" s="958"/>
      <c r="FT18" s="958"/>
      <c r="FU18" s="958"/>
      <c r="FV18" s="958"/>
      <c r="FW18" s="958"/>
      <c r="FX18" s="958"/>
      <c r="FY18" s="958"/>
      <c r="FZ18" s="958"/>
      <c r="GA18" s="958"/>
      <c r="GB18" s="958"/>
      <c r="GC18" s="958"/>
      <c r="GD18" s="958"/>
      <c r="GE18" s="958"/>
      <c r="GF18" s="958"/>
      <c r="GG18" s="958"/>
      <c r="GH18" s="958"/>
      <c r="GI18" s="958"/>
      <c r="GJ18" s="958"/>
      <c r="GK18" s="958"/>
      <c r="GL18" s="958"/>
      <c r="GM18" s="958"/>
      <c r="GN18" s="958"/>
      <c r="GO18" s="958"/>
      <c r="GP18" s="958"/>
      <c r="GQ18" s="958"/>
      <c r="GR18" s="958"/>
      <c r="GS18" s="958"/>
      <c r="GT18" s="958"/>
      <c r="GU18" s="958"/>
      <c r="GV18" s="958"/>
      <c r="GW18" s="958"/>
      <c r="GX18" s="958"/>
      <c r="GY18" s="958"/>
      <c r="GZ18" s="958"/>
      <c r="HA18" s="958"/>
      <c r="HB18" s="958"/>
      <c r="HC18" s="958"/>
      <c r="HD18" s="958"/>
      <c r="HE18" s="958"/>
      <c r="HF18" s="958"/>
      <c r="HG18" s="958"/>
      <c r="HH18" s="958"/>
      <c r="HI18" s="958"/>
      <c r="HJ18" s="958"/>
      <c r="HK18" s="958"/>
      <c r="HL18" s="958"/>
      <c r="HM18" s="958"/>
      <c r="HN18" s="958"/>
      <c r="HO18" s="958"/>
      <c r="HP18" s="958"/>
      <c r="HQ18" s="958"/>
      <c r="HR18" s="958"/>
      <c r="HS18" s="958"/>
      <c r="HT18" s="958"/>
      <c r="HU18" s="958"/>
      <c r="HV18" s="958"/>
      <c r="HW18" s="958"/>
      <c r="HX18" s="958"/>
      <c r="HY18" s="958"/>
      <c r="HZ18" s="958"/>
      <c r="IA18" s="958"/>
      <c r="IB18" s="958"/>
      <c r="IC18" s="958"/>
      <c r="ID18" s="958"/>
      <c r="IE18" s="958"/>
      <c r="IF18" s="958"/>
      <c r="IG18" s="958"/>
      <c r="IH18" s="958"/>
      <c r="II18" s="958"/>
      <c r="IJ18" s="958"/>
      <c r="IK18" s="958"/>
      <c r="IL18" s="958"/>
      <c r="IM18" s="958"/>
      <c r="IN18" s="958"/>
      <c r="IO18" s="958"/>
      <c r="IP18" s="958"/>
      <c r="IQ18" s="958"/>
      <c r="IR18" s="958"/>
      <c r="IS18" s="958"/>
      <c r="IT18" s="958"/>
      <c r="IU18" s="958"/>
      <c r="IV18" s="958"/>
      <c r="IW18" s="958"/>
      <c r="IX18" s="958"/>
      <c r="IY18" s="958"/>
      <c r="IZ18" s="958"/>
      <c r="JA18" s="958"/>
      <c r="JB18" s="958"/>
      <c r="JC18" s="958"/>
      <c r="JD18" s="958"/>
      <c r="JE18" s="958"/>
      <c r="JF18" s="958"/>
      <c r="JG18" s="958"/>
      <c r="JH18" s="958"/>
      <c r="JI18" s="958"/>
      <c r="JJ18" s="958"/>
      <c r="JK18" s="958"/>
      <c r="JL18" s="958"/>
      <c r="JM18" s="958"/>
      <c r="JN18" s="958"/>
      <c r="JO18" s="958"/>
      <c r="JP18" s="958"/>
      <c r="JQ18" s="958"/>
      <c r="JR18" s="958"/>
      <c r="JS18" s="958"/>
      <c r="JT18" s="958"/>
      <c r="JU18" s="958"/>
      <c r="JV18" s="958"/>
      <c r="JW18" s="958"/>
      <c r="JX18" s="958"/>
      <c r="JY18" s="958"/>
      <c r="JZ18" s="958"/>
      <c r="KA18" s="958"/>
      <c r="KB18" s="958"/>
      <c r="KC18" s="958"/>
      <c r="KD18" s="958"/>
      <c r="KE18" s="958"/>
      <c r="KF18" s="958"/>
      <c r="KG18" s="958"/>
      <c r="KH18" s="958"/>
      <c r="KI18" s="958"/>
      <c r="KJ18" s="958"/>
      <c r="KK18" s="958"/>
      <c r="KL18" s="958"/>
      <c r="KM18" s="958"/>
      <c r="KN18" s="958"/>
      <c r="KO18" s="958"/>
      <c r="KP18" s="958"/>
      <c r="KQ18" s="958"/>
      <c r="KR18" s="958"/>
      <c r="KS18" s="958"/>
      <c r="KT18" s="958"/>
      <c r="KU18" s="958"/>
      <c r="KV18" s="958"/>
      <c r="KW18" s="958"/>
      <c r="KX18" s="958"/>
      <c r="KY18" s="958"/>
      <c r="KZ18" s="958"/>
      <c r="LA18" s="958"/>
      <c r="LB18" s="958"/>
      <c r="LC18" s="958"/>
      <c r="LD18" s="958"/>
      <c r="LE18" s="958"/>
      <c r="LF18" s="958"/>
      <c r="LG18" s="958"/>
      <c r="LH18" s="958"/>
      <c r="LI18" s="958"/>
      <c r="LJ18" s="958"/>
      <c r="LK18" s="958"/>
      <c r="LL18" s="958"/>
      <c r="LM18" s="958"/>
      <c r="LN18" s="958"/>
      <c r="LO18" s="958"/>
      <c r="LP18" s="958"/>
      <c r="LQ18" s="958"/>
      <c r="LR18" s="958"/>
      <c r="LS18" s="958"/>
      <c r="LT18" s="958"/>
      <c r="LU18" s="958"/>
      <c r="LV18" s="958"/>
      <c r="LW18" s="958"/>
      <c r="LX18" s="958"/>
      <c r="LY18" s="958"/>
      <c r="LZ18" s="958"/>
      <c r="MA18" s="958"/>
      <c r="MB18" s="958"/>
      <c r="MC18" s="958"/>
      <c r="MD18" s="958"/>
      <c r="ME18" s="958"/>
      <c r="MF18" s="958"/>
      <c r="MG18" s="958"/>
      <c r="MH18" s="958"/>
      <c r="MI18" s="958"/>
      <c r="MJ18" s="958"/>
      <c r="MK18" s="958"/>
      <c r="ML18" s="958"/>
      <c r="MM18" s="958"/>
      <c r="MN18" s="958"/>
      <c r="MO18" s="958"/>
      <c r="MP18" s="958"/>
      <c r="MQ18" s="958"/>
      <c r="MR18" s="958"/>
      <c r="MS18" s="958"/>
      <c r="MT18" s="958"/>
      <c r="MU18" s="958"/>
      <c r="MV18" s="958"/>
      <c r="MW18" s="958"/>
      <c r="MX18" s="958"/>
      <c r="MY18" s="958"/>
      <c r="MZ18" s="958"/>
      <c r="NA18" s="958"/>
      <c r="NB18" s="958"/>
      <c r="NC18" s="958"/>
      <c r="ND18" s="958"/>
      <c r="NE18" s="958"/>
      <c r="NF18" s="958"/>
      <c r="NG18" s="958"/>
      <c r="NH18" s="958"/>
      <c r="NI18" s="958"/>
      <c r="NJ18" s="958"/>
      <c r="NK18" s="958"/>
      <c r="NL18" s="958"/>
      <c r="NM18" s="958"/>
      <c r="NN18" s="958"/>
      <c r="NO18" s="958"/>
      <c r="NP18" s="958"/>
      <c r="NQ18" s="958"/>
      <c r="NR18" s="958"/>
      <c r="NS18" s="958"/>
      <c r="NT18" s="958"/>
      <c r="NU18" s="958"/>
      <c r="NV18" s="958"/>
      <c r="NW18" s="958"/>
      <c r="NX18" s="958"/>
      <c r="NY18" s="958"/>
      <c r="NZ18" s="958"/>
      <c r="OA18" s="958"/>
      <c r="OB18" s="958"/>
      <c r="OC18" s="958"/>
      <c r="OD18" s="958"/>
      <c r="OE18" s="958"/>
      <c r="OF18" s="958"/>
      <c r="OG18" s="958"/>
      <c r="OH18" s="958"/>
      <c r="OI18" s="958"/>
      <c r="OJ18" s="958"/>
      <c r="OK18" s="958"/>
      <c r="OL18" s="958"/>
      <c r="OM18" s="958"/>
      <c r="ON18" s="958"/>
      <c r="OO18" s="958"/>
      <c r="OP18" s="958"/>
      <c r="OQ18" s="958"/>
      <c r="OR18" s="958"/>
      <c r="OS18" s="958"/>
      <c r="OT18" s="958"/>
      <c r="OU18" s="958"/>
      <c r="OV18" s="958"/>
      <c r="OW18" s="958"/>
      <c r="OX18" s="958"/>
      <c r="OY18" s="958"/>
      <c r="OZ18" s="958"/>
      <c r="PA18" s="958"/>
      <c r="PB18" s="958"/>
      <c r="PC18" s="958"/>
      <c r="PD18" s="958"/>
      <c r="PE18" s="958"/>
      <c r="PF18" s="958"/>
      <c r="PG18" s="958"/>
      <c r="PH18" s="958"/>
      <c r="PI18" s="958"/>
      <c r="PJ18" s="958"/>
      <c r="PK18" s="958"/>
      <c r="PL18" s="958"/>
      <c r="PM18" s="958"/>
      <c r="PN18" s="958"/>
      <c r="PO18" s="958"/>
      <c r="PP18" s="958"/>
      <c r="PQ18" s="958"/>
      <c r="PR18" s="958"/>
      <c r="PS18" s="958"/>
      <c r="PT18" s="958"/>
      <c r="PU18" s="958"/>
      <c r="PV18" s="958"/>
      <c r="PW18" s="958"/>
      <c r="PX18" s="958"/>
      <c r="PY18" s="958"/>
      <c r="PZ18" s="958"/>
      <c r="QA18" s="958"/>
      <c r="QB18" s="958"/>
      <c r="QC18" s="958"/>
      <c r="QD18" s="958"/>
      <c r="QE18" s="958"/>
      <c r="QF18" s="958"/>
      <c r="QG18" s="958"/>
      <c r="QH18" s="958"/>
      <c r="QI18" s="958"/>
      <c r="QJ18" s="958"/>
      <c r="QK18" s="958"/>
      <c r="QL18" s="958"/>
      <c r="QM18" s="958"/>
      <c r="QN18" s="958"/>
      <c r="QO18" s="958"/>
      <c r="QP18" s="958"/>
      <c r="QQ18" s="958"/>
      <c r="QR18" s="958"/>
      <c r="QS18" s="958"/>
      <c r="QT18" s="958"/>
      <c r="QU18" s="958"/>
      <c r="QV18" s="958"/>
      <c r="QW18" s="958"/>
      <c r="QX18" s="958"/>
      <c r="QY18" s="958"/>
      <c r="QZ18" s="958"/>
      <c r="RA18" s="958"/>
      <c r="RB18" s="958"/>
      <c r="RC18" s="958"/>
      <c r="RD18" s="958"/>
      <c r="RE18" s="958"/>
      <c r="RF18" s="958"/>
      <c r="RG18" s="958"/>
      <c r="RH18" s="958"/>
      <c r="RI18" s="958"/>
      <c r="RJ18" s="958"/>
      <c r="RK18" s="958"/>
      <c r="RL18" s="958"/>
      <c r="RM18" s="958"/>
      <c r="RN18" s="958"/>
      <c r="RO18" s="958"/>
      <c r="RP18" s="958"/>
      <c r="RQ18" s="958"/>
      <c r="RR18" s="958"/>
      <c r="RS18" s="958"/>
      <c r="RT18" s="958"/>
      <c r="RU18" s="958"/>
      <c r="RV18" s="958"/>
      <c r="RW18" s="958"/>
      <c r="RX18" s="958"/>
      <c r="RY18" s="958"/>
      <c r="RZ18" s="958"/>
      <c r="SA18" s="958"/>
      <c r="SB18" s="958"/>
      <c r="SC18" s="958"/>
      <c r="SD18" s="958"/>
      <c r="SE18" s="958"/>
      <c r="SF18" s="958"/>
      <c r="SG18" s="958"/>
      <c r="SH18" s="958"/>
      <c r="SI18" s="958"/>
      <c r="SJ18" s="958"/>
      <c r="SK18" s="958"/>
      <c r="SL18" s="958"/>
      <c r="SM18" s="958"/>
      <c r="SN18" s="958"/>
      <c r="SO18" s="958"/>
      <c r="SP18" s="958"/>
      <c r="SQ18" s="958"/>
      <c r="SR18" s="958"/>
      <c r="SS18" s="958"/>
      <c r="ST18" s="958"/>
      <c r="SU18" s="958"/>
      <c r="SV18" s="958"/>
      <c r="SW18" s="958"/>
      <c r="SX18" s="958"/>
      <c r="SY18" s="958"/>
      <c r="SZ18" s="958"/>
      <c r="TA18" s="958"/>
      <c r="TB18" s="958"/>
      <c r="TC18" s="958"/>
      <c r="TD18" s="958"/>
      <c r="TE18" s="958"/>
      <c r="TF18" s="958"/>
      <c r="TG18" s="958"/>
      <c r="TH18" s="958"/>
      <c r="TI18" s="958"/>
      <c r="TJ18" s="958"/>
      <c r="TK18" s="958"/>
      <c r="TL18" s="958"/>
      <c r="TM18" s="958"/>
      <c r="TN18" s="958"/>
      <c r="TO18" s="958"/>
      <c r="TP18" s="958"/>
      <c r="TQ18" s="958"/>
      <c r="TR18" s="958"/>
      <c r="TS18" s="958"/>
      <c r="TT18" s="958"/>
      <c r="TU18" s="958"/>
      <c r="TV18" s="958"/>
      <c r="TW18" s="958"/>
      <c r="TX18" s="958"/>
      <c r="TY18" s="958"/>
      <c r="TZ18" s="958"/>
      <c r="UA18" s="958"/>
      <c r="UB18" s="958"/>
      <c r="UC18" s="958"/>
      <c r="UD18" s="958"/>
      <c r="UE18" s="958"/>
      <c r="UF18" s="958"/>
      <c r="UG18" s="958"/>
      <c r="UH18" s="958"/>
      <c r="UI18" s="958"/>
      <c r="UJ18" s="958"/>
      <c r="UK18" s="958"/>
      <c r="UL18" s="958"/>
      <c r="UM18" s="958"/>
      <c r="UN18" s="958"/>
      <c r="UO18" s="958"/>
      <c r="UP18" s="958"/>
      <c r="UQ18" s="958"/>
      <c r="UR18" s="958"/>
      <c r="US18" s="958"/>
      <c r="UT18" s="958"/>
      <c r="UU18" s="958"/>
      <c r="UV18" s="958"/>
      <c r="UW18" s="958"/>
      <c r="UX18" s="958"/>
      <c r="UY18" s="958"/>
      <c r="UZ18" s="958"/>
      <c r="VA18" s="958"/>
      <c r="VB18" s="958"/>
      <c r="VC18" s="958"/>
      <c r="VD18" s="958"/>
      <c r="VE18" s="958"/>
      <c r="VF18" s="958"/>
      <c r="VG18" s="958"/>
      <c r="VH18" s="958"/>
      <c r="VI18" s="958"/>
      <c r="VJ18" s="958"/>
      <c r="VK18" s="958"/>
      <c r="VL18" s="958"/>
      <c r="VM18" s="958"/>
      <c r="VN18" s="958"/>
      <c r="VO18" s="958"/>
      <c r="VP18" s="958"/>
      <c r="VQ18" s="958"/>
      <c r="VR18" s="958"/>
      <c r="VS18" s="958"/>
      <c r="VT18" s="958"/>
      <c r="VU18" s="958"/>
      <c r="VV18" s="958"/>
      <c r="VW18" s="958"/>
      <c r="VX18" s="958"/>
      <c r="VY18" s="958"/>
      <c r="VZ18" s="958"/>
      <c r="WA18" s="958"/>
      <c r="WB18" s="958"/>
      <c r="WC18" s="958"/>
      <c r="WD18" s="958"/>
      <c r="WE18" s="958"/>
      <c r="WF18" s="958"/>
      <c r="WG18" s="958"/>
      <c r="WH18" s="958"/>
      <c r="WI18" s="958"/>
      <c r="WJ18" s="958"/>
      <c r="WK18" s="958"/>
      <c r="WL18" s="958"/>
      <c r="WM18" s="958"/>
      <c r="WN18" s="958"/>
      <c r="WO18" s="958"/>
      <c r="WP18" s="958"/>
      <c r="WQ18" s="958"/>
      <c r="WR18" s="958"/>
      <c r="WS18" s="958"/>
      <c r="WT18" s="958"/>
      <c r="WU18" s="958"/>
      <c r="WV18" s="958"/>
      <c r="WW18" s="958"/>
      <c r="WX18" s="958"/>
      <c r="WY18" s="958"/>
      <c r="WZ18" s="958"/>
      <c r="XA18" s="958"/>
      <c r="XB18" s="958"/>
      <c r="XC18" s="958"/>
      <c r="XD18" s="958"/>
      <c r="XE18" s="958"/>
      <c r="XF18" s="958"/>
      <c r="XG18" s="958"/>
      <c r="XH18" s="958"/>
      <c r="XI18" s="958"/>
      <c r="XJ18" s="958"/>
      <c r="XK18" s="958"/>
      <c r="XL18" s="958"/>
      <c r="XM18" s="958"/>
      <c r="XN18" s="958"/>
      <c r="XO18" s="958"/>
      <c r="XP18" s="958"/>
      <c r="XQ18" s="958"/>
      <c r="XR18" s="958"/>
      <c r="XS18" s="958"/>
      <c r="XT18" s="958"/>
      <c r="XU18" s="958"/>
      <c r="XV18" s="958"/>
      <c r="XW18" s="958"/>
      <c r="XX18" s="958"/>
      <c r="XY18" s="958"/>
      <c r="XZ18" s="958"/>
      <c r="YA18" s="958"/>
      <c r="YB18" s="958"/>
      <c r="YC18" s="958"/>
      <c r="YD18" s="958"/>
      <c r="YE18" s="958"/>
      <c r="YF18" s="958"/>
      <c r="YG18" s="958"/>
      <c r="YH18" s="958"/>
      <c r="YI18" s="958"/>
      <c r="YJ18" s="958"/>
      <c r="YK18" s="958"/>
      <c r="YL18" s="958"/>
      <c r="YM18" s="958"/>
      <c r="YN18" s="958"/>
      <c r="YO18" s="958"/>
      <c r="YP18" s="958"/>
      <c r="YQ18" s="958"/>
      <c r="YR18" s="958"/>
      <c r="YS18" s="958"/>
      <c r="YT18" s="958"/>
      <c r="YU18" s="958"/>
      <c r="YV18" s="958"/>
      <c r="YW18" s="958"/>
      <c r="YX18" s="958"/>
      <c r="YY18" s="958"/>
      <c r="YZ18" s="958"/>
      <c r="ZA18" s="958"/>
      <c r="ZB18" s="958"/>
      <c r="ZC18" s="958"/>
      <c r="ZD18" s="958"/>
      <c r="ZE18" s="958"/>
      <c r="ZF18" s="958"/>
      <c r="ZG18" s="958"/>
      <c r="ZH18" s="958"/>
      <c r="ZI18" s="958"/>
      <c r="ZJ18" s="958"/>
      <c r="ZK18" s="958"/>
      <c r="ZL18" s="958"/>
      <c r="ZM18" s="958"/>
      <c r="ZN18" s="958"/>
      <c r="ZO18" s="958"/>
      <c r="ZP18" s="958"/>
      <c r="ZQ18" s="958"/>
      <c r="ZR18" s="958"/>
      <c r="ZS18" s="958"/>
      <c r="ZT18" s="958"/>
      <c r="ZU18" s="958"/>
      <c r="ZV18" s="958"/>
      <c r="ZW18" s="958"/>
      <c r="ZX18" s="958"/>
      <c r="ZY18" s="958"/>
      <c r="ZZ18" s="958"/>
      <c r="AAA18" s="958"/>
      <c r="AAB18" s="958"/>
      <c r="AAC18" s="958"/>
      <c r="AAD18" s="958"/>
      <c r="AAE18" s="958"/>
      <c r="AAF18" s="958"/>
      <c r="AAG18" s="958"/>
      <c r="AAH18" s="958"/>
      <c r="AAI18" s="958"/>
      <c r="AAJ18" s="958"/>
      <c r="AAK18" s="958"/>
      <c r="AAL18" s="958"/>
      <c r="AAM18" s="958"/>
      <c r="AAN18" s="958"/>
      <c r="AAO18" s="958"/>
      <c r="AAP18" s="958"/>
      <c r="AAQ18" s="958"/>
      <c r="AAR18" s="958"/>
      <c r="AAS18" s="958"/>
      <c r="AAT18" s="958"/>
      <c r="AAU18" s="958"/>
      <c r="AAV18" s="958"/>
      <c r="AAW18" s="958"/>
      <c r="AAX18" s="958"/>
      <c r="AAY18" s="958"/>
      <c r="AAZ18" s="958"/>
      <c r="ABA18" s="958"/>
      <c r="ABB18" s="958"/>
      <c r="ABC18" s="958"/>
      <c r="ABD18" s="958"/>
      <c r="ABE18" s="958"/>
      <c r="ABF18" s="958"/>
      <c r="ABG18" s="958"/>
      <c r="ABH18" s="958"/>
      <c r="ABI18" s="958"/>
      <c r="ABJ18" s="958"/>
      <c r="ABK18" s="958"/>
      <c r="ABL18" s="958"/>
      <c r="ABM18" s="958"/>
      <c r="ABN18" s="958"/>
      <c r="ABO18" s="958"/>
      <c r="ABP18" s="958"/>
      <c r="ABQ18" s="958"/>
      <c r="ABR18" s="958"/>
      <c r="ABS18" s="958"/>
      <c r="ABT18" s="958"/>
      <c r="ABU18" s="958"/>
      <c r="ABV18" s="958"/>
      <c r="ABW18" s="958"/>
      <c r="ABX18" s="958"/>
      <c r="ABY18" s="958"/>
      <c r="ABZ18" s="958"/>
      <c r="ACA18" s="958"/>
      <c r="ACB18" s="958"/>
      <c r="ACC18" s="958"/>
      <c r="ACD18" s="958"/>
      <c r="ACE18" s="958"/>
      <c r="ACF18" s="958"/>
      <c r="ACG18" s="958"/>
      <c r="ACH18" s="958"/>
      <c r="ACI18" s="958"/>
      <c r="ACJ18" s="958"/>
      <c r="ACK18" s="958"/>
      <c r="ACL18" s="958"/>
      <c r="ACM18" s="958"/>
      <c r="ACN18" s="958"/>
      <c r="ACO18" s="958"/>
      <c r="ACP18" s="958"/>
      <c r="ACQ18" s="958"/>
      <c r="ACR18" s="958"/>
      <c r="ACS18" s="958"/>
      <c r="ACT18" s="958"/>
      <c r="ACU18" s="958"/>
      <c r="ACV18" s="958"/>
      <c r="ACW18" s="958"/>
      <c r="ACX18" s="958"/>
      <c r="ACY18" s="958"/>
      <c r="ACZ18" s="958"/>
      <c r="ADA18" s="958"/>
      <c r="ADB18" s="958"/>
      <c r="ADC18" s="958"/>
      <c r="ADD18" s="958"/>
      <c r="ADE18" s="958"/>
      <c r="ADF18" s="958"/>
      <c r="ADG18" s="958"/>
      <c r="ADH18" s="958"/>
      <c r="ADI18" s="958"/>
      <c r="ADJ18" s="958"/>
      <c r="ADK18" s="958"/>
      <c r="ADL18" s="958"/>
      <c r="ADM18" s="958"/>
      <c r="ADN18" s="958"/>
      <c r="ADO18" s="958"/>
      <c r="ADP18" s="958"/>
      <c r="ADQ18" s="958"/>
      <c r="ADR18" s="958"/>
      <c r="ADS18" s="958"/>
      <c r="ADT18" s="958"/>
      <c r="ADU18" s="958"/>
      <c r="ADV18" s="958"/>
      <c r="ADW18" s="958"/>
      <c r="ADX18" s="958"/>
      <c r="ADY18" s="958"/>
      <c r="ADZ18" s="958"/>
      <c r="AEA18" s="958"/>
      <c r="AEB18" s="958"/>
      <c r="AEC18" s="958"/>
      <c r="AED18" s="958"/>
      <c r="AEE18" s="958"/>
      <c r="AEF18" s="958"/>
      <c r="AEG18" s="958"/>
      <c r="AEH18" s="958"/>
      <c r="AEI18" s="958"/>
      <c r="AEJ18" s="958"/>
      <c r="AEK18" s="958"/>
      <c r="AEL18" s="958"/>
      <c r="AEM18" s="958"/>
      <c r="AEN18" s="958"/>
      <c r="AEO18" s="958"/>
      <c r="AEP18" s="958"/>
      <c r="AEQ18" s="958"/>
      <c r="AER18" s="958"/>
      <c r="AES18" s="958"/>
      <c r="AET18" s="958"/>
      <c r="AEU18" s="958"/>
      <c r="AEV18" s="958"/>
      <c r="AEW18" s="958"/>
      <c r="AEX18" s="958"/>
      <c r="AEY18" s="958"/>
      <c r="AEZ18" s="958"/>
      <c r="AFA18" s="958"/>
      <c r="AFB18" s="958"/>
      <c r="AFC18" s="958"/>
      <c r="AFD18" s="958"/>
      <c r="AFE18" s="958"/>
      <c r="AFF18" s="958"/>
      <c r="AFG18" s="958"/>
      <c r="AFH18" s="958"/>
      <c r="AFI18" s="958"/>
      <c r="AFJ18" s="958"/>
      <c r="AFK18" s="958"/>
      <c r="AFL18" s="958"/>
      <c r="AFM18" s="958"/>
      <c r="AFN18" s="958"/>
      <c r="AFO18" s="958"/>
      <c r="AFP18" s="958"/>
      <c r="AFQ18" s="958"/>
      <c r="AFR18" s="958"/>
      <c r="AFS18" s="958"/>
      <c r="AFT18" s="958"/>
      <c r="AFU18" s="958"/>
      <c r="AFV18" s="958"/>
      <c r="AFW18" s="958"/>
      <c r="AFX18" s="958"/>
      <c r="AFY18" s="958"/>
      <c r="AFZ18" s="958"/>
      <c r="AGA18" s="958"/>
      <c r="AGB18" s="958"/>
      <c r="AGC18" s="958"/>
      <c r="AGD18" s="958"/>
      <c r="AGE18" s="958"/>
      <c r="AGF18" s="958"/>
      <c r="AGG18" s="958"/>
      <c r="AGH18" s="958"/>
      <c r="AGI18" s="958"/>
      <c r="AGJ18" s="958"/>
      <c r="AGK18" s="958"/>
      <c r="AGL18" s="958"/>
      <c r="AGM18" s="958"/>
      <c r="AGN18" s="958"/>
      <c r="AGO18" s="958"/>
      <c r="AGP18" s="958"/>
      <c r="AGQ18" s="958"/>
      <c r="AGR18" s="958"/>
      <c r="AGS18" s="958"/>
      <c r="AGT18" s="958"/>
      <c r="AGU18" s="958"/>
      <c r="AGV18" s="958"/>
      <c r="AGW18" s="958"/>
      <c r="AGX18" s="958"/>
      <c r="AGY18" s="958"/>
      <c r="AGZ18" s="958"/>
      <c r="AHA18" s="958"/>
      <c r="AHB18" s="958"/>
      <c r="AHC18" s="958"/>
      <c r="AHD18" s="958"/>
      <c r="AHE18" s="958"/>
      <c r="AHF18" s="958"/>
      <c r="AHG18" s="958"/>
      <c r="AHH18" s="958"/>
      <c r="AHI18" s="958"/>
      <c r="AHJ18" s="958"/>
      <c r="AHK18" s="958"/>
      <c r="AHL18" s="958"/>
      <c r="AHM18" s="958"/>
      <c r="AHN18" s="958"/>
      <c r="AHO18" s="958"/>
      <c r="AHP18" s="958"/>
      <c r="AHQ18" s="958"/>
      <c r="AHR18" s="958"/>
      <c r="AHS18" s="958"/>
      <c r="AHT18" s="958"/>
      <c r="AHU18" s="958"/>
      <c r="AHV18" s="958"/>
      <c r="AHW18" s="958"/>
      <c r="AHX18" s="958"/>
      <c r="AHY18" s="958"/>
      <c r="AHZ18" s="958"/>
      <c r="AIA18" s="958"/>
      <c r="AIB18" s="958"/>
      <c r="AIC18" s="958"/>
      <c r="AID18" s="958"/>
      <c r="AIE18" s="958"/>
      <c r="AIF18" s="958"/>
      <c r="AIG18" s="958"/>
      <c r="AIH18" s="958"/>
      <c r="AII18" s="958"/>
      <c r="AIJ18" s="958"/>
      <c r="AIK18" s="958"/>
      <c r="AIL18" s="958"/>
      <c r="AIM18" s="958"/>
      <c r="AIN18" s="958"/>
      <c r="AIO18" s="958"/>
      <c r="AIP18" s="958"/>
      <c r="AIQ18" s="958"/>
      <c r="AIR18" s="958"/>
      <c r="AIS18" s="958"/>
      <c r="AIT18" s="958"/>
      <c r="AIU18" s="958"/>
      <c r="AIV18" s="958"/>
      <c r="AIW18" s="958"/>
      <c r="AIX18" s="958"/>
      <c r="AIY18" s="958"/>
      <c r="AIZ18" s="958"/>
      <c r="AJA18" s="958"/>
      <c r="AJB18" s="958"/>
      <c r="AJC18" s="958"/>
      <c r="AJD18" s="958"/>
      <c r="AJE18" s="958"/>
      <c r="AJF18" s="958"/>
      <c r="AJG18" s="958"/>
      <c r="AJH18" s="958"/>
      <c r="AJI18" s="958"/>
      <c r="AJJ18" s="958"/>
      <c r="AJK18" s="958"/>
      <c r="AJL18" s="958"/>
      <c r="AJM18" s="958"/>
      <c r="AJN18" s="958"/>
      <c r="AJO18" s="958"/>
      <c r="AJP18" s="958"/>
      <c r="AJQ18" s="958"/>
      <c r="AJR18" s="958"/>
      <c r="AJS18" s="958"/>
      <c r="AJT18" s="958"/>
      <c r="AJU18" s="958"/>
      <c r="AJV18" s="958"/>
      <c r="AJW18" s="958"/>
      <c r="AJX18" s="958"/>
      <c r="AJY18" s="958"/>
      <c r="AJZ18" s="958"/>
      <c r="AKA18" s="958"/>
      <c r="AKB18" s="958"/>
      <c r="AKC18" s="958"/>
      <c r="AKD18" s="958"/>
      <c r="AKE18" s="958"/>
      <c r="AKF18" s="958"/>
      <c r="AKG18" s="958"/>
      <c r="AKH18" s="958"/>
      <c r="AKI18" s="958"/>
      <c r="AKJ18" s="958"/>
      <c r="AKK18" s="958"/>
      <c r="AKL18" s="958"/>
      <c r="AKM18" s="958"/>
      <c r="AKN18" s="958"/>
      <c r="AKO18" s="958"/>
      <c r="AKP18" s="958"/>
      <c r="AKQ18" s="958"/>
      <c r="AKR18" s="958"/>
      <c r="AKS18" s="958"/>
      <c r="AKT18" s="958"/>
      <c r="AKU18" s="958"/>
      <c r="AKV18" s="958"/>
      <c r="AKW18" s="958"/>
      <c r="AKX18" s="958"/>
      <c r="AKY18" s="958"/>
      <c r="AKZ18" s="958"/>
      <c r="ALA18" s="958"/>
      <c r="ALB18" s="958"/>
      <c r="ALC18" s="958"/>
      <c r="ALD18" s="958"/>
      <c r="ALE18" s="958"/>
      <c r="ALF18" s="958"/>
      <c r="ALG18" s="958"/>
      <c r="ALH18" s="958"/>
      <c r="ALI18" s="958"/>
      <c r="ALJ18" s="958"/>
      <c r="ALK18" s="958"/>
      <c r="ALL18" s="958"/>
      <c r="ALM18" s="958"/>
      <c r="ALN18" s="958"/>
      <c r="ALO18" s="958"/>
      <c r="ALP18" s="958"/>
      <c r="ALQ18" s="958"/>
      <c r="ALR18" s="958"/>
      <c r="ALS18" s="958"/>
      <c r="ALT18" s="958"/>
      <c r="ALU18" s="958"/>
      <c r="ALV18" s="958"/>
      <c r="ALW18" s="958"/>
      <c r="ALX18" s="958"/>
      <c r="ALY18" s="958"/>
      <c r="ALZ18" s="958"/>
      <c r="AMA18" s="958"/>
      <c r="AMB18" s="958"/>
      <c r="AMC18" s="958"/>
      <c r="AMD18" s="958"/>
      <c r="AME18" s="958"/>
      <c r="AMF18" s="958"/>
      <c r="AMG18" s="958"/>
      <c r="AMH18" s="958"/>
      <c r="AMI18" s="958"/>
      <c r="AMJ18" s="958"/>
      <c r="AMK18" s="958"/>
      <c r="AML18" s="958"/>
      <c r="AMM18" s="958"/>
      <c r="AMN18" s="958"/>
      <c r="AMO18" s="958"/>
      <c r="AMP18" s="958"/>
      <c r="AMQ18" s="958"/>
      <c r="AMR18" s="958"/>
      <c r="AMS18" s="958"/>
      <c r="AMT18" s="958"/>
      <c r="AMU18" s="958"/>
      <c r="AMV18" s="958"/>
      <c r="AMW18" s="958"/>
      <c r="AMX18" s="958"/>
      <c r="AMY18" s="958"/>
      <c r="AMZ18" s="958"/>
      <c r="ANA18" s="958"/>
      <c r="ANB18" s="958"/>
      <c r="ANC18" s="958"/>
      <c r="AND18" s="958"/>
      <c r="ANE18" s="958"/>
      <c r="ANF18" s="958"/>
      <c r="ANG18" s="958"/>
      <c r="ANH18" s="958"/>
      <c r="ANI18" s="958"/>
      <c r="ANJ18" s="958"/>
      <c r="ANK18" s="958"/>
      <c r="ANL18" s="958"/>
      <c r="ANM18" s="958"/>
      <c r="ANN18" s="958"/>
      <c r="ANO18" s="958"/>
      <c r="ANP18" s="958"/>
      <c r="ANQ18" s="958"/>
      <c r="ANR18" s="958"/>
      <c r="ANS18" s="958"/>
      <c r="ANT18" s="958"/>
      <c r="ANU18" s="958"/>
      <c r="ANV18" s="958"/>
      <c r="ANW18" s="958"/>
      <c r="ANX18" s="958"/>
      <c r="ANY18" s="958"/>
      <c r="ANZ18" s="958"/>
      <c r="AOA18" s="958"/>
      <c r="AOB18" s="958"/>
      <c r="AOC18" s="958"/>
      <c r="AOD18" s="958"/>
      <c r="AOE18" s="958"/>
      <c r="AOF18" s="958"/>
      <c r="AOG18" s="958"/>
      <c r="AOH18" s="958"/>
      <c r="AOI18" s="958"/>
      <c r="AOJ18" s="958"/>
      <c r="AOK18" s="958"/>
      <c r="AOL18" s="958"/>
      <c r="AOM18" s="958"/>
      <c r="AON18" s="958"/>
      <c r="AOO18" s="958"/>
      <c r="AOP18" s="958"/>
      <c r="AOQ18" s="958"/>
      <c r="AOR18" s="958"/>
      <c r="AOS18" s="958"/>
      <c r="AOT18" s="958"/>
      <c r="AOU18" s="958"/>
      <c r="AOV18" s="958"/>
      <c r="AOW18" s="958"/>
      <c r="AOX18" s="958"/>
      <c r="AOY18" s="958"/>
      <c r="AOZ18" s="958"/>
      <c r="APA18" s="958"/>
      <c r="APB18" s="958"/>
      <c r="APC18" s="958"/>
      <c r="APD18" s="958"/>
      <c r="APE18" s="958"/>
      <c r="APF18" s="958"/>
      <c r="APG18" s="958"/>
      <c r="APH18" s="958"/>
      <c r="API18" s="958"/>
      <c r="APJ18" s="958"/>
      <c r="APK18" s="958"/>
      <c r="APL18" s="958"/>
      <c r="APM18" s="958"/>
      <c r="APN18" s="958"/>
      <c r="APO18" s="958"/>
      <c r="APP18" s="958"/>
      <c r="APQ18" s="958"/>
      <c r="APR18" s="958"/>
      <c r="APS18" s="958"/>
      <c r="APT18" s="958"/>
      <c r="APU18" s="958"/>
      <c r="APV18" s="958"/>
      <c r="APW18" s="958"/>
      <c r="APX18" s="958"/>
      <c r="APY18" s="958"/>
      <c r="APZ18" s="958"/>
      <c r="AQA18" s="958"/>
      <c r="AQB18" s="958"/>
      <c r="AQC18" s="958"/>
      <c r="AQD18" s="958"/>
      <c r="AQE18" s="958"/>
      <c r="AQF18" s="958"/>
      <c r="AQG18" s="958"/>
      <c r="AQH18" s="958"/>
      <c r="AQI18" s="958"/>
      <c r="AQJ18" s="958"/>
      <c r="AQK18" s="958"/>
      <c r="AQL18" s="958"/>
      <c r="AQM18" s="958"/>
      <c r="AQN18" s="958"/>
      <c r="AQO18" s="958"/>
      <c r="AQP18" s="958"/>
      <c r="AQQ18" s="958"/>
      <c r="AQR18" s="958"/>
      <c r="AQS18" s="958"/>
      <c r="AQT18" s="958"/>
      <c r="AQU18" s="958"/>
      <c r="AQV18" s="958"/>
      <c r="AQW18" s="958"/>
      <c r="AQX18" s="958"/>
      <c r="AQY18" s="958"/>
      <c r="AQZ18" s="958"/>
      <c r="ARA18" s="958"/>
      <c r="ARB18" s="958"/>
      <c r="ARC18" s="958"/>
      <c r="ARD18" s="958"/>
      <c r="ARE18" s="958"/>
      <c r="ARF18" s="958"/>
      <c r="ARG18" s="958"/>
      <c r="ARH18" s="958"/>
      <c r="ARI18" s="958"/>
      <c r="ARJ18" s="958"/>
      <c r="ARK18" s="958"/>
      <c r="ARL18" s="958"/>
      <c r="ARM18" s="958"/>
      <c r="ARN18" s="958"/>
      <c r="ARO18" s="958"/>
      <c r="ARP18" s="958"/>
      <c r="ARQ18" s="958"/>
      <c r="ARR18" s="958"/>
      <c r="ARS18" s="958"/>
      <c r="ART18" s="958"/>
      <c r="ARU18" s="958"/>
      <c r="ARV18" s="958"/>
      <c r="ARW18" s="958"/>
      <c r="ARX18" s="958"/>
      <c r="ARY18" s="958"/>
      <c r="ARZ18" s="958"/>
      <c r="ASA18" s="958"/>
      <c r="ASB18" s="958"/>
      <c r="ASC18" s="958"/>
      <c r="ASD18" s="958"/>
      <c r="ASE18" s="958"/>
      <c r="ASF18" s="958"/>
      <c r="ASG18" s="958"/>
      <c r="ASH18" s="958"/>
      <c r="ASI18" s="958"/>
      <c r="ASJ18" s="958"/>
      <c r="ASK18" s="958"/>
      <c r="ASL18" s="958"/>
      <c r="ASM18" s="958"/>
      <c r="ASN18" s="958"/>
      <c r="ASO18" s="958"/>
      <c r="ASP18" s="958"/>
      <c r="ASQ18" s="958"/>
      <c r="ASR18" s="958"/>
      <c r="ASS18" s="958"/>
      <c r="AST18" s="958"/>
      <c r="ASU18" s="958"/>
      <c r="ASV18" s="958"/>
      <c r="ASW18" s="958"/>
      <c r="ASX18" s="958"/>
      <c r="ASY18" s="958"/>
      <c r="ASZ18" s="958"/>
    </row>
    <row r="19" spans="1:1196" s="22" customFormat="1" ht="60.75" customHeight="1" thickTop="1" thickBot="1">
      <c r="A19" s="2846"/>
      <c r="B19" s="2992"/>
      <c r="C19" s="3026"/>
      <c r="D19" s="623" t="s">
        <v>433</v>
      </c>
      <c r="E19" s="172" t="s">
        <v>480</v>
      </c>
      <c r="F19" s="172" t="s">
        <v>10</v>
      </c>
      <c r="G19" s="768">
        <v>0.6</v>
      </c>
      <c r="H19" s="81"/>
      <c r="I19" s="81"/>
      <c r="J19" s="81"/>
      <c r="K19" s="172" t="s">
        <v>196</v>
      </c>
      <c r="L19" s="871">
        <v>0.6</v>
      </c>
      <c r="M19" s="974">
        <v>0.5714285714285714</v>
      </c>
      <c r="N19" s="73">
        <f t="shared" si="3"/>
        <v>0.95238095238095233</v>
      </c>
      <c r="O19" s="871">
        <v>0.6</v>
      </c>
      <c r="P19" s="974">
        <v>0.54487179487179493</v>
      </c>
      <c r="Q19" s="73">
        <f t="shared" si="4"/>
        <v>0.90811965811965822</v>
      </c>
      <c r="R19" s="871">
        <v>0.6</v>
      </c>
      <c r="S19" s="974">
        <v>0.47263681592039802</v>
      </c>
      <c r="T19" s="73">
        <f t="shared" si="5"/>
        <v>0.78772802653399676</v>
      </c>
      <c r="U19" s="871">
        <v>0.6</v>
      </c>
      <c r="V19" s="974">
        <v>0</v>
      </c>
      <c r="W19" s="73">
        <f t="shared" si="6"/>
        <v>0</v>
      </c>
      <c r="X19" s="871">
        <v>0.6</v>
      </c>
      <c r="Y19" s="974">
        <v>0</v>
      </c>
      <c r="Z19" s="73">
        <f t="shared" si="7"/>
        <v>0</v>
      </c>
      <c r="AA19" s="871">
        <v>0.6</v>
      </c>
      <c r="AB19" s="871">
        <v>1</v>
      </c>
      <c r="AC19" s="73">
        <f t="shared" si="8"/>
        <v>1.6666666666666667</v>
      </c>
      <c r="AD19" s="975">
        <f>(M19+P19+S19+V19+Y19+AB19)/6</f>
        <v>0.43148953037012738</v>
      </c>
      <c r="AE19" s="956">
        <f t="shared" si="10"/>
        <v>0.71914921728354564</v>
      </c>
      <c r="AF19" s="975">
        <v>0.6</v>
      </c>
      <c r="AG19" s="974">
        <v>1.2318840579710144</v>
      </c>
      <c r="AH19" s="73">
        <f t="shared" si="11"/>
        <v>2.0531400966183573</v>
      </c>
      <c r="AI19" s="871">
        <v>0.6</v>
      </c>
      <c r="AJ19" s="974">
        <v>1.2544802867383511</v>
      </c>
      <c r="AK19" s="73">
        <f t="shared" si="12"/>
        <v>2.0908004778972518</v>
      </c>
      <c r="AL19" s="871">
        <v>0.6</v>
      </c>
      <c r="AM19" s="974">
        <v>1.117216117216117</v>
      </c>
      <c r="AN19" s="73">
        <f t="shared" si="13"/>
        <v>1.8620268620268619</v>
      </c>
      <c r="AO19" s="871">
        <v>0.6</v>
      </c>
      <c r="AP19" s="974">
        <v>1.3861386138613863</v>
      </c>
      <c r="AQ19" s="73">
        <f t="shared" si="14"/>
        <v>2.3102310231023107</v>
      </c>
      <c r="AR19" s="871">
        <v>0.6</v>
      </c>
      <c r="AS19" s="974">
        <v>1.3034188034188035</v>
      </c>
      <c r="AT19" s="73">
        <f t="shared" si="15"/>
        <v>2.1723646723646723</v>
      </c>
      <c r="AU19" s="871">
        <v>0.6</v>
      </c>
      <c r="AV19" s="974">
        <v>1.2601626016260163</v>
      </c>
      <c r="AW19" s="73">
        <f t="shared" si="16"/>
        <v>2.1002710027100275</v>
      </c>
      <c r="AX19" s="975">
        <f>(M19+P19+S19+V19+Y19++AG19+AJ19+AM19+AP19+AS19+AV19+AB19)/12</f>
        <v>0.8451864719210378</v>
      </c>
      <c r="AY19" s="956">
        <f t="shared" si="18"/>
        <v>1.4086441198683963</v>
      </c>
      <c r="AZ19" s="958"/>
      <c r="BA19" s="958"/>
      <c r="BB19" s="958"/>
      <c r="BC19" s="958"/>
      <c r="BD19" s="958"/>
      <c r="BE19" s="958"/>
      <c r="BF19" s="958"/>
      <c r="BG19" s="958"/>
      <c r="BH19" s="958"/>
      <c r="BI19" s="958"/>
      <c r="BJ19" s="958"/>
      <c r="BK19" s="958"/>
      <c r="BL19" s="958"/>
      <c r="BM19" s="958"/>
      <c r="BN19" s="958"/>
      <c r="BO19" s="958"/>
      <c r="BP19" s="958"/>
      <c r="BQ19" s="958"/>
      <c r="BR19" s="958"/>
      <c r="BS19" s="958"/>
      <c r="BT19" s="958"/>
      <c r="BU19" s="958"/>
      <c r="BV19" s="958"/>
      <c r="BW19" s="958"/>
      <c r="BX19" s="958"/>
      <c r="BY19" s="958"/>
      <c r="BZ19" s="958"/>
      <c r="CA19" s="958"/>
      <c r="CB19" s="958"/>
      <c r="CC19" s="958"/>
      <c r="CD19" s="958"/>
      <c r="CE19" s="958"/>
      <c r="CF19" s="958"/>
      <c r="CG19" s="958"/>
      <c r="CH19" s="958"/>
      <c r="CI19" s="958"/>
      <c r="CJ19" s="958"/>
      <c r="CK19" s="958"/>
      <c r="CL19" s="958"/>
      <c r="CM19" s="958"/>
      <c r="CN19" s="958"/>
      <c r="CO19" s="958"/>
      <c r="CP19" s="958"/>
      <c r="CQ19" s="958"/>
      <c r="CR19" s="958"/>
      <c r="CS19" s="958"/>
      <c r="CT19" s="958"/>
      <c r="CU19" s="958"/>
      <c r="CV19" s="958"/>
      <c r="CW19" s="958"/>
      <c r="CX19" s="958"/>
      <c r="CY19" s="958"/>
      <c r="CZ19" s="958"/>
      <c r="DA19" s="958"/>
      <c r="DB19" s="958"/>
      <c r="DC19" s="958"/>
      <c r="DD19" s="958"/>
      <c r="DE19" s="958"/>
      <c r="DF19" s="958"/>
      <c r="DG19" s="958"/>
      <c r="DH19" s="958"/>
      <c r="DI19" s="958"/>
      <c r="DJ19" s="958"/>
      <c r="DK19" s="958"/>
      <c r="DL19" s="958"/>
      <c r="DM19" s="958"/>
      <c r="DN19" s="958"/>
      <c r="DO19" s="958"/>
      <c r="DP19" s="958"/>
      <c r="DQ19" s="958"/>
      <c r="DR19" s="958"/>
      <c r="DS19" s="958"/>
      <c r="DT19" s="958"/>
      <c r="DU19" s="958"/>
      <c r="DV19" s="958"/>
      <c r="DW19" s="958"/>
      <c r="DX19" s="958"/>
      <c r="DY19" s="958"/>
      <c r="DZ19" s="958"/>
      <c r="EA19" s="958"/>
      <c r="EB19" s="958"/>
      <c r="EC19" s="958"/>
      <c r="ED19" s="958"/>
      <c r="EE19" s="958"/>
      <c r="EF19" s="958"/>
      <c r="EG19" s="958"/>
      <c r="EH19" s="958"/>
      <c r="EI19" s="958"/>
      <c r="EJ19" s="958"/>
      <c r="EK19" s="958"/>
      <c r="EL19" s="958"/>
      <c r="EM19" s="958"/>
      <c r="EN19" s="958"/>
      <c r="EO19" s="958"/>
      <c r="EP19" s="958"/>
      <c r="EQ19" s="958"/>
      <c r="ER19" s="958"/>
      <c r="ES19" s="958"/>
      <c r="ET19" s="958"/>
      <c r="EU19" s="958"/>
      <c r="EV19" s="958"/>
      <c r="EW19" s="958"/>
      <c r="EX19" s="958"/>
      <c r="EY19" s="958"/>
      <c r="EZ19" s="958"/>
      <c r="FA19" s="958"/>
      <c r="FB19" s="958"/>
      <c r="FC19" s="958"/>
      <c r="FD19" s="958"/>
      <c r="FE19" s="958"/>
      <c r="FF19" s="958"/>
      <c r="FG19" s="958"/>
      <c r="FH19" s="958"/>
      <c r="FI19" s="958"/>
      <c r="FJ19" s="958"/>
      <c r="FK19" s="958"/>
      <c r="FL19" s="958"/>
      <c r="FM19" s="958"/>
      <c r="FN19" s="958"/>
      <c r="FO19" s="958"/>
      <c r="FP19" s="958"/>
      <c r="FQ19" s="958"/>
      <c r="FR19" s="958"/>
      <c r="FS19" s="958"/>
      <c r="FT19" s="958"/>
      <c r="FU19" s="958"/>
      <c r="FV19" s="958"/>
      <c r="FW19" s="958"/>
      <c r="FX19" s="958"/>
      <c r="FY19" s="958"/>
      <c r="FZ19" s="958"/>
      <c r="GA19" s="958"/>
      <c r="GB19" s="958"/>
      <c r="GC19" s="958"/>
      <c r="GD19" s="958"/>
      <c r="GE19" s="958"/>
      <c r="GF19" s="958"/>
      <c r="GG19" s="958"/>
      <c r="GH19" s="958"/>
      <c r="GI19" s="958"/>
      <c r="GJ19" s="958"/>
      <c r="GK19" s="958"/>
      <c r="GL19" s="958"/>
      <c r="GM19" s="958"/>
      <c r="GN19" s="958"/>
      <c r="GO19" s="958"/>
      <c r="GP19" s="958"/>
      <c r="GQ19" s="958"/>
      <c r="GR19" s="958"/>
      <c r="GS19" s="958"/>
      <c r="GT19" s="958"/>
      <c r="GU19" s="958"/>
      <c r="GV19" s="958"/>
      <c r="GW19" s="958"/>
      <c r="GX19" s="958"/>
      <c r="GY19" s="958"/>
      <c r="GZ19" s="958"/>
      <c r="HA19" s="958"/>
      <c r="HB19" s="958"/>
      <c r="HC19" s="958"/>
      <c r="HD19" s="958"/>
      <c r="HE19" s="958"/>
      <c r="HF19" s="958"/>
      <c r="HG19" s="958"/>
      <c r="HH19" s="958"/>
      <c r="HI19" s="958"/>
      <c r="HJ19" s="958"/>
      <c r="HK19" s="958"/>
      <c r="HL19" s="958"/>
      <c r="HM19" s="958"/>
      <c r="HN19" s="958"/>
      <c r="HO19" s="958"/>
      <c r="HP19" s="958"/>
      <c r="HQ19" s="958"/>
      <c r="HR19" s="958"/>
      <c r="HS19" s="958"/>
      <c r="HT19" s="958"/>
      <c r="HU19" s="958"/>
      <c r="HV19" s="958"/>
      <c r="HW19" s="958"/>
      <c r="HX19" s="958"/>
      <c r="HY19" s="958"/>
      <c r="HZ19" s="958"/>
      <c r="IA19" s="958"/>
      <c r="IB19" s="958"/>
      <c r="IC19" s="958"/>
      <c r="ID19" s="958"/>
      <c r="IE19" s="958"/>
      <c r="IF19" s="958"/>
      <c r="IG19" s="958"/>
      <c r="IH19" s="958"/>
      <c r="II19" s="958"/>
      <c r="IJ19" s="958"/>
      <c r="IK19" s="958"/>
      <c r="IL19" s="958"/>
      <c r="IM19" s="958"/>
      <c r="IN19" s="958"/>
      <c r="IO19" s="958"/>
      <c r="IP19" s="958"/>
      <c r="IQ19" s="958"/>
      <c r="IR19" s="958"/>
      <c r="IS19" s="958"/>
      <c r="IT19" s="958"/>
      <c r="IU19" s="958"/>
      <c r="IV19" s="958"/>
      <c r="IW19" s="958"/>
      <c r="IX19" s="958"/>
      <c r="IY19" s="958"/>
      <c r="IZ19" s="958"/>
      <c r="JA19" s="958"/>
      <c r="JB19" s="958"/>
      <c r="JC19" s="958"/>
      <c r="JD19" s="958"/>
      <c r="JE19" s="958"/>
      <c r="JF19" s="958"/>
      <c r="JG19" s="958"/>
      <c r="JH19" s="958"/>
      <c r="JI19" s="958"/>
      <c r="JJ19" s="958"/>
      <c r="JK19" s="958"/>
      <c r="JL19" s="958"/>
      <c r="JM19" s="958"/>
      <c r="JN19" s="958"/>
      <c r="JO19" s="958"/>
      <c r="JP19" s="958"/>
      <c r="JQ19" s="958"/>
      <c r="JR19" s="958"/>
      <c r="JS19" s="958"/>
      <c r="JT19" s="958"/>
      <c r="JU19" s="958"/>
      <c r="JV19" s="958"/>
      <c r="JW19" s="958"/>
      <c r="JX19" s="958"/>
      <c r="JY19" s="958"/>
      <c r="JZ19" s="958"/>
      <c r="KA19" s="958"/>
      <c r="KB19" s="958"/>
      <c r="KC19" s="958"/>
      <c r="KD19" s="958"/>
      <c r="KE19" s="958"/>
      <c r="KF19" s="958"/>
      <c r="KG19" s="958"/>
      <c r="KH19" s="958"/>
      <c r="KI19" s="958"/>
      <c r="KJ19" s="958"/>
      <c r="KK19" s="958"/>
      <c r="KL19" s="958"/>
      <c r="KM19" s="958"/>
      <c r="KN19" s="958"/>
      <c r="KO19" s="958"/>
      <c r="KP19" s="958"/>
      <c r="KQ19" s="958"/>
      <c r="KR19" s="958"/>
      <c r="KS19" s="958"/>
      <c r="KT19" s="958"/>
      <c r="KU19" s="958"/>
      <c r="KV19" s="958"/>
      <c r="KW19" s="958"/>
      <c r="KX19" s="958"/>
      <c r="KY19" s="958"/>
      <c r="KZ19" s="958"/>
      <c r="LA19" s="958"/>
      <c r="LB19" s="958"/>
      <c r="LC19" s="958"/>
      <c r="LD19" s="958"/>
      <c r="LE19" s="958"/>
      <c r="LF19" s="958"/>
      <c r="LG19" s="958"/>
      <c r="LH19" s="958"/>
      <c r="LI19" s="958"/>
      <c r="LJ19" s="958"/>
      <c r="LK19" s="958"/>
      <c r="LL19" s="958"/>
      <c r="LM19" s="958"/>
      <c r="LN19" s="958"/>
      <c r="LO19" s="958"/>
      <c r="LP19" s="958"/>
      <c r="LQ19" s="958"/>
      <c r="LR19" s="958"/>
      <c r="LS19" s="958"/>
      <c r="LT19" s="958"/>
      <c r="LU19" s="958"/>
      <c r="LV19" s="958"/>
      <c r="LW19" s="958"/>
      <c r="LX19" s="958"/>
      <c r="LY19" s="958"/>
      <c r="LZ19" s="958"/>
      <c r="MA19" s="958"/>
      <c r="MB19" s="958"/>
      <c r="MC19" s="958"/>
      <c r="MD19" s="958"/>
      <c r="ME19" s="958"/>
      <c r="MF19" s="958"/>
      <c r="MG19" s="958"/>
      <c r="MH19" s="958"/>
      <c r="MI19" s="958"/>
      <c r="MJ19" s="958"/>
      <c r="MK19" s="958"/>
      <c r="ML19" s="958"/>
      <c r="MM19" s="958"/>
      <c r="MN19" s="958"/>
      <c r="MO19" s="958"/>
      <c r="MP19" s="958"/>
      <c r="MQ19" s="958"/>
      <c r="MR19" s="958"/>
      <c r="MS19" s="958"/>
      <c r="MT19" s="958"/>
      <c r="MU19" s="958"/>
      <c r="MV19" s="958"/>
      <c r="MW19" s="958"/>
      <c r="MX19" s="958"/>
      <c r="MY19" s="958"/>
      <c r="MZ19" s="958"/>
      <c r="NA19" s="958"/>
      <c r="NB19" s="958"/>
      <c r="NC19" s="958"/>
      <c r="ND19" s="958"/>
      <c r="NE19" s="958"/>
      <c r="NF19" s="958"/>
      <c r="NG19" s="958"/>
      <c r="NH19" s="958"/>
      <c r="NI19" s="958"/>
      <c r="NJ19" s="958"/>
      <c r="NK19" s="958"/>
      <c r="NL19" s="958"/>
      <c r="NM19" s="958"/>
      <c r="NN19" s="958"/>
      <c r="NO19" s="958"/>
      <c r="NP19" s="958"/>
      <c r="NQ19" s="958"/>
      <c r="NR19" s="958"/>
      <c r="NS19" s="958"/>
      <c r="NT19" s="958"/>
      <c r="NU19" s="958"/>
      <c r="NV19" s="958"/>
      <c r="NW19" s="958"/>
      <c r="NX19" s="958"/>
      <c r="NY19" s="958"/>
      <c r="NZ19" s="958"/>
      <c r="OA19" s="958"/>
      <c r="OB19" s="958"/>
      <c r="OC19" s="958"/>
      <c r="OD19" s="958"/>
      <c r="OE19" s="958"/>
      <c r="OF19" s="958"/>
      <c r="OG19" s="958"/>
      <c r="OH19" s="958"/>
      <c r="OI19" s="958"/>
      <c r="OJ19" s="958"/>
      <c r="OK19" s="958"/>
      <c r="OL19" s="958"/>
      <c r="OM19" s="958"/>
      <c r="ON19" s="958"/>
      <c r="OO19" s="958"/>
      <c r="OP19" s="958"/>
      <c r="OQ19" s="958"/>
      <c r="OR19" s="958"/>
      <c r="OS19" s="958"/>
      <c r="OT19" s="958"/>
      <c r="OU19" s="958"/>
      <c r="OV19" s="958"/>
      <c r="OW19" s="958"/>
      <c r="OX19" s="958"/>
      <c r="OY19" s="958"/>
      <c r="OZ19" s="958"/>
      <c r="PA19" s="958"/>
      <c r="PB19" s="958"/>
      <c r="PC19" s="958"/>
      <c r="PD19" s="958"/>
      <c r="PE19" s="958"/>
      <c r="PF19" s="958"/>
      <c r="PG19" s="958"/>
      <c r="PH19" s="958"/>
      <c r="PI19" s="958"/>
      <c r="PJ19" s="958"/>
      <c r="PK19" s="958"/>
      <c r="PL19" s="958"/>
      <c r="PM19" s="958"/>
      <c r="PN19" s="958"/>
      <c r="PO19" s="958"/>
      <c r="PP19" s="958"/>
      <c r="PQ19" s="958"/>
      <c r="PR19" s="958"/>
      <c r="PS19" s="958"/>
      <c r="PT19" s="958"/>
      <c r="PU19" s="958"/>
      <c r="PV19" s="958"/>
      <c r="PW19" s="958"/>
      <c r="PX19" s="958"/>
      <c r="PY19" s="958"/>
      <c r="PZ19" s="958"/>
      <c r="QA19" s="958"/>
      <c r="QB19" s="958"/>
      <c r="QC19" s="958"/>
      <c r="QD19" s="958"/>
      <c r="QE19" s="958"/>
      <c r="QF19" s="958"/>
      <c r="QG19" s="958"/>
      <c r="QH19" s="958"/>
      <c r="QI19" s="958"/>
      <c r="QJ19" s="958"/>
      <c r="QK19" s="958"/>
      <c r="QL19" s="958"/>
      <c r="QM19" s="958"/>
      <c r="QN19" s="958"/>
      <c r="QO19" s="958"/>
      <c r="QP19" s="958"/>
      <c r="QQ19" s="958"/>
      <c r="QR19" s="958"/>
      <c r="QS19" s="958"/>
      <c r="QT19" s="958"/>
      <c r="QU19" s="958"/>
      <c r="QV19" s="958"/>
      <c r="QW19" s="958"/>
      <c r="QX19" s="958"/>
      <c r="QY19" s="958"/>
      <c r="QZ19" s="958"/>
      <c r="RA19" s="958"/>
      <c r="RB19" s="958"/>
      <c r="RC19" s="958"/>
      <c r="RD19" s="958"/>
      <c r="RE19" s="958"/>
      <c r="RF19" s="958"/>
      <c r="RG19" s="958"/>
      <c r="RH19" s="958"/>
      <c r="RI19" s="958"/>
      <c r="RJ19" s="958"/>
      <c r="RK19" s="958"/>
      <c r="RL19" s="958"/>
      <c r="RM19" s="958"/>
      <c r="RN19" s="958"/>
      <c r="RO19" s="958"/>
      <c r="RP19" s="958"/>
      <c r="RQ19" s="958"/>
      <c r="RR19" s="958"/>
      <c r="RS19" s="958"/>
      <c r="RT19" s="958"/>
      <c r="RU19" s="958"/>
      <c r="RV19" s="958"/>
      <c r="RW19" s="958"/>
      <c r="RX19" s="958"/>
      <c r="RY19" s="958"/>
      <c r="RZ19" s="958"/>
      <c r="SA19" s="958"/>
      <c r="SB19" s="958"/>
      <c r="SC19" s="958"/>
      <c r="SD19" s="958"/>
      <c r="SE19" s="958"/>
      <c r="SF19" s="958"/>
      <c r="SG19" s="958"/>
      <c r="SH19" s="958"/>
      <c r="SI19" s="958"/>
      <c r="SJ19" s="958"/>
      <c r="SK19" s="958"/>
      <c r="SL19" s="958"/>
      <c r="SM19" s="958"/>
      <c r="SN19" s="958"/>
      <c r="SO19" s="958"/>
      <c r="SP19" s="958"/>
      <c r="SQ19" s="958"/>
      <c r="SR19" s="958"/>
      <c r="SS19" s="958"/>
      <c r="ST19" s="958"/>
      <c r="SU19" s="958"/>
      <c r="SV19" s="958"/>
      <c r="SW19" s="958"/>
      <c r="SX19" s="958"/>
      <c r="SY19" s="958"/>
      <c r="SZ19" s="958"/>
      <c r="TA19" s="958"/>
      <c r="TB19" s="958"/>
      <c r="TC19" s="958"/>
      <c r="TD19" s="958"/>
      <c r="TE19" s="958"/>
      <c r="TF19" s="958"/>
      <c r="TG19" s="958"/>
      <c r="TH19" s="958"/>
      <c r="TI19" s="958"/>
      <c r="TJ19" s="958"/>
      <c r="TK19" s="958"/>
      <c r="TL19" s="958"/>
      <c r="TM19" s="958"/>
      <c r="TN19" s="958"/>
      <c r="TO19" s="958"/>
      <c r="TP19" s="958"/>
      <c r="TQ19" s="958"/>
      <c r="TR19" s="958"/>
      <c r="TS19" s="958"/>
      <c r="TT19" s="958"/>
      <c r="TU19" s="958"/>
      <c r="TV19" s="958"/>
      <c r="TW19" s="958"/>
      <c r="TX19" s="958"/>
      <c r="TY19" s="958"/>
      <c r="TZ19" s="958"/>
      <c r="UA19" s="958"/>
      <c r="UB19" s="958"/>
      <c r="UC19" s="958"/>
      <c r="UD19" s="958"/>
      <c r="UE19" s="958"/>
      <c r="UF19" s="958"/>
      <c r="UG19" s="958"/>
      <c r="UH19" s="958"/>
      <c r="UI19" s="958"/>
      <c r="UJ19" s="958"/>
      <c r="UK19" s="958"/>
      <c r="UL19" s="958"/>
      <c r="UM19" s="958"/>
      <c r="UN19" s="958"/>
      <c r="UO19" s="958"/>
      <c r="UP19" s="958"/>
      <c r="UQ19" s="958"/>
      <c r="UR19" s="958"/>
      <c r="US19" s="958"/>
      <c r="UT19" s="958"/>
      <c r="UU19" s="958"/>
      <c r="UV19" s="958"/>
      <c r="UW19" s="958"/>
      <c r="UX19" s="958"/>
      <c r="UY19" s="958"/>
      <c r="UZ19" s="958"/>
      <c r="VA19" s="958"/>
      <c r="VB19" s="958"/>
      <c r="VC19" s="958"/>
      <c r="VD19" s="958"/>
      <c r="VE19" s="958"/>
      <c r="VF19" s="958"/>
      <c r="VG19" s="958"/>
      <c r="VH19" s="958"/>
      <c r="VI19" s="958"/>
      <c r="VJ19" s="958"/>
      <c r="VK19" s="958"/>
      <c r="VL19" s="958"/>
      <c r="VM19" s="958"/>
      <c r="VN19" s="958"/>
      <c r="VO19" s="958"/>
      <c r="VP19" s="958"/>
      <c r="VQ19" s="958"/>
      <c r="VR19" s="958"/>
      <c r="VS19" s="958"/>
      <c r="VT19" s="958"/>
      <c r="VU19" s="958"/>
      <c r="VV19" s="958"/>
      <c r="VW19" s="958"/>
      <c r="VX19" s="958"/>
      <c r="VY19" s="958"/>
      <c r="VZ19" s="958"/>
      <c r="WA19" s="958"/>
      <c r="WB19" s="958"/>
      <c r="WC19" s="958"/>
      <c r="WD19" s="958"/>
      <c r="WE19" s="958"/>
      <c r="WF19" s="958"/>
      <c r="WG19" s="958"/>
      <c r="WH19" s="958"/>
      <c r="WI19" s="958"/>
      <c r="WJ19" s="958"/>
      <c r="WK19" s="958"/>
      <c r="WL19" s="958"/>
      <c r="WM19" s="958"/>
      <c r="WN19" s="958"/>
      <c r="WO19" s="958"/>
      <c r="WP19" s="958"/>
      <c r="WQ19" s="958"/>
      <c r="WR19" s="958"/>
      <c r="WS19" s="958"/>
      <c r="WT19" s="958"/>
      <c r="WU19" s="958"/>
      <c r="WV19" s="958"/>
      <c r="WW19" s="958"/>
      <c r="WX19" s="958"/>
      <c r="WY19" s="958"/>
      <c r="WZ19" s="958"/>
      <c r="XA19" s="958"/>
      <c r="XB19" s="958"/>
      <c r="XC19" s="958"/>
      <c r="XD19" s="958"/>
      <c r="XE19" s="958"/>
      <c r="XF19" s="958"/>
      <c r="XG19" s="958"/>
      <c r="XH19" s="958"/>
      <c r="XI19" s="958"/>
      <c r="XJ19" s="958"/>
      <c r="XK19" s="958"/>
      <c r="XL19" s="958"/>
      <c r="XM19" s="958"/>
      <c r="XN19" s="958"/>
      <c r="XO19" s="958"/>
      <c r="XP19" s="958"/>
      <c r="XQ19" s="958"/>
      <c r="XR19" s="958"/>
      <c r="XS19" s="958"/>
      <c r="XT19" s="958"/>
      <c r="XU19" s="958"/>
      <c r="XV19" s="958"/>
      <c r="XW19" s="958"/>
      <c r="XX19" s="958"/>
      <c r="XY19" s="958"/>
      <c r="XZ19" s="958"/>
      <c r="YA19" s="958"/>
      <c r="YB19" s="958"/>
      <c r="YC19" s="958"/>
      <c r="YD19" s="958"/>
      <c r="YE19" s="958"/>
      <c r="YF19" s="958"/>
      <c r="YG19" s="958"/>
      <c r="YH19" s="958"/>
      <c r="YI19" s="958"/>
      <c r="YJ19" s="958"/>
      <c r="YK19" s="958"/>
      <c r="YL19" s="958"/>
      <c r="YM19" s="958"/>
      <c r="YN19" s="958"/>
      <c r="YO19" s="958"/>
      <c r="YP19" s="958"/>
      <c r="YQ19" s="958"/>
      <c r="YR19" s="958"/>
      <c r="YS19" s="958"/>
      <c r="YT19" s="958"/>
      <c r="YU19" s="958"/>
      <c r="YV19" s="958"/>
      <c r="YW19" s="958"/>
      <c r="YX19" s="958"/>
      <c r="YY19" s="958"/>
      <c r="YZ19" s="958"/>
      <c r="ZA19" s="958"/>
      <c r="ZB19" s="958"/>
      <c r="ZC19" s="958"/>
      <c r="ZD19" s="958"/>
      <c r="ZE19" s="958"/>
      <c r="ZF19" s="958"/>
      <c r="ZG19" s="958"/>
      <c r="ZH19" s="958"/>
      <c r="ZI19" s="958"/>
      <c r="ZJ19" s="958"/>
      <c r="ZK19" s="958"/>
      <c r="ZL19" s="958"/>
      <c r="ZM19" s="958"/>
      <c r="ZN19" s="958"/>
      <c r="ZO19" s="958"/>
      <c r="ZP19" s="958"/>
      <c r="ZQ19" s="958"/>
      <c r="ZR19" s="958"/>
      <c r="ZS19" s="958"/>
      <c r="ZT19" s="958"/>
      <c r="ZU19" s="958"/>
      <c r="ZV19" s="958"/>
      <c r="ZW19" s="958"/>
      <c r="ZX19" s="958"/>
      <c r="ZY19" s="958"/>
      <c r="ZZ19" s="958"/>
      <c r="AAA19" s="958"/>
      <c r="AAB19" s="958"/>
      <c r="AAC19" s="958"/>
      <c r="AAD19" s="958"/>
      <c r="AAE19" s="958"/>
      <c r="AAF19" s="958"/>
      <c r="AAG19" s="958"/>
      <c r="AAH19" s="958"/>
      <c r="AAI19" s="958"/>
      <c r="AAJ19" s="958"/>
      <c r="AAK19" s="958"/>
      <c r="AAL19" s="958"/>
      <c r="AAM19" s="958"/>
      <c r="AAN19" s="958"/>
      <c r="AAO19" s="958"/>
      <c r="AAP19" s="958"/>
      <c r="AAQ19" s="958"/>
      <c r="AAR19" s="958"/>
      <c r="AAS19" s="958"/>
      <c r="AAT19" s="958"/>
      <c r="AAU19" s="958"/>
      <c r="AAV19" s="958"/>
      <c r="AAW19" s="958"/>
      <c r="AAX19" s="958"/>
      <c r="AAY19" s="958"/>
      <c r="AAZ19" s="958"/>
      <c r="ABA19" s="958"/>
      <c r="ABB19" s="958"/>
      <c r="ABC19" s="958"/>
      <c r="ABD19" s="958"/>
      <c r="ABE19" s="958"/>
      <c r="ABF19" s="958"/>
      <c r="ABG19" s="958"/>
      <c r="ABH19" s="958"/>
      <c r="ABI19" s="958"/>
      <c r="ABJ19" s="958"/>
      <c r="ABK19" s="958"/>
      <c r="ABL19" s="958"/>
      <c r="ABM19" s="958"/>
      <c r="ABN19" s="958"/>
      <c r="ABO19" s="958"/>
      <c r="ABP19" s="958"/>
      <c r="ABQ19" s="958"/>
      <c r="ABR19" s="958"/>
      <c r="ABS19" s="958"/>
      <c r="ABT19" s="958"/>
      <c r="ABU19" s="958"/>
      <c r="ABV19" s="958"/>
      <c r="ABW19" s="958"/>
      <c r="ABX19" s="958"/>
      <c r="ABY19" s="958"/>
      <c r="ABZ19" s="958"/>
      <c r="ACA19" s="958"/>
      <c r="ACB19" s="958"/>
      <c r="ACC19" s="958"/>
      <c r="ACD19" s="958"/>
      <c r="ACE19" s="958"/>
      <c r="ACF19" s="958"/>
      <c r="ACG19" s="958"/>
      <c r="ACH19" s="958"/>
      <c r="ACI19" s="958"/>
      <c r="ACJ19" s="958"/>
      <c r="ACK19" s="958"/>
      <c r="ACL19" s="958"/>
      <c r="ACM19" s="958"/>
      <c r="ACN19" s="958"/>
      <c r="ACO19" s="958"/>
      <c r="ACP19" s="958"/>
      <c r="ACQ19" s="958"/>
      <c r="ACR19" s="958"/>
      <c r="ACS19" s="958"/>
      <c r="ACT19" s="958"/>
      <c r="ACU19" s="958"/>
      <c r="ACV19" s="958"/>
      <c r="ACW19" s="958"/>
      <c r="ACX19" s="958"/>
      <c r="ACY19" s="958"/>
      <c r="ACZ19" s="958"/>
      <c r="ADA19" s="958"/>
      <c r="ADB19" s="958"/>
      <c r="ADC19" s="958"/>
      <c r="ADD19" s="958"/>
      <c r="ADE19" s="958"/>
      <c r="ADF19" s="958"/>
      <c r="ADG19" s="958"/>
      <c r="ADH19" s="958"/>
      <c r="ADI19" s="958"/>
      <c r="ADJ19" s="958"/>
      <c r="ADK19" s="958"/>
      <c r="ADL19" s="958"/>
      <c r="ADM19" s="958"/>
      <c r="ADN19" s="958"/>
      <c r="ADO19" s="958"/>
      <c r="ADP19" s="958"/>
      <c r="ADQ19" s="958"/>
      <c r="ADR19" s="958"/>
      <c r="ADS19" s="958"/>
      <c r="ADT19" s="958"/>
      <c r="ADU19" s="958"/>
      <c r="ADV19" s="958"/>
      <c r="ADW19" s="958"/>
      <c r="ADX19" s="958"/>
      <c r="ADY19" s="958"/>
      <c r="ADZ19" s="958"/>
      <c r="AEA19" s="958"/>
      <c r="AEB19" s="958"/>
      <c r="AEC19" s="958"/>
      <c r="AED19" s="958"/>
      <c r="AEE19" s="958"/>
      <c r="AEF19" s="958"/>
      <c r="AEG19" s="958"/>
      <c r="AEH19" s="958"/>
      <c r="AEI19" s="958"/>
      <c r="AEJ19" s="958"/>
      <c r="AEK19" s="958"/>
      <c r="AEL19" s="958"/>
      <c r="AEM19" s="958"/>
      <c r="AEN19" s="958"/>
      <c r="AEO19" s="958"/>
      <c r="AEP19" s="958"/>
      <c r="AEQ19" s="958"/>
      <c r="AER19" s="958"/>
      <c r="AES19" s="958"/>
      <c r="AET19" s="958"/>
      <c r="AEU19" s="958"/>
      <c r="AEV19" s="958"/>
      <c r="AEW19" s="958"/>
      <c r="AEX19" s="958"/>
      <c r="AEY19" s="958"/>
      <c r="AEZ19" s="958"/>
      <c r="AFA19" s="958"/>
      <c r="AFB19" s="958"/>
      <c r="AFC19" s="958"/>
      <c r="AFD19" s="958"/>
      <c r="AFE19" s="958"/>
      <c r="AFF19" s="958"/>
      <c r="AFG19" s="958"/>
      <c r="AFH19" s="958"/>
      <c r="AFI19" s="958"/>
      <c r="AFJ19" s="958"/>
      <c r="AFK19" s="958"/>
      <c r="AFL19" s="958"/>
      <c r="AFM19" s="958"/>
      <c r="AFN19" s="958"/>
      <c r="AFO19" s="958"/>
      <c r="AFP19" s="958"/>
      <c r="AFQ19" s="958"/>
      <c r="AFR19" s="958"/>
      <c r="AFS19" s="958"/>
      <c r="AFT19" s="958"/>
      <c r="AFU19" s="958"/>
      <c r="AFV19" s="958"/>
      <c r="AFW19" s="958"/>
      <c r="AFX19" s="958"/>
      <c r="AFY19" s="958"/>
      <c r="AFZ19" s="958"/>
      <c r="AGA19" s="958"/>
      <c r="AGB19" s="958"/>
      <c r="AGC19" s="958"/>
      <c r="AGD19" s="958"/>
      <c r="AGE19" s="958"/>
      <c r="AGF19" s="958"/>
      <c r="AGG19" s="958"/>
      <c r="AGH19" s="958"/>
      <c r="AGI19" s="958"/>
      <c r="AGJ19" s="958"/>
      <c r="AGK19" s="958"/>
      <c r="AGL19" s="958"/>
      <c r="AGM19" s="958"/>
      <c r="AGN19" s="958"/>
      <c r="AGO19" s="958"/>
      <c r="AGP19" s="958"/>
      <c r="AGQ19" s="958"/>
      <c r="AGR19" s="958"/>
      <c r="AGS19" s="958"/>
      <c r="AGT19" s="958"/>
      <c r="AGU19" s="958"/>
      <c r="AGV19" s="958"/>
      <c r="AGW19" s="958"/>
      <c r="AGX19" s="958"/>
      <c r="AGY19" s="958"/>
      <c r="AGZ19" s="958"/>
      <c r="AHA19" s="958"/>
      <c r="AHB19" s="958"/>
      <c r="AHC19" s="958"/>
      <c r="AHD19" s="958"/>
      <c r="AHE19" s="958"/>
      <c r="AHF19" s="958"/>
      <c r="AHG19" s="958"/>
      <c r="AHH19" s="958"/>
      <c r="AHI19" s="958"/>
      <c r="AHJ19" s="958"/>
      <c r="AHK19" s="958"/>
      <c r="AHL19" s="958"/>
      <c r="AHM19" s="958"/>
      <c r="AHN19" s="958"/>
      <c r="AHO19" s="958"/>
      <c r="AHP19" s="958"/>
      <c r="AHQ19" s="958"/>
      <c r="AHR19" s="958"/>
      <c r="AHS19" s="958"/>
      <c r="AHT19" s="958"/>
      <c r="AHU19" s="958"/>
      <c r="AHV19" s="958"/>
      <c r="AHW19" s="958"/>
      <c r="AHX19" s="958"/>
      <c r="AHY19" s="958"/>
      <c r="AHZ19" s="958"/>
      <c r="AIA19" s="958"/>
      <c r="AIB19" s="958"/>
      <c r="AIC19" s="958"/>
      <c r="AID19" s="958"/>
      <c r="AIE19" s="958"/>
      <c r="AIF19" s="958"/>
      <c r="AIG19" s="958"/>
      <c r="AIH19" s="958"/>
      <c r="AII19" s="958"/>
      <c r="AIJ19" s="958"/>
      <c r="AIK19" s="958"/>
      <c r="AIL19" s="958"/>
      <c r="AIM19" s="958"/>
      <c r="AIN19" s="958"/>
      <c r="AIO19" s="958"/>
      <c r="AIP19" s="958"/>
      <c r="AIQ19" s="958"/>
      <c r="AIR19" s="958"/>
      <c r="AIS19" s="958"/>
      <c r="AIT19" s="958"/>
      <c r="AIU19" s="958"/>
      <c r="AIV19" s="958"/>
      <c r="AIW19" s="958"/>
      <c r="AIX19" s="958"/>
      <c r="AIY19" s="958"/>
      <c r="AIZ19" s="958"/>
      <c r="AJA19" s="958"/>
      <c r="AJB19" s="958"/>
      <c r="AJC19" s="958"/>
      <c r="AJD19" s="958"/>
      <c r="AJE19" s="958"/>
      <c r="AJF19" s="958"/>
      <c r="AJG19" s="958"/>
      <c r="AJH19" s="958"/>
      <c r="AJI19" s="958"/>
      <c r="AJJ19" s="958"/>
      <c r="AJK19" s="958"/>
      <c r="AJL19" s="958"/>
      <c r="AJM19" s="958"/>
      <c r="AJN19" s="958"/>
      <c r="AJO19" s="958"/>
      <c r="AJP19" s="958"/>
      <c r="AJQ19" s="958"/>
      <c r="AJR19" s="958"/>
      <c r="AJS19" s="958"/>
      <c r="AJT19" s="958"/>
      <c r="AJU19" s="958"/>
      <c r="AJV19" s="958"/>
      <c r="AJW19" s="958"/>
      <c r="AJX19" s="958"/>
      <c r="AJY19" s="958"/>
      <c r="AJZ19" s="958"/>
      <c r="AKA19" s="958"/>
      <c r="AKB19" s="958"/>
      <c r="AKC19" s="958"/>
      <c r="AKD19" s="958"/>
      <c r="AKE19" s="958"/>
      <c r="AKF19" s="958"/>
      <c r="AKG19" s="958"/>
      <c r="AKH19" s="958"/>
      <c r="AKI19" s="958"/>
      <c r="AKJ19" s="958"/>
      <c r="AKK19" s="958"/>
      <c r="AKL19" s="958"/>
      <c r="AKM19" s="958"/>
      <c r="AKN19" s="958"/>
      <c r="AKO19" s="958"/>
      <c r="AKP19" s="958"/>
      <c r="AKQ19" s="958"/>
      <c r="AKR19" s="958"/>
      <c r="AKS19" s="958"/>
      <c r="AKT19" s="958"/>
      <c r="AKU19" s="958"/>
      <c r="AKV19" s="958"/>
      <c r="AKW19" s="958"/>
      <c r="AKX19" s="958"/>
      <c r="AKY19" s="958"/>
      <c r="AKZ19" s="958"/>
      <c r="ALA19" s="958"/>
      <c r="ALB19" s="958"/>
      <c r="ALC19" s="958"/>
      <c r="ALD19" s="958"/>
      <c r="ALE19" s="958"/>
      <c r="ALF19" s="958"/>
      <c r="ALG19" s="958"/>
      <c r="ALH19" s="958"/>
      <c r="ALI19" s="958"/>
      <c r="ALJ19" s="958"/>
      <c r="ALK19" s="958"/>
      <c r="ALL19" s="958"/>
      <c r="ALM19" s="958"/>
      <c r="ALN19" s="958"/>
      <c r="ALO19" s="958"/>
      <c r="ALP19" s="958"/>
      <c r="ALQ19" s="958"/>
      <c r="ALR19" s="958"/>
      <c r="ALS19" s="958"/>
      <c r="ALT19" s="958"/>
      <c r="ALU19" s="958"/>
      <c r="ALV19" s="958"/>
      <c r="ALW19" s="958"/>
      <c r="ALX19" s="958"/>
      <c r="ALY19" s="958"/>
      <c r="ALZ19" s="958"/>
      <c r="AMA19" s="958"/>
      <c r="AMB19" s="958"/>
      <c r="AMC19" s="958"/>
      <c r="AMD19" s="958"/>
      <c r="AME19" s="958"/>
      <c r="AMF19" s="958"/>
      <c r="AMG19" s="958"/>
      <c r="AMH19" s="958"/>
      <c r="AMI19" s="958"/>
      <c r="AMJ19" s="958"/>
      <c r="AMK19" s="958"/>
      <c r="AML19" s="958"/>
      <c r="AMM19" s="958"/>
      <c r="AMN19" s="958"/>
      <c r="AMO19" s="958"/>
      <c r="AMP19" s="958"/>
      <c r="AMQ19" s="958"/>
      <c r="AMR19" s="958"/>
      <c r="AMS19" s="958"/>
      <c r="AMT19" s="958"/>
      <c r="AMU19" s="958"/>
      <c r="AMV19" s="958"/>
      <c r="AMW19" s="958"/>
      <c r="AMX19" s="958"/>
      <c r="AMY19" s="958"/>
      <c r="AMZ19" s="958"/>
      <c r="ANA19" s="958"/>
      <c r="ANB19" s="958"/>
      <c r="ANC19" s="958"/>
      <c r="AND19" s="958"/>
      <c r="ANE19" s="958"/>
      <c r="ANF19" s="958"/>
      <c r="ANG19" s="958"/>
      <c r="ANH19" s="958"/>
      <c r="ANI19" s="958"/>
      <c r="ANJ19" s="958"/>
      <c r="ANK19" s="958"/>
      <c r="ANL19" s="958"/>
      <c r="ANM19" s="958"/>
      <c r="ANN19" s="958"/>
      <c r="ANO19" s="958"/>
      <c r="ANP19" s="958"/>
      <c r="ANQ19" s="958"/>
      <c r="ANR19" s="958"/>
      <c r="ANS19" s="958"/>
      <c r="ANT19" s="958"/>
      <c r="ANU19" s="958"/>
      <c r="ANV19" s="958"/>
      <c r="ANW19" s="958"/>
      <c r="ANX19" s="958"/>
      <c r="ANY19" s="958"/>
      <c r="ANZ19" s="958"/>
      <c r="AOA19" s="958"/>
      <c r="AOB19" s="958"/>
      <c r="AOC19" s="958"/>
      <c r="AOD19" s="958"/>
      <c r="AOE19" s="958"/>
      <c r="AOF19" s="958"/>
      <c r="AOG19" s="958"/>
      <c r="AOH19" s="958"/>
      <c r="AOI19" s="958"/>
      <c r="AOJ19" s="958"/>
      <c r="AOK19" s="958"/>
      <c r="AOL19" s="958"/>
      <c r="AOM19" s="958"/>
      <c r="AON19" s="958"/>
      <c r="AOO19" s="958"/>
      <c r="AOP19" s="958"/>
      <c r="AOQ19" s="958"/>
      <c r="AOR19" s="958"/>
      <c r="AOS19" s="958"/>
      <c r="AOT19" s="958"/>
      <c r="AOU19" s="958"/>
      <c r="AOV19" s="958"/>
      <c r="AOW19" s="958"/>
      <c r="AOX19" s="958"/>
      <c r="AOY19" s="958"/>
      <c r="AOZ19" s="958"/>
      <c r="APA19" s="958"/>
      <c r="APB19" s="958"/>
      <c r="APC19" s="958"/>
      <c r="APD19" s="958"/>
      <c r="APE19" s="958"/>
      <c r="APF19" s="958"/>
      <c r="APG19" s="958"/>
      <c r="APH19" s="958"/>
      <c r="API19" s="958"/>
      <c r="APJ19" s="958"/>
      <c r="APK19" s="958"/>
      <c r="APL19" s="958"/>
      <c r="APM19" s="958"/>
      <c r="APN19" s="958"/>
      <c r="APO19" s="958"/>
      <c r="APP19" s="958"/>
      <c r="APQ19" s="958"/>
      <c r="APR19" s="958"/>
      <c r="APS19" s="958"/>
      <c r="APT19" s="958"/>
      <c r="APU19" s="958"/>
      <c r="APV19" s="958"/>
      <c r="APW19" s="958"/>
      <c r="APX19" s="958"/>
      <c r="APY19" s="958"/>
      <c r="APZ19" s="958"/>
      <c r="AQA19" s="958"/>
      <c r="AQB19" s="958"/>
      <c r="AQC19" s="958"/>
      <c r="AQD19" s="958"/>
      <c r="AQE19" s="958"/>
      <c r="AQF19" s="958"/>
      <c r="AQG19" s="958"/>
      <c r="AQH19" s="958"/>
      <c r="AQI19" s="958"/>
      <c r="AQJ19" s="958"/>
      <c r="AQK19" s="958"/>
      <c r="AQL19" s="958"/>
      <c r="AQM19" s="958"/>
      <c r="AQN19" s="958"/>
      <c r="AQO19" s="958"/>
      <c r="AQP19" s="958"/>
      <c r="AQQ19" s="958"/>
      <c r="AQR19" s="958"/>
      <c r="AQS19" s="958"/>
      <c r="AQT19" s="958"/>
      <c r="AQU19" s="958"/>
      <c r="AQV19" s="958"/>
      <c r="AQW19" s="958"/>
      <c r="AQX19" s="958"/>
      <c r="AQY19" s="958"/>
      <c r="AQZ19" s="958"/>
      <c r="ARA19" s="958"/>
      <c r="ARB19" s="958"/>
      <c r="ARC19" s="958"/>
      <c r="ARD19" s="958"/>
      <c r="ARE19" s="958"/>
      <c r="ARF19" s="958"/>
      <c r="ARG19" s="958"/>
      <c r="ARH19" s="958"/>
      <c r="ARI19" s="958"/>
      <c r="ARJ19" s="958"/>
      <c r="ARK19" s="958"/>
      <c r="ARL19" s="958"/>
      <c r="ARM19" s="958"/>
      <c r="ARN19" s="958"/>
      <c r="ARO19" s="958"/>
      <c r="ARP19" s="958"/>
      <c r="ARQ19" s="958"/>
      <c r="ARR19" s="958"/>
      <c r="ARS19" s="958"/>
      <c r="ART19" s="958"/>
      <c r="ARU19" s="958"/>
      <c r="ARV19" s="958"/>
      <c r="ARW19" s="958"/>
      <c r="ARX19" s="958"/>
      <c r="ARY19" s="958"/>
      <c r="ARZ19" s="958"/>
      <c r="ASA19" s="958"/>
      <c r="ASB19" s="958"/>
      <c r="ASC19" s="958"/>
      <c r="ASD19" s="958"/>
      <c r="ASE19" s="958"/>
      <c r="ASF19" s="958"/>
      <c r="ASG19" s="958"/>
      <c r="ASH19" s="958"/>
      <c r="ASI19" s="958"/>
      <c r="ASJ19" s="958"/>
      <c r="ASK19" s="958"/>
      <c r="ASL19" s="958"/>
      <c r="ASM19" s="958"/>
      <c r="ASN19" s="958"/>
      <c r="ASO19" s="958"/>
      <c r="ASP19" s="958"/>
      <c r="ASQ19" s="958"/>
      <c r="ASR19" s="958"/>
      <c r="ASS19" s="958"/>
      <c r="AST19" s="958"/>
      <c r="ASU19" s="958"/>
      <c r="ASV19" s="958"/>
      <c r="ASW19" s="958"/>
      <c r="ASX19" s="958"/>
      <c r="ASY19" s="958"/>
      <c r="ASZ19" s="958"/>
    </row>
    <row r="20" spans="1:1196" s="22" customFormat="1" ht="93.75" customHeight="1" thickTop="1" thickBot="1">
      <c r="A20" s="2846"/>
      <c r="B20" s="2992"/>
      <c r="C20" s="172" t="s">
        <v>481</v>
      </c>
      <c r="D20" s="111" t="s">
        <v>211</v>
      </c>
      <c r="E20" s="177" t="s">
        <v>212</v>
      </c>
      <c r="F20" s="177" t="s">
        <v>24</v>
      </c>
      <c r="G20" s="973">
        <v>1</v>
      </c>
      <c r="H20" s="76"/>
      <c r="I20" s="76"/>
      <c r="J20" s="76"/>
      <c r="K20" s="179" t="s">
        <v>140</v>
      </c>
      <c r="L20" s="514">
        <v>0</v>
      </c>
      <c r="M20" s="496"/>
      <c r="N20" s="73" t="e">
        <f t="shared" si="3"/>
        <v>#DIV/0!</v>
      </c>
      <c r="O20" s="514">
        <v>0</v>
      </c>
      <c r="P20" s="496"/>
      <c r="Q20" s="73" t="e">
        <f t="shared" si="4"/>
        <v>#DIV/0!</v>
      </c>
      <c r="R20" s="514">
        <v>1</v>
      </c>
      <c r="S20" s="496">
        <v>1</v>
      </c>
      <c r="T20" s="73">
        <f t="shared" si="5"/>
        <v>1</v>
      </c>
      <c r="U20" s="514">
        <v>0</v>
      </c>
      <c r="V20" s="496"/>
      <c r="W20" s="73" t="e">
        <f t="shared" si="6"/>
        <v>#DIV/0!</v>
      </c>
      <c r="X20" s="514">
        <v>0</v>
      </c>
      <c r="Y20" s="496"/>
      <c r="Z20" s="73" t="e">
        <f t="shared" si="7"/>
        <v>#DIV/0!</v>
      </c>
      <c r="AA20" s="514">
        <v>0</v>
      </c>
      <c r="AB20" s="514"/>
      <c r="AC20" s="73" t="e">
        <f t="shared" si="8"/>
        <v>#DIV/0!</v>
      </c>
      <c r="AD20" s="782">
        <f>+S20</f>
        <v>1</v>
      </c>
      <c r="AE20" s="956">
        <f t="shared" si="10"/>
        <v>1</v>
      </c>
      <c r="AF20" s="782">
        <v>0</v>
      </c>
      <c r="AG20" s="496"/>
      <c r="AH20" s="73" t="e">
        <f t="shared" si="11"/>
        <v>#DIV/0!</v>
      </c>
      <c r="AI20" s="514">
        <v>0</v>
      </c>
      <c r="AJ20" s="496"/>
      <c r="AK20" s="73" t="e">
        <f t="shared" si="12"/>
        <v>#DIV/0!</v>
      </c>
      <c r="AL20" s="514">
        <v>0</v>
      </c>
      <c r="AM20" s="496"/>
      <c r="AN20" s="73" t="e">
        <f t="shared" si="13"/>
        <v>#DIV/0!</v>
      </c>
      <c r="AO20" s="514">
        <v>0</v>
      </c>
      <c r="AP20" s="496"/>
      <c r="AQ20" s="73" t="e">
        <f t="shared" si="14"/>
        <v>#DIV/0!</v>
      </c>
      <c r="AR20" s="514">
        <v>0</v>
      </c>
      <c r="AS20" s="496"/>
      <c r="AT20" s="73" t="e">
        <f t="shared" si="15"/>
        <v>#DIV/0!</v>
      </c>
      <c r="AU20" s="514">
        <v>0</v>
      </c>
      <c r="AV20" s="496"/>
      <c r="AW20" s="73" t="e">
        <f t="shared" si="16"/>
        <v>#DIV/0!</v>
      </c>
      <c r="AX20" s="949">
        <f>+S20</f>
        <v>1</v>
      </c>
      <c r="AY20" s="956">
        <f t="shared" si="18"/>
        <v>1</v>
      </c>
      <c r="AZ20" s="958"/>
      <c r="BA20" s="958"/>
      <c r="BB20" s="958"/>
      <c r="BC20" s="958"/>
      <c r="BD20" s="958"/>
      <c r="BE20" s="958"/>
      <c r="BF20" s="958"/>
      <c r="BG20" s="958"/>
      <c r="BH20" s="958"/>
      <c r="BI20" s="958"/>
      <c r="BJ20" s="958"/>
      <c r="BK20" s="958"/>
      <c r="BL20" s="958"/>
      <c r="BM20" s="958"/>
      <c r="BN20" s="958"/>
      <c r="BO20" s="958"/>
      <c r="BP20" s="958"/>
      <c r="BQ20" s="958"/>
      <c r="BR20" s="958"/>
      <c r="BS20" s="958"/>
      <c r="BT20" s="958"/>
      <c r="BU20" s="958"/>
      <c r="BV20" s="958"/>
      <c r="BW20" s="958"/>
      <c r="BX20" s="958"/>
      <c r="BY20" s="958"/>
      <c r="BZ20" s="958"/>
      <c r="CA20" s="958"/>
      <c r="CB20" s="958"/>
      <c r="CC20" s="958"/>
      <c r="CD20" s="958"/>
      <c r="CE20" s="958"/>
      <c r="CF20" s="958"/>
      <c r="CG20" s="958"/>
      <c r="CH20" s="958"/>
      <c r="CI20" s="958"/>
      <c r="CJ20" s="958"/>
      <c r="CK20" s="958"/>
      <c r="CL20" s="958"/>
      <c r="CM20" s="958"/>
      <c r="CN20" s="958"/>
      <c r="CO20" s="958"/>
      <c r="CP20" s="958"/>
      <c r="CQ20" s="958"/>
      <c r="CR20" s="958"/>
      <c r="CS20" s="958"/>
      <c r="CT20" s="958"/>
      <c r="CU20" s="958"/>
      <c r="CV20" s="958"/>
      <c r="CW20" s="958"/>
      <c r="CX20" s="958"/>
      <c r="CY20" s="958"/>
      <c r="CZ20" s="958"/>
      <c r="DA20" s="958"/>
      <c r="DB20" s="958"/>
      <c r="DC20" s="958"/>
      <c r="DD20" s="958"/>
      <c r="DE20" s="958"/>
      <c r="DF20" s="958"/>
      <c r="DG20" s="958"/>
      <c r="DH20" s="958"/>
      <c r="DI20" s="958"/>
      <c r="DJ20" s="958"/>
      <c r="DK20" s="958"/>
      <c r="DL20" s="958"/>
      <c r="DM20" s="958"/>
      <c r="DN20" s="958"/>
      <c r="DO20" s="958"/>
      <c r="DP20" s="958"/>
      <c r="DQ20" s="958"/>
      <c r="DR20" s="958"/>
      <c r="DS20" s="958"/>
      <c r="DT20" s="958"/>
      <c r="DU20" s="958"/>
      <c r="DV20" s="958"/>
      <c r="DW20" s="958"/>
      <c r="DX20" s="958"/>
      <c r="DY20" s="958"/>
      <c r="DZ20" s="958"/>
      <c r="EA20" s="958"/>
      <c r="EB20" s="958"/>
      <c r="EC20" s="958"/>
      <c r="ED20" s="958"/>
      <c r="EE20" s="958"/>
      <c r="EF20" s="958"/>
      <c r="EG20" s="958"/>
      <c r="EH20" s="958"/>
      <c r="EI20" s="958"/>
      <c r="EJ20" s="958"/>
      <c r="EK20" s="958"/>
      <c r="EL20" s="958"/>
      <c r="EM20" s="958"/>
      <c r="EN20" s="958"/>
      <c r="EO20" s="958"/>
      <c r="EP20" s="958"/>
      <c r="EQ20" s="958"/>
      <c r="ER20" s="958"/>
      <c r="ES20" s="958"/>
      <c r="ET20" s="958"/>
      <c r="EU20" s="958"/>
      <c r="EV20" s="958"/>
      <c r="EW20" s="958"/>
      <c r="EX20" s="958"/>
      <c r="EY20" s="958"/>
      <c r="EZ20" s="958"/>
      <c r="FA20" s="958"/>
      <c r="FB20" s="958"/>
      <c r="FC20" s="958"/>
      <c r="FD20" s="958"/>
      <c r="FE20" s="958"/>
      <c r="FF20" s="958"/>
      <c r="FG20" s="958"/>
      <c r="FH20" s="958"/>
      <c r="FI20" s="958"/>
      <c r="FJ20" s="958"/>
      <c r="FK20" s="958"/>
      <c r="FL20" s="958"/>
      <c r="FM20" s="958"/>
      <c r="FN20" s="958"/>
      <c r="FO20" s="958"/>
      <c r="FP20" s="958"/>
      <c r="FQ20" s="958"/>
      <c r="FR20" s="958"/>
      <c r="FS20" s="958"/>
      <c r="FT20" s="958"/>
      <c r="FU20" s="958"/>
      <c r="FV20" s="958"/>
      <c r="FW20" s="958"/>
      <c r="FX20" s="958"/>
      <c r="FY20" s="958"/>
      <c r="FZ20" s="958"/>
      <c r="GA20" s="958"/>
      <c r="GB20" s="958"/>
      <c r="GC20" s="958"/>
      <c r="GD20" s="958"/>
      <c r="GE20" s="958"/>
      <c r="GF20" s="958"/>
      <c r="GG20" s="958"/>
      <c r="GH20" s="958"/>
      <c r="GI20" s="958"/>
      <c r="GJ20" s="958"/>
      <c r="GK20" s="958"/>
      <c r="GL20" s="958"/>
      <c r="GM20" s="958"/>
      <c r="GN20" s="958"/>
      <c r="GO20" s="958"/>
      <c r="GP20" s="958"/>
      <c r="GQ20" s="958"/>
      <c r="GR20" s="958"/>
      <c r="GS20" s="958"/>
      <c r="GT20" s="958"/>
      <c r="GU20" s="958"/>
      <c r="GV20" s="958"/>
      <c r="GW20" s="958"/>
      <c r="GX20" s="958"/>
      <c r="GY20" s="958"/>
      <c r="GZ20" s="958"/>
      <c r="HA20" s="958"/>
      <c r="HB20" s="958"/>
      <c r="HC20" s="958"/>
      <c r="HD20" s="958"/>
      <c r="HE20" s="958"/>
      <c r="HF20" s="958"/>
      <c r="HG20" s="958"/>
      <c r="HH20" s="958"/>
      <c r="HI20" s="958"/>
      <c r="HJ20" s="958"/>
      <c r="HK20" s="958"/>
      <c r="HL20" s="958"/>
      <c r="HM20" s="958"/>
      <c r="HN20" s="958"/>
      <c r="HO20" s="958"/>
      <c r="HP20" s="958"/>
      <c r="HQ20" s="958"/>
      <c r="HR20" s="958"/>
      <c r="HS20" s="958"/>
      <c r="HT20" s="958"/>
      <c r="HU20" s="958"/>
      <c r="HV20" s="958"/>
      <c r="HW20" s="958"/>
      <c r="HX20" s="958"/>
      <c r="HY20" s="958"/>
      <c r="HZ20" s="958"/>
      <c r="IA20" s="958"/>
      <c r="IB20" s="958"/>
      <c r="IC20" s="958"/>
      <c r="ID20" s="958"/>
      <c r="IE20" s="958"/>
      <c r="IF20" s="958"/>
      <c r="IG20" s="958"/>
      <c r="IH20" s="958"/>
      <c r="II20" s="958"/>
      <c r="IJ20" s="958"/>
      <c r="IK20" s="958"/>
      <c r="IL20" s="958"/>
      <c r="IM20" s="958"/>
      <c r="IN20" s="958"/>
      <c r="IO20" s="958"/>
      <c r="IP20" s="958"/>
      <c r="IQ20" s="958"/>
      <c r="IR20" s="958"/>
      <c r="IS20" s="958"/>
      <c r="IT20" s="958"/>
      <c r="IU20" s="958"/>
      <c r="IV20" s="958"/>
      <c r="IW20" s="958"/>
      <c r="IX20" s="958"/>
      <c r="IY20" s="958"/>
      <c r="IZ20" s="958"/>
      <c r="JA20" s="958"/>
      <c r="JB20" s="958"/>
      <c r="JC20" s="958"/>
      <c r="JD20" s="958"/>
      <c r="JE20" s="958"/>
      <c r="JF20" s="958"/>
      <c r="JG20" s="958"/>
      <c r="JH20" s="958"/>
      <c r="JI20" s="958"/>
      <c r="JJ20" s="958"/>
      <c r="JK20" s="958"/>
      <c r="JL20" s="958"/>
      <c r="JM20" s="958"/>
      <c r="JN20" s="958"/>
      <c r="JO20" s="958"/>
      <c r="JP20" s="958"/>
      <c r="JQ20" s="958"/>
      <c r="JR20" s="958"/>
      <c r="JS20" s="958"/>
      <c r="JT20" s="958"/>
      <c r="JU20" s="958"/>
      <c r="JV20" s="958"/>
      <c r="JW20" s="958"/>
      <c r="JX20" s="958"/>
      <c r="JY20" s="958"/>
      <c r="JZ20" s="958"/>
      <c r="KA20" s="958"/>
      <c r="KB20" s="958"/>
      <c r="KC20" s="958"/>
      <c r="KD20" s="958"/>
      <c r="KE20" s="958"/>
      <c r="KF20" s="958"/>
      <c r="KG20" s="958"/>
      <c r="KH20" s="958"/>
      <c r="KI20" s="958"/>
      <c r="KJ20" s="958"/>
      <c r="KK20" s="958"/>
      <c r="KL20" s="958"/>
      <c r="KM20" s="958"/>
      <c r="KN20" s="958"/>
      <c r="KO20" s="958"/>
      <c r="KP20" s="958"/>
      <c r="KQ20" s="958"/>
      <c r="KR20" s="958"/>
      <c r="KS20" s="958"/>
      <c r="KT20" s="958"/>
      <c r="KU20" s="958"/>
      <c r="KV20" s="958"/>
      <c r="KW20" s="958"/>
      <c r="KX20" s="958"/>
      <c r="KY20" s="958"/>
      <c r="KZ20" s="958"/>
      <c r="LA20" s="958"/>
      <c r="LB20" s="958"/>
      <c r="LC20" s="958"/>
      <c r="LD20" s="958"/>
      <c r="LE20" s="958"/>
      <c r="LF20" s="958"/>
      <c r="LG20" s="958"/>
      <c r="LH20" s="958"/>
      <c r="LI20" s="958"/>
      <c r="LJ20" s="958"/>
      <c r="LK20" s="958"/>
      <c r="LL20" s="958"/>
      <c r="LM20" s="958"/>
      <c r="LN20" s="958"/>
      <c r="LO20" s="958"/>
      <c r="LP20" s="958"/>
      <c r="LQ20" s="958"/>
      <c r="LR20" s="958"/>
      <c r="LS20" s="958"/>
      <c r="LT20" s="958"/>
      <c r="LU20" s="958"/>
      <c r="LV20" s="958"/>
      <c r="LW20" s="958"/>
      <c r="LX20" s="958"/>
      <c r="LY20" s="958"/>
      <c r="LZ20" s="958"/>
      <c r="MA20" s="958"/>
      <c r="MB20" s="958"/>
      <c r="MC20" s="958"/>
      <c r="MD20" s="958"/>
      <c r="ME20" s="958"/>
      <c r="MF20" s="958"/>
      <c r="MG20" s="958"/>
      <c r="MH20" s="958"/>
      <c r="MI20" s="958"/>
      <c r="MJ20" s="958"/>
      <c r="MK20" s="958"/>
      <c r="ML20" s="958"/>
      <c r="MM20" s="958"/>
      <c r="MN20" s="958"/>
      <c r="MO20" s="958"/>
      <c r="MP20" s="958"/>
      <c r="MQ20" s="958"/>
      <c r="MR20" s="958"/>
      <c r="MS20" s="958"/>
      <c r="MT20" s="958"/>
      <c r="MU20" s="958"/>
      <c r="MV20" s="958"/>
      <c r="MW20" s="958"/>
      <c r="MX20" s="958"/>
      <c r="MY20" s="958"/>
      <c r="MZ20" s="958"/>
      <c r="NA20" s="958"/>
      <c r="NB20" s="958"/>
      <c r="NC20" s="958"/>
      <c r="ND20" s="958"/>
      <c r="NE20" s="958"/>
      <c r="NF20" s="958"/>
      <c r="NG20" s="958"/>
      <c r="NH20" s="958"/>
      <c r="NI20" s="958"/>
      <c r="NJ20" s="958"/>
      <c r="NK20" s="958"/>
      <c r="NL20" s="958"/>
      <c r="NM20" s="958"/>
      <c r="NN20" s="958"/>
      <c r="NO20" s="958"/>
      <c r="NP20" s="958"/>
      <c r="NQ20" s="958"/>
      <c r="NR20" s="958"/>
      <c r="NS20" s="958"/>
      <c r="NT20" s="958"/>
      <c r="NU20" s="958"/>
      <c r="NV20" s="958"/>
      <c r="NW20" s="958"/>
      <c r="NX20" s="958"/>
      <c r="NY20" s="958"/>
      <c r="NZ20" s="958"/>
      <c r="OA20" s="958"/>
      <c r="OB20" s="958"/>
      <c r="OC20" s="958"/>
      <c r="OD20" s="958"/>
      <c r="OE20" s="958"/>
      <c r="OF20" s="958"/>
      <c r="OG20" s="958"/>
      <c r="OH20" s="958"/>
      <c r="OI20" s="958"/>
      <c r="OJ20" s="958"/>
      <c r="OK20" s="958"/>
      <c r="OL20" s="958"/>
      <c r="OM20" s="958"/>
      <c r="ON20" s="958"/>
      <c r="OO20" s="958"/>
      <c r="OP20" s="958"/>
      <c r="OQ20" s="958"/>
      <c r="OR20" s="958"/>
      <c r="OS20" s="958"/>
      <c r="OT20" s="958"/>
      <c r="OU20" s="958"/>
      <c r="OV20" s="958"/>
      <c r="OW20" s="958"/>
      <c r="OX20" s="958"/>
      <c r="OY20" s="958"/>
      <c r="OZ20" s="958"/>
      <c r="PA20" s="958"/>
      <c r="PB20" s="958"/>
      <c r="PC20" s="958"/>
      <c r="PD20" s="958"/>
      <c r="PE20" s="958"/>
      <c r="PF20" s="958"/>
      <c r="PG20" s="958"/>
      <c r="PH20" s="958"/>
      <c r="PI20" s="958"/>
      <c r="PJ20" s="958"/>
      <c r="PK20" s="958"/>
      <c r="PL20" s="958"/>
      <c r="PM20" s="958"/>
      <c r="PN20" s="958"/>
      <c r="PO20" s="958"/>
      <c r="PP20" s="958"/>
      <c r="PQ20" s="958"/>
      <c r="PR20" s="958"/>
      <c r="PS20" s="958"/>
      <c r="PT20" s="958"/>
      <c r="PU20" s="958"/>
      <c r="PV20" s="958"/>
      <c r="PW20" s="958"/>
      <c r="PX20" s="958"/>
      <c r="PY20" s="958"/>
      <c r="PZ20" s="958"/>
      <c r="QA20" s="958"/>
      <c r="QB20" s="958"/>
      <c r="QC20" s="958"/>
      <c r="QD20" s="958"/>
      <c r="QE20" s="958"/>
      <c r="QF20" s="958"/>
      <c r="QG20" s="958"/>
      <c r="QH20" s="958"/>
      <c r="QI20" s="958"/>
      <c r="QJ20" s="958"/>
      <c r="QK20" s="958"/>
      <c r="QL20" s="958"/>
      <c r="QM20" s="958"/>
      <c r="QN20" s="958"/>
      <c r="QO20" s="958"/>
      <c r="QP20" s="958"/>
      <c r="QQ20" s="958"/>
      <c r="QR20" s="958"/>
      <c r="QS20" s="958"/>
      <c r="QT20" s="958"/>
      <c r="QU20" s="958"/>
      <c r="QV20" s="958"/>
      <c r="QW20" s="958"/>
      <c r="QX20" s="958"/>
      <c r="QY20" s="958"/>
      <c r="QZ20" s="958"/>
      <c r="RA20" s="958"/>
      <c r="RB20" s="958"/>
      <c r="RC20" s="958"/>
      <c r="RD20" s="958"/>
      <c r="RE20" s="958"/>
      <c r="RF20" s="958"/>
      <c r="RG20" s="958"/>
      <c r="RH20" s="958"/>
      <c r="RI20" s="958"/>
      <c r="RJ20" s="958"/>
      <c r="RK20" s="958"/>
      <c r="RL20" s="958"/>
      <c r="RM20" s="958"/>
      <c r="RN20" s="958"/>
      <c r="RO20" s="958"/>
      <c r="RP20" s="958"/>
      <c r="RQ20" s="958"/>
      <c r="RR20" s="958"/>
      <c r="RS20" s="958"/>
      <c r="RT20" s="958"/>
      <c r="RU20" s="958"/>
      <c r="RV20" s="958"/>
      <c r="RW20" s="958"/>
      <c r="RX20" s="958"/>
      <c r="RY20" s="958"/>
      <c r="RZ20" s="958"/>
      <c r="SA20" s="958"/>
      <c r="SB20" s="958"/>
      <c r="SC20" s="958"/>
      <c r="SD20" s="958"/>
      <c r="SE20" s="958"/>
      <c r="SF20" s="958"/>
      <c r="SG20" s="958"/>
      <c r="SH20" s="958"/>
      <c r="SI20" s="958"/>
      <c r="SJ20" s="958"/>
      <c r="SK20" s="958"/>
      <c r="SL20" s="958"/>
      <c r="SM20" s="958"/>
      <c r="SN20" s="958"/>
      <c r="SO20" s="958"/>
      <c r="SP20" s="958"/>
      <c r="SQ20" s="958"/>
      <c r="SR20" s="958"/>
      <c r="SS20" s="958"/>
      <c r="ST20" s="958"/>
      <c r="SU20" s="958"/>
      <c r="SV20" s="958"/>
      <c r="SW20" s="958"/>
      <c r="SX20" s="958"/>
      <c r="SY20" s="958"/>
      <c r="SZ20" s="958"/>
      <c r="TA20" s="958"/>
      <c r="TB20" s="958"/>
      <c r="TC20" s="958"/>
      <c r="TD20" s="958"/>
      <c r="TE20" s="958"/>
      <c r="TF20" s="958"/>
      <c r="TG20" s="958"/>
      <c r="TH20" s="958"/>
      <c r="TI20" s="958"/>
      <c r="TJ20" s="958"/>
      <c r="TK20" s="958"/>
      <c r="TL20" s="958"/>
      <c r="TM20" s="958"/>
      <c r="TN20" s="958"/>
      <c r="TO20" s="958"/>
      <c r="TP20" s="958"/>
      <c r="TQ20" s="958"/>
      <c r="TR20" s="958"/>
      <c r="TS20" s="958"/>
      <c r="TT20" s="958"/>
      <c r="TU20" s="958"/>
      <c r="TV20" s="958"/>
      <c r="TW20" s="958"/>
      <c r="TX20" s="958"/>
      <c r="TY20" s="958"/>
      <c r="TZ20" s="958"/>
      <c r="UA20" s="958"/>
      <c r="UB20" s="958"/>
      <c r="UC20" s="958"/>
      <c r="UD20" s="958"/>
      <c r="UE20" s="958"/>
      <c r="UF20" s="958"/>
      <c r="UG20" s="958"/>
      <c r="UH20" s="958"/>
      <c r="UI20" s="958"/>
      <c r="UJ20" s="958"/>
      <c r="UK20" s="958"/>
      <c r="UL20" s="958"/>
      <c r="UM20" s="958"/>
      <c r="UN20" s="958"/>
      <c r="UO20" s="958"/>
      <c r="UP20" s="958"/>
      <c r="UQ20" s="958"/>
      <c r="UR20" s="958"/>
      <c r="US20" s="958"/>
      <c r="UT20" s="958"/>
      <c r="UU20" s="958"/>
      <c r="UV20" s="958"/>
      <c r="UW20" s="958"/>
      <c r="UX20" s="958"/>
      <c r="UY20" s="958"/>
      <c r="UZ20" s="958"/>
      <c r="VA20" s="958"/>
      <c r="VB20" s="958"/>
      <c r="VC20" s="958"/>
      <c r="VD20" s="958"/>
      <c r="VE20" s="958"/>
      <c r="VF20" s="958"/>
      <c r="VG20" s="958"/>
      <c r="VH20" s="958"/>
      <c r="VI20" s="958"/>
      <c r="VJ20" s="958"/>
      <c r="VK20" s="958"/>
      <c r="VL20" s="958"/>
      <c r="VM20" s="958"/>
      <c r="VN20" s="958"/>
      <c r="VO20" s="958"/>
      <c r="VP20" s="958"/>
      <c r="VQ20" s="958"/>
      <c r="VR20" s="958"/>
      <c r="VS20" s="958"/>
      <c r="VT20" s="958"/>
      <c r="VU20" s="958"/>
      <c r="VV20" s="958"/>
      <c r="VW20" s="958"/>
      <c r="VX20" s="958"/>
      <c r="VY20" s="958"/>
      <c r="VZ20" s="958"/>
      <c r="WA20" s="958"/>
      <c r="WB20" s="958"/>
      <c r="WC20" s="958"/>
      <c r="WD20" s="958"/>
      <c r="WE20" s="958"/>
      <c r="WF20" s="958"/>
      <c r="WG20" s="958"/>
      <c r="WH20" s="958"/>
      <c r="WI20" s="958"/>
      <c r="WJ20" s="958"/>
      <c r="WK20" s="958"/>
      <c r="WL20" s="958"/>
      <c r="WM20" s="958"/>
      <c r="WN20" s="958"/>
      <c r="WO20" s="958"/>
      <c r="WP20" s="958"/>
      <c r="WQ20" s="958"/>
      <c r="WR20" s="958"/>
      <c r="WS20" s="958"/>
      <c r="WT20" s="958"/>
      <c r="WU20" s="958"/>
      <c r="WV20" s="958"/>
      <c r="WW20" s="958"/>
      <c r="WX20" s="958"/>
      <c r="WY20" s="958"/>
      <c r="WZ20" s="958"/>
      <c r="XA20" s="958"/>
      <c r="XB20" s="958"/>
      <c r="XC20" s="958"/>
      <c r="XD20" s="958"/>
      <c r="XE20" s="958"/>
      <c r="XF20" s="958"/>
      <c r="XG20" s="958"/>
      <c r="XH20" s="958"/>
      <c r="XI20" s="958"/>
      <c r="XJ20" s="958"/>
      <c r="XK20" s="958"/>
      <c r="XL20" s="958"/>
      <c r="XM20" s="958"/>
      <c r="XN20" s="958"/>
      <c r="XO20" s="958"/>
      <c r="XP20" s="958"/>
      <c r="XQ20" s="958"/>
      <c r="XR20" s="958"/>
      <c r="XS20" s="958"/>
      <c r="XT20" s="958"/>
      <c r="XU20" s="958"/>
      <c r="XV20" s="958"/>
      <c r="XW20" s="958"/>
      <c r="XX20" s="958"/>
      <c r="XY20" s="958"/>
      <c r="XZ20" s="958"/>
      <c r="YA20" s="958"/>
      <c r="YB20" s="958"/>
      <c r="YC20" s="958"/>
      <c r="YD20" s="958"/>
      <c r="YE20" s="958"/>
      <c r="YF20" s="958"/>
      <c r="YG20" s="958"/>
      <c r="YH20" s="958"/>
      <c r="YI20" s="958"/>
      <c r="YJ20" s="958"/>
      <c r="YK20" s="958"/>
      <c r="YL20" s="958"/>
      <c r="YM20" s="958"/>
      <c r="YN20" s="958"/>
      <c r="YO20" s="958"/>
      <c r="YP20" s="958"/>
      <c r="YQ20" s="958"/>
      <c r="YR20" s="958"/>
      <c r="YS20" s="958"/>
      <c r="YT20" s="958"/>
      <c r="YU20" s="958"/>
      <c r="YV20" s="958"/>
      <c r="YW20" s="958"/>
      <c r="YX20" s="958"/>
      <c r="YY20" s="958"/>
      <c r="YZ20" s="958"/>
      <c r="ZA20" s="958"/>
      <c r="ZB20" s="958"/>
      <c r="ZC20" s="958"/>
      <c r="ZD20" s="958"/>
      <c r="ZE20" s="958"/>
      <c r="ZF20" s="958"/>
      <c r="ZG20" s="958"/>
      <c r="ZH20" s="958"/>
      <c r="ZI20" s="958"/>
      <c r="ZJ20" s="958"/>
      <c r="ZK20" s="958"/>
      <c r="ZL20" s="958"/>
      <c r="ZM20" s="958"/>
      <c r="ZN20" s="958"/>
      <c r="ZO20" s="958"/>
      <c r="ZP20" s="958"/>
      <c r="ZQ20" s="958"/>
      <c r="ZR20" s="958"/>
      <c r="ZS20" s="958"/>
      <c r="ZT20" s="958"/>
      <c r="ZU20" s="958"/>
      <c r="ZV20" s="958"/>
      <c r="ZW20" s="958"/>
      <c r="ZX20" s="958"/>
      <c r="ZY20" s="958"/>
      <c r="ZZ20" s="958"/>
      <c r="AAA20" s="958"/>
      <c r="AAB20" s="958"/>
      <c r="AAC20" s="958"/>
      <c r="AAD20" s="958"/>
      <c r="AAE20" s="958"/>
      <c r="AAF20" s="958"/>
      <c r="AAG20" s="958"/>
      <c r="AAH20" s="958"/>
      <c r="AAI20" s="958"/>
      <c r="AAJ20" s="958"/>
      <c r="AAK20" s="958"/>
      <c r="AAL20" s="958"/>
      <c r="AAM20" s="958"/>
      <c r="AAN20" s="958"/>
      <c r="AAO20" s="958"/>
      <c r="AAP20" s="958"/>
      <c r="AAQ20" s="958"/>
      <c r="AAR20" s="958"/>
      <c r="AAS20" s="958"/>
      <c r="AAT20" s="958"/>
      <c r="AAU20" s="958"/>
      <c r="AAV20" s="958"/>
      <c r="AAW20" s="958"/>
      <c r="AAX20" s="958"/>
      <c r="AAY20" s="958"/>
      <c r="AAZ20" s="958"/>
      <c r="ABA20" s="958"/>
      <c r="ABB20" s="958"/>
      <c r="ABC20" s="958"/>
      <c r="ABD20" s="958"/>
      <c r="ABE20" s="958"/>
      <c r="ABF20" s="958"/>
      <c r="ABG20" s="958"/>
      <c r="ABH20" s="958"/>
      <c r="ABI20" s="958"/>
      <c r="ABJ20" s="958"/>
      <c r="ABK20" s="958"/>
      <c r="ABL20" s="958"/>
      <c r="ABM20" s="958"/>
      <c r="ABN20" s="958"/>
      <c r="ABO20" s="958"/>
      <c r="ABP20" s="958"/>
      <c r="ABQ20" s="958"/>
      <c r="ABR20" s="958"/>
      <c r="ABS20" s="958"/>
      <c r="ABT20" s="958"/>
      <c r="ABU20" s="958"/>
      <c r="ABV20" s="958"/>
      <c r="ABW20" s="958"/>
      <c r="ABX20" s="958"/>
      <c r="ABY20" s="958"/>
      <c r="ABZ20" s="958"/>
      <c r="ACA20" s="958"/>
      <c r="ACB20" s="958"/>
      <c r="ACC20" s="958"/>
      <c r="ACD20" s="958"/>
      <c r="ACE20" s="958"/>
      <c r="ACF20" s="958"/>
      <c r="ACG20" s="958"/>
      <c r="ACH20" s="958"/>
      <c r="ACI20" s="958"/>
      <c r="ACJ20" s="958"/>
      <c r="ACK20" s="958"/>
      <c r="ACL20" s="958"/>
      <c r="ACM20" s="958"/>
      <c r="ACN20" s="958"/>
      <c r="ACO20" s="958"/>
      <c r="ACP20" s="958"/>
      <c r="ACQ20" s="958"/>
      <c r="ACR20" s="958"/>
      <c r="ACS20" s="958"/>
      <c r="ACT20" s="958"/>
      <c r="ACU20" s="958"/>
      <c r="ACV20" s="958"/>
      <c r="ACW20" s="958"/>
      <c r="ACX20" s="958"/>
      <c r="ACY20" s="958"/>
      <c r="ACZ20" s="958"/>
      <c r="ADA20" s="958"/>
      <c r="ADB20" s="958"/>
      <c r="ADC20" s="958"/>
      <c r="ADD20" s="958"/>
      <c r="ADE20" s="958"/>
      <c r="ADF20" s="958"/>
      <c r="ADG20" s="958"/>
      <c r="ADH20" s="958"/>
      <c r="ADI20" s="958"/>
      <c r="ADJ20" s="958"/>
      <c r="ADK20" s="958"/>
      <c r="ADL20" s="958"/>
      <c r="ADM20" s="958"/>
      <c r="ADN20" s="958"/>
      <c r="ADO20" s="958"/>
      <c r="ADP20" s="958"/>
      <c r="ADQ20" s="958"/>
      <c r="ADR20" s="958"/>
      <c r="ADS20" s="958"/>
      <c r="ADT20" s="958"/>
      <c r="ADU20" s="958"/>
      <c r="ADV20" s="958"/>
      <c r="ADW20" s="958"/>
      <c r="ADX20" s="958"/>
      <c r="ADY20" s="958"/>
      <c r="ADZ20" s="958"/>
      <c r="AEA20" s="958"/>
      <c r="AEB20" s="958"/>
      <c r="AEC20" s="958"/>
      <c r="AED20" s="958"/>
      <c r="AEE20" s="958"/>
      <c r="AEF20" s="958"/>
      <c r="AEG20" s="958"/>
      <c r="AEH20" s="958"/>
      <c r="AEI20" s="958"/>
      <c r="AEJ20" s="958"/>
      <c r="AEK20" s="958"/>
      <c r="AEL20" s="958"/>
      <c r="AEM20" s="958"/>
      <c r="AEN20" s="958"/>
      <c r="AEO20" s="958"/>
      <c r="AEP20" s="958"/>
      <c r="AEQ20" s="958"/>
      <c r="AER20" s="958"/>
      <c r="AES20" s="958"/>
      <c r="AET20" s="958"/>
      <c r="AEU20" s="958"/>
      <c r="AEV20" s="958"/>
      <c r="AEW20" s="958"/>
      <c r="AEX20" s="958"/>
      <c r="AEY20" s="958"/>
      <c r="AEZ20" s="958"/>
      <c r="AFA20" s="958"/>
      <c r="AFB20" s="958"/>
      <c r="AFC20" s="958"/>
      <c r="AFD20" s="958"/>
      <c r="AFE20" s="958"/>
      <c r="AFF20" s="958"/>
      <c r="AFG20" s="958"/>
      <c r="AFH20" s="958"/>
      <c r="AFI20" s="958"/>
      <c r="AFJ20" s="958"/>
      <c r="AFK20" s="958"/>
      <c r="AFL20" s="958"/>
      <c r="AFM20" s="958"/>
      <c r="AFN20" s="958"/>
      <c r="AFO20" s="958"/>
      <c r="AFP20" s="958"/>
      <c r="AFQ20" s="958"/>
      <c r="AFR20" s="958"/>
      <c r="AFS20" s="958"/>
      <c r="AFT20" s="958"/>
      <c r="AFU20" s="958"/>
      <c r="AFV20" s="958"/>
      <c r="AFW20" s="958"/>
      <c r="AFX20" s="958"/>
      <c r="AFY20" s="958"/>
      <c r="AFZ20" s="958"/>
      <c r="AGA20" s="958"/>
      <c r="AGB20" s="958"/>
      <c r="AGC20" s="958"/>
      <c r="AGD20" s="958"/>
      <c r="AGE20" s="958"/>
      <c r="AGF20" s="958"/>
      <c r="AGG20" s="958"/>
      <c r="AGH20" s="958"/>
      <c r="AGI20" s="958"/>
      <c r="AGJ20" s="958"/>
      <c r="AGK20" s="958"/>
      <c r="AGL20" s="958"/>
      <c r="AGM20" s="958"/>
      <c r="AGN20" s="958"/>
      <c r="AGO20" s="958"/>
      <c r="AGP20" s="958"/>
      <c r="AGQ20" s="958"/>
      <c r="AGR20" s="958"/>
      <c r="AGS20" s="958"/>
      <c r="AGT20" s="958"/>
      <c r="AGU20" s="958"/>
      <c r="AGV20" s="958"/>
      <c r="AGW20" s="958"/>
      <c r="AGX20" s="958"/>
      <c r="AGY20" s="958"/>
      <c r="AGZ20" s="958"/>
      <c r="AHA20" s="958"/>
      <c r="AHB20" s="958"/>
      <c r="AHC20" s="958"/>
      <c r="AHD20" s="958"/>
      <c r="AHE20" s="958"/>
      <c r="AHF20" s="958"/>
      <c r="AHG20" s="958"/>
      <c r="AHH20" s="958"/>
      <c r="AHI20" s="958"/>
      <c r="AHJ20" s="958"/>
      <c r="AHK20" s="958"/>
      <c r="AHL20" s="958"/>
      <c r="AHM20" s="958"/>
      <c r="AHN20" s="958"/>
      <c r="AHO20" s="958"/>
      <c r="AHP20" s="958"/>
      <c r="AHQ20" s="958"/>
      <c r="AHR20" s="958"/>
      <c r="AHS20" s="958"/>
      <c r="AHT20" s="958"/>
      <c r="AHU20" s="958"/>
      <c r="AHV20" s="958"/>
      <c r="AHW20" s="958"/>
      <c r="AHX20" s="958"/>
      <c r="AHY20" s="958"/>
      <c r="AHZ20" s="958"/>
      <c r="AIA20" s="958"/>
      <c r="AIB20" s="958"/>
      <c r="AIC20" s="958"/>
      <c r="AID20" s="958"/>
      <c r="AIE20" s="958"/>
      <c r="AIF20" s="958"/>
      <c r="AIG20" s="958"/>
      <c r="AIH20" s="958"/>
      <c r="AII20" s="958"/>
      <c r="AIJ20" s="958"/>
      <c r="AIK20" s="958"/>
      <c r="AIL20" s="958"/>
      <c r="AIM20" s="958"/>
      <c r="AIN20" s="958"/>
      <c r="AIO20" s="958"/>
      <c r="AIP20" s="958"/>
      <c r="AIQ20" s="958"/>
      <c r="AIR20" s="958"/>
      <c r="AIS20" s="958"/>
      <c r="AIT20" s="958"/>
      <c r="AIU20" s="958"/>
      <c r="AIV20" s="958"/>
      <c r="AIW20" s="958"/>
      <c r="AIX20" s="958"/>
      <c r="AIY20" s="958"/>
      <c r="AIZ20" s="958"/>
      <c r="AJA20" s="958"/>
      <c r="AJB20" s="958"/>
      <c r="AJC20" s="958"/>
      <c r="AJD20" s="958"/>
      <c r="AJE20" s="958"/>
      <c r="AJF20" s="958"/>
      <c r="AJG20" s="958"/>
      <c r="AJH20" s="958"/>
      <c r="AJI20" s="958"/>
      <c r="AJJ20" s="958"/>
      <c r="AJK20" s="958"/>
      <c r="AJL20" s="958"/>
      <c r="AJM20" s="958"/>
      <c r="AJN20" s="958"/>
      <c r="AJO20" s="958"/>
      <c r="AJP20" s="958"/>
      <c r="AJQ20" s="958"/>
      <c r="AJR20" s="958"/>
      <c r="AJS20" s="958"/>
      <c r="AJT20" s="958"/>
      <c r="AJU20" s="958"/>
      <c r="AJV20" s="958"/>
      <c r="AJW20" s="958"/>
      <c r="AJX20" s="958"/>
      <c r="AJY20" s="958"/>
      <c r="AJZ20" s="958"/>
      <c r="AKA20" s="958"/>
      <c r="AKB20" s="958"/>
      <c r="AKC20" s="958"/>
      <c r="AKD20" s="958"/>
      <c r="AKE20" s="958"/>
      <c r="AKF20" s="958"/>
      <c r="AKG20" s="958"/>
      <c r="AKH20" s="958"/>
      <c r="AKI20" s="958"/>
      <c r="AKJ20" s="958"/>
      <c r="AKK20" s="958"/>
      <c r="AKL20" s="958"/>
      <c r="AKM20" s="958"/>
      <c r="AKN20" s="958"/>
      <c r="AKO20" s="958"/>
      <c r="AKP20" s="958"/>
      <c r="AKQ20" s="958"/>
      <c r="AKR20" s="958"/>
      <c r="AKS20" s="958"/>
      <c r="AKT20" s="958"/>
      <c r="AKU20" s="958"/>
      <c r="AKV20" s="958"/>
      <c r="AKW20" s="958"/>
      <c r="AKX20" s="958"/>
      <c r="AKY20" s="958"/>
      <c r="AKZ20" s="958"/>
      <c r="ALA20" s="958"/>
      <c r="ALB20" s="958"/>
      <c r="ALC20" s="958"/>
      <c r="ALD20" s="958"/>
      <c r="ALE20" s="958"/>
      <c r="ALF20" s="958"/>
      <c r="ALG20" s="958"/>
      <c r="ALH20" s="958"/>
      <c r="ALI20" s="958"/>
      <c r="ALJ20" s="958"/>
      <c r="ALK20" s="958"/>
      <c r="ALL20" s="958"/>
      <c r="ALM20" s="958"/>
      <c r="ALN20" s="958"/>
      <c r="ALO20" s="958"/>
      <c r="ALP20" s="958"/>
      <c r="ALQ20" s="958"/>
      <c r="ALR20" s="958"/>
      <c r="ALS20" s="958"/>
      <c r="ALT20" s="958"/>
      <c r="ALU20" s="958"/>
      <c r="ALV20" s="958"/>
      <c r="ALW20" s="958"/>
      <c r="ALX20" s="958"/>
      <c r="ALY20" s="958"/>
      <c r="ALZ20" s="958"/>
      <c r="AMA20" s="958"/>
      <c r="AMB20" s="958"/>
      <c r="AMC20" s="958"/>
      <c r="AMD20" s="958"/>
      <c r="AME20" s="958"/>
      <c r="AMF20" s="958"/>
      <c r="AMG20" s="958"/>
      <c r="AMH20" s="958"/>
      <c r="AMI20" s="958"/>
      <c r="AMJ20" s="958"/>
      <c r="AMK20" s="958"/>
      <c r="AML20" s="958"/>
      <c r="AMM20" s="958"/>
      <c r="AMN20" s="958"/>
      <c r="AMO20" s="958"/>
      <c r="AMP20" s="958"/>
      <c r="AMQ20" s="958"/>
      <c r="AMR20" s="958"/>
      <c r="AMS20" s="958"/>
      <c r="AMT20" s="958"/>
      <c r="AMU20" s="958"/>
      <c r="AMV20" s="958"/>
      <c r="AMW20" s="958"/>
      <c r="AMX20" s="958"/>
      <c r="AMY20" s="958"/>
      <c r="AMZ20" s="958"/>
      <c r="ANA20" s="958"/>
      <c r="ANB20" s="958"/>
      <c r="ANC20" s="958"/>
      <c r="AND20" s="958"/>
      <c r="ANE20" s="958"/>
      <c r="ANF20" s="958"/>
      <c r="ANG20" s="958"/>
      <c r="ANH20" s="958"/>
      <c r="ANI20" s="958"/>
      <c r="ANJ20" s="958"/>
      <c r="ANK20" s="958"/>
      <c r="ANL20" s="958"/>
      <c r="ANM20" s="958"/>
      <c r="ANN20" s="958"/>
      <c r="ANO20" s="958"/>
      <c r="ANP20" s="958"/>
      <c r="ANQ20" s="958"/>
      <c r="ANR20" s="958"/>
      <c r="ANS20" s="958"/>
      <c r="ANT20" s="958"/>
      <c r="ANU20" s="958"/>
      <c r="ANV20" s="958"/>
      <c r="ANW20" s="958"/>
      <c r="ANX20" s="958"/>
      <c r="ANY20" s="958"/>
      <c r="ANZ20" s="958"/>
      <c r="AOA20" s="958"/>
      <c r="AOB20" s="958"/>
      <c r="AOC20" s="958"/>
      <c r="AOD20" s="958"/>
      <c r="AOE20" s="958"/>
      <c r="AOF20" s="958"/>
      <c r="AOG20" s="958"/>
      <c r="AOH20" s="958"/>
      <c r="AOI20" s="958"/>
      <c r="AOJ20" s="958"/>
      <c r="AOK20" s="958"/>
      <c r="AOL20" s="958"/>
      <c r="AOM20" s="958"/>
      <c r="AON20" s="958"/>
      <c r="AOO20" s="958"/>
      <c r="AOP20" s="958"/>
      <c r="AOQ20" s="958"/>
      <c r="AOR20" s="958"/>
      <c r="AOS20" s="958"/>
      <c r="AOT20" s="958"/>
      <c r="AOU20" s="958"/>
      <c r="AOV20" s="958"/>
      <c r="AOW20" s="958"/>
      <c r="AOX20" s="958"/>
      <c r="AOY20" s="958"/>
      <c r="AOZ20" s="958"/>
      <c r="APA20" s="958"/>
      <c r="APB20" s="958"/>
      <c r="APC20" s="958"/>
      <c r="APD20" s="958"/>
      <c r="APE20" s="958"/>
      <c r="APF20" s="958"/>
      <c r="APG20" s="958"/>
      <c r="APH20" s="958"/>
      <c r="API20" s="958"/>
      <c r="APJ20" s="958"/>
      <c r="APK20" s="958"/>
      <c r="APL20" s="958"/>
      <c r="APM20" s="958"/>
      <c r="APN20" s="958"/>
      <c r="APO20" s="958"/>
      <c r="APP20" s="958"/>
      <c r="APQ20" s="958"/>
      <c r="APR20" s="958"/>
      <c r="APS20" s="958"/>
      <c r="APT20" s="958"/>
      <c r="APU20" s="958"/>
      <c r="APV20" s="958"/>
      <c r="APW20" s="958"/>
      <c r="APX20" s="958"/>
      <c r="APY20" s="958"/>
      <c r="APZ20" s="958"/>
      <c r="AQA20" s="958"/>
      <c r="AQB20" s="958"/>
      <c r="AQC20" s="958"/>
      <c r="AQD20" s="958"/>
      <c r="AQE20" s="958"/>
      <c r="AQF20" s="958"/>
      <c r="AQG20" s="958"/>
      <c r="AQH20" s="958"/>
      <c r="AQI20" s="958"/>
      <c r="AQJ20" s="958"/>
      <c r="AQK20" s="958"/>
      <c r="AQL20" s="958"/>
      <c r="AQM20" s="958"/>
      <c r="AQN20" s="958"/>
      <c r="AQO20" s="958"/>
      <c r="AQP20" s="958"/>
      <c r="AQQ20" s="958"/>
      <c r="AQR20" s="958"/>
      <c r="AQS20" s="958"/>
      <c r="AQT20" s="958"/>
      <c r="AQU20" s="958"/>
      <c r="AQV20" s="958"/>
      <c r="AQW20" s="958"/>
      <c r="AQX20" s="958"/>
      <c r="AQY20" s="958"/>
      <c r="AQZ20" s="958"/>
      <c r="ARA20" s="958"/>
      <c r="ARB20" s="958"/>
      <c r="ARC20" s="958"/>
      <c r="ARD20" s="958"/>
      <c r="ARE20" s="958"/>
      <c r="ARF20" s="958"/>
      <c r="ARG20" s="958"/>
      <c r="ARH20" s="958"/>
      <c r="ARI20" s="958"/>
      <c r="ARJ20" s="958"/>
      <c r="ARK20" s="958"/>
      <c r="ARL20" s="958"/>
      <c r="ARM20" s="958"/>
      <c r="ARN20" s="958"/>
      <c r="ARO20" s="958"/>
      <c r="ARP20" s="958"/>
      <c r="ARQ20" s="958"/>
      <c r="ARR20" s="958"/>
      <c r="ARS20" s="958"/>
      <c r="ART20" s="958"/>
      <c r="ARU20" s="958"/>
      <c r="ARV20" s="958"/>
      <c r="ARW20" s="958"/>
      <c r="ARX20" s="958"/>
      <c r="ARY20" s="958"/>
      <c r="ARZ20" s="958"/>
      <c r="ASA20" s="958"/>
      <c r="ASB20" s="958"/>
      <c r="ASC20" s="958"/>
      <c r="ASD20" s="958"/>
      <c r="ASE20" s="958"/>
      <c r="ASF20" s="958"/>
      <c r="ASG20" s="958"/>
      <c r="ASH20" s="958"/>
      <c r="ASI20" s="958"/>
      <c r="ASJ20" s="958"/>
      <c r="ASK20" s="958"/>
      <c r="ASL20" s="958"/>
      <c r="ASM20" s="958"/>
      <c r="ASN20" s="958"/>
      <c r="ASO20" s="958"/>
      <c r="ASP20" s="958"/>
      <c r="ASQ20" s="958"/>
      <c r="ASR20" s="958"/>
      <c r="ASS20" s="958"/>
      <c r="AST20" s="958"/>
      <c r="ASU20" s="958"/>
      <c r="ASV20" s="958"/>
      <c r="ASW20" s="958"/>
      <c r="ASX20" s="958"/>
      <c r="ASY20" s="958"/>
      <c r="ASZ20" s="958"/>
    </row>
    <row r="21" spans="1:1196" s="22" customFormat="1" ht="144.75" customHeight="1" thickTop="1" thickBot="1">
      <c r="A21" s="2846"/>
      <c r="B21" s="2992"/>
      <c r="C21" s="72" t="s">
        <v>482</v>
      </c>
      <c r="D21" s="171" t="s">
        <v>214</v>
      </c>
      <c r="E21" s="172" t="s">
        <v>215</v>
      </c>
      <c r="F21" s="172" t="s">
        <v>24</v>
      </c>
      <c r="G21" s="180">
        <v>2</v>
      </c>
      <c r="H21" s="81"/>
      <c r="I21" s="81"/>
      <c r="J21" s="81"/>
      <c r="K21" s="172" t="s">
        <v>140</v>
      </c>
      <c r="L21" s="970">
        <v>0</v>
      </c>
      <c r="M21" s="971"/>
      <c r="N21" s="73" t="e">
        <f t="shared" si="3"/>
        <v>#DIV/0!</v>
      </c>
      <c r="O21" s="970">
        <v>0</v>
      </c>
      <c r="P21" s="971"/>
      <c r="Q21" s="73" t="e">
        <f t="shared" si="4"/>
        <v>#DIV/0!</v>
      </c>
      <c r="R21" s="970">
        <v>0</v>
      </c>
      <c r="S21" s="971"/>
      <c r="T21" s="73" t="e">
        <f t="shared" si="5"/>
        <v>#DIV/0!</v>
      </c>
      <c r="U21" s="970">
        <v>0</v>
      </c>
      <c r="V21" s="971"/>
      <c r="W21" s="73" t="e">
        <f t="shared" si="6"/>
        <v>#DIV/0!</v>
      </c>
      <c r="X21" s="970">
        <v>1</v>
      </c>
      <c r="Y21" s="971">
        <v>1</v>
      </c>
      <c r="Z21" s="73">
        <f t="shared" si="7"/>
        <v>1</v>
      </c>
      <c r="AA21" s="970">
        <v>0</v>
      </c>
      <c r="AB21" s="970"/>
      <c r="AC21" s="73" t="e">
        <f t="shared" si="8"/>
        <v>#DIV/0!</v>
      </c>
      <c r="AD21" s="972">
        <f>+Y21</f>
        <v>1</v>
      </c>
      <c r="AE21" s="956">
        <f t="shared" si="10"/>
        <v>0.5</v>
      </c>
      <c r="AF21" s="972">
        <v>0</v>
      </c>
      <c r="AG21" s="971"/>
      <c r="AH21" s="73" t="e">
        <f t="shared" si="11"/>
        <v>#DIV/0!</v>
      </c>
      <c r="AI21" s="970">
        <v>1</v>
      </c>
      <c r="AJ21" s="971">
        <v>1</v>
      </c>
      <c r="AK21" s="73">
        <f t="shared" si="12"/>
        <v>1</v>
      </c>
      <c r="AL21" s="970">
        <v>0</v>
      </c>
      <c r="AM21" s="971"/>
      <c r="AN21" s="73" t="e">
        <f t="shared" si="13"/>
        <v>#DIV/0!</v>
      </c>
      <c r="AO21" s="970">
        <v>0</v>
      </c>
      <c r="AP21" s="971"/>
      <c r="AQ21" s="73" t="e">
        <f t="shared" si="14"/>
        <v>#DIV/0!</v>
      </c>
      <c r="AR21" s="970">
        <v>0</v>
      </c>
      <c r="AS21" s="971"/>
      <c r="AT21" s="73" t="e">
        <f t="shared" si="15"/>
        <v>#DIV/0!</v>
      </c>
      <c r="AU21" s="970">
        <v>0</v>
      </c>
      <c r="AV21" s="971"/>
      <c r="AW21" s="73" t="e">
        <f t="shared" si="16"/>
        <v>#DIV/0!</v>
      </c>
      <c r="AX21" s="122">
        <f>+AJ21+Y21</f>
        <v>2</v>
      </c>
      <c r="AY21" s="956">
        <f t="shared" si="18"/>
        <v>1</v>
      </c>
      <c r="AZ21" s="958"/>
      <c r="BA21" s="958"/>
      <c r="BB21" s="958"/>
      <c r="BC21" s="958"/>
      <c r="BD21" s="958"/>
      <c r="BE21" s="958"/>
      <c r="BF21" s="958"/>
      <c r="BG21" s="958"/>
      <c r="BH21" s="958"/>
      <c r="BI21" s="958"/>
      <c r="BJ21" s="958"/>
      <c r="BK21" s="958"/>
      <c r="BL21" s="958"/>
      <c r="BM21" s="958"/>
      <c r="BN21" s="958"/>
      <c r="BO21" s="958"/>
      <c r="BP21" s="958"/>
      <c r="BQ21" s="958"/>
      <c r="BR21" s="958"/>
      <c r="BS21" s="958"/>
      <c r="BT21" s="958"/>
      <c r="BU21" s="958"/>
      <c r="BV21" s="958"/>
      <c r="BW21" s="958"/>
      <c r="BX21" s="958"/>
      <c r="BY21" s="958"/>
      <c r="BZ21" s="958"/>
      <c r="CA21" s="958"/>
      <c r="CB21" s="958"/>
      <c r="CC21" s="958"/>
      <c r="CD21" s="958"/>
      <c r="CE21" s="958"/>
      <c r="CF21" s="958"/>
      <c r="CG21" s="958"/>
      <c r="CH21" s="958"/>
      <c r="CI21" s="958"/>
      <c r="CJ21" s="958"/>
      <c r="CK21" s="958"/>
      <c r="CL21" s="958"/>
      <c r="CM21" s="958"/>
      <c r="CN21" s="958"/>
      <c r="CO21" s="958"/>
      <c r="CP21" s="958"/>
      <c r="CQ21" s="958"/>
      <c r="CR21" s="958"/>
      <c r="CS21" s="958"/>
      <c r="CT21" s="958"/>
      <c r="CU21" s="958"/>
      <c r="CV21" s="958"/>
      <c r="CW21" s="958"/>
      <c r="CX21" s="958"/>
      <c r="CY21" s="958"/>
      <c r="CZ21" s="958"/>
      <c r="DA21" s="958"/>
      <c r="DB21" s="958"/>
      <c r="DC21" s="958"/>
      <c r="DD21" s="958"/>
      <c r="DE21" s="958"/>
      <c r="DF21" s="958"/>
      <c r="DG21" s="958"/>
      <c r="DH21" s="958"/>
      <c r="DI21" s="958"/>
      <c r="DJ21" s="958"/>
      <c r="DK21" s="958"/>
      <c r="DL21" s="958"/>
      <c r="DM21" s="958"/>
      <c r="DN21" s="958"/>
      <c r="DO21" s="958"/>
      <c r="DP21" s="958"/>
      <c r="DQ21" s="958"/>
      <c r="DR21" s="958"/>
      <c r="DS21" s="958"/>
      <c r="DT21" s="958"/>
      <c r="DU21" s="958"/>
      <c r="DV21" s="958"/>
      <c r="DW21" s="958"/>
      <c r="DX21" s="958"/>
      <c r="DY21" s="958"/>
      <c r="DZ21" s="958"/>
      <c r="EA21" s="958"/>
      <c r="EB21" s="958"/>
      <c r="EC21" s="958"/>
      <c r="ED21" s="958"/>
      <c r="EE21" s="958"/>
      <c r="EF21" s="958"/>
      <c r="EG21" s="958"/>
      <c r="EH21" s="958"/>
      <c r="EI21" s="958"/>
      <c r="EJ21" s="958"/>
      <c r="EK21" s="958"/>
      <c r="EL21" s="958"/>
      <c r="EM21" s="958"/>
      <c r="EN21" s="958"/>
      <c r="EO21" s="958"/>
      <c r="EP21" s="958"/>
      <c r="EQ21" s="958"/>
      <c r="ER21" s="958"/>
      <c r="ES21" s="958"/>
      <c r="ET21" s="958"/>
      <c r="EU21" s="958"/>
      <c r="EV21" s="958"/>
      <c r="EW21" s="958"/>
      <c r="EX21" s="958"/>
      <c r="EY21" s="958"/>
      <c r="EZ21" s="958"/>
      <c r="FA21" s="958"/>
      <c r="FB21" s="958"/>
      <c r="FC21" s="958"/>
      <c r="FD21" s="958"/>
      <c r="FE21" s="958"/>
      <c r="FF21" s="958"/>
      <c r="FG21" s="958"/>
      <c r="FH21" s="958"/>
      <c r="FI21" s="958"/>
      <c r="FJ21" s="958"/>
      <c r="FK21" s="958"/>
      <c r="FL21" s="958"/>
      <c r="FM21" s="958"/>
      <c r="FN21" s="958"/>
      <c r="FO21" s="958"/>
      <c r="FP21" s="958"/>
      <c r="FQ21" s="958"/>
      <c r="FR21" s="958"/>
      <c r="FS21" s="958"/>
      <c r="FT21" s="958"/>
      <c r="FU21" s="958"/>
      <c r="FV21" s="958"/>
      <c r="FW21" s="958"/>
      <c r="FX21" s="958"/>
      <c r="FY21" s="958"/>
      <c r="FZ21" s="958"/>
      <c r="GA21" s="958"/>
      <c r="GB21" s="958"/>
      <c r="GC21" s="958"/>
      <c r="GD21" s="958"/>
      <c r="GE21" s="958"/>
      <c r="GF21" s="958"/>
      <c r="GG21" s="958"/>
      <c r="GH21" s="958"/>
      <c r="GI21" s="958"/>
      <c r="GJ21" s="958"/>
      <c r="GK21" s="958"/>
      <c r="GL21" s="958"/>
      <c r="GM21" s="958"/>
      <c r="GN21" s="958"/>
      <c r="GO21" s="958"/>
      <c r="GP21" s="958"/>
      <c r="GQ21" s="958"/>
      <c r="GR21" s="958"/>
      <c r="GS21" s="958"/>
      <c r="GT21" s="958"/>
      <c r="GU21" s="958"/>
      <c r="GV21" s="958"/>
      <c r="GW21" s="958"/>
      <c r="GX21" s="958"/>
      <c r="GY21" s="958"/>
      <c r="GZ21" s="958"/>
      <c r="HA21" s="958"/>
      <c r="HB21" s="958"/>
      <c r="HC21" s="958"/>
      <c r="HD21" s="958"/>
      <c r="HE21" s="958"/>
      <c r="HF21" s="958"/>
      <c r="HG21" s="958"/>
      <c r="HH21" s="958"/>
      <c r="HI21" s="958"/>
      <c r="HJ21" s="958"/>
      <c r="HK21" s="958"/>
      <c r="HL21" s="958"/>
      <c r="HM21" s="958"/>
      <c r="HN21" s="958"/>
      <c r="HO21" s="958"/>
      <c r="HP21" s="958"/>
      <c r="HQ21" s="958"/>
      <c r="HR21" s="958"/>
      <c r="HS21" s="958"/>
      <c r="HT21" s="958"/>
      <c r="HU21" s="958"/>
      <c r="HV21" s="958"/>
      <c r="HW21" s="958"/>
      <c r="HX21" s="958"/>
      <c r="HY21" s="958"/>
      <c r="HZ21" s="958"/>
      <c r="IA21" s="958"/>
      <c r="IB21" s="958"/>
      <c r="IC21" s="958"/>
      <c r="ID21" s="958"/>
      <c r="IE21" s="958"/>
      <c r="IF21" s="958"/>
      <c r="IG21" s="958"/>
      <c r="IH21" s="958"/>
      <c r="II21" s="958"/>
      <c r="IJ21" s="958"/>
      <c r="IK21" s="958"/>
      <c r="IL21" s="958"/>
      <c r="IM21" s="958"/>
      <c r="IN21" s="958"/>
      <c r="IO21" s="958"/>
      <c r="IP21" s="958"/>
      <c r="IQ21" s="958"/>
      <c r="IR21" s="958"/>
      <c r="IS21" s="958"/>
      <c r="IT21" s="958"/>
      <c r="IU21" s="958"/>
      <c r="IV21" s="958"/>
      <c r="IW21" s="958"/>
      <c r="IX21" s="958"/>
      <c r="IY21" s="958"/>
      <c r="IZ21" s="958"/>
      <c r="JA21" s="958"/>
      <c r="JB21" s="958"/>
      <c r="JC21" s="958"/>
      <c r="JD21" s="958"/>
      <c r="JE21" s="958"/>
      <c r="JF21" s="958"/>
      <c r="JG21" s="958"/>
      <c r="JH21" s="958"/>
      <c r="JI21" s="958"/>
      <c r="JJ21" s="958"/>
      <c r="JK21" s="958"/>
      <c r="JL21" s="958"/>
      <c r="JM21" s="958"/>
      <c r="JN21" s="958"/>
      <c r="JO21" s="958"/>
      <c r="JP21" s="958"/>
      <c r="JQ21" s="958"/>
      <c r="JR21" s="958"/>
      <c r="JS21" s="958"/>
      <c r="JT21" s="958"/>
      <c r="JU21" s="958"/>
      <c r="JV21" s="958"/>
      <c r="JW21" s="958"/>
      <c r="JX21" s="958"/>
      <c r="JY21" s="958"/>
      <c r="JZ21" s="958"/>
      <c r="KA21" s="958"/>
      <c r="KB21" s="958"/>
      <c r="KC21" s="958"/>
      <c r="KD21" s="958"/>
      <c r="KE21" s="958"/>
      <c r="KF21" s="958"/>
      <c r="KG21" s="958"/>
      <c r="KH21" s="958"/>
      <c r="KI21" s="958"/>
      <c r="KJ21" s="958"/>
      <c r="KK21" s="958"/>
      <c r="KL21" s="958"/>
      <c r="KM21" s="958"/>
      <c r="KN21" s="958"/>
      <c r="KO21" s="958"/>
      <c r="KP21" s="958"/>
      <c r="KQ21" s="958"/>
      <c r="KR21" s="958"/>
      <c r="KS21" s="958"/>
      <c r="KT21" s="958"/>
      <c r="KU21" s="958"/>
      <c r="KV21" s="958"/>
      <c r="KW21" s="958"/>
      <c r="KX21" s="958"/>
      <c r="KY21" s="958"/>
      <c r="KZ21" s="958"/>
      <c r="LA21" s="958"/>
      <c r="LB21" s="958"/>
      <c r="LC21" s="958"/>
      <c r="LD21" s="958"/>
      <c r="LE21" s="958"/>
      <c r="LF21" s="958"/>
      <c r="LG21" s="958"/>
      <c r="LH21" s="958"/>
      <c r="LI21" s="958"/>
      <c r="LJ21" s="958"/>
      <c r="LK21" s="958"/>
      <c r="LL21" s="958"/>
      <c r="LM21" s="958"/>
      <c r="LN21" s="958"/>
      <c r="LO21" s="958"/>
      <c r="LP21" s="958"/>
      <c r="LQ21" s="958"/>
      <c r="LR21" s="958"/>
      <c r="LS21" s="958"/>
      <c r="LT21" s="958"/>
      <c r="LU21" s="958"/>
      <c r="LV21" s="958"/>
      <c r="LW21" s="958"/>
      <c r="LX21" s="958"/>
      <c r="LY21" s="958"/>
      <c r="LZ21" s="958"/>
      <c r="MA21" s="958"/>
      <c r="MB21" s="958"/>
      <c r="MC21" s="958"/>
      <c r="MD21" s="958"/>
      <c r="ME21" s="958"/>
      <c r="MF21" s="958"/>
      <c r="MG21" s="958"/>
      <c r="MH21" s="958"/>
      <c r="MI21" s="958"/>
      <c r="MJ21" s="958"/>
      <c r="MK21" s="958"/>
      <c r="ML21" s="958"/>
      <c r="MM21" s="958"/>
      <c r="MN21" s="958"/>
      <c r="MO21" s="958"/>
      <c r="MP21" s="958"/>
      <c r="MQ21" s="958"/>
      <c r="MR21" s="958"/>
      <c r="MS21" s="958"/>
      <c r="MT21" s="958"/>
      <c r="MU21" s="958"/>
      <c r="MV21" s="958"/>
      <c r="MW21" s="958"/>
      <c r="MX21" s="958"/>
      <c r="MY21" s="958"/>
      <c r="MZ21" s="958"/>
      <c r="NA21" s="958"/>
      <c r="NB21" s="958"/>
      <c r="NC21" s="958"/>
      <c r="ND21" s="958"/>
      <c r="NE21" s="958"/>
      <c r="NF21" s="958"/>
      <c r="NG21" s="958"/>
      <c r="NH21" s="958"/>
      <c r="NI21" s="958"/>
      <c r="NJ21" s="958"/>
      <c r="NK21" s="958"/>
      <c r="NL21" s="958"/>
      <c r="NM21" s="958"/>
      <c r="NN21" s="958"/>
      <c r="NO21" s="958"/>
      <c r="NP21" s="958"/>
      <c r="NQ21" s="958"/>
      <c r="NR21" s="958"/>
      <c r="NS21" s="958"/>
      <c r="NT21" s="958"/>
      <c r="NU21" s="958"/>
      <c r="NV21" s="958"/>
      <c r="NW21" s="958"/>
      <c r="NX21" s="958"/>
      <c r="NY21" s="958"/>
      <c r="NZ21" s="958"/>
      <c r="OA21" s="958"/>
      <c r="OB21" s="958"/>
      <c r="OC21" s="958"/>
      <c r="OD21" s="958"/>
      <c r="OE21" s="958"/>
      <c r="OF21" s="958"/>
      <c r="OG21" s="958"/>
      <c r="OH21" s="958"/>
      <c r="OI21" s="958"/>
      <c r="OJ21" s="958"/>
      <c r="OK21" s="958"/>
      <c r="OL21" s="958"/>
      <c r="OM21" s="958"/>
      <c r="ON21" s="958"/>
      <c r="OO21" s="958"/>
      <c r="OP21" s="958"/>
      <c r="OQ21" s="958"/>
      <c r="OR21" s="958"/>
      <c r="OS21" s="958"/>
      <c r="OT21" s="958"/>
      <c r="OU21" s="958"/>
      <c r="OV21" s="958"/>
      <c r="OW21" s="958"/>
      <c r="OX21" s="958"/>
      <c r="OY21" s="958"/>
      <c r="OZ21" s="958"/>
      <c r="PA21" s="958"/>
      <c r="PB21" s="958"/>
      <c r="PC21" s="958"/>
      <c r="PD21" s="958"/>
      <c r="PE21" s="958"/>
      <c r="PF21" s="958"/>
      <c r="PG21" s="958"/>
      <c r="PH21" s="958"/>
      <c r="PI21" s="958"/>
      <c r="PJ21" s="958"/>
      <c r="PK21" s="958"/>
      <c r="PL21" s="958"/>
      <c r="PM21" s="958"/>
      <c r="PN21" s="958"/>
      <c r="PO21" s="958"/>
      <c r="PP21" s="958"/>
      <c r="PQ21" s="958"/>
      <c r="PR21" s="958"/>
      <c r="PS21" s="958"/>
      <c r="PT21" s="958"/>
      <c r="PU21" s="958"/>
      <c r="PV21" s="958"/>
      <c r="PW21" s="958"/>
      <c r="PX21" s="958"/>
      <c r="PY21" s="958"/>
      <c r="PZ21" s="958"/>
      <c r="QA21" s="958"/>
      <c r="QB21" s="958"/>
      <c r="QC21" s="958"/>
      <c r="QD21" s="958"/>
      <c r="QE21" s="958"/>
      <c r="QF21" s="958"/>
      <c r="QG21" s="958"/>
      <c r="QH21" s="958"/>
      <c r="QI21" s="958"/>
      <c r="QJ21" s="958"/>
      <c r="QK21" s="958"/>
      <c r="QL21" s="958"/>
      <c r="QM21" s="958"/>
      <c r="QN21" s="958"/>
      <c r="QO21" s="958"/>
      <c r="QP21" s="958"/>
      <c r="QQ21" s="958"/>
      <c r="QR21" s="958"/>
      <c r="QS21" s="958"/>
      <c r="QT21" s="958"/>
      <c r="QU21" s="958"/>
      <c r="QV21" s="958"/>
      <c r="QW21" s="958"/>
      <c r="QX21" s="958"/>
      <c r="QY21" s="958"/>
      <c r="QZ21" s="958"/>
      <c r="RA21" s="958"/>
      <c r="RB21" s="958"/>
      <c r="RC21" s="958"/>
      <c r="RD21" s="958"/>
      <c r="RE21" s="958"/>
      <c r="RF21" s="958"/>
      <c r="RG21" s="958"/>
      <c r="RH21" s="958"/>
      <c r="RI21" s="958"/>
      <c r="RJ21" s="958"/>
      <c r="RK21" s="958"/>
      <c r="RL21" s="958"/>
      <c r="RM21" s="958"/>
      <c r="RN21" s="958"/>
      <c r="RO21" s="958"/>
      <c r="RP21" s="958"/>
      <c r="RQ21" s="958"/>
      <c r="RR21" s="958"/>
      <c r="RS21" s="958"/>
      <c r="RT21" s="958"/>
      <c r="RU21" s="958"/>
      <c r="RV21" s="958"/>
      <c r="RW21" s="958"/>
      <c r="RX21" s="958"/>
      <c r="RY21" s="958"/>
      <c r="RZ21" s="958"/>
      <c r="SA21" s="958"/>
      <c r="SB21" s="958"/>
      <c r="SC21" s="958"/>
      <c r="SD21" s="958"/>
      <c r="SE21" s="958"/>
      <c r="SF21" s="958"/>
      <c r="SG21" s="958"/>
      <c r="SH21" s="958"/>
      <c r="SI21" s="958"/>
      <c r="SJ21" s="958"/>
      <c r="SK21" s="958"/>
      <c r="SL21" s="958"/>
      <c r="SM21" s="958"/>
      <c r="SN21" s="958"/>
      <c r="SO21" s="958"/>
      <c r="SP21" s="958"/>
      <c r="SQ21" s="958"/>
      <c r="SR21" s="958"/>
      <c r="SS21" s="958"/>
      <c r="ST21" s="958"/>
      <c r="SU21" s="958"/>
      <c r="SV21" s="958"/>
      <c r="SW21" s="958"/>
      <c r="SX21" s="958"/>
      <c r="SY21" s="958"/>
      <c r="SZ21" s="958"/>
      <c r="TA21" s="958"/>
      <c r="TB21" s="958"/>
      <c r="TC21" s="958"/>
      <c r="TD21" s="958"/>
      <c r="TE21" s="958"/>
      <c r="TF21" s="958"/>
      <c r="TG21" s="958"/>
      <c r="TH21" s="958"/>
      <c r="TI21" s="958"/>
      <c r="TJ21" s="958"/>
      <c r="TK21" s="958"/>
      <c r="TL21" s="958"/>
      <c r="TM21" s="958"/>
      <c r="TN21" s="958"/>
      <c r="TO21" s="958"/>
      <c r="TP21" s="958"/>
      <c r="TQ21" s="958"/>
      <c r="TR21" s="958"/>
      <c r="TS21" s="958"/>
      <c r="TT21" s="958"/>
      <c r="TU21" s="958"/>
      <c r="TV21" s="958"/>
      <c r="TW21" s="958"/>
      <c r="TX21" s="958"/>
      <c r="TY21" s="958"/>
      <c r="TZ21" s="958"/>
      <c r="UA21" s="958"/>
      <c r="UB21" s="958"/>
      <c r="UC21" s="958"/>
      <c r="UD21" s="958"/>
      <c r="UE21" s="958"/>
      <c r="UF21" s="958"/>
      <c r="UG21" s="958"/>
      <c r="UH21" s="958"/>
      <c r="UI21" s="958"/>
      <c r="UJ21" s="958"/>
      <c r="UK21" s="958"/>
      <c r="UL21" s="958"/>
      <c r="UM21" s="958"/>
      <c r="UN21" s="958"/>
      <c r="UO21" s="958"/>
      <c r="UP21" s="958"/>
      <c r="UQ21" s="958"/>
      <c r="UR21" s="958"/>
      <c r="US21" s="958"/>
      <c r="UT21" s="958"/>
      <c r="UU21" s="958"/>
      <c r="UV21" s="958"/>
      <c r="UW21" s="958"/>
      <c r="UX21" s="958"/>
      <c r="UY21" s="958"/>
      <c r="UZ21" s="958"/>
      <c r="VA21" s="958"/>
      <c r="VB21" s="958"/>
      <c r="VC21" s="958"/>
      <c r="VD21" s="958"/>
      <c r="VE21" s="958"/>
      <c r="VF21" s="958"/>
      <c r="VG21" s="958"/>
      <c r="VH21" s="958"/>
      <c r="VI21" s="958"/>
      <c r="VJ21" s="958"/>
      <c r="VK21" s="958"/>
      <c r="VL21" s="958"/>
      <c r="VM21" s="958"/>
      <c r="VN21" s="958"/>
      <c r="VO21" s="958"/>
      <c r="VP21" s="958"/>
      <c r="VQ21" s="958"/>
      <c r="VR21" s="958"/>
      <c r="VS21" s="958"/>
      <c r="VT21" s="958"/>
      <c r="VU21" s="958"/>
      <c r="VV21" s="958"/>
      <c r="VW21" s="958"/>
      <c r="VX21" s="958"/>
      <c r="VY21" s="958"/>
      <c r="VZ21" s="958"/>
      <c r="WA21" s="958"/>
      <c r="WB21" s="958"/>
      <c r="WC21" s="958"/>
      <c r="WD21" s="958"/>
      <c r="WE21" s="958"/>
      <c r="WF21" s="958"/>
      <c r="WG21" s="958"/>
      <c r="WH21" s="958"/>
      <c r="WI21" s="958"/>
      <c r="WJ21" s="958"/>
      <c r="WK21" s="958"/>
      <c r="WL21" s="958"/>
      <c r="WM21" s="958"/>
      <c r="WN21" s="958"/>
      <c r="WO21" s="958"/>
      <c r="WP21" s="958"/>
      <c r="WQ21" s="958"/>
      <c r="WR21" s="958"/>
      <c r="WS21" s="958"/>
      <c r="WT21" s="958"/>
      <c r="WU21" s="958"/>
      <c r="WV21" s="958"/>
      <c r="WW21" s="958"/>
      <c r="WX21" s="958"/>
      <c r="WY21" s="958"/>
      <c r="WZ21" s="958"/>
      <c r="XA21" s="958"/>
      <c r="XB21" s="958"/>
      <c r="XC21" s="958"/>
      <c r="XD21" s="958"/>
      <c r="XE21" s="958"/>
      <c r="XF21" s="958"/>
      <c r="XG21" s="958"/>
      <c r="XH21" s="958"/>
      <c r="XI21" s="958"/>
      <c r="XJ21" s="958"/>
      <c r="XK21" s="958"/>
      <c r="XL21" s="958"/>
      <c r="XM21" s="958"/>
      <c r="XN21" s="958"/>
      <c r="XO21" s="958"/>
      <c r="XP21" s="958"/>
      <c r="XQ21" s="958"/>
      <c r="XR21" s="958"/>
      <c r="XS21" s="958"/>
      <c r="XT21" s="958"/>
      <c r="XU21" s="958"/>
      <c r="XV21" s="958"/>
      <c r="XW21" s="958"/>
      <c r="XX21" s="958"/>
      <c r="XY21" s="958"/>
      <c r="XZ21" s="958"/>
      <c r="YA21" s="958"/>
      <c r="YB21" s="958"/>
      <c r="YC21" s="958"/>
      <c r="YD21" s="958"/>
      <c r="YE21" s="958"/>
      <c r="YF21" s="958"/>
      <c r="YG21" s="958"/>
      <c r="YH21" s="958"/>
      <c r="YI21" s="958"/>
      <c r="YJ21" s="958"/>
      <c r="YK21" s="958"/>
      <c r="YL21" s="958"/>
      <c r="YM21" s="958"/>
      <c r="YN21" s="958"/>
      <c r="YO21" s="958"/>
      <c r="YP21" s="958"/>
      <c r="YQ21" s="958"/>
      <c r="YR21" s="958"/>
      <c r="YS21" s="958"/>
      <c r="YT21" s="958"/>
      <c r="YU21" s="958"/>
      <c r="YV21" s="958"/>
      <c r="YW21" s="958"/>
      <c r="YX21" s="958"/>
      <c r="YY21" s="958"/>
      <c r="YZ21" s="958"/>
      <c r="ZA21" s="958"/>
      <c r="ZB21" s="958"/>
      <c r="ZC21" s="958"/>
      <c r="ZD21" s="958"/>
      <c r="ZE21" s="958"/>
      <c r="ZF21" s="958"/>
      <c r="ZG21" s="958"/>
      <c r="ZH21" s="958"/>
      <c r="ZI21" s="958"/>
      <c r="ZJ21" s="958"/>
      <c r="ZK21" s="958"/>
      <c r="ZL21" s="958"/>
      <c r="ZM21" s="958"/>
      <c r="ZN21" s="958"/>
      <c r="ZO21" s="958"/>
      <c r="ZP21" s="958"/>
      <c r="ZQ21" s="958"/>
      <c r="ZR21" s="958"/>
      <c r="ZS21" s="958"/>
      <c r="ZT21" s="958"/>
      <c r="ZU21" s="958"/>
      <c r="ZV21" s="958"/>
      <c r="ZW21" s="958"/>
      <c r="ZX21" s="958"/>
      <c r="ZY21" s="958"/>
      <c r="ZZ21" s="958"/>
      <c r="AAA21" s="958"/>
      <c r="AAB21" s="958"/>
      <c r="AAC21" s="958"/>
      <c r="AAD21" s="958"/>
      <c r="AAE21" s="958"/>
      <c r="AAF21" s="958"/>
      <c r="AAG21" s="958"/>
      <c r="AAH21" s="958"/>
      <c r="AAI21" s="958"/>
      <c r="AAJ21" s="958"/>
      <c r="AAK21" s="958"/>
      <c r="AAL21" s="958"/>
      <c r="AAM21" s="958"/>
      <c r="AAN21" s="958"/>
      <c r="AAO21" s="958"/>
      <c r="AAP21" s="958"/>
      <c r="AAQ21" s="958"/>
      <c r="AAR21" s="958"/>
      <c r="AAS21" s="958"/>
      <c r="AAT21" s="958"/>
      <c r="AAU21" s="958"/>
      <c r="AAV21" s="958"/>
      <c r="AAW21" s="958"/>
      <c r="AAX21" s="958"/>
      <c r="AAY21" s="958"/>
      <c r="AAZ21" s="958"/>
      <c r="ABA21" s="958"/>
      <c r="ABB21" s="958"/>
      <c r="ABC21" s="958"/>
      <c r="ABD21" s="958"/>
      <c r="ABE21" s="958"/>
      <c r="ABF21" s="958"/>
      <c r="ABG21" s="958"/>
      <c r="ABH21" s="958"/>
      <c r="ABI21" s="958"/>
      <c r="ABJ21" s="958"/>
      <c r="ABK21" s="958"/>
      <c r="ABL21" s="958"/>
      <c r="ABM21" s="958"/>
      <c r="ABN21" s="958"/>
      <c r="ABO21" s="958"/>
      <c r="ABP21" s="958"/>
      <c r="ABQ21" s="958"/>
      <c r="ABR21" s="958"/>
      <c r="ABS21" s="958"/>
      <c r="ABT21" s="958"/>
      <c r="ABU21" s="958"/>
      <c r="ABV21" s="958"/>
      <c r="ABW21" s="958"/>
      <c r="ABX21" s="958"/>
      <c r="ABY21" s="958"/>
      <c r="ABZ21" s="958"/>
      <c r="ACA21" s="958"/>
      <c r="ACB21" s="958"/>
      <c r="ACC21" s="958"/>
      <c r="ACD21" s="958"/>
      <c r="ACE21" s="958"/>
      <c r="ACF21" s="958"/>
      <c r="ACG21" s="958"/>
      <c r="ACH21" s="958"/>
      <c r="ACI21" s="958"/>
      <c r="ACJ21" s="958"/>
      <c r="ACK21" s="958"/>
      <c r="ACL21" s="958"/>
      <c r="ACM21" s="958"/>
      <c r="ACN21" s="958"/>
      <c r="ACO21" s="958"/>
      <c r="ACP21" s="958"/>
      <c r="ACQ21" s="958"/>
      <c r="ACR21" s="958"/>
      <c r="ACS21" s="958"/>
      <c r="ACT21" s="958"/>
      <c r="ACU21" s="958"/>
      <c r="ACV21" s="958"/>
      <c r="ACW21" s="958"/>
      <c r="ACX21" s="958"/>
      <c r="ACY21" s="958"/>
      <c r="ACZ21" s="958"/>
      <c r="ADA21" s="958"/>
      <c r="ADB21" s="958"/>
      <c r="ADC21" s="958"/>
      <c r="ADD21" s="958"/>
      <c r="ADE21" s="958"/>
      <c r="ADF21" s="958"/>
      <c r="ADG21" s="958"/>
      <c r="ADH21" s="958"/>
      <c r="ADI21" s="958"/>
      <c r="ADJ21" s="958"/>
      <c r="ADK21" s="958"/>
      <c r="ADL21" s="958"/>
      <c r="ADM21" s="958"/>
      <c r="ADN21" s="958"/>
      <c r="ADO21" s="958"/>
      <c r="ADP21" s="958"/>
      <c r="ADQ21" s="958"/>
      <c r="ADR21" s="958"/>
      <c r="ADS21" s="958"/>
      <c r="ADT21" s="958"/>
      <c r="ADU21" s="958"/>
      <c r="ADV21" s="958"/>
      <c r="ADW21" s="958"/>
      <c r="ADX21" s="958"/>
      <c r="ADY21" s="958"/>
      <c r="ADZ21" s="958"/>
      <c r="AEA21" s="958"/>
      <c r="AEB21" s="958"/>
      <c r="AEC21" s="958"/>
      <c r="AED21" s="958"/>
      <c r="AEE21" s="958"/>
      <c r="AEF21" s="958"/>
      <c r="AEG21" s="958"/>
      <c r="AEH21" s="958"/>
      <c r="AEI21" s="958"/>
      <c r="AEJ21" s="958"/>
      <c r="AEK21" s="958"/>
      <c r="AEL21" s="958"/>
      <c r="AEM21" s="958"/>
      <c r="AEN21" s="958"/>
      <c r="AEO21" s="958"/>
      <c r="AEP21" s="958"/>
      <c r="AEQ21" s="958"/>
      <c r="AER21" s="958"/>
      <c r="AES21" s="958"/>
      <c r="AET21" s="958"/>
      <c r="AEU21" s="958"/>
      <c r="AEV21" s="958"/>
      <c r="AEW21" s="958"/>
      <c r="AEX21" s="958"/>
      <c r="AEY21" s="958"/>
      <c r="AEZ21" s="958"/>
      <c r="AFA21" s="958"/>
      <c r="AFB21" s="958"/>
      <c r="AFC21" s="958"/>
      <c r="AFD21" s="958"/>
      <c r="AFE21" s="958"/>
      <c r="AFF21" s="958"/>
      <c r="AFG21" s="958"/>
      <c r="AFH21" s="958"/>
      <c r="AFI21" s="958"/>
      <c r="AFJ21" s="958"/>
      <c r="AFK21" s="958"/>
      <c r="AFL21" s="958"/>
      <c r="AFM21" s="958"/>
      <c r="AFN21" s="958"/>
      <c r="AFO21" s="958"/>
      <c r="AFP21" s="958"/>
      <c r="AFQ21" s="958"/>
      <c r="AFR21" s="958"/>
      <c r="AFS21" s="958"/>
      <c r="AFT21" s="958"/>
      <c r="AFU21" s="958"/>
      <c r="AFV21" s="958"/>
      <c r="AFW21" s="958"/>
      <c r="AFX21" s="958"/>
      <c r="AFY21" s="958"/>
      <c r="AFZ21" s="958"/>
      <c r="AGA21" s="958"/>
      <c r="AGB21" s="958"/>
      <c r="AGC21" s="958"/>
      <c r="AGD21" s="958"/>
      <c r="AGE21" s="958"/>
      <c r="AGF21" s="958"/>
      <c r="AGG21" s="958"/>
      <c r="AGH21" s="958"/>
      <c r="AGI21" s="958"/>
      <c r="AGJ21" s="958"/>
      <c r="AGK21" s="958"/>
      <c r="AGL21" s="958"/>
      <c r="AGM21" s="958"/>
      <c r="AGN21" s="958"/>
      <c r="AGO21" s="958"/>
      <c r="AGP21" s="958"/>
      <c r="AGQ21" s="958"/>
      <c r="AGR21" s="958"/>
      <c r="AGS21" s="958"/>
      <c r="AGT21" s="958"/>
      <c r="AGU21" s="958"/>
      <c r="AGV21" s="958"/>
      <c r="AGW21" s="958"/>
      <c r="AGX21" s="958"/>
      <c r="AGY21" s="958"/>
      <c r="AGZ21" s="958"/>
      <c r="AHA21" s="958"/>
      <c r="AHB21" s="958"/>
      <c r="AHC21" s="958"/>
      <c r="AHD21" s="958"/>
      <c r="AHE21" s="958"/>
      <c r="AHF21" s="958"/>
      <c r="AHG21" s="958"/>
      <c r="AHH21" s="958"/>
      <c r="AHI21" s="958"/>
      <c r="AHJ21" s="958"/>
      <c r="AHK21" s="958"/>
      <c r="AHL21" s="958"/>
      <c r="AHM21" s="958"/>
      <c r="AHN21" s="958"/>
      <c r="AHO21" s="958"/>
      <c r="AHP21" s="958"/>
      <c r="AHQ21" s="958"/>
      <c r="AHR21" s="958"/>
      <c r="AHS21" s="958"/>
      <c r="AHT21" s="958"/>
      <c r="AHU21" s="958"/>
      <c r="AHV21" s="958"/>
      <c r="AHW21" s="958"/>
      <c r="AHX21" s="958"/>
      <c r="AHY21" s="958"/>
      <c r="AHZ21" s="958"/>
      <c r="AIA21" s="958"/>
      <c r="AIB21" s="958"/>
      <c r="AIC21" s="958"/>
      <c r="AID21" s="958"/>
      <c r="AIE21" s="958"/>
      <c r="AIF21" s="958"/>
      <c r="AIG21" s="958"/>
      <c r="AIH21" s="958"/>
      <c r="AII21" s="958"/>
      <c r="AIJ21" s="958"/>
      <c r="AIK21" s="958"/>
      <c r="AIL21" s="958"/>
      <c r="AIM21" s="958"/>
      <c r="AIN21" s="958"/>
      <c r="AIO21" s="958"/>
      <c r="AIP21" s="958"/>
      <c r="AIQ21" s="958"/>
      <c r="AIR21" s="958"/>
      <c r="AIS21" s="958"/>
      <c r="AIT21" s="958"/>
      <c r="AIU21" s="958"/>
      <c r="AIV21" s="958"/>
      <c r="AIW21" s="958"/>
      <c r="AIX21" s="958"/>
      <c r="AIY21" s="958"/>
      <c r="AIZ21" s="958"/>
      <c r="AJA21" s="958"/>
      <c r="AJB21" s="958"/>
      <c r="AJC21" s="958"/>
      <c r="AJD21" s="958"/>
      <c r="AJE21" s="958"/>
      <c r="AJF21" s="958"/>
      <c r="AJG21" s="958"/>
      <c r="AJH21" s="958"/>
      <c r="AJI21" s="958"/>
      <c r="AJJ21" s="958"/>
      <c r="AJK21" s="958"/>
      <c r="AJL21" s="958"/>
      <c r="AJM21" s="958"/>
      <c r="AJN21" s="958"/>
      <c r="AJO21" s="958"/>
      <c r="AJP21" s="958"/>
      <c r="AJQ21" s="958"/>
      <c r="AJR21" s="958"/>
      <c r="AJS21" s="958"/>
      <c r="AJT21" s="958"/>
      <c r="AJU21" s="958"/>
      <c r="AJV21" s="958"/>
      <c r="AJW21" s="958"/>
      <c r="AJX21" s="958"/>
      <c r="AJY21" s="958"/>
      <c r="AJZ21" s="958"/>
      <c r="AKA21" s="958"/>
      <c r="AKB21" s="958"/>
      <c r="AKC21" s="958"/>
      <c r="AKD21" s="958"/>
      <c r="AKE21" s="958"/>
      <c r="AKF21" s="958"/>
      <c r="AKG21" s="958"/>
      <c r="AKH21" s="958"/>
      <c r="AKI21" s="958"/>
      <c r="AKJ21" s="958"/>
      <c r="AKK21" s="958"/>
      <c r="AKL21" s="958"/>
      <c r="AKM21" s="958"/>
      <c r="AKN21" s="958"/>
      <c r="AKO21" s="958"/>
      <c r="AKP21" s="958"/>
      <c r="AKQ21" s="958"/>
      <c r="AKR21" s="958"/>
      <c r="AKS21" s="958"/>
      <c r="AKT21" s="958"/>
      <c r="AKU21" s="958"/>
      <c r="AKV21" s="958"/>
      <c r="AKW21" s="958"/>
      <c r="AKX21" s="958"/>
      <c r="AKY21" s="958"/>
      <c r="AKZ21" s="958"/>
      <c r="ALA21" s="958"/>
      <c r="ALB21" s="958"/>
      <c r="ALC21" s="958"/>
      <c r="ALD21" s="958"/>
      <c r="ALE21" s="958"/>
      <c r="ALF21" s="958"/>
      <c r="ALG21" s="958"/>
      <c r="ALH21" s="958"/>
      <c r="ALI21" s="958"/>
      <c r="ALJ21" s="958"/>
      <c r="ALK21" s="958"/>
      <c r="ALL21" s="958"/>
      <c r="ALM21" s="958"/>
      <c r="ALN21" s="958"/>
      <c r="ALO21" s="958"/>
      <c r="ALP21" s="958"/>
      <c r="ALQ21" s="958"/>
      <c r="ALR21" s="958"/>
      <c r="ALS21" s="958"/>
      <c r="ALT21" s="958"/>
      <c r="ALU21" s="958"/>
      <c r="ALV21" s="958"/>
      <c r="ALW21" s="958"/>
      <c r="ALX21" s="958"/>
      <c r="ALY21" s="958"/>
      <c r="ALZ21" s="958"/>
      <c r="AMA21" s="958"/>
      <c r="AMB21" s="958"/>
      <c r="AMC21" s="958"/>
      <c r="AMD21" s="958"/>
      <c r="AME21" s="958"/>
      <c r="AMF21" s="958"/>
      <c r="AMG21" s="958"/>
      <c r="AMH21" s="958"/>
      <c r="AMI21" s="958"/>
      <c r="AMJ21" s="958"/>
      <c r="AMK21" s="958"/>
      <c r="AML21" s="958"/>
      <c r="AMM21" s="958"/>
      <c r="AMN21" s="958"/>
      <c r="AMO21" s="958"/>
      <c r="AMP21" s="958"/>
      <c r="AMQ21" s="958"/>
      <c r="AMR21" s="958"/>
      <c r="AMS21" s="958"/>
      <c r="AMT21" s="958"/>
      <c r="AMU21" s="958"/>
      <c r="AMV21" s="958"/>
      <c r="AMW21" s="958"/>
      <c r="AMX21" s="958"/>
      <c r="AMY21" s="958"/>
      <c r="AMZ21" s="958"/>
      <c r="ANA21" s="958"/>
      <c r="ANB21" s="958"/>
      <c r="ANC21" s="958"/>
      <c r="AND21" s="958"/>
      <c r="ANE21" s="958"/>
      <c r="ANF21" s="958"/>
      <c r="ANG21" s="958"/>
      <c r="ANH21" s="958"/>
      <c r="ANI21" s="958"/>
      <c r="ANJ21" s="958"/>
      <c r="ANK21" s="958"/>
      <c r="ANL21" s="958"/>
      <c r="ANM21" s="958"/>
      <c r="ANN21" s="958"/>
      <c r="ANO21" s="958"/>
      <c r="ANP21" s="958"/>
      <c r="ANQ21" s="958"/>
      <c r="ANR21" s="958"/>
      <c r="ANS21" s="958"/>
      <c r="ANT21" s="958"/>
      <c r="ANU21" s="958"/>
      <c r="ANV21" s="958"/>
      <c r="ANW21" s="958"/>
      <c r="ANX21" s="958"/>
      <c r="ANY21" s="958"/>
      <c r="ANZ21" s="958"/>
      <c r="AOA21" s="958"/>
      <c r="AOB21" s="958"/>
      <c r="AOC21" s="958"/>
      <c r="AOD21" s="958"/>
      <c r="AOE21" s="958"/>
      <c r="AOF21" s="958"/>
      <c r="AOG21" s="958"/>
      <c r="AOH21" s="958"/>
      <c r="AOI21" s="958"/>
      <c r="AOJ21" s="958"/>
      <c r="AOK21" s="958"/>
      <c r="AOL21" s="958"/>
      <c r="AOM21" s="958"/>
      <c r="AON21" s="958"/>
      <c r="AOO21" s="958"/>
      <c r="AOP21" s="958"/>
      <c r="AOQ21" s="958"/>
      <c r="AOR21" s="958"/>
      <c r="AOS21" s="958"/>
      <c r="AOT21" s="958"/>
      <c r="AOU21" s="958"/>
      <c r="AOV21" s="958"/>
      <c r="AOW21" s="958"/>
      <c r="AOX21" s="958"/>
      <c r="AOY21" s="958"/>
      <c r="AOZ21" s="958"/>
      <c r="APA21" s="958"/>
      <c r="APB21" s="958"/>
      <c r="APC21" s="958"/>
      <c r="APD21" s="958"/>
      <c r="APE21" s="958"/>
      <c r="APF21" s="958"/>
      <c r="APG21" s="958"/>
      <c r="APH21" s="958"/>
      <c r="API21" s="958"/>
      <c r="APJ21" s="958"/>
      <c r="APK21" s="958"/>
      <c r="APL21" s="958"/>
      <c r="APM21" s="958"/>
      <c r="APN21" s="958"/>
      <c r="APO21" s="958"/>
      <c r="APP21" s="958"/>
      <c r="APQ21" s="958"/>
      <c r="APR21" s="958"/>
      <c r="APS21" s="958"/>
      <c r="APT21" s="958"/>
      <c r="APU21" s="958"/>
      <c r="APV21" s="958"/>
      <c r="APW21" s="958"/>
      <c r="APX21" s="958"/>
      <c r="APY21" s="958"/>
      <c r="APZ21" s="958"/>
      <c r="AQA21" s="958"/>
      <c r="AQB21" s="958"/>
      <c r="AQC21" s="958"/>
      <c r="AQD21" s="958"/>
      <c r="AQE21" s="958"/>
      <c r="AQF21" s="958"/>
      <c r="AQG21" s="958"/>
      <c r="AQH21" s="958"/>
      <c r="AQI21" s="958"/>
      <c r="AQJ21" s="958"/>
      <c r="AQK21" s="958"/>
      <c r="AQL21" s="958"/>
      <c r="AQM21" s="958"/>
      <c r="AQN21" s="958"/>
      <c r="AQO21" s="958"/>
      <c r="AQP21" s="958"/>
      <c r="AQQ21" s="958"/>
      <c r="AQR21" s="958"/>
      <c r="AQS21" s="958"/>
      <c r="AQT21" s="958"/>
      <c r="AQU21" s="958"/>
      <c r="AQV21" s="958"/>
      <c r="AQW21" s="958"/>
      <c r="AQX21" s="958"/>
      <c r="AQY21" s="958"/>
      <c r="AQZ21" s="958"/>
      <c r="ARA21" s="958"/>
      <c r="ARB21" s="958"/>
      <c r="ARC21" s="958"/>
      <c r="ARD21" s="958"/>
      <c r="ARE21" s="958"/>
      <c r="ARF21" s="958"/>
      <c r="ARG21" s="958"/>
      <c r="ARH21" s="958"/>
      <c r="ARI21" s="958"/>
      <c r="ARJ21" s="958"/>
      <c r="ARK21" s="958"/>
      <c r="ARL21" s="958"/>
      <c r="ARM21" s="958"/>
      <c r="ARN21" s="958"/>
      <c r="ARO21" s="958"/>
      <c r="ARP21" s="958"/>
      <c r="ARQ21" s="958"/>
      <c r="ARR21" s="958"/>
      <c r="ARS21" s="958"/>
      <c r="ART21" s="958"/>
      <c r="ARU21" s="958"/>
      <c r="ARV21" s="958"/>
      <c r="ARW21" s="958"/>
      <c r="ARX21" s="958"/>
      <c r="ARY21" s="958"/>
      <c r="ARZ21" s="958"/>
      <c r="ASA21" s="958"/>
      <c r="ASB21" s="958"/>
      <c r="ASC21" s="958"/>
      <c r="ASD21" s="958"/>
      <c r="ASE21" s="958"/>
      <c r="ASF21" s="958"/>
      <c r="ASG21" s="958"/>
      <c r="ASH21" s="958"/>
      <c r="ASI21" s="958"/>
      <c r="ASJ21" s="958"/>
      <c r="ASK21" s="958"/>
      <c r="ASL21" s="958"/>
      <c r="ASM21" s="958"/>
      <c r="ASN21" s="958"/>
      <c r="ASO21" s="958"/>
      <c r="ASP21" s="958"/>
      <c r="ASQ21" s="958"/>
      <c r="ASR21" s="958"/>
      <c r="ASS21" s="958"/>
      <c r="AST21" s="958"/>
      <c r="ASU21" s="958"/>
      <c r="ASV21" s="958"/>
      <c r="ASW21" s="958"/>
      <c r="ASX21" s="958"/>
      <c r="ASY21" s="958"/>
      <c r="ASZ21" s="958"/>
    </row>
    <row r="22" spans="1:1196" s="977" customFormat="1" ht="46.5" thickTop="1" thickBot="1">
      <c r="A22" s="2846"/>
      <c r="B22" s="2992"/>
      <c r="C22" s="172" t="s">
        <v>483</v>
      </c>
      <c r="D22" s="171" t="s">
        <v>224</v>
      </c>
      <c r="E22" s="172" t="s">
        <v>225</v>
      </c>
      <c r="F22" s="172" t="s">
        <v>17</v>
      </c>
      <c r="G22" s="180">
        <v>2328</v>
      </c>
      <c r="H22" s="133"/>
      <c r="I22" s="133"/>
      <c r="J22" s="133"/>
      <c r="K22" s="976" t="s">
        <v>226</v>
      </c>
      <c r="L22" s="514">
        <v>141</v>
      </c>
      <c r="M22" s="496">
        <v>141</v>
      </c>
      <c r="N22" s="73">
        <f t="shared" si="3"/>
        <v>1</v>
      </c>
      <c r="O22" s="514">
        <v>145</v>
      </c>
      <c r="P22" s="496">
        <v>145</v>
      </c>
      <c r="Q22" s="73">
        <f t="shared" si="4"/>
        <v>1</v>
      </c>
      <c r="R22" s="514">
        <v>90</v>
      </c>
      <c r="S22" s="496">
        <v>90</v>
      </c>
      <c r="T22" s="73">
        <f t="shared" si="5"/>
        <v>1</v>
      </c>
      <c r="U22" s="514">
        <v>57</v>
      </c>
      <c r="V22" s="496">
        <v>57</v>
      </c>
      <c r="W22" s="73">
        <f t="shared" si="6"/>
        <v>1</v>
      </c>
      <c r="X22" s="514">
        <v>200</v>
      </c>
      <c r="Y22" s="496">
        <v>200</v>
      </c>
      <c r="Z22" s="73">
        <f t="shared" si="7"/>
        <v>1</v>
      </c>
      <c r="AA22" s="514">
        <v>226</v>
      </c>
      <c r="AB22" s="514">
        <v>226</v>
      </c>
      <c r="AC22" s="73">
        <f t="shared" si="8"/>
        <v>1</v>
      </c>
      <c r="AD22" s="782">
        <f>+M22+P22+S22+V22+Y22+AB22</f>
        <v>859</v>
      </c>
      <c r="AE22" s="956">
        <f>+AD22/G22</f>
        <v>0.36898625429553267</v>
      </c>
      <c r="AF22" s="514">
        <v>240</v>
      </c>
      <c r="AG22" s="496">
        <v>240</v>
      </c>
      <c r="AH22" s="73">
        <f t="shared" si="11"/>
        <v>1</v>
      </c>
      <c r="AI22" s="514">
        <v>250</v>
      </c>
      <c r="AJ22" s="496">
        <v>250</v>
      </c>
      <c r="AK22" s="73">
        <f t="shared" si="12"/>
        <v>1</v>
      </c>
      <c r="AL22" s="514">
        <v>226</v>
      </c>
      <c r="AM22" s="496">
        <v>226</v>
      </c>
      <c r="AN22" s="73">
        <f t="shared" si="13"/>
        <v>1</v>
      </c>
      <c r="AO22" s="514">
        <v>193</v>
      </c>
      <c r="AP22" s="496">
        <v>193</v>
      </c>
      <c r="AQ22" s="73">
        <f t="shared" si="14"/>
        <v>1</v>
      </c>
      <c r="AR22" s="514">
        <v>300</v>
      </c>
      <c r="AS22" s="496">
        <v>224</v>
      </c>
      <c r="AT22" s="73">
        <f t="shared" si="15"/>
        <v>0.7466666666666667</v>
      </c>
      <c r="AU22" s="514">
        <v>200</v>
      </c>
      <c r="AV22" s="496">
        <v>377</v>
      </c>
      <c r="AW22" s="73">
        <f t="shared" si="16"/>
        <v>1.885</v>
      </c>
      <c r="AX22" s="949">
        <f t="shared" ref="AX22" si="19">+M22+P22+S22+V22+Y22++AG22+AJ22+AM22+AP22+AS22+AV22+AB22</f>
        <v>2369</v>
      </c>
      <c r="AY22" s="956">
        <f t="shared" si="18"/>
        <v>1.0176116838487972</v>
      </c>
      <c r="AZ22" s="958"/>
      <c r="BA22" s="958"/>
      <c r="BB22" s="958"/>
      <c r="BC22" s="958"/>
      <c r="BD22" s="958"/>
      <c r="BE22" s="958"/>
      <c r="BF22" s="958"/>
      <c r="BG22" s="958"/>
      <c r="BH22" s="958"/>
      <c r="BI22" s="958"/>
      <c r="BJ22" s="958"/>
      <c r="BK22" s="958"/>
      <c r="BL22" s="958"/>
      <c r="BM22" s="958"/>
      <c r="BN22" s="958"/>
      <c r="BO22" s="958"/>
      <c r="BP22" s="958"/>
      <c r="BQ22" s="958"/>
      <c r="BR22" s="958"/>
      <c r="BS22" s="958"/>
      <c r="BT22" s="958"/>
      <c r="BU22" s="958"/>
      <c r="BV22" s="958"/>
      <c r="BW22" s="958"/>
      <c r="BX22" s="958"/>
      <c r="BY22" s="958"/>
      <c r="BZ22" s="958"/>
      <c r="CA22" s="958"/>
      <c r="CB22" s="958"/>
      <c r="CC22" s="958"/>
      <c r="CD22" s="958"/>
      <c r="CE22" s="958"/>
      <c r="CF22" s="958"/>
      <c r="CG22" s="958"/>
      <c r="CH22" s="958"/>
      <c r="CI22" s="958"/>
      <c r="CJ22" s="958"/>
      <c r="CK22" s="958"/>
      <c r="CL22" s="958"/>
      <c r="CM22" s="958"/>
      <c r="CN22" s="958"/>
      <c r="CO22" s="958"/>
      <c r="CP22" s="958"/>
      <c r="CQ22" s="958"/>
      <c r="CR22" s="958"/>
      <c r="CS22" s="958"/>
      <c r="CT22" s="958"/>
      <c r="CU22" s="958"/>
      <c r="CV22" s="958"/>
      <c r="CW22" s="958"/>
      <c r="CX22" s="958"/>
      <c r="CY22" s="958"/>
      <c r="CZ22" s="958"/>
      <c r="DA22" s="958"/>
      <c r="DB22" s="958"/>
      <c r="DC22" s="958"/>
      <c r="DD22" s="958"/>
      <c r="DE22" s="958"/>
      <c r="DF22" s="958"/>
      <c r="DG22" s="958"/>
      <c r="DH22" s="958"/>
      <c r="DI22" s="958"/>
      <c r="DJ22" s="958"/>
      <c r="DK22" s="958"/>
      <c r="DL22" s="958"/>
      <c r="DM22" s="958"/>
      <c r="DN22" s="958"/>
      <c r="DO22" s="958"/>
      <c r="DP22" s="958"/>
      <c r="DQ22" s="958"/>
      <c r="DR22" s="958"/>
      <c r="DS22" s="958"/>
      <c r="DT22" s="958"/>
      <c r="DU22" s="958"/>
      <c r="DV22" s="958"/>
      <c r="DW22" s="958"/>
      <c r="DX22" s="958"/>
      <c r="DY22" s="958"/>
      <c r="DZ22" s="958"/>
      <c r="EA22" s="958"/>
      <c r="EB22" s="958"/>
      <c r="EC22" s="958"/>
      <c r="ED22" s="958"/>
      <c r="EE22" s="958"/>
      <c r="EF22" s="958"/>
      <c r="EG22" s="958"/>
      <c r="EH22" s="958"/>
      <c r="EI22" s="958"/>
      <c r="EJ22" s="958"/>
      <c r="EK22" s="958"/>
      <c r="EL22" s="958"/>
      <c r="EM22" s="958"/>
      <c r="EN22" s="958"/>
      <c r="EO22" s="958"/>
      <c r="EP22" s="958"/>
      <c r="EQ22" s="958"/>
      <c r="ER22" s="958"/>
      <c r="ES22" s="958"/>
      <c r="ET22" s="958"/>
      <c r="EU22" s="958"/>
      <c r="EV22" s="958"/>
      <c r="EW22" s="958"/>
      <c r="EX22" s="958"/>
      <c r="EY22" s="958"/>
      <c r="EZ22" s="958"/>
      <c r="FA22" s="958"/>
      <c r="FB22" s="958"/>
      <c r="FC22" s="958"/>
      <c r="FD22" s="958"/>
      <c r="FE22" s="958"/>
      <c r="FF22" s="958"/>
      <c r="FG22" s="958"/>
      <c r="FH22" s="958"/>
      <c r="FI22" s="958"/>
      <c r="FJ22" s="958"/>
      <c r="FK22" s="958"/>
      <c r="FL22" s="958"/>
      <c r="FM22" s="958"/>
      <c r="FN22" s="958"/>
      <c r="FO22" s="958"/>
      <c r="FP22" s="958"/>
      <c r="FQ22" s="958"/>
      <c r="FR22" s="958"/>
      <c r="FS22" s="958"/>
      <c r="FT22" s="958"/>
      <c r="FU22" s="958"/>
      <c r="FV22" s="958"/>
      <c r="FW22" s="958"/>
      <c r="FX22" s="958"/>
      <c r="FY22" s="958"/>
      <c r="FZ22" s="958"/>
      <c r="GA22" s="958"/>
      <c r="GB22" s="958"/>
      <c r="GC22" s="958"/>
      <c r="GD22" s="958"/>
      <c r="GE22" s="958"/>
      <c r="GF22" s="958"/>
      <c r="GG22" s="958"/>
      <c r="GH22" s="958"/>
      <c r="GI22" s="958"/>
      <c r="GJ22" s="958"/>
      <c r="GK22" s="958"/>
      <c r="GL22" s="958"/>
      <c r="GM22" s="958"/>
      <c r="GN22" s="958"/>
      <c r="GO22" s="958"/>
      <c r="GP22" s="958"/>
      <c r="GQ22" s="958"/>
      <c r="GR22" s="958"/>
      <c r="GS22" s="958"/>
      <c r="GT22" s="958"/>
      <c r="GU22" s="958"/>
      <c r="GV22" s="958"/>
      <c r="GW22" s="958"/>
      <c r="GX22" s="958"/>
      <c r="GY22" s="958"/>
      <c r="GZ22" s="958"/>
      <c r="HA22" s="958"/>
      <c r="HB22" s="958"/>
      <c r="HC22" s="958"/>
      <c r="HD22" s="958"/>
      <c r="HE22" s="958"/>
      <c r="HF22" s="958"/>
      <c r="HG22" s="958"/>
      <c r="HH22" s="958"/>
      <c r="HI22" s="958"/>
      <c r="HJ22" s="958"/>
      <c r="HK22" s="958"/>
      <c r="HL22" s="958"/>
      <c r="HM22" s="958"/>
      <c r="HN22" s="958"/>
      <c r="HO22" s="958"/>
      <c r="HP22" s="958"/>
      <c r="HQ22" s="958"/>
      <c r="HR22" s="958"/>
      <c r="HS22" s="958"/>
      <c r="HT22" s="958"/>
      <c r="HU22" s="958"/>
      <c r="HV22" s="958"/>
      <c r="HW22" s="958"/>
      <c r="HX22" s="958"/>
      <c r="HY22" s="958"/>
      <c r="HZ22" s="958"/>
      <c r="IA22" s="958"/>
      <c r="IB22" s="958"/>
      <c r="IC22" s="958"/>
      <c r="ID22" s="958"/>
      <c r="IE22" s="958"/>
      <c r="IF22" s="958"/>
      <c r="IG22" s="958"/>
      <c r="IH22" s="958"/>
      <c r="II22" s="958"/>
      <c r="IJ22" s="958"/>
      <c r="IK22" s="958"/>
      <c r="IL22" s="958"/>
      <c r="IM22" s="958"/>
      <c r="IN22" s="958"/>
      <c r="IO22" s="958"/>
      <c r="IP22" s="958"/>
      <c r="IQ22" s="958"/>
      <c r="IR22" s="958"/>
      <c r="IS22" s="958"/>
      <c r="IT22" s="958"/>
      <c r="IU22" s="958"/>
      <c r="IV22" s="958"/>
      <c r="IW22" s="958"/>
      <c r="IX22" s="958"/>
      <c r="IY22" s="958"/>
      <c r="IZ22" s="958"/>
      <c r="JA22" s="958"/>
      <c r="JB22" s="958"/>
      <c r="JC22" s="958"/>
      <c r="JD22" s="958"/>
      <c r="JE22" s="958"/>
      <c r="JF22" s="958"/>
      <c r="JG22" s="958"/>
      <c r="JH22" s="958"/>
      <c r="JI22" s="958"/>
      <c r="JJ22" s="958"/>
      <c r="JK22" s="958"/>
      <c r="JL22" s="958"/>
      <c r="JM22" s="958"/>
      <c r="JN22" s="958"/>
      <c r="JO22" s="958"/>
      <c r="JP22" s="958"/>
      <c r="JQ22" s="958"/>
      <c r="JR22" s="958"/>
      <c r="JS22" s="958"/>
      <c r="JT22" s="958"/>
      <c r="JU22" s="958"/>
      <c r="JV22" s="958"/>
      <c r="JW22" s="958"/>
      <c r="JX22" s="958"/>
      <c r="JY22" s="958"/>
      <c r="JZ22" s="958"/>
      <c r="KA22" s="958"/>
      <c r="KB22" s="958"/>
      <c r="KC22" s="958"/>
      <c r="KD22" s="958"/>
      <c r="KE22" s="958"/>
      <c r="KF22" s="958"/>
      <c r="KG22" s="958"/>
      <c r="KH22" s="958"/>
      <c r="KI22" s="958"/>
      <c r="KJ22" s="958"/>
      <c r="KK22" s="958"/>
      <c r="KL22" s="958"/>
      <c r="KM22" s="958"/>
      <c r="KN22" s="958"/>
      <c r="KO22" s="958"/>
      <c r="KP22" s="958"/>
      <c r="KQ22" s="958"/>
      <c r="KR22" s="958"/>
      <c r="KS22" s="958"/>
      <c r="KT22" s="958"/>
      <c r="KU22" s="958"/>
      <c r="KV22" s="958"/>
      <c r="KW22" s="958"/>
      <c r="KX22" s="958"/>
      <c r="KY22" s="958"/>
      <c r="KZ22" s="958"/>
      <c r="LA22" s="958"/>
      <c r="LB22" s="958"/>
      <c r="LC22" s="958"/>
      <c r="LD22" s="958"/>
      <c r="LE22" s="958"/>
      <c r="LF22" s="958"/>
      <c r="LG22" s="958"/>
      <c r="LH22" s="958"/>
      <c r="LI22" s="958"/>
      <c r="LJ22" s="958"/>
      <c r="LK22" s="958"/>
      <c r="LL22" s="958"/>
      <c r="LM22" s="958"/>
      <c r="LN22" s="958"/>
      <c r="LO22" s="958"/>
      <c r="LP22" s="958"/>
      <c r="LQ22" s="958"/>
      <c r="LR22" s="958"/>
      <c r="LS22" s="958"/>
      <c r="LT22" s="958"/>
      <c r="LU22" s="958"/>
      <c r="LV22" s="958"/>
      <c r="LW22" s="958"/>
      <c r="LX22" s="958"/>
      <c r="LY22" s="958"/>
      <c r="LZ22" s="958"/>
      <c r="MA22" s="958"/>
      <c r="MB22" s="958"/>
      <c r="MC22" s="958"/>
      <c r="MD22" s="958"/>
      <c r="ME22" s="958"/>
      <c r="MF22" s="958"/>
      <c r="MG22" s="958"/>
      <c r="MH22" s="958"/>
      <c r="MI22" s="958"/>
      <c r="MJ22" s="958"/>
      <c r="MK22" s="958"/>
      <c r="ML22" s="958"/>
      <c r="MM22" s="958"/>
      <c r="MN22" s="958"/>
      <c r="MO22" s="958"/>
      <c r="MP22" s="958"/>
      <c r="MQ22" s="958"/>
      <c r="MR22" s="958"/>
      <c r="MS22" s="958"/>
      <c r="MT22" s="958"/>
      <c r="MU22" s="958"/>
      <c r="MV22" s="958"/>
      <c r="MW22" s="958"/>
      <c r="MX22" s="958"/>
      <c r="MY22" s="958"/>
      <c r="MZ22" s="958"/>
      <c r="NA22" s="958"/>
      <c r="NB22" s="958"/>
      <c r="NC22" s="958"/>
      <c r="ND22" s="958"/>
      <c r="NE22" s="958"/>
      <c r="NF22" s="958"/>
      <c r="NG22" s="958"/>
      <c r="NH22" s="958"/>
      <c r="NI22" s="958"/>
      <c r="NJ22" s="958"/>
      <c r="NK22" s="958"/>
      <c r="NL22" s="958"/>
      <c r="NM22" s="958"/>
      <c r="NN22" s="958"/>
      <c r="NO22" s="958"/>
      <c r="NP22" s="958"/>
      <c r="NQ22" s="958"/>
      <c r="NR22" s="958"/>
      <c r="NS22" s="958"/>
      <c r="NT22" s="958"/>
      <c r="NU22" s="958"/>
      <c r="NV22" s="958"/>
      <c r="NW22" s="958"/>
      <c r="NX22" s="958"/>
      <c r="NY22" s="958"/>
      <c r="NZ22" s="958"/>
      <c r="OA22" s="958"/>
      <c r="OB22" s="958"/>
      <c r="OC22" s="958"/>
      <c r="OD22" s="958"/>
      <c r="OE22" s="958"/>
      <c r="OF22" s="958"/>
      <c r="OG22" s="958"/>
      <c r="OH22" s="958"/>
      <c r="OI22" s="958"/>
      <c r="OJ22" s="958"/>
      <c r="OK22" s="958"/>
      <c r="OL22" s="958"/>
      <c r="OM22" s="958"/>
      <c r="ON22" s="958"/>
      <c r="OO22" s="958"/>
      <c r="OP22" s="958"/>
      <c r="OQ22" s="958"/>
      <c r="OR22" s="958"/>
      <c r="OS22" s="958"/>
      <c r="OT22" s="958"/>
      <c r="OU22" s="958"/>
      <c r="OV22" s="958"/>
      <c r="OW22" s="958"/>
      <c r="OX22" s="958"/>
      <c r="OY22" s="958"/>
      <c r="OZ22" s="958"/>
      <c r="PA22" s="958"/>
      <c r="PB22" s="958"/>
      <c r="PC22" s="958"/>
      <c r="PD22" s="958"/>
      <c r="PE22" s="958"/>
      <c r="PF22" s="958"/>
      <c r="PG22" s="958"/>
      <c r="PH22" s="958"/>
      <c r="PI22" s="958"/>
      <c r="PJ22" s="958"/>
      <c r="PK22" s="958"/>
      <c r="PL22" s="958"/>
      <c r="PM22" s="958"/>
      <c r="PN22" s="958"/>
      <c r="PO22" s="958"/>
      <c r="PP22" s="958"/>
      <c r="PQ22" s="958"/>
      <c r="PR22" s="958"/>
      <c r="PS22" s="958"/>
      <c r="PT22" s="958"/>
      <c r="PU22" s="958"/>
      <c r="PV22" s="958"/>
      <c r="PW22" s="958"/>
      <c r="PX22" s="958"/>
      <c r="PY22" s="958"/>
      <c r="PZ22" s="958"/>
      <c r="QA22" s="958"/>
      <c r="QB22" s="958"/>
      <c r="QC22" s="958"/>
      <c r="QD22" s="958"/>
      <c r="QE22" s="958"/>
      <c r="QF22" s="958"/>
      <c r="QG22" s="958"/>
      <c r="QH22" s="958"/>
      <c r="QI22" s="958"/>
      <c r="QJ22" s="958"/>
      <c r="QK22" s="958"/>
      <c r="QL22" s="958"/>
      <c r="QM22" s="958"/>
      <c r="QN22" s="958"/>
      <c r="QO22" s="958"/>
      <c r="QP22" s="958"/>
      <c r="QQ22" s="958"/>
      <c r="QR22" s="958"/>
      <c r="QS22" s="958"/>
      <c r="QT22" s="958"/>
      <c r="QU22" s="958"/>
      <c r="QV22" s="958"/>
      <c r="QW22" s="958"/>
      <c r="QX22" s="958"/>
      <c r="QY22" s="958"/>
      <c r="QZ22" s="958"/>
      <c r="RA22" s="958"/>
      <c r="RB22" s="958"/>
      <c r="RC22" s="958"/>
      <c r="RD22" s="958"/>
      <c r="RE22" s="958"/>
      <c r="RF22" s="958"/>
      <c r="RG22" s="958"/>
      <c r="RH22" s="958"/>
      <c r="RI22" s="958"/>
      <c r="RJ22" s="958"/>
      <c r="RK22" s="958"/>
      <c r="RL22" s="958"/>
      <c r="RM22" s="958"/>
      <c r="RN22" s="958"/>
      <c r="RO22" s="958"/>
      <c r="RP22" s="958"/>
      <c r="RQ22" s="958"/>
      <c r="RR22" s="958"/>
      <c r="RS22" s="958"/>
      <c r="RT22" s="958"/>
      <c r="RU22" s="958"/>
      <c r="RV22" s="958"/>
      <c r="RW22" s="958"/>
      <c r="RX22" s="958"/>
      <c r="RY22" s="958"/>
      <c r="RZ22" s="958"/>
      <c r="SA22" s="958"/>
      <c r="SB22" s="958"/>
      <c r="SC22" s="958"/>
      <c r="SD22" s="958"/>
      <c r="SE22" s="958"/>
      <c r="SF22" s="958"/>
      <c r="SG22" s="958"/>
      <c r="SH22" s="958"/>
      <c r="SI22" s="958"/>
      <c r="SJ22" s="958"/>
      <c r="SK22" s="958"/>
      <c r="SL22" s="958"/>
      <c r="SM22" s="958"/>
      <c r="SN22" s="958"/>
      <c r="SO22" s="958"/>
      <c r="SP22" s="958"/>
      <c r="SQ22" s="958"/>
      <c r="SR22" s="958"/>
      <c r="SS22" s="958"/>
      <c r="ST22" s="958"/>
      <c r="SU22" s="958"/>
      <c r="SV22" s="958"/>
      <c r="SW22" s="958"/>
      <c r="SX22" s="958"/>
      <c r="SY22" s="958"/>
      <c r="SZ22" s="958"/>
      <c r="TA22" s="958"/>
      <c r="TB22" s="958"/>
      <c r="TC22" s="958"/>
      <c r="TD22" s="958"/>
      <c r="TE22" s="958"/>
      <c r="TF22" s="958"/>
      <c r="TG22" s="958"/>
      <c r="TH22" s="958"/>
      <c r="TI22" s="958"/>
      <c r="TJ22" s="958"/>
      <c r="TK22" s="958"/>
      <c r="TL22" s="958"/>
      <c r="TM22" s="958"/>
      <c r="TN22" s="958"/>
      <c r="TO22" s="958"/>
      <c r="TP22" s="958"/>
      <c r="TQ22" s="958"/>
      <c r="TR22" s="958"/>
      <c r="TS22" s="958"/>
      <c r="TT22" s="958"/>
      <c r="TU22" s="958"/>
      <c r="TV22" s="958"/>
      <c r="TW22" s="958"/>
      <c r="TX22" s="958"/>
      <c r="TY22" s="958"/>
      <c r="TZ22" s="958"/>
      <c r="UA22" s="958"/>
      <c r="UB22" s="958"/>
      <c r="UC22" s="958"/>
      <c r="UD22" s="958"/>
      <c r="UE22" s="958"/>
      <c r="UF22" s="958"/>
      <c r="UG22" s="958"/>
      <c r="UH22" s="958"/>
      <c r="UI22" s="958"/>
      <c r="UJ22" s="958"/>
      <c r="UK22" s="958"/>
      <c r="UL22" s="958"/>
      <c r="UM22" s="958"/>
      <c r="UN22" s="958"/>
      <c r="UO22" s="958"/>
      <c r="UP22" s="958"/>
      <c r="UQ22" s="958"/>
      <c r="UR22" s="958"/>
      <c r="US22" s="958"/>
      <c r="UT22" s="958"/>
      <c r="UU22" s="958"/>
      <c r="UV22" s="958"/>
      <c r="UW22" s="958"/>
      <c r="UX22" s="958"/>
      <c r="UY22" s="958"/>
      <c r="UZ22" s="958"/>
      <c r="VA22" s="958"/>
      <c r="VB22" s="958"/>
      <c r="VC22" s="958"/>
      <c r="VD22" s="958"/>
      <c r="VE22" s="958"/>
      <c r="VF22" s="958"/>
      <c r="VG22" s="958"/>
      <c r="VH22" s="958"/>
      <c r="VI22" s="958"/>
      <c r="VJ22" s="958"/>
      <c r="VK22" s="958"/>
      <c r="VL22" s="958"/>
      <c r="VM22" s="958"/>
      <c r="VN22" s="958"/>
      <c r="VO22" s="958"/>
      <c r="VP22" s="958"/>
      <c r="VQ22" s="958"/>
      <c r="VR22" s="958"/>
      <c r="VS22" s="958"/>
      <c r="VT22" s="958"/>
      <c r="VU22" s="958"/>
      <c r="VV22" s="958"/>
      <c r="VW22" s="958"/>
      <c r="VX22" s="958"/>
      <c r="VY22" s="958"/>
      <c r="VZ22" s="958"/>
      <c r="WA22" s="958"/>
      <c r="WB22" s="958"/>
      <c r="WC22" s="958"/>
      <c r="WD22" s="958"/>
      <c r="WE22" s="958"/>
      <c r="WF22" s="958"/>
      <c r="WG22" s="958"/>
      <c r="WH22" s="958"/>
      <c r="WI22" s="958"/>
      <c r="WJ22" s="958"/>
      <c r="WK22" s="958"/>
      <c r="WL22" s="958"/>
      <c r="WM22" s="958"/>
      <c r="WN22" s="958"/>
      <c r="WO22" s="958"/>
      <c r="WP22" s="958"/>
      <c r="WQ22" s="958"/>
      <c r="WR22" s="958"/>
      <c r="WS22" s="958"/>
      <c r="WT22" s="958"/>
      <c r="WU22" s="958"/>
      <c r="WV22" s="958"/>
      <c r="WW22" s="958"/>
      <c r="WX22" s="958"/>
      <c r="WY22" s="958"/>
      <c r="WZ22" s="958"/>
      <c r="XA22" s="958"/>
      <c r="XB22" s="958"/>
      <c r="XC22" s="958"/>
      <c r="XD22" s="958"/>
      <c r="XE22" s="958"/>
      <c r="XF22" s="958"/>
      <c r="XG22" s="958"/>
      <c r="XH22" s="958"/>
      <c r="XI22" s="958"/>
      <c r="XJ22" s="958"/>
      <c r="XK22" s="958"/>
      <c r="XL22" s="958"/>
      <c r="XM22" s="958"/>
      <c r="XN22" s="958"/>
      <c r="XO22" s="958"/>
      <c r="XP22" s="958"/>
      <c r="XQ22" s="958"/>
      <c r="XR22" s="958"/>
      <c r="XS22" s="958"/>
      <c r="XT22" s="958"/>
      <c r="XU22" s="958"/>
      <c r="XV22" s="958"/>
      <c r="XW22" s="958"/>
      <c r="XX22" s="958"/>
      <c r="XY22" s="958"/>
      <c r="XZ22" s="958"/>
      <c r="YA22" s="958"/>
      <c r="YB22" s="958"/>
      <c r="YC22" s="958"/>
      <c r="YD22" s="958"/>
      <c r="YE22" s="958"/>
      <c r="YF22" s="958"/>
      <c r="YG22" s="958"/>
      <c r="YH22" s="958"/>
      <c r="YI22" s="958"/>
      <c r="YJ22" s="958"/>
      <c r="YK22" s="958"/>
      <c r="YL22" s="958"/>
      <c r="YM22" s="958"/>
      <c r="YN22" s="958"/>
      <c r="YO22" s="958"/>
      <c r="YP22" s="958"/>
      <c r="YQ22" s="958"/>
      <c r="YR22" s="958"/>
      <c r="YS22" s="958"/>
      <c r="YT22" s="958"/>
      <c r="YU22" s="958"/>
      <c r="YV22" s="958"/>
      <c r="YW22" s="958"/>
      <c r="YX22" s="958"/>
      <c r="YY22" s="958"/>
      <c r="YZ22" s="958"/>
      <c r="ZA22" s="958"/>
      <c r="ZB22" s="958"/>
      <c r="ZC22" s="958"/>
      <c r="ZD22" s="958"/>
      <c r="ZE22" s="958"/>
      <c r="ZF22" s="958"/>
      <c r="ZG22" s="958"/>
      <c r="ZH22" s="958"/>
      <c r="ZI22" s="958"/>
      <c r="ZJ22" s="958"/>
      <c r="ZK22" s="958"/>
      <c r="ZL22" s="958"/>
      <c r="ZM22" s="958"/>
      <c r="ZN22" s="958"/>
      <c r="ZO22" s="958"/>
      <c r="ZP22" s="958"/>
      <c r="ZQ22" s="958"/>
      <c r="ZR22" s="958"/>
      <c r="ZS22" s="958"/>
      <c r="ZT22" s="958"/>
      <c r="ZU22" s="958"/>
      <c r="ZV22" s="958"/>
      <c r="ZW22" s="958"/>
      <c r="ZX22" s="958"/>
      <c r="ZY22" s="958"/>
      <c r="ZZ22" s="958"/>
      <c r="AAA22" s="958"/>
      <c r="AAB22" s="958"/>
      <c r="AAC22" s="958"/>
      <c r="AAD22" s="958"/>
      <c r="AAE22" s="958"/>
      <c r="AAF22" s="958"/>
      <c r="AAG22" s="958"/>
      <c r="AAH22" s="958"/>
      <c r="AAI22" s="958"/>
      <c r="AAJ22" s="958"/>
      <c r="AAK22" s="958"/>
      <c r="AAL22" s="958"/>
      <c r="AAM22" s="958"/>
      <c r="AAN22" s="958"/>
      <c r="AAO22" s="958"/>
      <c r="AAP22" s="958"/>
      <c r="AAQ22" s="958"/>
      <c r="AAR22" s="958"/>
      <c r="AAS22" s="958"/>
      <c r="AAT22" s="958"/>
      <c r="AAU22" s="958"/>
      <c r="AAV22" s="958"/>
      <c r="AAW22" s="958"/>
      <c r="AAX22" s="958"/>
      <c r="AAY22" s="958"/>
      <c r="AAZ22" s="958"/>
      <c r="ABA22" s="958"/>
      <c r="ABB22" s="958"/>
      <c r="ABC22" s="958"/>
      <c r="ABD22" s="958"/>
      <c r="ABE22" s="958"/>
      <c r="ABF22" s="958"/>
      <c r="ABG22" s="958"/>
      <c r="ABH22" s="958"/>
      <c r="ABI22" s="958"/>
      <c r="ABJ22" s="958"/>
      <c r="ABK22" s="958"/>
      <c r="ABL22" s="958"/>
      <c r="ABM22" s="958"/>
      <c r="ABN22" s="958"/>
      <c r="ABO22" s="958"/>
      <c r="ABP22" s="958"/>
      <c r="ABQ22" s="958"/>
      <c r="ABR22" s="958"/>
      <c r="ABS22" s="958"/>
      <c r="ABT22" s="958"/>
      <c r="ABU22" s="958"/>
      <c r="ABV22" s="958"/>
      <c r="ABW22" s="958"/>
      <c r="ABX22" s="958"/>
      <c r="ABY22" s="958"/>
      <c r="ABZ22" s="958"/>
      <c r="ACA22" s="958"/>
      <c r="ACB22" s="958"/>
      <c r="ACC22" s="958"/>
      <c r="ACD22" s="958"/>
      <c r="ACE22" s="958"/>
      <c r="ACF22" s="958"/>
      <c r="ACG22" s="958"/>
      <c r="ACH22" s="958"/>
      <c r="ACI22" s="958"/>
      <c r="ACJ22" s="958"/>
      <c r="ACK22" s="958"/>
      <c r="ACL22" s="958"/>
      <c r="ACM22" s="958"/>
      <c r="ACN22" s="958"/>
      <c r="ACO22" s="958"/>
      <c r="ACP22" s="958"/>
      <c r="ACQ22" s="958"/>
      <c r="ACR22" s="958"/>
      <c r="ACS22" s="958"/>
      <c r="ACT22" s="958"/>
      <c r="ACU22" s="958"/>
      <c r="ACV22" s="958"/>
      <c r="ACW22" s="958"/>
      <c r="ACX22" s="958"/>
      <c r="ACY22" s="958"/>
      <c r="ACZ22" s="958"/>
      <c r="ADA22" s="958"/>
      <c r="ADB22" s="958"/>
      <c r="ADC22" s="958"/>
      <c r="ADD22" s="958"/>
      <c r="ADE22" s="958"/>
      <c r="ADF22" s="958"/>
      <c r="ADG22" s="958"/>
      <c r="ADH22" s="958"/>
      <c r="ADI22" s="958"/>
      <c r="ADJ22" s="958"/>
      <c r="ADK22" s="958"/>
      <c r="ADL22" s="958"/>
      <c r="ADM22" s="958"/>
      <c r="ADN22" s="958"/>
      <c r="ADO22" s="958"/>
      <c r="ADP22" s="958"/>
      <c r="ADQ22" s="958"/>
      <c r="ADR22" s="958"/>
      <c r="ADS22" s="958"/>
      <c r="ADT22" s="958"/>
      <c r="ADU22" s="958"/>
      <c r="ADV22" s="958"/>
      <c r="ADW22" s="958"/>
      <c r="ADX22" s="958"/>
      <c r="ADY22" s="958"/>
      <c r="ADZ22" s="958"/>
      <c r="AEA22" s="958"/>
      <c r="AEB22" s="958"/>
      <c r="AEC22" s="958"/>
      <c r="AED22" s="958"/>
      <c r="AEE22" s="958"/>
      <c r="AEF22" s="958"/>
      <c r="AEG22" s="958"/>
      <c r="AEH22" s="958"/>
      <c r="AEI22" s="958"/>
      <c r="AEJ22" s="958"/>
      <c r="AEK22" s="958"/>
      <c r="AEL22" s="958"/>
      <c r="AEM22" s="958"/>
      <c r="AEN22" s="958"/>
      <c r="AEO22" s="958"/>
      <c r="AEP22" s="958"/>
      <c r="AEQ22" s="958"/>
      <c r="AER22" s="958"/>
      <c r="AES22" s="958"/>
      <c r="AET22" s="958"/>
      <c r="AEU22" s="958"/>
      <c r="AEV22" s="958"/>
      <c r="AEW22" s="958"/>
      <c r="AEX22" s="958"/>
      <c r="AEY22" s="958"/>
      <c r="AEZ22" s="958"/>
      <c r="AFA22" s="958"/>
      <c r="AFB22" s="958"/>
      <c r="AFC22" s="958"/>
      <c r="AFD22" s="958"/>
      <c r="AFE22" s="958"/>
      <c r="AFF22" s="958"/>
      <c r="AFG22" s="958"/>
      <c r="AFH22" s="958"/>
      <c r="AFI22" s="958"/>
      <c r="AFJ22" s="958"/>
      <c r="AFK22" s="958"/>
      <c r="AFL22" s="958"/>
      <c r="AFM22" s="958"/>
      <c r="AFN22" s="958"/>
      <c r="AFO22" s="958"/>
      <c r="AFP22" s="958"/>
      <c r="AFQ22" s="958"/>
      <c r="AFR22" s="958"/>
      <c r="AFS22" s="958"/>
      <c r="AFT22" s="958"/>
      <c r="AFU22" s="958"/>
      <c r="AFV22" s="958"/>
      <c r="AFW22" s="958"/>
      <c r="AFX22" s="958"/>
      <c r="AFY22" s="958"/>
      <c r="AFZ22" s="958"/>
      <c r="AGA22" s="958"/>
      <c r="AGB22" s="958"/>
      <c r="AGC22" s="958"/>
      <c r="AGD22" s="958"/>
      <c r="AGE22" s="958"/>
      <c r="AGF22" s="958"/>
      <c r="AGG22" s="958"/>
      <c r="AGH22" s="958"/>
      <c r="AGI22" s="958"/>
      <c r="AGJ22" s="958"/>
      <c r="AGK22" s="958"/>
      <c r="AGL22" s="958"/>
      <c r="AGM22" s="958"/>
      <c r="AGN22" s="958"/>
      <c r="AGO22" s="958"/>
      <c r="AGP22" s="958"/>
      <c r="AGQ22" s="958"/>
      <c r="AGR22" s="958"/>
      <c r="AGS22" s="958"/>
      <c r="AGT22" s="958"/>
      <c r="AGU22" s="958"/>
      <c r="AGV22" s="958"/>
      <c r="AGW22" s="958"/>
      <c r="AGX22" s="958"/>
      <c r="AGY22" s="958"/>
      <c r="AGZ22" s="958"/>
      <c r="AHA22" s="958"/>
      <c r="AHB22" s="958"/>
      <c r="AHC22" s="958"/>
      <c r="AHD22" s="958"/>
      <c r="AHE22" s="958"/>
      <c r="AHF22" s="958"/>
      <c r="AHG22" s="958"/>
      <c r="AHH22" s="958"/>
      <c r="AHI22" s="958"/>
      <c r="AHJ22" s="958"/>
      <c r="AHK22" s="958"/>
      <c r="AHL22" s="958"/>
      <c r="AHM22" s="958"/>
      <c r="AHN22" s="958"/>
      <c r="AHO22" s="958"/>
      <c r="AHP22" s="958"/>
      <c r="AHQ22" s="958"/>
      <c r="AHR22" s="958"/>
      <c r="AHS22" s="958"/>
      <c r="AHT22" s="958"/>
      <c r="AHU22" s="958"/>
      <c r="AHV22" s="958"/>
      <c r="AHW22" s="958"/>
      <c r="AHX22" s="958"/>
      <c r="AHY22" s="958"/>
      <c r="AHZ22" s="958"/>
      <c r="AIA22" s="958"/>
      <c r="AIB22" s="958"/>
      <c r="AIC22" s="958"/>
      <c r="AID22" s="958"/>
      <c r="AIE22" s="958"/>
      <c r="AIF22" s="958"/>
      <c r="AIG22" s="958"/>
      <c r="AIH22" s="958"/>
      <c r="AII22" s="958"/>
      <c r="AIJ22" s="958"/>
      <c r="AIK22" s="958"/>
      <c r="AIL22" s="958"/>
      <c r="AIM22" s="958"/>
      <c r="AIN22" s="958"/>
      <c r="AIO22" s="958"/>
      <c r="AIP22" s="958"/>
      <c r="AIQ22" s="958"/>
      <c r="AIR22" s="958"/>
      <c r="AIS22" s="958"/>
      <c r="AIT22" s="958"/>
      <c r="AIU22" s="958"/>
      <c r="AIV22" s="958"/>
      <c r="AIW22" s="958"/>
      <c r="AIX22" s="958"/>
      <c r="AIY22" s="958"/>
      <c r="AIZ22" s="958"/>
      <c r="AJA22" s="958"/>
      <c r="AJB22" s="958"/>
      <c r="AJC22" s="958"/>
      <c r="AJD22" s="958"/>
      <c r="AJE22" s="958"/>
      <c r="AJF22" s="958"/>
      <c r="AJG22" s="958"/>
      <c r="AJH22" s="958"/>
      <c r="AJI22" s="958"/>
      <c r="AJJ22" s="958"/>
      <c r="AJK22" s="958"/>
      <c r="AJL22" s="958"/>
      <c r="AJM22" s="958"/>
      <c r="AJN22" s="958"/>
      <c r="AJO22" s="958"/>
      <c r="AJP22" s="958"/>
      <c r="AJQ22" s="958"/>
      <c r="AJR22" s="958"/>
      <c r="AJS22" s="958"/>
      <c r="AJT22" s="958"/>
      <c r="AJU22" s="958"/>
      <c r="AJV22" s="958"/>
      <c r="AJW22" s="958"/>
      <c r="AJX22" s="958"/>
      <c r="AJY22" s="958"/>
      <c r="AJZ22" s="958"/>
      <c r="AKA22" s="958"/>
      <c r="AKB22" s="958"/>
      <c r="AKC22" s="958"/>
      <c r="AKD22" s="958"/>
      <c r="AKE22" s="958"/>
      <c r="AKF22" s="958"/>
      <c r="AKG22" s="958"/>
      <c r="AKH22" s="958"/>
      <c r="AKI22" s="958"/>
      <c r="AKJ22" s="958"/>
      <c r="AKK22" s="958"/>
      <c r="AKL22" s="958"/>
      <c r="AKM22" s="958"/>
      <c r="AKN22" s="958"/>
      <c r="AKO22" s="958"/>
      <c r="AKP22" s="958"/>
      <c r="AKQ22" s="958"/>
      <c r="AKR22" s="958"/>
      <c r="AKS22" s="958"/>
      <c r="AKT22" s="958"/>
      <c r="AKU22" s="958"/>
      <c r="AKV22" s="958"/>
      <c r="AKW22" s="958"/>
      <c r="AKX22" s="958"/>
      <c r="AKY22" s="958"/>
      <c r="AKZ22" s="958"/>
      <c r="ALA22" s="958"/>
      <c r="ALB22" s="958"/>
      <c r="ALC22" s="958"/>
      <c r="ALD22" s="958"/>
      <c r="ALE22" s="958"/>
      <c r="ALF22" s="958"/>
      <c r="ALG22" s="958"/>
      <c r="ALH22" s="958"/>
      <c r="ALI22" s="958"/>
      <c r="ALJ22" s="958"/>
      <c r="ALK22" s="958"/>
      <c r="ALL22" s="958"/>
      <c r="ALM22" s="958"/>
      <c r="ALN22" s="958"/>
      <c r="ALO22" s="958"/>
      <c r="ALP22" s="958"/>
      <c r="ALQ22" s="958"/>
      <c r="ALR22" s="958"/>
      <c r="ALS22" s="958"/>
      <c r="ALT22" s="958"/>
      <c r="ALU22" s="958"/>
      <c r="ALV22" s="958"/>
      <c r="ALW22" s="958"/>
      <c r="ALX22" s="958"/>
      <c r="ALY22" s="958"/>
      <c r="ALZ22" s="958"/>
      <c r="AMA22" s="958"/>
      <c r="AMB22" s="958"/>
      <c r="AMC22" s="958"/>
      <c r="AMD22" s="958"/>
      <c r="AME22" s="958"/>
      <c r="AMF22" s="958"/>
      <c r="AMG22" s="958"/>
      <c r="AMH22" s="958"/>
      <c r="AMI22" s="958"/>
      <c r="AMJ22" s="958"/>
      <c r="AMK22" s="958"/>
      <c r="AML22" s="958"/>
      <c r="AMM22" s="958"/>
      <c r="AMN22" s="958"/>
      <c r="AMO22" s="958"/>
      <c r="AMP22" s="958"/>
      <c r="AMQ22" s="958"/>
      <c r="AMR22" s="958"/>
      <c r="AMS22" s="958"/>
      <c r="AMT22" s="958"/>
      <c r="AMU22" s="958"/>
      <c r="AMV22" s="958"/>
      <c r="AMW22" s="958"/>
      <c r="AMX22" s="958"/>
      <c r="AMY22" s="958"/>
      <c r="AMZ22" s="958"/>
      <c r="ANA22" s="958"/>
      <c r="ANB22" s="958"/>
      <c r="ANC22" s="958"/>
      <c r="AND22" s="958"/>
      <c r="ANE22" s="958"/>
      <c r="ANF22" s="958"/>
      <c r="ANG22" s="958"/>
      <c r="ANH22" s="958"/>
      <c r="ANI22" s="958"/>
      <c r="ANJ22" s="958"/>
      <c r="ANK22" s="958"/>
      <c r="ANL22" s="958"/>
      <c r="ANM22" s="958"/>
      <c r="ANN22" s="958"/>
      <c r="ANO22" s="958"/>
      <c r="ANP22" s="958"/>
      <c r="ANQ22" s="958"/>
      <c r="ANR22" s="958"/>
      <c r="ANS22" s="958"/>
      <c r="ANT22" s="958"/>
      <c r="ANU22" s="958"/>
      <c r="ANV22" s="958"/>
      <c r="ANW22" s="958"/>
      <c r="ANX22" s="958"/>
      <c r="ANY22" s="958"/>
      <c r="ANZ22" s="958"/>
      <c r="AOA22" s="958"/>
      <c r="AOB22" s="958"/>
      <c r="AOC22" s="958"/>
      <c r="AOD22" s="958"/>
      <c r="AOE22" s="958"/>
      <c r="AOF22" s="958"/>
      <c r="AOG22" s="958"/>
      <c r="AOH22" s="958"/>
      <c r="AOI22" s="958"/>
      <c r="AOJ22" s="958"/>
      <c r="AOK22" s="958"/>
      <c r="AOL22" s="958"/>
      <c r="AOM22" s="958"/>
      <c r="AON22" s="958"/>
      <c r="AOO22" s="958"/>
      <c r="AOP22" s="958"/>
      <c r="AOQ22" s="958"/>
      <c r="AOR22" s="958"/>
      <c r="AOS22" s="958"/>
      <c r="AOT22" s="958"/>
      <c r="AOU22" s="958"/>
      <c r="AOV22" s="958"/>
      <c r="AOW22" s="958"/>
      <c r="AOX22" s="958"/>
      <c r="AOY22" s="958"/>
      <c r="AOZ22" s="958"/>
      <c r="APA22" s="958"/>
      <c r="APB22" s="958"/>
      <c r="APC22" s="958"/>
      <c r="APD22" s="958"/>
      <c r="APE22" s="958"/>
      <c r="APF22" s="958"/>
      <c r="APG22" s="958"/>
      <c r="APH22" s="958"/>
      <c r="API22" s="958"/>
      <c r="APJ22" s="958"/>
      <c r="APK22" s="958"/>
      <c r="APL22" s="958"/>
      <c r="APM22" s="958"/>
      <c r="APN22" s="958"/>
      <c r="APO22" s="958"/>
      <c r="APP22" s="958"/>
      <c r="APQ22" s="958"/>
      <c r="APR22" s="958"/>
      <c r="APS22" s="958"/>
      <c r="APT22" s="958"/>
      <c r="APU22" s="958"/>
      <c r="APV22" s="958"/>
      <c r="APW22" s="958"/>
      <c r="APX22" s="958"/>
      <c r="APY22" s="958"/>
      <c r="APZ22" s="958"/>
      <c r="AQA22" s="958"/>
      <c r="AQB22" s="958"/>
      <c r="AQC22" s="958"/>
      <c r="AQD22" s="958"/>
      <c r="AQE22" s="958"/>
      <c r="AQF22" s="958"/>
      <c r="AQG22" s="958"/>
      <c r="AQH22" s="958"/>
      <c r="AQI22" s="958"/>
      <c r="AQJ22" s="958"/>
      <c r="AQK22" s="958"/>
      <c r="AQL22" s="958"/>
      <c r="AQM22" s="958"/>
      <c r="AQN22" s="958"/>
      <c r="AQO22" s="958"/>
      <c r="AQP22" s="958"/>
      <c r="AQQ22" s="958"/>
      <c r="AQR22" s="958"/>
      <c r="AQS22" s="958"/>
      <c r="AQT22" s="958"/>
      <c r="AQU22" s="958"/>
      <c r="AQV22" s="958"/>
      <c r="AQW22" s="958"/>
      <c r="AQX22" s="958"/>
      <c r="AQY22" s="958"/>
      <c r="AQZ22" s="958"/>
      <c r="ARA22" s="958"/>
      <c r="ARB22" s="958"/>
      <c r="ARC22" s="958"/>
      <c r="ARD22" s="958"/>
      <c r="ARE22" s="958"/>
      <c r="ARF22" s="958"/>
      <c r="ARG22" s="958"/>
      <c r="ARH22" s="958"/>
      <c r="ARI22" s="958"/>
      <c r="ARJ22" s="958"/>
      <c r="ARK22" s="958"/>
      <c r="ARL22" s="958"/>
      <c r="ARM22" s="958"/>
      <c r="ARN22" s="958"/>
      <c r="ARO22" s="958"/>
      <c r="ARP22" s="958"/>
      <c r="ARQ22" s="958"/>
      <c r="ARR22" s="958"/>
      <c r="ARS22" s="958"/>
      <c r="ART22" s="958"/>
      <c r="ARU22" s="958"/>
      <c r="ARV22" s="958"/>
      <c r="ARW22" s="958"/>
      <c r="ARX22" s="958"/>
      <c r="ARY22" s="958"/>
      <c r="ARZ22" s="958"/>
      <c r="ASA22" s="958"/>
      <c r="ASB22" s="958"/>
      <c r="ASC22" s="958"/>
      <c r="ASD22" s="958"/>
      <c r="ASE22" s="958"/>
      <c r="ASF22" s="958"/>
      <c r="ASG22" s="958"/>
      <c r="ASH22" s="958"/>
      <c r="ASI22" s="958"/>
      <c r="ASJ22" s="958"/>
      <c r="ASK22" s="958"/>
      <c r="ASL22" s="958"/>
      <c r="ASM22" s="958"/>
      <c r="ASN22" s="958"/>
      <c r="ASO22" s="958"/>
      <c r="ASP22" s="958"/>
      <c r="ASQ22" s="958"/>
      <c r="ASR22" s="958"/>
      <c r="ASS22" s="958"/>
      <c r="AST22" s="958"/>
      <c r="ASU22" s="958"/>
      <c r="ASV22" s="958"/>
      <c r="ASW22" s="958"/>
      <c r="ASX22" s="958"/>
      <c r="ASY22" s="958"/>
      <c r="ASZ22" s="958"/>
    </row>
    <row r="23" spans="1:1196" s="22" customFormat="1" ht="66.75" customHeight="1" thickTop="1" thickBot="1">
      <c r="A23" s="2846"/>
      <c r="B23" s="2992"/>
      <c r="C23" s="3024" t="s">
        <v>119</v>
      </c>
      <c r="D23" s="171" t="s">
        <v>279</v>
      </c>
      <c r="E23" s="172" t="s">
        <v>218</v>
      </c>
      <c r="F23" s="172" t="s">
        <v>10</v>
      </c>
      <c r="G23" s="173">
        <v>0.64100000000000001</v>
      </c>
      <c r="H23" s="82"/>
      <c r="I23" s="88"/>
      <c r="J23" s="82"/>
      <c r="K23" s="172" t="s">
        <v>7</v>
      </c>
      <c r="L23" s="871">
        <v>0</v>
      </c>
      <c r="M23" s="974">
        <v>0</v>
      </c>
      <c r="N23" s="73" t="e">
        <f t="shared" si="3"/>
        <v>#DIV/0!</v>
      </c>
      <c r="O23" s="871">
        <v>0</v>
      </c>
      <c r="P23" s="974">
        <v>0</v>
      </c>
      <c r="Q23" s="73" t="e">
        <f t="shared" si="4"/>
        <v>#DIV/0!</v>
      </c>
      <c r="R23" s="871">
        <v>0</v>
      </c>
      <c r="S23" s="974">
        <v>0</v>
      </c>
      <c r="T23" s="73" t="e">
        <f t="shared" si="5"/>
        <v>#DIV/0!</v>
      </c>
      <c r="U23" s="871">
        <v>0</v>
      </c>
      <c r="V23" s="974">
        <v>0</v>
      </c>
      <c r="W23" s="73" t="e">
        <f t="shared" si="6"/>
        <v>#DIV/0!</v>
      </c>
      <c r="X23" s="871">
        <v>0</v>
      </c>
      <c r="Y23" s="974">
        <v>0</v>
      </c>
      <c r="Z23" s="73" t="e">
        <f t="shared" si="7"/>
        <v>#DIV/0!</v>
      </c>
      <c r="AA23" s="871">
        <v>0</v>
      </c>
      <c r="AB23" s="871">
        <v>0</v>
      </c>
      <c r="AC23" s="73" t="e">
        <f t="shared" si="8"/>
        <v>#DIV/0!</v>
      </c>
      <c r="AD23" s="975">
        <f t="shared" ref="AD23" si="20">+M23+P23+S23+V23+Y23+AB23</f>
        <v>0</v>
      </c>
      <c r="AE23" s="956">
        <f t="shared" ref="AE23:AE34" si="21">+AD23/G23</f>
        <v>0</v>
      </c>
      <c r="AF23" s="975">
        <v>0</v>
      </c>
      <c r="AG23" s="974">
        <v>0</v>
      </c>
      <c r="AH23" s="73" t="e">
        <f t="shared" si="11"/>
        <v>#DIV/0!</v>
      </c>
      <c r="AI23" s="871">
        <v>0</v>
      </c>
      <c r="AJ23" s="974">
        <v>0</v>
      </c>
      <c r="AK23" s="73" t="e">
        <f t="shared" si="12"/>
        <v>#DIV/0!</v>
      </c>
      <c r="AL23" s="871">
        <v>0</v>
      </c>
      <c r="AM23" s="974">
        <v>0</v>
      </c>
      <c r="AN23" s="73" t="e">
        <f t="shared" si="13"/>
        <v>#DIV/0!</v>
      </c>
      <c r="AO23" s="871">
        <v>0</v>
      </c>
      <c r="AP23" s="974">
        <v>0</v>
      </c>
      <c r="AQ23" s="73" t="e">
        <f t="shared" si="14"/>
        <v>#DIV/0!</v>
      </c>
      <c r="AR23" s="871">
        <v>0</v>
      </c>
      <c r="AS23" s="974"/>
      <c r="AT23" s="73" t="e">
        <f t="shared" si="15"/>
        <v>#DIV/0!</v>
      </c>
      <c r="AU23" s="871">
        <v>0.64100000000000001</v>
      </c>
      <c r="AV23" s="974">
        <v>0.84</v>
      </c>
      <c r="AW23" s="73">
        <f t="shared" si="16"/>
        <v>1.3104524180967239</v>
      </c>
      <c r="AX23" s="975">
        <f>+AV23</f>
        <v>0.84</v>
      </c>
      <c r="AY23" s="956">
        <f t="shared" si="18"/>
        <v>1.3104524180967239</v>
      </c>
      <c r="AZ23" s="958"/>
      <c r="BA23" s="958"/>
      <c r="BB23" s="958"/>
      <c r="BC23" s="958"/>
      <c r="BD23" s="958"/>
      <c r="BE23" s="958"/>
      <c r="BF23" s="958"/>
      <c r="BG23" s="958"/>
      <c r="BH23" s="958"/>
      <c r="BI23" s="958"/>
      <c r="BJ23" s="958"/>
      <c r="BK23" s="958"/>
      <c r="BL23" s="958"/>
      <c r="BM23" s="958"/>
      <c r="BN23" s="958"/>
      <c r="BO23" s="958"/>
      <c r="BP23" s="958"/>
      <c r="BQ23" s="958"/>
      <c r="BR23" s="958"/>
      <c r="BS23" s="958"/>
      <c r="BT23" s="958"/>
      <c r="BU23" s="958"/>
      <c r="BV23" s="958"/>
      <c r="BW23" s="958"/>
      <c r="BX23" s="958"/>
      <c r="BY23" s="958"/>
      <c r="BZ23" s="958"/>
      <c r="CA23" s="958"/>
      <c r="CB23" s="958"/>
      <c r="CC23" s="958"/>
      <c r="CD23" s="958"/>
      <c r="CE23" s="958"/>
      <c r="CF23" s="958"/>
      <c r="CG23" s="958"/>
      <c r="CH23" s="958"/>
      <c r="CI23" s="958"/>
      <c r="CJ23" s="958"/>
      <c r="CK23" s="958"/>
      <c r="CL23" s="958"/>
      <c r="CM23" s="958"/>
      <c r="CN23" s="958"/>
      <c r="CO23" s="958"/>
      <c r="CP23" s="958"/>
      <c r="CQ23" s="958"/>
      <c r="CR23" s="958"/>
      <c r="CS23" s="958"/>
      <c r="CT23" s="958"/>
      <c r="CU23" s="958"/>
      <c r="CV23" s="958"/>
      <c r="CW23" s="958"/>
      <c r="CX23" s="958"/>
      <c r="CY23" s="958"/>
      <c r="CZ23" s="958"/>
      <c r="DA23" s="958"/>
      <c r="DB23" s="958"/>
      <c r="DC23" s="958"/>
      <c r="DD23" s="958"/>
      <c r="DE23" s="958"/>
      <c r="DF23" s="958"/>
      <c r="DG23" s="958"/>
      <c r="DH23" s="958"/>
      <c r="DI23" s="958"/>
      <c r="DJ23" s="958"/>
      <c r="DK23" s="958"/>
      <c r="DL23" s="958"/>
      <c r="DM23" s="958"/>
      <c r="DN23" s="958"/>
      <c r="DO23" s="958"/>
      <c r="DP23" s="958"/>
      <c r="DQ23" s="958"/>
      <c r="DR23" s="958"/>
      <c r="DS23" s="958"/>
      <c r="DT23" s="958"/>
      <c r="DU23" s="958"/>
      <c r="DV23" s="958"/>
      <c r="DW23" s="958"/>
      <c r="DX23" s="958"/>
      <c r="DY23" s="958"/>
      <c r="DZ23" s="958"/>
      <c r="EA23" s="958"/>
      <c r="EB23" s="958"/>
      <c r="EC23" s="958"/>
      <c r="ED23" s="958"/>
      <c r="EE23" s="958"/>
      <c r="EF23" s="958"/>
      <c r="EG23" s="958"/>
      <c r="EH23" s="958"/>
      <c r="EI23" s="958"/>
      <c r="EJ23" s="958"/>
      <c r="EK23" s="958"/>
      <c r="EL23" s="958"/>
      <c r="EM23" s="958"/>
      <c r="EN23" s="958"/>
      <c r="EO23" s="958"/>
      <c r="EP23" s="958"/>
      <c r="EQ23" s="958"/>
      <c r="ER23" s="958"/>
      <c r="ES23" s="958"/>
      <c r="ET23" s="958"/>
      <c r="EU23" s="958"/>
      <c r="EV23" s="958"/>
      <c r="EW23" s="958"/>
      <c r="EX23" s="958"/>
      <c r="EY23" s="958"/>
      <c r="EZ23" s="958"/>
      <c r="FA23" s="958"/>
      <c r="FB23" s="958"/>
      <c r="FC23" s="958"/>
      <c r="FD23" s="958"/>
      <c r="FE23" s="958"/>
      <c r="FF23" s="958"/>
      <c r="FG23" s="958"/>
      <c r="FH23" s="958"/>
      <c r="FI23" s="958"/>
      <c r="FJ23" s="958"/>
      <c r="FK23" s="958"/>
      <c r="FL23" s="958"/>
      <c r="FM23" s="958"/>
      <c r="FN23" s="958"/>
      <c r="FO23" s="958"/>
      <c r="FP23" s="958"/>
      <c r="FQ23" s="958"/>
      <c r="FR23" s="958"/>
      <c r="FS23" s="958"/>
      <c r="FT23" s="958"/>
      <c r="FU23" s="958"/>
      <c r="FV23" s="958"/>
      <c r="FW23" s="958"/>
      <c r="FX23" s="958"/>
      <c r="FY23" s="958"/>
      <c r="FZ23" s="958"/>
      <c r="GA23" s="958"/>
      <c r="GB23" s="958"/>
      <c r="GC23" s="958"/>
      <c r="GD23" s="958"/>
      <c r="GE23" s="958"/>
      <c r="GF23" s="958"/>
      <c r="GG23" s="958"/>
      <c r="GH23" s="958"/>
      <c r="GI23" s="958"/>
      <c r="GJ23" s="958"/>
      <c r="GK23" s="958"/>
      <c r="GL23" s="958"/>
      <c r="GM23" s="958"/>
      <c r="GN23" s="958"/>
      <c r="GO23" s="958"/>
      <c r="GP23" s="958"/>
      <c r="GQ23" s="958"/>
      <c r="GR23" s="958"/>
      <c r="GS23" s="958"/>
      <c r="GT23" s="958"/>
      <c r="GU23" s="958"/>
      <c r="GV23" s="958"/>
      <c r="GW23" s="958"/>
      <c r="GX23" s="958"/>
      <c r="GY23" s="958"/>
      <c r="GZ23" s="958"/>
      <c r="HA23" s="958"/>
      <c r="HB23" s="958"/>
      <c r="HC23" s="958"/>
      <c r="HD23" s="958"/>
      <c r="HE23" s="958"/>
      <c r="HF23" s="958"/>
      <c r="HG23" s="958"/>
      <c r="HH23" s="958"/>
      <c r="HI23" s="958"/>
      <c r="HJ23" s="958"/>
      <c r="HK23" s="958"/>
      <c r="HL23" s="958"/>
      <c r="HM23" s="958"/>
      <c r="HN23" s="958"/>
      <c r="HO23" s="958"/>
      <c r="HP23" s="958"/>
      <c r="HQ23" s="958"/>
      <c r="HR23" s="958"/>
      <c r="HS23" s="958"/>
      <c r="HT23" s="958"/>
      <c r="HU23" s="958"/>
      <c r="HV23" s="958"/>
      <c r="HW23" s="958"/>
      <c r="HX23" s="958"/>
      <c r="HY23" s="958"/>
      <c r="HZ23" s="958"/>
      <c r="IA23" s="958"/>
      <c r="IB23" s="958"/>
      <c r="IC23" s="958"/>
      <c r="ID23" s="958"/>
      <c r="IE23" s="958"/>
      <c r="IF23" s="958"/>
      <c r="IG23" s="958"/>
      <c r="IH23" s="958"/>
      <c r="II23" s="958"/>
      <c r="IJ23" s="958"/>
      <c r="IK23" s="958"/>
      <c r="IL23" s="958"/>
      <c r="IM23" s="958"/>
      <c r="IN23" s="958"/>
      <c r="IO23" s="958"/>
      <c r="IP23" s="958"/>
      <c r="IQ23" s="958"/>
      <c r="IR23" s="958"/>
      <c r="IS23" s="958"/>
      <c r="IT23" s="958"/>
      <c r="IU23" s="958"/>
      <c r="IV23" s="958"/>
      <c r="IW23" s="958"/>
      <c r="IX23" s="958"/>
      <c r="IY23" s="958"/>
      <c r="IZ23" s="958"/>
      <c r="JA23" s="958"/>
      <c r="JB23" s="958"/>
      <c r="JC23" s="958"/>
      <c r="JD23" s="958"/>
      <c r="JE23" s="958"/>
      <c r="JF23" s="958"/>
      <c r="JG23" s="958"/>
      <c r="JH23" s="958"/>
      <c r="JI23" s="958"/>
      <c r="JJ23" s="958"/>
      <c r="JK23" s="958"/>
      <c r="JL23" s="958"/>
      <c r="JM23" s="958"/>
      <c r="JN23" s="958"/>
      <c r="JO23" s="958"/>
      <c r="JP23" s="958"/>
      <c r="JQ23" s="958"/>
      <c r="JR23" s="958"/>
      <c r="JS23" s="958"/>
      <c r="JT23" s="958"/>
      <c r="JU23" s="958"/>
      <c r="JV23" s="958"/>
      <c r="JW23" s="958"/>
      <c r="JX23" s="958"/>
      <c r="JY23" s="958"/>
      <c r="JZ23" s="958"/>
      <c r="KA23" s="958"/>
      <c r="KB23" s="958"/>
      <c r="KC23" s="958"/>
      <c r="KD23" s="958"/>
      <c r="KE23" s="958"/>
      <c r="KF23" s="958"/>
      <c r="KG23" s="958"/>
      <c r="KH23" s="958"/>
      <c r="KI23" s="958"/>
      <c r="KJ23" s="958"/>
      <c r="KK23" s="958"/>
      <c r="KL23" s="958"/>
      <c r="KM23" s="958"/>
      <c r="KN23" s="958"/>
      <c r="KO23" s="958"/>
      <c r="KP23" s="958"/>
      <c r="KQ23" s="958"/>
      <c r="KR23" s="958"/>
      <c r="KS23" s="958"/>
      <c r="KT23" s="958"/>
      <c r="KU23" s="958"/>
      <c r="KV23" s="958"/>
      <c r="KW23" s="958"/>
      <c r="KX23" s="958"/>
      <c r="KY23" s="958"/>
      <c r="KZ23" s="958"/>
      <c r="LA23" s="958"/>
      <c r="LB23" s="958"/>
      <c r="LC23" s="958"/>
      <c r="LD23" s="958"/>
      <c r="LE23" s="958"/>
      <c r="LF23" s="958"/>
      <c r="LG23" s="958"/>
      <c r="LH23" s="958"/>
      <c r="LI23" s="958"/>
      <c r="LJ23" s="958"/>
      <c r="LK23" s="958"/>
      <c r="LL23" s="958"/>
      <c r="LM23" s="958"/>
      <c r="LN23" s="958"/>
      <c r="LO23" s="958"/>
      <c r="LP23" s="958"/>
      <c r="LQ23" s="958"/>
      <c r="LR23" s="958"/>
      <c r="LS23" s="958"/>
      <c r="LT23" s="958"/>
      <c r="LU23" s="958"/>
      <c r="LV23" s="958"/>
      <c r="LW23" s="958"/>
      <c r="LX23" s="958"/>
      <c r="LY23" s="958"/>
      <c r="LZ23" s="958"/>
      <c r="MA23" s="958"/>
      <c r="MB23" s="958"/>
      <c r="MC23" s="958"/>
      <c r="MD23" s="958"/>
      <c r="ME23" s="958"/>
      <c r="MF23" s="958"/>
      <c r="MG23" s="958"/>
      <c r="MH23" s="958"/>
      <c r="MI23" s="958"/>
      <c r="MJ23" s="958"/>
      <c r="MK23" s="958"/>
      <c r="ML23" s="958"/>
      <c r="MM23" s="958"/>
      <c r="MN23" s="958"/>
      <c r="MO23" s="958"/>
      <c r="MP23" s="958"/>
      <c r="MQ23" s="958"/>
      <c r="MR23" s="958"/>
      <c r="MS23" s="958"/>
      <c r="MT23" s="958"/>
      <c r="MU23" s="958"/>
      <c r="MV23" s="958"/>
      <c r="MW23" s="958"/>
      <c r="MX23" s="958"/>
      <c r="MY23" s="958"/>
      <c r="MZ23" s="958"/>
      <c r="NA23" s="958"/>
      <c r="NB23" s="958"/>
      <c r="NC23" s="958"/>
      <c r="ND23" s="958"/>
      <c r="NE23" s="958"/>
      <c r="NF23" s="958"/>
      <c r="NG23" s="958"/>
      <c r="NH23" s="958"/>
      <c r="NI23" s="958"/>
      <c r="NJ23" s="958"/>
      <c r="NK23" s="958"/>
      <c r="NL23" s="958"/>
      <c r="NM23" s="958"/>
      <c r="NN23" s="958"/>
      <c r="NO23" s="958"/>
      <c r="NP23" s="958"/>
      <c r="NQ23" s="958"/>
      <c r="NR23" s="958"/>
      <c r="NS23" s="958"/>
      <c r="NT23" s="958"/>
      <c r="NU23" s="958"/>
      <c r="NV23" s="958"/>
      <c r="NW23" s="958"/>
      <c r="NX23" s="958"/>
      <c r="NY23" s="958"/>
      <c r="NZ23" s="958"/>
      <c r="OA23" s="958"/>
      <c r="OB23" s="958"/>
      <c r="OC23" s="958"/>
      <c r="OD23" s="958"/>
      <c r="OE23" s="958"/>
      <c r="OF23" s="958"/>
      <c r="OG23" s="958"/>
      <c r="OH23" s="958"/>
      <c r="OI23" s="958"/>
      <c r="OJ23" s="958"/>
      <c r="OK23" s="958"/>
      <c r="OL23" s="958"/>
      <c r="OM23" s="958"/>
      <c r="ON23" s="958"/>
      <c r="OO23" s="958"/>
      <c r="OP23" s="958"/>
      <c r="OQ23" s="958"/>
      <c r="OR23" s="958"/>
      <c r="OS23" s="958"/>
      <c r="OT23" s="958"/>
      <c r="OU23" s="958"/>
      <c r="OV23" s="958"/>
      <c r="OW23" s="958"/>
      <c r="OX23" s="958"/>
      <c r="OY23" s="958"/>
      <c r="OZ23" s="958"/>
      <c r="PA23" s="958"/>
      <c r="PB23" s="958"/>
      <c r="PC23" s="958"/>
      <c r="PD23" s="958"/>
      <c r="PE23" s="958"/>
      <c r="PF23" s="958"/>
      <c r="PG23" s="958"/>
      <c r="PH23" s="958"/>
      <c r="PI23" s="958"/>
      <c r="PJ23" s="958"/>
      <c r="PK23" s="958"/>
      <c r="PL23" s="958"/>
      <c r="PM23" s="958"/>
      <c r="PN23" s="958"/>
      <c r="PO23" s="958"/>
      <c r="PP23" s="958"/>
      <c r="PQ23" s="958"/>
      <c r="PR23" s="958"/>
      <c r="PS23" s="958"/>
      <c r="PT23" s="958"/>
      <c r="PU23" s="958"/>
      <c r="PV23" s="958"/>
      <c r="PW23" s="958"/>
      <c r="PX23" s="958"/>
      <c r="PY23" s="958"/>
      <c r="PZ23" s="958"/>
      <c r="QA23" s="958"/>
      <c r="QB23" s="958"/>
      <c r="QC23" s="958"/>
      <c r="QD23" s="958"/>
      <c r="QE23" s="958"/>
      <c r="QF23" s="958"/>
      <c r="QG23" s="958"/>
      <c r="QH23" s="958"/>
      <c r="QI23" s="958"/>
      <c r="QJ23" s="958"/>
      <c r="QK23" s="958"/>
      <c r="QL23" s="958"/>
      <c r="QM23" s="958"/>
      <c r="QN23" s="958"/>
      <c r="QO23" s="958"/>
      <c r="QP23" s="958"/>
      <c r="QQ23" s="958"/>
      <c r="QR23" s="958"/>
      <c r="QS23" s="958"/>
      <c r="QT23" s="958"/>
      <c r="QU23" s="958"/>
      <c r="QV23" s="958"/>
      <c r="QW23" s="958"/>
      <c r="QX23" s="958"/>
      <c r="QY23" s="958"/>
      <c r="QZ23" s="958"/>
      <c r="RA23" s="958"/>
      <c r="RB23" s="958"/>
      <c r="RC23" s="958"/>
      <c r="RD23" s="958"/>
      <c r="RE23" s="958"/>
      <c r="RF23" s="958"/>
      <c r="RG23" s="958"/>
      <c r="RH23" s="958"/>
      <c r="RI23" s="958"/>
      <c r="RJ23" s="958"/>
      <c r="RK23" s="958"/>
      <c r="RL23" s="958"/>
      <c r="RM23" s="958"/>
      <c r="RN23" s="958"/>
      <c r="RO23" s="958"/>
      <c r="RP23" s="958"/>
      <c r="RQ23" s="958"/>
      <c r="RR23" s="958"/>
      <c r="RS23" s="958"/>
      <c r="RT23" s="958"/>
      <c r="RU23" s="958"/>
      <c r="RV23" s="958"/>
      <c r="RW23" s="958"/>
      <c r="RX23" s="958"/>
      <c r="RY23" s="958"/>
      <c r="RZ23" s="958"/>
      <c r="SA23" s="958"/>
      <c r="SB23" s="958"/>
      <c r="SC23" s="958"/>
      <c r="SD23" s="958"/>
      <c r="SE23" s="958"/>
      <c r="SF23" s="958"/>
      <c r="SG23" s="958"/>
      <c r="SH23" s="958"/>
      <c r="SI23" s="958"/>
      <c r="SJ23" s="958"/>
      <c r="SK23" s="958"/>
      <c r="SL23" s="958"/>
      <c r="SM23" s="958"/>
      <c r="SN23" s="958"/>
      <c r="SO23" s="958"/>
      <c r="SP23" s="958"/>
      <c r="SQ23" s="958"/>
      <c r="SR23" s="958"/>
      <c r="SS23" s="958"/>
      <c r="ST23" s="958"/>
      <c r="SU23" s="958"/>
      <c r="SV23" s="958"/>
      <c r="SW23" s="958"/>
      <c r="SX23" s="958"/>
      <c r="SY23" s="958"/>
      <c r="SZ23" s="958"/>
      <c r="TA23" s="958"/>
      <c r="TB23" s="958"/>
      <c r="TC23" s="958"/>
      <c r="TD23" s="958"/>
      <c r="TE23" s="958"/>
      <c r="TF23" s="958"/>
      <c r="TG23" s="958"/>
      <c r="TH23" s="958"/>
      <c r="TI23" s="958"/>
      <c r="TJ23" s="958"/>
      <c r="TK23" s="958"/>
      <c r="TL23" s="958"/>
      <c r="TM23" s="958"/>
      <c r="TN23" s="958"/>
      <c r="TO23" s="958"/>
      <c r="TP23" s="958"/>
      <c r="TQ23" s="958"/>
      <c r="TR23" s="958"/>
      <c r="TS23" s="958"/>
      <c r="TT23" s="958"/>
      <c r="TU23" s="958"/>
      <c r="TV23" s="958"/>
      <c r="TW23" s="958"/>
      <c r="TX23" s="958"/>
      <c r="TY23" s="958"/>
      <c r="TZ23" s="958"/>
      <c r="UA23" s="958"/>
      <c r="UB23" s="958"/>
      <c r="UC23" s="958"/>
      <c r="UD23" s="958"/>
      <c r="UE23" s="958"/>
      <c r="UF23" s="958"/>
      <c r="UG23" s="958"/>
      <c r="UH23" s="958"/>
      <c r="UI23" s="958"/>
      <c r="UJ23" s="958"/>
      <c r="UK23" s="958"/>
      <c r="UL23" s="958"/>
      <c r="UM23" s="958"/>
      <c r="UN23" s="958"/>
      <c r="UO23" s="958"/>
      <c r="UP23" s="958"/>
      <c r="UQ23" s="958"/>
      <c r="UR23" s="958"/>
      <c r="US23" s="958"/>
      <c r="UT23" s="958"/>
      <c r="UU23" s="958"/>
      <c r="UV23" s="958"/>
      <c r="UW23" s="958"/>
      <c r="UX23" s="958"/>
      <c r="UY23" s="958"/>
      <c r="UZ23" s="958"/>
      <c r="VA23" s="958"/>
      <c r="VB23" s="958"/>
      <c r="VC23" s="958"/>
      <c r="VD23" s="958"/>
      <c r="VE23" s="958"/>
      <c r="VF23" s="958"/>
      <c r="VG23" s="958"/>
      <c r="VH23" s="958"/>
      <c r="VI23" s="958"/>
      <c r="VJ23" s="958"/>
      <c r="VK23" s="958"/>
      <c r="VL23" s="958"/>
      <c r="VM23" s="958"/>
      <c r="VN23" s="958"/>
      <c r="VO23" s="958"/>
      <c r="VP23" s="958"/>
      <c r="VQ23" s="958"/>
      <c r="VR23" s="958"/>
      <c r="VS23" s="958"/>
      <c r="VT23" s="958"/>
      <c r="VU23" s="958"/>
      <c r="VV23" s="958"/>
      <c r="VW23" s="958"/>
      <c r="VX23" s="958"/>
      <c r="VY23" s="958"/>
      <c r="VZ23" s="958"/>
      <c r="WA23" s="958"/>
      <c r="WB23" s="958"/>
      <c r="WC23" s="958"/>
      <c r="WD23" s="958"/>
      <c r="WE23" s="958"/>
      <c r="WF23" s="958"/>
      <c r="WG23" s="958"/>
      <c r="WH23" s="958"/>
      <c r="WI23" s="958"/>
      <c r="WJ23" s="958"/>
      <c r="WK23" s="958"/>
      <c r="WL23" s="958"/>
      <c r="WM23" s="958"/>
      <c r="WN23" s="958"/>
      <c r="WO23" s="958"/>
      <c r="WP23" s="958"/>
      <c r="WQ23" s="958"/>
      <c r="WR23" s="958"/>
      <c r="WS23" s="958"/>
      <c r="WT23" s="958"/>
      <c r="WU23" s="958"/>
      <c r="WV23" s="958"/>
      <c r="WW23" s="958"/>
      <c r="WX23" s="958"/>
      <c r="WY23" s="958"/>
      <c r="WZ23" s="958"/>
      <c r="XA23" s="958"/>
      <c r="XB23" s="958"/>
      <c r="XC23" s="958"/>
      <c r="XD23" s="958"/>
      <c r="XE23" s="958"/>
      <c r="XF23" s="958"/>
      <c r="XG23" s="958"/>
      <c r="XH23" s="958"/>
      <c r="XI23" s="958"/>
      <c r="XJ23" s="958"/>
      <c r="XK23" s="958"/>
      <c r="XL23" s="958"/>
      <c r="XM23" s="958"/>
      <c r="XN23" s="958"/>
      <c r="XO23" s="958"/>
      <c r="XP23" s="958"/>
      <c r="XQ23" s="958"/>
      <c r="XR23" s="958"/>
      <c r="XS23" s="958"/>
      <c r="XT23" s="958"/>
      <c r="XU23" s="958"/>
      <c r="XV23" s="958"/>
      <c r="XW23" s="958"/>
      <c r="XX23" s="958"/>
      <c r="XY23" s="958"/>
      <c r="XZ23" s="958"/>
      <c r="YA23" s="958"/>
      <c r="YB23" s="958"/>
      <c r="YC23" s="958"/>
      <c r="YD23" s="958"/>
      <c r="YE23" s="958"/>
      <c r="YF23" s="958"/>
      <c r="YG23" s="958"/>
      <c r="YH23" s="958"/>
      <c r="YI23" s="958"/>
      <c r="YJ23" s="958"/>
      <c r="YK23" s="958"/>
      <c r="YL23" s="958"/>
      <c r="YM23" s="958"/>
      <c r="YN23" s="958"/>
      <c r="YO23" s="958"/>
      <c r="YP23" s="958"/>
      <c r="YQ23" s="958"/>
      <c r="YR23" s="958"/>
      <c r="YS23" s="958"/>
      <c r="YT23" s="958"/>
      <c r="YU23" s="958"/>
      <c r="YV23" s="958"/>
      <c r="YW23" s="958"/>
      <c r="YX23" s="958"/>
      <c r="YY23" s="958"/>
      <c r="YZ23" s="958"/>
      <c r="ZA23" s="958"/>
      <c r="ZB23" s="958"/>
      <c r="ZC23" s="958"/>
      <c r="ZD23" s="958"/>
      <c r="ZE23" s="958"/>
      <c r="ZF23" s="958"/>
      <c r="ZG23" s="958"/>
      <c r="ZH23" s="958"/>
      <c r="ZI23" s="958"/>
      <c r="ZJ23" s="958"/>
      <c r="ZK23" s="958"/>
      <c r="ZL23" s="958"/>
      <c r="ZM23" s="958"/>
      <c r="ZN23" s="958"/>
      <c r="ZO23" s="958"/>
      <c r="ZP23" s="958"/>
      <c r="ZQ23" s="958"/>
      <c r="ZR23" s="958"/>
      <c r="ZS23" s="958"/>
      <c r="ZT23" s="958"/>
      <c r="ZU23" s="958"/>
      <c r="ZV23" s="958"/>
      <c r="ZW23" s="958"/>
      <c r="ZX23" s="958"/>
      <c r="ZY23" s="958"/>
      <c r="ZZ23" s="958"/>
      <c r="AAA23" s="958"/>
      <c r="AAB23" s="958"/>
      <c r="AAC23" s="958"/>
      <c r="AAD23" s="958"/>
      <c r="AAE23" s="958"/>
      <c r="AAF23" s="958"/>
      <c r="AAG23" s="958"/>
      <c r="AAH23" s="958"/>
      <c r="AAI23" s="958"/>
      <c r="AAJ23" s="958"/>
      <c r="AAK23" s="958"/>
      <c r="AAL23" s="958"/>
      <c r="AAM23" s="958"/>
      <c r="AAN23" s="958"/>
      <c r="AAO23" s="958"/>
      <c r="AAP23" s="958"/>
      <c r="AAQ23" s="958"/>
      <c r="AAR23" s="958"/>
      <c r="AAS23" s="958"/>
      <c r="AAT23" s="958"/>
      <c r="AAU23" s="958"/>
      <c r="AAV23" s="958"/>
      <c r="AAW23" s="958"/>
      <c r="AAX23" s="958"/>
      <c r="AAY23" s="958"/>
      <c r="AAZ23" s="958"/>
      <c r="ABA23" s="958"/>
      <c r="ABB23" s="958"/>
      <c r="ABC23" s="958"/>
      <c r="ABD23" s="958"/>
      <c r="ABE23" s="958"/>
      <c r="ABF23" s="958"/>
      <c r="ABG23" s="958"/>
      <c r="ABH23" s="958"/>
      <c r="ABI23" s="958"/>
      <c r="ABJ23" s="958"/>
      <c r="ABK23" s="958"/>
      <c r="ABL23" s="958"/>
      <c r="ABM23" s="958"/>
      <c r="ABN23" s="958"/>
      <c r="ABO23" s="958"/>
      <c r="ABP23" s="958"/>
      <c r="ABQ23" s="958"/>
      <c r="ABR23" s="958"/>
      <c r="ABS23" s="958"/>
      <c r="ABT23" s="958"/>
      <c r="ABU23" s="958"/>
      <c r="ABV23" s="958"/>
      <c r="ABW23" s="958"/>
      <c r="ABX23" s="958"/>
      <c r="ABY23" s="958"/>
      <c r="ABZ23" s="958"/>
      <c r="ACA23" s="958"/>
      <c r="ACB23" s="958"/>
      <c r="ACC23" s="958"/>
      <c r="ACD23" s="958"/>
      <c r="ACE23" s="958"/>
      <c r="ACF23" s="958"/>
      <c r="ACG23" s="958"/>
      <c r="ACH23" s="958"/>
      <c r="ACI23" s="958"/>
      <c r="ACJ23" s="958"/>
      <c r="ACK23" s="958"/>
      <c r="ACL23" s="958"/>
      <c r="ACM23" s="958"/>
      <c r="ACN23" s="958"/>
      <c r="ACO23" s="958"/>
      <c r="ACP23" s="958"/>
      <c r="ACQ23" s="958"/>
      <c r="ACR23" s="958"/>
      <c r="ACS23" s="958"/>
      <c r="ACT23" s="958"/>
      <c r="ACU23" s="958"/>
      <c r="ACV23" s="958"/>
      <c r="ACW23" s="958"/>
      <c r="ACX23" s="958"/>
      <c r="ACY23" s="958"/>
      <c r="ACZ23" s="958"/>
      <c r="ADA23" s="958"/>
      <c r="ADB23" s="958"/>
      <c r="ADC23" s="958"/>
      <c r="ADD23" s="958"/>
      <c r="ADE23" s="958"/>
      <c r="ADF23" s="958"/>
      <c r="ADG23" s="958"/>
      <c r="ADH23" s="958"/>
      <c r="ADI23" s="958"/>
      <c r="ADJ23" s="958"/>
      <c r="ADK23" s="958"/>
      <c r="ADL23" s="958"/>
      <c r="ADM23" s="958"/>
      <c r="ADN23" s="958"/>
      <c r="ADO23" s="958"/>
      <c r="ADP23" s="958"/>
      <c r="ADQ23" s="958"/>
      <c r="ADR23" s="958"/>
      <c r="ADS23" s="958"/>
      <c r="ADT23" s="958"/>
      <c r="ADU23" s="958"/>
      <c r="ADV23" s="958"/>
      <c r="ADW23" s="958"/>
      <c r="ADX23" s="958"/>
      <c r="ADY23" s="958"/>
      <c r="ADZ23" s="958"/>
      <c r="AEA23" s="958"/>
      <c r="AEB23" s="958"/>
      <c r="AEC23" s="958"/>
      <c r="AED23" s="958"/>
      <c r="AEE23" s="958"/>
      <c r="AEF23" s="958"/>
      <c r="AEG23" s="958"/>
      <c r="AEH23" s="958"/>
      <c r="AEI23" s="958"/>
      <c r="AEJ23" s="958"/>
      <c r="AEK23" s="958"/>
      <c r="AEL23" s="958"/>
      <c r="AEM23" s="958"/>
      <c r="AEN23" s="958"/>
      <c r="AEO23" s="958"/>
      <c r="AEP23" s="958"/>
      <c r="AEQ23" s="958"/>
      <c r="AER23" s="958"/>
      <c r="AES23" s="958"/>
      <c r="AET23" s="958"/>
      <c r="AEU23" s="958"/>
      <c r="AEV23" s="958"/>
      <c r="AEW23" s="958"/>
      <c r="AEX23" s="958"/>
      <c r="AEY23" s="958"/>
      <c r="AEZ23" s="958"/>
      <c r="AFA23" s="958"/>
      <c r="AFB23" s="958"/>
      <c r="AFC23" s="958"/>
      <c r="AFD23" s="958"/>
      <c r="AFE23" s="958"/>
      <c r="AFF23" s="958"/>
      <c r="AFG23" s="958"/>
      <c r="AFH23" s="958"/>
      <c r="AFI23" s="958"/>
      <c r="AFJ23" s="958"/>
      <c r="AFK23" s="958"/>
      <c r="AFL23" s="958"/>
      <c r="AFM23" s="958"/>
      <c r="AFN23" s="958"/>
      <c r="AFO23" s="958"/>
      <c r="AFP23" s="958"/>
      <c r="AFQ23" s="958"/>
      <c r="AFR23" s="958"/>
      <c r="AFS23" s="958"/>
      <c r="AFT23" s="958"/>
      <c r="AFU23" s="958"/>
      <c r="AFV23" s="958"/>
      <c r="AFW23" s="958"/>
      <c r="AFX23" s="958"/>
      <c r="AFY23" s="958"/>
      <c r="AFZ23" s="958"/>
      <c r="AGA23" s="958"/>
      <c r="AGB23" s="958"/>
      <c r="AGC23" s="958"/>
      <c r="AGD23" s="958"/>
      <c r="AGE23" s="958"/>
      <c r="AGF23" s="958"/>
      <c r="AGG23" s="958"/>
      <c r="AGH23" s="958"/>
      <c r="AGI23" s="958"/>
      <c r="AGJ23" s="958"/>
      <c r="AGK23" s="958"/>
      <c r="AGL23" s="958"/>
      <c r="AGM23" s="958"/>
      <c r="AGN23" s="958"/>
      <c r="AGO23" s="958"/>
      <c r="AGP23" s="958"/>
      <c r="AGQ23" s="958"/>
      <c r="AGR23" s="958"/>
      <c r="AGS23" s="958"/>
      <c r="AGT23" s="958"/>
      <c r="AGU23" s="958"/>
      <c r="AGV23" s="958"/>
      <c r="AGW23" s="958"/>
      <c r="AGX23" s="958"/>
      <c r="AGY23" s="958"/>
      <c r="AGZ23" s="958"/>
      <c r="AHA23" s="958"/>
      <c r="AHB23" s="958"/>
      <c r="AHC23" s="958"/>
      <c r="AHD23" s="958"/>
      <c r="AHE23" s="958"/>
      <c r="AHF23" s="958"/>
      <c r="AHG23" s="958"/>
      <c r="AHH23" s="958"/>
      <c r="AHI23" s="958"/>
      <c r="AHJ23" s="958"/>
      <c r="AHK23" s="958"/>
      <c r="AHL23" s="958"/>
      <c r="AHM23" s="958"/>
      <c r="AHN23" s="958"/>
      <c r="AHO23" s="958"/>
      <c r="AHP23" s="958"/>
      <c r="AHQ23" s="958"/>
      <c r="AHR23" s="958"/>
      <c r="AHS23" s="958"/>
      <c r="AHT23" s="958"/>
      <c r="AHU23" s="958"/>
      <c r="AHV23" s="958"/>
      <c r="AHW23" s="958"/>
      <c r="AHX23" s="958"/>
      <c r="AHY23" s="958"/>
      <c r="AHZ23" s="958"/>
      <c r="AIA23" s="958"/>
      <c r="AIB23" s="958"/>
      <c r="AIC23" s="958"/>
      <c r="AID23" s="958"/>
      <c r="AIE23" s="958"/>
      <c r="AIF23" s="958"/>
      <c r="AIG23" s="958"/>
      <c r="AIH23" s="958"/>
      <c r="AII23" s="958"/>
      <c r="AIJ23" s="958"/>
      <c r="AIK23" s="958"/>
      <c r="AIL23" s="958"/>
      <c r="AIM23" s="958"/>
      <c r="AIN23" s="958"/>
      <c r="AIO23" s="958"/>
      <c r="AIP23" s="958"/>
      <c r="AIQ23" s="958"/>
      <c r="AIR23" s="958"/>
      <c r="AIS23" s="958"/>
      <c r="AIT23" s="958"/>
      <c r="AIU23" s="958"/>
      <c r="AIV23" s="958"/>
      <c r="AIW23" s="958"/>
      <c r="AIX23" s="958"/>
      <c r="AIY23" s="958"/>
      <c r="AIZ23" s="958"/>
      <c r="AJA23" s="958"/>
      <c r="AJB23" s="958"/>
      <c r="AJC23" s="958"/>
      <c r="AJD23" s="958"/>
      <c r="AJE23" s="958"/>
      <c r="AJF23" s="958"/>
      <c r="AJG23" s="958"/>
      <c r="AJH23" s="958"/>
      <c r="AJI23" s="958"/>
      <c r="AJJ23" s="958"/>
      <c r="AJK23" s="958"/>
      <c r="AJL23" s="958"/>
      <c r="AJM23" s="958"/>
      <c r="AJN23" s="958"/>
      <c r="AJO23" s="958"/>
      <c r="AJP23" s="958"/>
      <c r="AJQ23" s="958"/>
      <c r="AJR23" s="958"/>
      <c r="AJS23" s="958"/>
      <c r="AJT23" s="958"/>
      <c r="AJU23" s="958"/>
      <c r="AJV23" s="958"/>
      <c r="AJW23" s="958"/>
      <c r="AJX23" s="958"/>
      <c r="AJY23" s="958"/>
      <c r="AJZ23" s="958"/>
      <c r="AKA23" s="958"/>
      <c r="AKB23" s="958"/>
      <c r="AKC23" s="958"/>
      <c r="AKD23" s="958"/>
      <c r="AKE23" s="958"/>
      <c r="AKF23" s="958"/>
      <c r="AKG23" s="958"/>
      <c r="AKH23" s="958"/>
      <c r="AKI23" s="958"/>
      <c r="AKJ23" s="958"/>
      <c r="AKK23" s="958"/>
      <c r="AKL23" s="958"/>
      <c r="AKM23" s="958"/>
      <c r="AKN23" s="958"/>
      <c r="AKO23" s="958"/>
      <c r="AKP23" s="958"/>
      <c r="AKQ23" s="958"/>
      <c r="AKR23" s="958"/>
      <c r="AKS23" s="958"/>
      <c r="AKT23" s="958"/>
      <c r="AKU23" s="958"/>
      <c r="AKV23" s="958"/>
      <c r="AKW23" s="958"/>
      <c r="AKX23" s="958"/>
      <c r="AKY23" s="958"/>
      <c r="AKZ23" s="958"/>
      <c r="ALA23" s="958"/>
      <c r="ALB23" s="958"/>
      <c r="ALC23" s="958"/>
      <c r="ALD23" s="958"/>
      <c r="ALE23" s="958"/>
      <c r="ALF23" s="958"/>
      <c r="ALG23" s="958"/>
      <c r="ALH23" s="958"/>
      <c r="ALI23" s="958"/>
      <c r="ALJ23" s="958"/>
      <c r="ALK23" s="958"/>
      <c r="ALL23" s="958"/>
      <c r="ALM23" s="958"/>
      <c r="ALN23" s="958"/>
      <c r="ALO23" s="958"/>
      <c r="ALP23" s="958"/>
      <c r="ALQ23" s="958"/>
      <c r="ALR23" s="958"/>
      <c r="ALS23" s="958"/>
      <c r="ALT23" s="958"/>
      <c r="ALU23" s="958"/>
      <c r="ALV23" s="958"/>
      <c r="ALW23" s="958"/>
      <c r="ALX23" s="958"/>
      <c r="ALY23" s="958"/>
      <c r="ALZ23" s="958"/>
      <c r="AMA23" s="958"/>
      <c r="AMB23" s="958"/>
      <c r="AMC23" s="958"/>
      <c r="AMD23" s="958"/>
      <c r="AME23" s="958"/>
      <c r="AMF23" s="958"/>
      <c r="AMG23" s="958"/>
      <c r="AMH23" s="958"/>
      <c r="AMI23" s="958"/>
      <c r="AMJ23" s="958"/>
      <c r="AMK23" s="958"/>
      <c r="AML23" s="958"/>
      <c r="AMM23" s="958"/>
      <c r="AMN23" s="958"/>
      <c r="AMO23" s="958"/>
      <c r="AMP23" s="958"/>
      <c r="AMQ23" s="958"/>
      <c r="AMR23" s="958"/>
      <c r="AMS23" s="958"/>
      <c r="AMT23" s="958"/>
      <c r="AMU23" s="958"/>
      <c r="AMV23" s="958"/>
      <c r="AMW23" s="958"/>
      <c r="AMX23" s="958"/>
      <c r="AMY23" s="958"/>
      <c r="AMZ23" s="958"/>
      <c r="ANA23" s="958"/>
      <c r="ANB23" s="958"/>
      <c r="ANC23" s="958"/>
      <c r="AND23" s="958"/>
      <c r="ANE23" s="958"/>
      <c r="ANF23" s="958"/>
      <c r="ANG23" s="958"/>
      <c r="ANH23" s="958"/>
      <c r="ANI23" s="958"/>
      <c r="ANJ23" s="958"/>
      <c r="ANK23" s="958"/>
      <c r="ANL23" s="958"/>
      <c r="ANM23" s="958"/>
      <c r="ANN23" s="958"/>
      <c r="ANO23" s="958"/>
      <c r="ANP23" s="958"/>
      <c r="ANQ23" s="958"/>
      <c r="ANR23" s="958"/>
      <c r="ANS23" s="958"/>
      <c r="ANT23" s="958"/>
      <c r="ANU23" s="958"/>
      <c r="ANV23" s="958"/>
      <c r="ANW23" s="958"/>
      <c r="ANX23" s="958"/>
      <c r="ANY23" s="958"/>
      <c r="ANZ23" s="958"/>
      <c r="AOA23" s="958"/>
      <c r="AOB23" s="958"/>
      <c r="AOC23" s="958"/>
      <c r="AOD23" s="958"/>
      <c r="AOE23" s="958"/>
      <c r="AOF23" s="958"/>
      <c r="AOG23" s="958"/>
      <c r="AOH23" s="958"/>
      <c r="AOI23" s="958"/>
      <c r="AOJ23" s="958"/>
      <c r="AOK23" s="958"/>
      <c r="AOL23" s="958"/>
      <c r="AOM23" s="958"/>
      <c r="AON23" s="958"/>
      <c r="AOO23" s="958"/>
      <c r="AOP23" s="958"/>
      <c r="AOQ23" s="958"/>
      <c r="AOR23" s="958"/>
      <c r="AOS23" s="958"/>
      <c r="AOT23" s="958"/>
      <c r="AOU23" s="958"/>
      <c r="AOV23" s="958"/>
      <c r="AOW23" s="958"/>
      <c r="AOX23" s="958"/>
      <c r="AOY23" s="958"/>
      <c r="AOZ23" s="958"/>
      <c r="APA23" s="958"/>
      <c r="APB23" s="958"/>
      <c r="APC23" s="958"/>
      <c r="APD23" s="958"/>
      <c r="APE23" s="958"/>
      <c r="APF23" s="958"/>
      <c r="APG23" s="958"/>
      <c r="APH23" s="958"/>
      <c r="API23" s="958"/>
      <c r="APJ23" s="958"/>
      <c r="APK23" s="958"/>
      <c r="APL23" s="958"/>
      <c r="APM23" s="958"/>
      <c r="APN23" s="958"/>
      <c r="APO23" s="958"/>
      <c r="APP23" s="958"/>
      <c r="APQ23" s="958"/>
      <c r="APR23" s="958"/>
      <c r="APS23" s="958"/>
      <c r="APT23" s="958"/>
      <c r="APU23" s="958"/>
      <c r="APV23" s="958"/>
      <c r="APW23" s="958"/>
      <c r="APX23" s="958"/>
      <c r="APY23" s="958"/>
      <c r="APZ23" s="958"/>
      <c r="AQA23" s="958"/>
      <c r="AQB23" s="958"/>
      <c r="AQC23" s="958"/>
      <c r="AQD23" s="958"/>
      <c r="AQE23" s="958"/>
      <c r="AQF23" s="958"/>
      <c r="AQG23" s="958"/>
      <c r="AQH23" s="958"/>
      <c r="AQI23" s="958"/>
      <c r="AQJ23" s="958"/>
      <c r="AQK23" s="958"/>
      <c r="AQL23" s="958"/>
      <c r="AQM23" s="958"/>
      <c r="AQN23" s="958"/>
      <c r="AQO23" s="958"/>
      <c r="AQP23" s="958"/>
      <c r="AQQ23" s="958"/>
      <c r="AQR23" s="958"/>
      <c r="AQS23" s="958"/>
      <c r="AQT23" s="958"/>
      <c r="AQU23" s="958"/>
      <c r="AQV23" s="958"/>
      <c r="AQW23" s="958"/>
      <c r="AQX23" s="958"/>
      <c r="AQY23" s="958"/>
      <c r="AQZ23" s="958"/>
      <c r="ARA23" s="958"/>
      <c r="ARB23" s="958"/>
      <c r="ARC23" s="958"/>
      <c r="ARD23" s="958"/>
      <c r="ARE23" s="958"/>
      <c r="ARF23" s="958"/>
      <c r="ARG23" s="958"/>
      <c r="ARH23" s="958"/>
      <c r="ARI23" s="958"/>
      <c r="ARJ23" s="958"/>
      <c r="ARK23" s="958"/>
      <c r="ARL23" s="958"/>
      <c r="ARM23" s="958"/>
      <c r="ARN23" s="958"/>
      <c r="ARO23" s="958"/>
      <c r="ARP23" s="958"/>
      <c r="ARQ23" s="958"/>
      <c r="ARR23" s="958"/>
      <c r="ARS23" s="958"/>
      <c r="ART23" s="958"/>
      <c r="ARU23" s="958"/>
      <c r="ARV23" s="958"/>
      <c r="ARW23" s="958"/>
      <c r="ARX23" s="958"/>
      <c r="ARY23" s="958"/>
      <c r="ARZ23" s="958"/>
      <c r="ASA23" s="958"/>
      <c r="ASB23" s="958"/>
      <c r="ASC23" s="958"/>
      <c r="ASD23" s="958"/>
      <c r="ASE23" s="958"/>
      <c r="ASF23" s="958"/>
      <c r="ASG23" s="958"/>
      <c r="ASH23" s="958"/>
      <c r="ASI23" s="958"/>
      <c r="ASJ23" s="958"/>
      <c r="ASK23" s="958"/>
      <c r="ASL23" s="958"/>
      <c r="ASM23" s="958"/>
      <c r="ASN23" s="958"/>
      <c r="ASO23" s="958"/>
      <c r="ASP23" s="958"/>
      <c r="ASQ23" s="958"/>
      <c r="ASR23" s="958"/>
      <c r="ASS23" s="958"/>
      <c r="AST23" s="958"/>
      <c r="ASU23" s="958"/>
      <c r="ASV23" s="958"/>
      <c r="ASW23" s="958"/>
      <c r="ASX23" s="958"/>
      <c r="ASY23" s="958"/>
      <c r="ASZ23" s="958"/>
    </row>
    <row r="24" spans="1:1196" s="22" customFormat="1" ht="60" customHeight="1" thickTop="1" thickBot="1">
      <c r="A24" s="2846"/>
      <c r="B24" s="2992"/>
      <c r="C24" s="3025"/>
      <c r="D24" s="111" t="s">
        <v>122</v>
      </c>
      <c r="E24" s="177" t="s">
        <v>123</v>
      </c>
      <c r="F24" s="177" t="s">
        <v>10</v>
      </c>
      <c r="G24" s="888">
        <v>1</v>
      </c>
      <c r="H24" s="76"/>
      <c r="I24" s="76"/>
      <c r="J24" s="76"/>
      <c r="K24" s="179" t="s">
        <v>7</v>
      </c>
      <c r="L24" s="869">
        <v>0</v>
      </c>
      <c r="M24" s="978">
        <v>0</v>
      </c>
      <c r="N24" s="73" t="e">
        <f t="shared" si="3"/>
        <v>#DIV/0!</v>
      </c>
      <c r="O24" s="869">
        <v>0</v>
      </c>
      <c r="P24" s="978">
        <v>0</v>
      </c>
      <c r="Q24" s="73" t="e">
        <f t="shared" si="4"/>
        <v>#DIV/0!</v>
      </c>
      <c r="R24" s="869">
        <v>0</v>
      </c>
      <c r="S24" s="978">
        <v>0</v>
      </c>
      <c r="T24" s="73" t="e">
        <f t="shared" si="5"/>
        <v>#DIV/0!</v>
      </c>
      <c r="U24" s="869">
        <v>1</v>
      </c>
      <c r="V24" s="978">
        <v>1</v>
      </c>
      <c r="W24" s="73">
        <f t="shared" si="6"/>
        <v>1</v>
      </c>
      <c r="X24" s="869">
        <v>0</v>
      </c>
      <c r="Y24" s="978">
        <v>0</v>
      </c>
      <c r="Z24" s="73" t="e">
        <f t="shared" si="7"/>
        <v>#DIV/0!</v>
      </c>
      <c r="AA24" s="869">
        <v>0</v>
      </c>
      <c r="AB24" s="869">
        <v>0</v>
      </c>
      <c r="AC24" s="73" t="e">
        <f t="shared" si="8"/>
        <v>#DIV/0!</v>
      </c>
      <c r="AD24" s="979">
        <f>+V24</f>
        <v>1</v>
      </c>
      <c r="AE24" s="956">
        <f t="shared" si="21"/>
        <v>1</v>
      </c>
      <c r="AF24" s="979">
        <v>0</v>
      </c>
      <c r="AG24" s="978">
        <v>0</v>
      </c>
      <c r="AH24" s="73" t="e">
        <f t="shared" si="11"/>
        <v>#DIV/0!</v>
      </c>
      <c r="AI24" s="869">
        <v>0</v>
      </c>
      <c r="AJ24" s="978">
        <v>0</v>
      </c>
      <c r="AK24" s="73" t="e">
        <f t="shared" si="12"/>
        <v>#DIV/0!</v>
      </c>
      <c r="AL24" s="869">
        <v>0</v>
      </c>
      <c r="AM24" s="978">
        <v>0</v>
      </c>
      <c r="AN24" s="73" t="e">
        <f t="shared" si="13"/>
        <v>#DIV/0!</v>
      </c>
      <c r="AO24" s="869">
        <v>1</v>
      </c>
      <c r="AP24" s="978">
        <v>1</v>
      </c>
      <c r="AQ24" s="73">
        <f t="shared" si="14"/>
        <v>1</v>
      </c>
      <c r="AR24" s="869">
        <v>0</v>
      </c>
      <c r="AS24" s="978"/>
      <c r="AT24" s="73" t="e">
        <f t="shared" si="15"/>
        <v>#DIV/0!</v>
      </c>
      <c r="AU24" s="869">
        <v>0</v>
      </c>
      <c r="AV24" s="978"/>
      <c r="AW24" s="73" t="e">
        <f t="shared" si="16"/>
        <v>#DIV/0!</v>
      </c>
      <c r="AX24" s="979">
        <f>+(AP24+V24)/2</f>
        <v>1</v>
      </c>
      <c r="AY24" s="956">
        <f t="shared" si="18"/>
        <v>1</v>
      </c>
      <c r="AZ24" s="958"/>
      <c r="BA24" s="958"/>
      <c r="BB24" s="958"/>
      <c r="BC24" s="958"/>
      <c r="BD24" s="958"/>
      <c r="BE24" s="958"/>
      <c r="BF24" s="958"/>
      <c r="BG24" s="958"/>
      <c r="BH24" s="958"/>
      <c r="BI24" s="958"/>
      <c r="BJ24" s="958"/>
      <c r="BK24" s="958"/>
      <c r="BL24" s="958"/>
      <c r="BM24" s="958"/>
      <c r="BN24" s="958"/>
      <c r="BO24" s="958"/>
      <c r="BP24" s="958"/>
      <c r="BQ24" s="958"/>
      <c r="BR24" s="958"/>
      <c r="BS24" s="958"/>
      <c r="BT24" s="958"/>
      <c r="BU24" s="958"/>
      <c r="BV24" s="958"/>
      <c r="BW24" s="958"/>
      <c r="BX24" s="958"/>
      <c r="BY24" s="958"/>
      <c r="BZ24" s="958"/>
      <c r="CA24" s="958"/>
      <c r="CB24" s="958"/>
      <c r="CC24" s="958"/>
      <c r="CD24" s="958"/>
      <c r="CE24" s="958"/>
      <c r="CF24" s="958"/>
      <c r="CG24" s="958"/>
      <c r="CH24" s="958"/>
      <c r="CI24" s="958"/>
      <c r="CJ24" s="958"/>
      <c r="CK24" s="958"/>
      <c r="CL24" s="958"/>
      <c r="CM24" s="958"/>
      <c r="CN24" s="958"/>
      <c r="CO24" s="958"/>
      <c r="CP24" s="958"/>
      <c r="CQ24" s="958"/>
      <c r="CR24" s="958"/>
      <c r="CS24" s="958"/>
      <c r="CT24" s="958"/>
      <c r="CU24" s="958"/>
      <c r="CV24" s="958"/>
      <c r="CW24" s="958"/>
      <c r="CX24" s="958"/>
      <c r="CY24" s="958"/>
      <c r="CZ24" s="958"/>
      <c r="DA24" s="958"/>
      <c r="DB24" s="958"/>
      <c r="DC24" s="958"/>
      <c r="DD24" s="958"/>
      <c r="DE24" s="958"/>
      <c r="DF24" s="958"/>
      <c r="DG24" s="958"/>
      <c r="DH24" s="958"/>
      <c r="DI24" s="958"/>
      <c r="DJ24" s="958"/>
      <c r="DK24" s="958"/>
      <c r="DL24" s="958"/>
      <c r="DM24" s="958"/>
      <c r="DN24" s="958"/>
      <c r="DO24" s="958"/>
      <c r="DP24" s="958"/>
      <c r="DQ24" s="958"/>
      <c r="DR24" s="958"/>
      <c r="DS24" s="958"/>
      <c r="DT24" s="958"/>
      <c r="DU24" s="958"/>
      <c r="DV24" s="958"/>
      <c r="DW24" s="958"/>
      <c r="DX24" s="958"/>
      <c r="DY24" s="958"/>
      <c r="DZ24" s="958"/>
      <c r="EA24" s="958"/>
      <c r="EB24" s="958"/>
      <c r="EC24" s="958"/>
      <c r="ED24" s="958"/>
      <c r="EE24" s="958"/>
      <c r="EF24" s="958"/>
      <c r="EG24" s="958"/>
      <c r="EH24" s="958"/>
      <c r="EI24" s="958"/>
      <c r="EJ24" s="958"/>
      <c r="EK24" s="958"/>
      <c r="EL24" s="958"/>
      <c r="EM24" s="958"/>
      <c r="EN24" s="958"/>
      <c r="EO24" s="958"/>
      <c r="EP24" s="958"/>
      <c r="EQ24" s="958"/>
      <c r="ER24" s="958"/>
      <c r="ES24" s="958"/>
      <c r="ET24" s="958"/>
      <c r="EU24" s="958"/>
      <c r="EV24" s="958"/>
      <c r="EW24" s="958"/>
      <c r="EX24" s="958"/>
      <c r="EY24" s="958"/>
      <c r="EZ24" s="958"/>
      <c r="FA24" s="958"/>
      <c r="FB24" s="958"/>
      <c r="FC24" s="958"/>
      <c r="FD24" s="958"/>
      <c r="FE24" s="958"/>
      <c r="FF24" s="958"/>
      <c r="FG24" s="958"/>
      <c r="FH24" s="958"/>
      <c r="FI24" s="958"/>
      <c r="FJ24" s="958"/>
      <c r="FK24" s="958"/>
      <c r="FL24" s="958"/>
      <c r="FM24" s="958"/>
      <c r="FN24" s="958"/>
      <c r="FO24" s="958"/>
      <c r="FP24" s="958"/>
      <c r="FQ24" s="958"/>
      <c r="FR24" s="958"/>
      <c r="FS24" s="958"/>
      <c r="FT24" s="958"/>
      <c r="FU24" s="958"/>
      <c r="FV24" s="958"/>
      <c r="FW24" s="958"/>
      <c r="FX24" s="958"/>
      <c r="FY24" s="958"/>
      <c r="FZ24" s="958"/>
      <c r="GA24" s="958"/>
      <c r="GB24" s="958"/>
      <c r="GC24" s="958"/>
      <c r="GD24" s="958"/>
      <c r="GE24" s="958"/>
      <c r="GF24" s="958"/>
      <c r="GG24" s="958"/>
      <c r="GH24" s="958"/>
      <c r="GI24" s="958"/>
      <c r="GJ24" s="958"/>
      <c r="GK24" s="958"/>
      <c r="GL24" s="958"/>
      <c r="GM24" s="958"/>
      <c r="GN24" s="958"/>
      <c r="GO24" s="958"/>
      <c r="GP24" s="958"/>
      <c r="GQ24" s="958"/>
      <c r="GR24" s="958"/>
      <c r="GS24" s="958"/>
      <c r="GT24" s="958"/>
      <c r="GU24" s="958"/>
      <c r="GV24" s="958"/>
      <c r="GW24" s="958"/>
      <c r="GX24" s="958"/>
      <c r="GY24" s="958"/>
      <c r="GZ24" s="958"/>
      <c r="HA24" s="958"/>
      <c r="HB24" s="958"/>
      <c r="HC24" s="958"/>
      <c r="HD24" s="958"/>
      <c r="HE24" s="958"/>
      <c r="HF24" s="958"/>
      <c r="HG24" s="958"/>
      <c r="HH24" s="958"/>
      <c r="HI24" s="958"/>
      <c r="HJ24" s="958"/>
      <c r="HK24" s="958"/>
      <c r="HL24" s="958"/>
      <c r="HM24" s="958"/>
      <c r="HN24" s="958"/>
      <c r="HO24" s="958"/>
      <c r="HP24" s="958"/>
      <c r="HQ24" s="958"/>
      <c r="HR24" s="958"/>
      <c r="HS24" s="958"/>
      <c r="HT24" s="958"/>
      <c r="HU24" s="958"/>
      <c r="HV24" s="958"/>
      <c r="HW24" s="958"/>
      <c r="HX24" s="958"/>
      <c r="HY24" s="958"/>
      <c r="HZ24" s="958"/>
      <c r="IA24" s="958"/>
      <c r="IB24" s="958"/>
      <c r="IC24" s="958"/>
      <c r="ID24" s="958"/>
      <c r="IE24" s="958"/>
      <c r="IF24" s="958"/>
      <c r="IG24" s="958"/>
      <c r="IH24" s="958"/>
      <c r="II24" s="958"/>
      <c r="IJ24" s="958"/>
      <c r="IK24" s="958"/>
      <c r="IL24" s="958"/>
      <c r="IM24" s="958"/>
      <c r="IN24" s="958"/>
      <c r="IO24" s="958"/>
      <c r="IP24" s="958"/>
      <c r="IQ24" s="958"/>
      <c r="IR24" s="958"/>
      <c r="IS24" s="958"/>
      <c r="IT24" s="958"/>
      <c r="IU24" s="958"/>
      <c r="IV24" s="958"/>
      <c r="IW24" s="958"/>
      <c r="IX24" s="958"/>
      <c r="IY24" s="958"/>
      <c r="IZ24" s="958"/>
      <c r="JA24" s="958"/>
      <c r="JB24" s="958"/>
      <c r="JC24" s="958"/>
      <c r="JD24" s="958"/>
      <c r="JE24" s="958"/>
      <c r="JF24" s="958"/>
      <c r="JG24" s="958"/>
      <c r="JH24" s="958"/>
      <c r="JI24" s="958"/>
      <c r="JJ24" s="958"/>
      <c r="JK24" s="958"/>
      <c r="JL24" s="958"/>
      <c r="JM24" s="958"/>
      <c r="JN24" s="958"/>
      <c r="JO24" s="958"/>
      <c r="JP24" s="958"/>
      <c r="JQ24" s="958"/>
      <c r="JR24" s="958"/>
      <c r="JS24" s="958"/>
      <c r="JT24" s="958"/>
      <c r="JU24" s="958"/>
      <c r="JV24" s="958"/>
      <c r="JW24" s="958"/>
      <c r="JX24" s="958"/>
      <c r="JY24" s="958"/>
      <c r="JZ24" s="958"/>
      <c r="KA24" s="958"/>
      <c r="KB24" s="958"/>
      <c r="KC24" s="958"/>
      <c r="KD24" s="958"/>
      <c r="KE24" s="958"/>
      <c r="KF24" s="958"/>
      <c r="KG24" s="958"/>
      <c r="KH24" s="958"/>
      <c r="KI24" s="958"/>
      <c r="KJ24" s="958"/>
      <c r="KK24" s="958"/>
      <c r="KL24" s="958"/>
      <c r="KM24" s="958"/>
      <c r="KN24" s="958"/>
      <c r="KO24" s="958"/>
      <c r="KP24" s="958"/>
      <c r="KQ24" s="958"/>
      <c r="KR24" s="958"/>
      <c r="KS24" s="958"/>
      <c r="KT24" s="958"/>
      <c r="KU24" s="958"/>
      <c r="KV24" s="958"/>
      <c r="KW24" s="958"/>
      <c r="KX24" s="958"/>
      <c r="KY24" s="958"/>
      <c r="KZ24" s="958"/>
      <c r="LA24" s="958"/>
      <c r="LB24" s="958"/>
      <c r="LC24" s="958"/>
      <c r="LD24" s="958"/>
      <c r="LE24" s="958"/>
      <c r="LF24" s="958"/>
      <c r="LG24" s="958"/>
      <c r="LH24" s="958"/>
      <c r="LI24" s="958"/>
      <c r="LJ24" s="958"/>
      <c r="LK24" s="958"/>
      <c r="LL24" s="958"/>
      <c r="LM24" s="958"/>
      <c r="LN24" s="958"/>
      <c r="LO24" s="958"/>
      <c r="LP24" s="958"/>
      <c r="LQ24" s="958"/>
      <c r="LR24" s="958"/>
      <c r="LS24" s="958"/>
      <c r="LT24" s="958"/>
      <c r="LU24" s="958"/>
      <c r="LV24" s="958"/>
      <c r="LW24" s="958"/>
      <c r="LX24" s="958"/>
      <c r="LY24" s="958"/>
      <c r="LZ24" s="958"/>
      <c r="MA24" s="958"/>
      <c r="MB24" s="958"/>
      <c r="MC24" s="958"/>
      <c r="MD24" s="958"/>
      <c r="ME24" s="958"/>
      <c r="MF24" s="958"/>
      <c r="MG24" s="958"/>
      <c r="MH24" s="958"/>
      <c r="MI24" s="958"/>
      <c r="MJ24" s="958"/>
      <c r="MK24" s="958"/>
      <c r="ML24" s="958"/>
      <c r="MM24" s="958"/>
      <c r="MN24" s="958"/>
      <c r="MO24" s="958"/>
      <c r="MP24" s="958"/>
      <c r="MQ24" s="958"/>
      <c r="MR24" s="958"/>
      <c r="MS24" s="958"/>
      <c r="MT24" s="958"/>
      <c r="MU24" s="958"/>
      <c r="MV24" s="958"/>
      <c r="MW24" s="958"/>
      <c r="MX24" s="958"/>
      <c r="MY24" s="958"/>
      <c r="MZ24" s="958"/>
      <c r="NA24" s="958"/>
      <c r="NB24" s="958"/>
      <c r="NC24" s="958"/>
      <c r="ND24" s="958"/>
      <c r="NE24" s="958"/>
      <c r="NF24" s="958"/>
      <c r="NG24" s="958"/>
      <c r="NH24" s="958"/>
      <c r="NI24" s="958"/>
      <c r="NJ24" s="958"/>
      <c r="NK24" s="958"/>
      <c r="NL24" s="958"/>
      <c r="NM24" s="958"/>
      <c r="NN24" s="958"/>
      <c r="NO24" s="958"/>
      <c r="NP24" s="958"/>
      <c r="NQ24" s="958"/>
      <c r="NR24" s="958"/>
      <c r="NS24" s="958"/>
      <c r="NT24" s="958"/>
      <c r="NU24" s="958"/>
      <c r="NV24" s="958"/>
      <c r="NW24" s="958"/>
      <c r="NX24" s="958"/>
      <c r="NY24" s="958"/>
      <c r="NZ24" s="958"/>
      <c r="OA24" s="958"/>
      <c r="OB24" s="958"/>
      <c r="OC24" s="958"/>
      <c r="OD24" s="958"/>
      <c r="OE24" s="958"/>
      <c r="OF24" s="958"/>
      <c r="OG24" s="958"/>
      <c r="OH24" s="958"/>
      <c r="OI24" s="958"/>
      <c r="OJ24" s="958"/>
      <c r="OK24" s="958"/>
      <c r="OL24" s="958"/>
      <c r="OM24" s="958"/>
      <c r="ON24" s="958"/>
      <c r="OO24" s="958"/>
      <c r="OP24" s="958"/>
      <c r="OQ24" s="958"/>
      <c r="OR24" s="958"/>
      <c r="OS24" s="958"/>
      <c r="OT24" s="958"/>
      <c r="OU24" s="958"/>
      <c r="OV24" s="958"/>
      <c r="OW24" s="958"/>
      <c r="OX24" s="958"/>
      <c r="OY24" s="958"/>
      <c r="OZ24" s="958"/>
      <c r="PA24" s="958"/>
      <c r="PB24" s="958"/>
      <c r="PC24" s="958"/>
      <c r="PD24" s="958"/>
      <c r="PE24" s="958"/>
      <c r="PF24" s="958"/>
      <c r="PG24" s="958"/>
      <c r="PH24" s="958"/>
      <c r="PI24" s="958"/>
      <c r="PJ24" s="958"/>
      <c r="PK24" s="958"/>
      <c r="PL24" s="958"/>
      <c r="PM24" s="958"/>
      <c r="PN24" s="958"/>
      <c r="PO24" s="958"/>
      <c r="PP24" s="958"/>
      <c r="PQ24" s="958"/>
      <c r="PR24" s="958"/>
      <c r="PS24" s="958"/>
      <c r="PT24" s="958"/>
      <c r="PU24" s="958"/>
      <c r="PV24" s="958"/>
      <c r="PW24" s="958"/>
      <c r="PX24" s="958"/>
      <c r="PY24" s="958"/>
      <c r="PZ24" s="958"/>
      <c r="QA24" s="958"/>
      <c r="QB24" s="958"/>
      <c r="QC24" s="958"/>
      <c r="QD24" s="958"/>
      <c r="QE24" s="958"/>
      <c r="QF24" s="958"/>
      <c r="QG24" s="958"/>
      <c r="QH24" s="958"/>
      <c r="QI24" s="958"/>
      <c r="QJ24" s="958"/>
      <c r="QK24" s="958"/>
      <c r="QL24" s="958"/>
      <c r="QM24" s="958"/>
      <c r="QN24" s="958"/>
      <c r="QO24" s="958"/>
      <c r="QP24" s="958"/>
      <c r="QQ24" s="958"/>
      <c r="QR24" s="958"/>
      <c r="QS24" s="958"/>
      <c r="QT24" s="958"/>
      <c r="QU24" s="958"/>
      <c r="QV24" s="958"/>
      <c r="QW24" s="958"/>
      <c r="QX24" s="958"/>
      <c r="QY24" s="958"/>
      <c r="QZ24" s="958"/>
      <c r="RA24" s="958"/>
      <c r="RB24" s="958"/>
      <c r="RC24" s="958"/>
      <c r="RD24" s="958"/>
      <c r="RE24" s="958"/>
      <c r="RF24" s="958"/>
      <c r="RG24" s="958"/>
      <c r="RH24" s="958"/>
      <c r="RI24" s="958"/>
      <c r="RJ24" s="958"/>
      <c r="RK24" s="958"/>
      <c r="RL24" s="958"/>
      <c r="RM24" s="958"/>
      <c r="RN24" s="958"/>
      <c r="RO24" s="958"/>
      <c r="RP24" s="958"/>
      <c r="RQ24" s="958"/>
      <c r="RR24" s="958"/>
      <c r="RS24" s="958"/>
      <c r="RT24" s="958"/>
      <c r="RU24" s="958"/>
      <c r="RV24" s="958"/>
      <c r="RW24" s="958"/>
      <c r="RX24" s="958"/>
      <c r="RY24" s="958"/>
      <c r="RZ24" s="958"/>
      <c r="SA24" s="958"/>
      <c r="SB24" s="958"/>
      <c r="SC24" s="958"/>
      <c r="SD24" s="958"/>
      <c r="SE24" s="958"/>
      <c r="SF24" s="958"/>
      <c r="SG24" s="958"/>
      <c r="SH24" s="958"/>
      <c r="SI24" s="958"/>
      <c r="SJ24" s="958"/>
      <c r="SK24" s="958"/>
      <c r="SL24" s="958"/>
      <c r="SM24" s="958"/>
      <c r="SN24" s="958"/>
      <c r="SO24" s="958"/>
      <c r="SP24" s="958"/>
      <c r="SQ24" s="958"/>
      <c r="SR24" s="958"/>
      <c r="SS24" s="958"/>
      <c r="ST24" s="958"/>
      <c r="SU24" s="958"/>
      <c r="SV24" s="958"/>
      <c r="SW24" s="958"/>
      <c r="SX24" s="958"/>
      <c r="SY24" s="958"/>
      <c r="SZ24" s="958"/>
      <c r="TA24" s="958"/>
      <c r="TB24" s="958"/>
      <c r="TC24" s="958"/>
      <c r="TD24" s="958"/>
      <c r="TE24" s="958"/>
      <c r="TF24" s="958"/>
      <c r="TG24" s="958"/>
      <c r="TH24" s="958"/>
      <c r="TI24" s="958"/>
      <c r="TJ24" s="958"/>
      <c r="TK24" s="958"/>
      <c r="TL24" s="958"/>
      <c r="TM24" s="958"/>
      <c r="TN24" s="958"/>
      <c r="TO24" s="958"/>
      <c r="TP24" s="958"/>
      <c r="TQ24" s="958"/>
      <c r="TR24" s="958"/>
      <c r="TS24" s="958"/>
      <c r="TT24" s="958"/>
      <c r="TU24" s="958"/>
      <c r="TV24" s="958"/>
      <c r="TW24" s="958"/>
      <c r="TX24" s="958"/>
      <c r="TY24" s="958"/>
      <c r="TZ24" s="958"/>
      <c r="UA24" s="958"/>
      <c r="UB24" s="958"/>
      <c r="UC24" s="958"/>
      <c r="UD24" s="958"/>
      <c r="UE24" s="958"/>
      <c r="UF24" s="958"/>
      <c r="UG24" s="958"/>
      <c r="UH24" s="958"/>
      <c r="UI24" s="958"/>
      <c r="UJ24" s="958"/>
      <c r="UK24" s="958"/>
      <c r="UL24" s="958"/>
      <c r="UM24" s="958"/>
      <c r="UN24" s="958"/>
      <c r="UO24" s="958"/>
      <c r="UP24" s="958"/>
      <c r="UQ24" s="958"/>
      <c r="UR24" s="958"/>
      <c r="US24" s="958"/>
      <c r="UT24" s="958"/>
      <c r="UU24" s="958"/>
      <c r="UV24" s="958"/>
      <c r="UW24" s="958"/>
      <c r="UX24" s="958"/>
      <c r="UY24" s="958"/>
      <c r="UZ24" s="958"/>
      <c r="VA24" s="958"/>
      <c r="VB24" s="958"/>
      <c r="VC24" s="958"/>
      <c r="VD24" s="958"/>
      <c r="VE24" s="958"/>
      <c r="VF24" s="958"/>
      <c r="VG24" s="958"/>
      <c r="VH24" s="958"/>
      <c r="VI24" s="958"/>
      <c r="VJ24" s="958"/>
      <c r="VK24" s="958"/>
      <c r="VL24" s="958"/>
      <c r="VM24" s="958"/>
      <c r="VN24" s="958"/>
      <c r="VO24" s="958"/>
      <c r="VP24" s="958"/>
      <c r="VQ24" s="958"/>
      <c r="VR24" s="958"/>
      <c r="VS24" s="958"/>
      <c r="VT24" s="958"/>
      <c r="VU24" s="958"/>
      <c r="VV24" s="958"/>
      <c r="VW24" s="958"/>
      <c r="VX24" s="958"/>
      <c r="VY24" s="958"/>
      <c r="VZ24" s="958"/>
      <c r="WA24" s="958"/>
      <c r="WB24" s="958"/>
      <c r="WC24" s="958"/>
      <c r="WD24" s="958"/>
      <c r="WE24" s="958"/>
      <c r="WF24" s="958"/>
      <c r="WG24" s="958"/>
      <c r="WH24" s="958"/>
      <c r="WI24" s="958"/>
      <c r="WJ24" s="958"/>
      <c r="WK24" s="958"/>
      <c r="WL24" s="958"/>
      <c r="WM24" s="958"/>
      <c r="WN24" s="958"/>
      <c r="WO24" s="958"/>
      <c r="WP24" s="958"/>
      <c r="WQ24" s="958"/>
      <c r="WR24" s="958"/>
      <c r="WS24" s="958"/>
      <c r="WT24" s="958"/>
      <c r="WU24" s="958"/>
      <c r="WV24" s="958"/>
      <c r="WW24" s="958"/>
      <c r="WX24" s="958"/>
      <c r="WY24" s="958"/>
      <c r="WZ24" s="958"/>
      <c r="XA24" s="958"/>
      <c r="XB24" s="958"/>
      <c r="XC24" s="958"/>
      <c r="XD24" s="958"/>
      <c r="XE24" s="958"/>
      <c r="XF24" s="958"/>
      <c r="XG24" s="958"/>
      <c r="XH24" s="958"/>
      <c r="XI24" s="958"/>
      <c r="XJ24" s="958"/>
      <c r="XK24" s="958"/>
      <c r="XL24" s="958"/>
      <c r="XM24" s="958"/>
      <c r="XN24" s="958"/>
      <c r="XO24" s="958"/>
      <c r="XP24" s="958"/>
      <c r="XQ24" s="958"/>
      <c r="XR24" s="958"/>
      <c r="XS24" s="958"/>
      <c r="XT24" s="958"/>
      <c r="XU24" s="958"/>
      <c r="XV24" s="958"/>
      <c r="XW24" s="958"/>
      <c r="XX24" s="958"/>
      <c r="XY24" s="958"/>
      <c r="XZ24" s="958"/>
      <c r="YA24" s="958"/>
      <c r="YB24" s="958"/>
      <c r="YC24" s="958"/>
      <c r="YD24" s="958"/>
      <c r="YE24" s="958"/>
      <c r="YF24" s="958"/>
      <c r="YG24" s="958"/>
      <c r="YH24" s="958"/>
      <c r="YI24" s="958"/>
      <c r="YJ24" s="958"/>
      <c r="YK24" s="958"/>
      <c r="YL24" s="958"/>
      <c r="YM24" s="958"/>
      <c r="YN24" s="958"/>
      <c r="YO24" s="958"/>
      <c r="YP24" s="958"/>
      <c r="YQ24" s="958"/>
      <c r="YR24" s="958"/>
      <c r="YS24" s="958"/>
      <c r="YT24" s="958"/>
      <c r="YU24" s="958"/>
      <c r="YV24" s="958"/>
      <c r="YW24" s="958"/>
      <c r="YX24" s="958"/>
      <c r="YY24" s="958"/>
      <c r="YZ24" s="958"/>
      <c r="ZA24" s="958"/>
      <c r="ZB24" s="958"/>
      <c r="ZC24" s="958"/>
      <c r="ZD24" s="958"/>
      <c r="ZE24" s="958"/>
      <c r="ZF24" s="958"/>
      <c r="ZG24" s="958"/>
      <c r="ZH24" s="958"/>
      <c r="ZI24" s="958"/>
      <c r="ZJ24" s="958"/>
      <c r="ZK24" s="958"/>
      <c r="ZL24" s="958"/>
      <c r="ZM24" s="958"/>
      <c r="ZN24" s="958"/>
      <c r="ZO24" s="958"/>
      <c r="ZP24" s="958"/>
      <c r="ZQ24" s="958"/>
      <c r="ZR24" s="958"/>
      <c r="ZS24" s="958"/>
      <c r="ZT24" s="958"/>
      <c r="ZU24" s="958"/>
      <c r="ZV24" s="958"/>
      <c r="ZW24" s="958"/>
      <c r="ZX24" s="958"/>
      <c r="ZY24" s="958"/>
      <c r="ZZ24" s="958"/>
      <c r="AAA24" s="958"/>
      <c r="AAB24" s="958"/>
      <c r="AAC24" s="958"/>
      <c r="AAD24" s="958"/>
      <c r="AAE24" s="958"/>
      <c r="AAF24" s="958"/>
      <c r="AAG24" s="958"/>
      <c r="AAH24" s="958"/>
      <c r="AAI24" s="958"/>
      <c r="AAJ24" s="958"/>
      <c r="AAK24" s="958"/>
      <c r="AAL24" s="958"/>
      <c r="AAM24" s="958"/>
      <c r="AAN24" s="958"/>
      <c r="AAO24" s="958"/>
      <c r="AAP24" s="958"/>
      <c r="AAQ24" s="958"/>
      <c r="AAR24" s="958"/>
      <c r="AAS24" s="958"/>
      <c r="AAT24" s="958"/>
      <c r="AAU24" s="958"/>
      <c r="AAV24" s="958"/>
      <c r="AAW24" s="958"/>
      <c r="AAX24" s="958"/>
      <c r="AAY24" s="958"/>
      <c r="AAZ24" s="958"/>
      <c r="ABA24" s="958"/>
      <c r="ABB24" s="958"/>
      <c r="ABC24" s="958"/>
      <c r="ABD24" s="958"/>
      <c r="ABE24" s="958"/>
      <c r="ABF24" s="958"/>
      <c r="ABG24" s="958"/>
      <c r="ABH24" s="958"/>
      <c r="ABI24" s="958"/>
      <c r="ABJ24" s="958"/>
      <c r="ABK24" s="958"/>
      <c r="ABL24" s="958"/>
      <c r="ABM24" s="958"/>
      <c r="ABN24" s="958"/>
      <c r="ABO24" s="958"/>
      <c r="ABP24" s="958"/>
      <c r="ABQ24" s="958"/>
      <c r="ABR24" s="958"/>
      <c r="ABS24" s="958"/>
      <c r="ABT24" s="958"/>
      <c r="ABU24" s="958"/>
      <c r="ABV24" s="958"/>
      <c r="ABW24" s="958"/>
      <c r="ABX24" s="958"/>
      <c r="ABY24" s="958"/>
      <c r="ABZ24" s="958"/>
      <c r="ACA24" s="958"/>
      <c r="ACB24" s="958"/>
      <c r="ACC24" s="958"/>
      <c r="ACD24" s="958"/>
      <c r="ACE24" s="958"/>
      <c r="ACF24" s="958"/>
      <c r="ACG24" s="958"/>
      <c r="ACH24" s="958"/>
      <c r="ACI24" s="958"/>
      <c r="ACJ24" s="958"/>
      <c r="ACK24" s="958"/>
      <c r="ACL24" s="958"/>
      <c r="ACM24" s="958"/>
      <c r="ACN24" s="958"/>
      <c r="ACO24" s="958"/>
      <c r="ACP24" s="958"/>
      <c r="ACQ24" s="958"/>
      <c r="ACR24" s="958"/>
      <c r="ACS24" s="958"/>
      <c r="ACT24" s="958"/>
      <c r="ACU24" s="958"/>
      <c r="ACV24" s="958"/>
      <c r="ACW24" s="958"/>
      <c r="ACX24" s="958"/>
      <c r="ACY24" s="958"/>
      <c r="ACZ24" s="958"/>
      <c r="ADA24" s="958"/>
      <c r="ADB24" s="958"/>
      <c r="ADC24" s="958"/>
      <c r="ADD24" s="958"/>
      <c r="ADE24" s="958"/>
      <c r="ADF24" s="958"/>
      <c r="ADG24" s="958"/>
      <c r="ADH24" s="958"/>
      <c r="ADI24" s="958"/>
      <c r="ADJ24" s="958"/>
      <c r="ADK24" s="958"/>
      <c r="ADL24" s="958"/>
      <c r="ADM24" s="958"/>
      <c r="ADN24" s="958"/>
      <c r="ADO24" s="958"/>
      <c r="ADP24" s="958"/>
      <c r="ADQ24" s="958"/>
      <c r="ADR24" s="958"/>
      <c r="ADS24" s="958"/>
      <c r="ADT24" s="958"/>
      <c r="ADU24" s="958"/>
      <c r="ADV24" s="958"/>
      <c r="ADW24" s="958"/>
      <c r="ADX24" s="958"/>
      <c r="ADY24" s="958"/>
      <c r="ADZ24" s="958"/>
      <c r="AEA24" s="958"/>
      <c r="AEB24" s="958"/>
      <c r="AEC24" s="958"/>
      <c r="AED24" s="958"/>
      <c r="AEE24" s="958"/>
      <c r="AEF24" s="958"/>
      <c r="AEG24" s="958"/>
      <c r="AEH24" s="958"/>
      <c r="AEI24" s="958"/>
      <c r="AEJ24" s="958"/>
      <c r="AEK24" s="958"/>
      <c r="AEL24" s="958"/>
      <c r="AEM24" s="958"/>
      <c r="AEN24" s="958"/>
      <c r="AEO24" s="958"/>
      <c r="AEP24" s="958"/>
      <c r="AEQ24" s="958"/>
      <c r="AER24" s="958"/>
      <c r="AES24" s="958"/>
      <c r="AET24" s="958"/>
      <c r="AEU24" s="958"/>
      <c r="AEV24" s="958"/>
      <c r="AEW24" s="958"/>
      <c r="AEX24" s="958"/>
      <c r="AEY24" s="958"/>
      <c r="AEZ24" s="958"/>
      <c r="AFA24" s="958"/>
      <c r="AFB24" s="958"/>
      <c r="AFC24" s="958"/>
      <c r="AFD24" s="958"/>
      <c r="AFE24" s="958"/>
      <c r="AFF24" s="958"/>
      <c r="AFG24" s="958"/>
      <c r="AFH24" s="958"/>
      <c r="AFI24" s="958"/>
      <c r="AFJ24" s="958"/>
      <c r="AFK24" s="958"/>
      <c r="AFL24" s="958"/>
      <c r="AFM24" s="958"/>
      <c r="AFN24" s="958"/>
      <c r="AFO24" s="958"/>
      <c r="AFP24" s="958"/>
      <c r="AFQ24" s="958"/>
      <c r="AFR24" s="958"/>
      <c r="AFS24" s="958"/>
      <c r="AFT24" s="958"/>
      <c r="AFU24" s="958"/>
      <c r="AFV24" s="958"/>
      <c r="AFW24" s="958"/>
      <c r="AFX24" s="958"/>
      <c r="AFY24" s="958"/>
      <c r="AFZ24" s="958"/>
      <c r="AGA24" s="958"/>
      <c r="AGB24" s="958"/>
      <c r="AGC24" s="958"/>
      <c r="AGD24" s="958"/>
      <c r="AGE24" s="958"/>
      <c r="AGF24" s="958"/>
      <c r="AGG24" s="958"/>
      <c r="AGH24" s="958"/>
      <c r="AGI24" s="958"/>
      <c r="AGJ24" s="958"/>
      <c r="AGK24" s="958"/>
      <c r="AGL24" s="958"/>
      <c r="AGM24" s="958"/>
      <c r="AGN24" s="958"/>
      <c r="AGO24" s="958"/>
      <c r="AGP24" s="958"/>
      <c r="AGQ24" s="958"/>
      <c r="AGR24" s="958"/>
      <c r="AGS24" s="958"/>
      <c r="AGT24" s="958"/>
      <c r="AGU24" s="958"/>
      <c r="AGV24" s="958"/>
      <c r="AGW24" s="958"/>
      <c r="AGX24" s="958"/>
      <c r="AGY24" s="958"/>
      <c r="AGZ24" s="958"/>
      <c r="AHA24" s="958"/>
      <c r="AHB24" s="958"/>
      <c r="AHC24" s="958"/>
      <c r="AHD24" s="958"/>
      <c r="AHE24" s="958"/>
      <c r="AHF24" s="958"/>
      <c r="AHG24" s="958"/>
      <c r="AHH24" s="958"/>
      <c r="AHI24" s="958"/>
      <c r="AHJ24" s="958"/>
      <c r="AHK24" s="958"/>
      <c r="AHL24" s="958"/>
      <c r="AHM24" s="958"/>
      <c r="AHN24" s="958"/>
      <c r="AHO24" s="958"/>
      <c r="AHP24" s="958"/>
      <c r="AHQ24" s="958"/>
      <c r="AHR24" s="958"/>
      <c r="AHS24" s="958"/>
      <c r="AHT24" s="958"/>
      <c r="AHU24" s="958"/>
      <c r="AHV24" s="958"/>
      <c r="AHW24" s="958"/>
      <c r="AHX24" s="958"/>
      <c r="AHY24" s="958"/>
      <c r="AHZ24" s="958"/>
      <c r="AIA24" s="958"/>
      <c r="AIB24" s="958"/>
      <c r="AIC24" s="958"/>
      <c r="AID24" s="958"/>
      <c r="AIE24" s="958"/>
      <c r="AIF24" s="958"/>
      <c r="AIG24" s="958"/>
      <c r="AIH24" s="958"/>
      <c r="AII24" s="958"/>
      <c r="AIJ24" s="958"/>
      <c r="AIK24" s="958"/>
      <c r="AIL24" s="958"/>
      <c r="AIM24" s="958"/>
      <c r="AIN24" s="958"/>
      <c r="AIO24" s="958"/>
      <c r="AIP24" s="958"/>
      <c r="AIQ24" s="958"/>
      <c r="AIR24" s="958"/>
      <c r="AIS24" s="958"/>
      <c r="AIT24" s="958"/>
      <c r="AIU24" s="958"/>
      <c r="AIV24" s="958"/>
      <c r="AIW24" s="958"/>
      <c r="AIX24" s="958"/>
      <c r="AIY24" s="958"/>
      <c r="AIZ24" s="958"/>
      <c r="AJA24" s="958"/>
      <c r="AJB24" s="958"/>
      <c r="AJC24" s="958"/>
      <c r="AJD24" s="958"/>
      <c r="AJE24" s="958"/>
      <c r="AJF24" s="958"/>
      <c r="AJG24" s="958"/>
      <c r="AJH24" s="958"/>
      <c r="AJI24" s="958"/>
      <c r="AJJ24" s="958"/>
      <c r="AJK24" s="958"/>
      <c r="AJL24" s="958"/>
      <c r="AJM24" s="958"/>
      <c r="AJN24" s="958"/>
      <c r="AJO24" s="958"/>
      <c r="AJP24" s="958"/>
      <c r="AJQ24" s="958"/>
      <c r="AJR24" s="958"/>
      <c r="AJS24" s="958"/>
      <c r="AJT24" s="958"/>
      <c r="AJU24" s="958"/>
      <c r="AJV24" s="958"/>
      <c r="AJW24" s="958"/>
      <c r="AJX24" s="958"/>
      <c r="AJY24" s="958"/>
      <c r="AJZ24" s="958"/>
      <c r="AKA24" s="958"/>
      <c r="AKB24" s="958"/>
      <c r="AKC24" s="958"/>
      <c r="AKD24" s="958"/>
      <c r="AKE24" s="958"/>
      <c r="AKF24" s="958"/>
      <c r="AKG24" s="958"/>
      <c r="AKH24" s="958"/>
      <c r="AKI24" s="958"/>
      <c r="AKJ24" s="958"/>
      <c r="AKK24" s="958"/>
      <c r="AKL24" s="958"/>
      <c r="AKM24" s="958"/>
      <c r="AKN24" s="958"/>
      <c r="AKO24" s="958"/>
      <c r="AKP24" s="958"/>
      <c r="AKQ24" s="958"/>
      <c r="AKR24" s="958"/>
      <c r="AKS24" s="958"/>
      <c r="AKT24" s="958"/>
      <c r="AKU24" s="958"/>
      <c r="AKV24" s="958"/>
      <c r="AKW24" s="958"/>
      <c r="AKX24" s="958"/>
      <c r="AKY24" s="958"/>
      <c r="AKZ24" s="958"/>
      <c r="ALA24" s="958"/>
      <c r="ALB24" s="958"/>
      <c r="ALC24" s="958"/>
      <c r="ALD24" s="958"/>
      <c r="ALE24" s="958"/>
      <c r="ALF24" s="958"/>
      <c r="ALG24" s="958"/>
      <c r="ALH24" s="958"/>
      <c r="ALI24" s="958"/>
      <c r="ALJ24" s="958"/>
      <c r="ALK24" s="958"/>
      <c r="ALL24" s="958"/>
      <c r="ALM24" s="958"/>
      <c r="ALN24" s="958"/>
      <c r="ALO24" s="958"/>
      <c r="ALP24" s="958"/>
      <c r="ALQ24" s="958"/>
      <c r="ALR24" s="958"/>
      <c r="ALS24" s="958"/>
      <c r="ALT24" s="958"/>
      <c r="ALU24" s="958"/>
      <c r="ALV24" s="958"/>
      <c r="ALW24" s="958"/>
      <c r="ALX24" s="958"/>
      <c r="ALY24" s="958"/>
      <c r="ALZ24" s="958"/>
      <c r="AMA24" s="958"/>
      <c r="AMB24" s="958"/>
      <c r="AMC24" s="958"/>
      <c r="AMD24" s="958"/>
      <c r="AME24" s="958"/>
      <c r="AMF24" s="958"/>
      <c r="AMG24" s="958"/>
      <c r="AMH24" s="958"/>
      <c r="AMI24" s="958"/>
      <c r="AMJ24" s="958"/>
      <c r="AMK24" s="958"/>
      <c r="AML24" s="958"/>
      <c r="AMM24" s="958"/>
      <c r="AMN24" s="958"/>
      <c r="AMO24" s="958"/>
      <c r="AMP24" s="958"/>
      <c r="AMQ24" s="958"/>
      <c r="AMR24" s="958"/>
      <c r="AMS24" s="958"/>
      <c r="AMT24" s="958"/>
      <c r="AMU24" s="958"/>
      <c r="AMV24" s="958"/>
      <c r="AMW24" s="958"/>
      <c r="AMX24" s="958"/>
      <c r="AMY24" s="958"/>
      <c r="AMZ24" s="958"/>
      <c r="ANA24" s="958"/>
      <c r="ANB24" s="958"/>
      <c r="ANC24" s="958"/>
      <c r="AND24" s="958"/>
      <c r="ANE24" s="958"/>
      <c r="ANF24" s="958"/>
      <c r="ANG24" s="958"/>
      <c r="ANH24" s="958"/>
      <c r="ANI24" s="958"/>
      <c r="ANJ24" s="958"/>
      <c r="ANK24" s="958"/>
      <c r="ANL24" s="958"/>
      <c r="ANM24" s="958"/>
      <c r="ANN24" s="958"/>
      <c r="ANO24" s="958"/>
      <c r="ANP24" s="958"/>
      <c r="ANQ24" s="958"/>
      <c r="ANR24" s="958"/>
      <c r="ANS24" s="958"/>
      <c r="ANT24" s="958"/>
      <c r="ANU24" s="958"/>
      <c r="ANV24" s="958"/>
      <c r="ANW24" s="958"/>
      <c r="ANX24" s="958"/>
      <c r="ANY24" s="958"/>
      <c r="ANZ24" s="958"/>
      <c r="AOA24" s="958"/>
      <c r="AOB24" s="958"/>
      <c r="AOC24" s="958"/>
      <c r="AOD24" s="958"/>
      <c r="AOE24" s="958"/>
      <c r="AOF24" s="958"/>
      <c r="AOG24" s="958"/>
      <c r="AOH24" s="958"/>
      <c r="AOI24" s="958"/>
      <c r="AOJ24" s="958"/>
      <c r="AOK24" s="958"/>
      <c r="AOL24" s="958"/>
      <c r="AOM24" s="958"/>
      <c r="AON24" s="958"/>
      <c r="AOO24" s="958"/>
      <c r="AOP24" s="958"/>
      <c r="AOQ24" s="958"/>
      <c r="AOR24" s="958"/>
      <c r="AOS24" s="958"/>
      <c r="AOT24" s="958"/>
      <c r="AOU24" s="958"/>
      <c r="AOV24" s="958"/>
      <c r="AOW24" s="958"/>
      <c r="AOX24" s="958"/>
      <c r="AOY24" s="958"/>
      <c r="AOZ24" s="958"/>
      <c r="APA24" s="958"/>
      <c r="APB24" s="958"/>
      <c r="APC24" s="958"/>
      <c r="APD24" s="958"/>
      <c r="APE24" s="958"/>
      <c r="APF24" s="958"/>
      <c r="APG24" s="958"/>
      <c r="APH24" s="958"/>
      <c r="API24" s="958"/>
      <c r="APJ24" s="958"/>
      <c r="APK24" s="958"/>
      <c r="APL24" s="958"/>
      <c r="APM24" s="958"/>
      <c r="APN24" s="958"/>
      <c r="APO24" s="958"/>
      <c r="APP24" s="958"/>
      <c r="APQ24" s="958"/>
      <c r="APR24" s="958"/>
      <c r="APS24" s="958"/>
      <c r="APT24" s="958"/>
      <c r="APU24" s="958"/>
      <c r="APV24" s="958"/>
      <c r="APW24" s="958"/>
      <c r="APX24" s="958"/>
      <c r="APY24" s="958"/>
      <c r="APZ24" s="958"/>
      <c r="AQA24" s="958"/>
      <c r="AQB24" s="958"/>
      <c r="AQC24" s="958"/>
      <c r="AQD24" s="958"/>
      <c r="AQE24" s="958"/>
      <c r="AQF24" s="958"/>
      <c r="AQG24" s="958"/>
      <c r="AQH24" s="958"/>
      <c r="AQI24" s="958"/>
      <c r="AQJ24" s="958"/>
      <c r="AQK24" s="958"/>
      <c r="AQL24" s="958"/>
      <c r="AQM24" s="958"/>
      <c r="AQN24" s="958"/>
      <c r="AQO24" s="958"/>
      <c r="AQP24" s="958"/>
      <c r="AQQ24" s="958"/>
      <c r="AQR24" s="958"/>
      <c r="AQS24" s="958"/>
      <c r="AQT24" s="958"/>
      <c r="AQU24" s="958"/>
      <c r="AQV24" s="958"/>
      <c r="AQW24" s="958"/>
      <c r="AQX24" s="958"/>
      <c r="AQY24" s="958"/>
      <c r="AQZ24" s="958"/>
      <c r="ARA24" s="958"/>
      <c r="ARB24" s="958"/>
      <c r="ARC24" s="958"/>
      <c r="ARD24" s="958"/>
      <c r="ARE24" s="958"/>
      <c r="ARF24" s="958"/>
      <c r="ARG24" s="958"/>
      <c r="ARH24" s="958"/>
      <c r="ARI24" s="958"/>
      <c r="ARJ24" s="958"/>
      <c r="ARK24" s="958"/>
      <c r="ARL24" s="958"/>
      <c r="ARM24" s="958"/>
      <c r="ARN24" s="958"/>
      <c r="ARO24" s="958"/>
      <c r="ARP24" s="958"/>
      <c r="ARQ24" s="958"/>
      <c r="ARR24" s="958"/>
      <c r="ARS24" s="958"/>
      <c r="ART24" s="958"/>
      <c r="ARU24" s="958"/>
      <c r="ARV24" s="958"/>
      <c r="ARW24" s="958"/>
      <c r="ARX24" s="958"/>
      <c r="ARY24" s="958"/>
      <c r="ARZ24" s="958"/>
      <c r="ASA24" s="958"/>
      <c r="ASB24" s="958"/>
      <c r="ASC24" s="958"/>
      <c r="ASD24" s="958"/>
      <c r="ASE24" s="958"/>
      <c r="ASF24" s="958"/>
      <c r="ASG24" s="958"/>
      <c r="ASH24" s="958"/>
      <c r="ASI24" s="958"/>
      <c r="ASJ24" s="958"/>
      <c r="ASK24" s="958"/>
      <c r="ASL24" s="958"/>
      <c r="ASM24" s="958"/>
      <c r="ASN24" s="958"/>
      <c r="ASO24" s="958"/>
      <c r="ASP24" s="958"/>
      <c r="ASQ24" s="958"/>
      <c r="ASR24" s="958"/>
      <c r="ASS24" s="958"/>
      <c r="AST24" s="958"/>
      <c r="ASU24" s="958"/>
      <c r="ASV24" s="958"/>
      <c r="ASW24" s="958"/>
      <c r="ASX24" s="958"/>
      <c r="ASY24" s="958"/>
      <c r="ASZ24" s="958"/>
    </row>
    <row r="25" spans="1:1196" s="22" customFormat="1" ht="77.25" customHeight="1" thickTop="1" thickBot="1">
      <c r="A25" s="2846"/>
      <c r="B25" s="2992"/>
      <c r="C25" s="3025"/>
      <c r="D25" s="171" t="s">
        <v>124</v>
      </c>
      <c r="E25" s="172" t="s">
        <v>176</v>
      </c>
      <c r="F25" s="172" t="s">
        <v>10</v>
      </c>
      <c r="G25" s="173">
        <v>1</v>
      </c>
      <c r="H25" s="82"/>
      <c r="I25" s="88"/>
      <c r="J25" s="82"/>
      <c r="K25" s="172" t="s">
        <v>7</v>
      </c>
      <c r="L25" s="871">
        <v>0</v>
      </c>
      <c r="M25" s="974">
        <v>0</v>
      </c>
      <c r="N25" s="73" t="e">
        <f t="shared" si="3"/>
        <v>#DIV/0!</v>
      </c>
      <c r="O25" s="871">
        <v>0</v>
      </c>
      <c r="P25" s="974">
        <v>0</v>
      </c>
      <c r="Q25" s="73" t="e">
        <f t="shared" si="4"/>
        <v>#DIV/0!</v>
      </c>
      <c r="R25" s="871">
        <v>1</v>
      </c>
      <c r="S25" s="974">
        <v>1</v>
      </c>
      <c r="T25" s="73">
        <f t="shared" si="5"/>
        <v>1</v>
      </c>
      <c r="U25" s="871">
        <v>0</v>
      </c>
      <c r="V25" s="974">
        <v>0</v>
      </c>
      <c r="W25" s="73" t="e">
        <f t="shared" si="6"/>
        <v>#DIV/0!</v>
      </c>
      <c r="X25" s="871">
        <v>0</v>
      </c>
      <c r="Y25" s="974">
        <v>0</v>
      </c>
      <c r="Z25" s="73" t="e">
        <f t="shared" si="7"/>
        <v>#DIV/0!</v>
      </c>
      <c r="AA25" s="871">
        <v>1</v>
      </c>
      <c r="AB25" s="871">
        <v>1</v>
      </c>
      <c r="AC25" s="73">
        <f t="shared" si="8"/>
        <v>1</v>
      </c>
      <c r="AD25" s="975">
        <f>(S25+AB25)/2</f>
        <v>1</v>
      </c>
      <c r="AE25" s="956">
        <f t="shared" si="21"/>
        <v>1</v>
      </c>
      <c r="AF25" s="975">
        <v>0</v>
      </c>
      <c r="AG25" s="974">
        <v>0</v>
      </c>
      <c r="AH25" s="73" t="e">
        <f t="shared" si="11"/>
        <v>#DIV/0!</v>
      </c>
      <c r="AI25" s="871">
        <v>0</v>
      </c>
      <c r="AJ25" s="974">
        <v>0</v>
      </c>
      <c r="AK25" s="73" t="e">
        <f t="shared" si="12"/>
        <v>#DIV/0!</v>
      </c>
      <c r="AL25" s="871">
        <v>1</v>
      </c>
      <c r="AM25" s="974">
        <v>1</v>
      </c>
      <c r="AN25" s="73">
        <f t="shared" si="13"/>
        <v>1</v>
      </c>
      <c r="AO25" s="871">
        <v>0</v>
      </c>
      <c r="AP25" s="974">
        <v>0</v>
      </c>
      <c r="AQ25" s="73" t="e">
        <f t="shared" si="14"/>
        <v>#DIV/0!</v>
      </c>
      <c r="AR25" s="871">
        <v>0</v>
      </c>
      <c r="AS25" s="974">
        <v>0</v>
      </c>
      <c r="AT25" s="73" t="e">
        <f t="shared" si="15"/>
        <v>#DIV/0!</v>
      </c>
      <c r="AU25" s="871">
        <v>1</v>
      </c>
      <c r="AV25" s="974">
        <v>1</v>
      </c>
      <c r="AW25" s="73">
        <f t="shared" si="16"/>
        <v>1</v>
      </c>
      <c r="AX25" s="975">
        <f>+(S25+AB25+AV25+AM25)/4</f>
        <v>1</v>
      </c>
      <c r="AY25" s="956">
        <f t="shared" si="18"/>
        <v>1</v>
      </c>
      <c r="AZ25" s="958"/>
      <c r="BA25" s="958"/>
      <c r="BB25" s="958"/>
      <c r="BC25" s="958"/>
      <c r="BD25" s="958"/>
      <c r="BE25" s="958"/>
      <c r="BF25" s="958"/>
      <c r="BG25" s="958"/>
      <c r="BH25" s="958"/>
      <c r="BI25" s="958"/>
      <c r="BJ25" s="958"/>
      <c r="BK25" s="958"/>
      <c r="BL25" s="958"/>
      <c r="BM25" s="958"/>
      <c r="BN25" s="958"/>
      <c r="BO25" s="958"/>
      <c r="BP25" s="958"/>
      <c r="BQ25" s="958"/>
      <c r="BR25" s="958"/>
      <c r="BS25" s="958"/>
      <c r="BT25" s="958"/>
      <c r="BU25" s="958"/>
      <c r="BV25" s="958"/>
      <c r="BW25" s="958"/>
      <c r="BX25" s="958"/>
      <c r="BY25" s="958"/>
      <c r="BZ25" s="958"/>
      <c r="CA25" s="958"/>
      <c r="CB25" s="958"/>
      <c r="CC25" s="958"/>
      <c r="CD25" s="958"/>
      <c r="CE25" s="958"/>
      <c r="CF25" s="958"/>
      <c r="CG25" s="958"/>
      <c r="CH25" s="958"/>
      <c r="CI25" s="958"/>
      <c r="CJ25" s="958"/>
      <c r="CK25" s="958"/>
      <c r="CL25" s="958"/>
      <c r="CM25" s="958"/>
      <c r="CN25" s="958"/>
      <c r="CO25" s="958"/>
      <c r="CP25" s="958"/>
      <c r="CQ25" s="958"/>
      <c r="CR25" s="958"/>
      <c r="CS25" s="958"/>
      <c r="CT25" s="958"/>
      <c r="CU25" s="958"/>
      <c r="CV25" s="958"/>
      <c r="CW25" s="958"/>
      <c r="CX25" s="958"/>
      <c r="CY25" s="958"/>
      <c r="CZ25" s="958"/>
      <c r="DA25" s="958"/>
      <c r="DB25" s="958"/>
      <c r="DC25" s="958"/>
      <c r="DD25" s="958"/>
      <c r="DE25" s="958"/>
      <c r="DF25" s="958"/>
      <c r="DG25" s="958"/>
      <c r="DH25" s="958"/>
      <c r="DI25" s="958"/>
      <c r="DJ25" s="958"/>
      <c r="DK25" s="958"/>
      <c r="DL25" s="958"/>
      <c r="DM25" s="958"/>
      <c r="DN25" s="958"/>
      <c r="DO25" s="958"/>
      <c r="DP25" s="958"/>
      <c r="DQ25" s="958"/>
      <c r="DR25" s="958"/>
      <c r="DS25" s="958"/>
      <c r="DT25" s="958"/>
      <c r="DU25" s="958"/>
      <c r="DV25" s="958"/>
      <c r="DW25" s="958"/>
      <c r="DX25" s="958"/>
      <c r="DY25" s="958"/>
      <c r="DZ25" s="958"/>
      <c r="EA25" s="958"/>
      <c r="EB25" s="958"/>
      <c r="EC25" s="958"/>
      <c r="ED25" s="958"/>
      <c r="EE25" s="958"/>
      <c r="EF25" s="958"/>
      <c r="EG25" s="958"/>
      <c r="EH25" s="958"/>
      <c r="EI25" s="958"/>
      <c r="EJ25" s="958"/>
      <c r="EK25" s="958"/>
      <c r="EL25" s="958"/>
      <c r="EM25" s="958"/>
      <c r="EN25" s="958"/>
      <c r="EO25" s="958"/>
      <c r="EP25" s="958"/>
      <c r="EQ25" s="958"/>
      <c r="ER25" s="958"/>
      <c r="ES25" s="958"/>
      <c r="ET25" s="958"/>
      <c r="EU25" s="958"/>
      <c r="EV25" s="958"/>
      <c r="EW25" s="958"/>
      <c r="EX25" s="958"/>
      <c r="EY25" s="958"/>
      <c r="EZ25" s="958"/>
      <c r="FA25" s="958"/>
      <c r="FB25" s="958"/>
      <c r="FC25" s="958"/>
      <c r="FD25" s="958"/>
      <c r="FE25" s="958"/>
      <c r="FF25" s="958"/>
      <c r="FG25" s="958"/>
      <c r="FH25" s="958"/>
      <c r="FI25" s="958"/>
      <c r="FJ25" s="958"/>
      <c r="FK25" s="958"/>
      <c r="FL25" s="958"/>
      <c r="FM25" s="958"/>
      <c r="FN25" s="958"/>
      <c r="FO25" s="958"/>
      <c r="FP25" s="958"/>
      <c r="FQ25" s="958"/>
      <c r="FR25" s="958"/>
      <c r="FS25" s="958"/>
      <c r="FT25" s="958"/>
      <c r="FU25" s="958"/>
      <c r="FV25" s="958"/>
      <c r="FW25" s="958"/>
      <c r="FX25" s="958"/>
      <c r="FY25" s="958"/>
      <c r="FZ25" s="958"/>
      <c r="GA25" s="958"/>
      <c r="GB25" s="958"/>
      <c r="GC25" s="958"/>
      <c r="GD25" s="958"/>
      <c r="GE25" s="958"/>
      <c r="GF25" s="958"/>
      <c r="GG25" s="958"/>
      <c r="GH25" s="958"/>
      <c r="GI25" s="958"/>
      <c r="GJ25" s="958"/>
      <c r="GK25" s="958"/>
      <c r="GL25" s="958"/>
      <c r="GM25" s="958"/>
      <c r="GN25" s="958"/>
      <c r="GO25" s="958"/>
      <c r="GP25" s="958"/>
      <c r="GQ25" s="958"/>
      <c r="GR25" s="958"/>
      <c r="GS25" s="958"/>
      <c r="GT25" s="958"/>
      <c r="GU25" s="958"/>
      <c r="GV25" s="958"/>
      <c r="GW25" s="958"/>
      <c r="GX25" s="958"/>
      <c r="GY25" s="958"/>
      <c r="GZ25" s="958"/>
      <c r="HA25" s="958"/>
      <c r="HB25" s="958"/>
      <c r="HC25" s="958"/>
      <c r="HD25" s="958"/>
      <c r="HE25" s="958"/>
      <c r="HF25" s="958"/>
      <c r="HG25" s="958"/>
      <c r="HH25" s="958"/>
      <c r="HI25" s="958"/>
      <c r="HJ25" s="958"/>
      <c r="HK25" s="958"/>
      <c r="HL25" s="958"/>
      <c r="HM25" s="958"/>
      <c r="HN25" s="958"/>
      <c r="HO25" s="958"/>
      <c r="HP25" s="958"/>
      <c r="HQ25" s="958"/>
      <c r="HR25" s="958"/>
      <c r="HS25" s="958"/>
      <c r="HT25" s="958"/>
      <c r="HU25" s="958"/>
      <c r="HV25" s="958"/>
      <c r="HW25" s="958"/>
      <c r="HX25" s="958"/>
      <c r="HY25" s="958"/>
      <c r="HZ25" s="958"/>
      <c r="IA25" s="958"/>
      <c r="IB25" s="958"/>
      <c r="IC25" s="958"/>
      <c r="ID25" s="958"/>
      <c r="IE25" s="958"/>
      <c r="IF25" s="958"/>
      <c r="IG25" s="958"/>
      <c r="IH25" s="958"/>
      <c r="II25" s="958"/>
      <c r="IJ25" s="958"/>
      <c r="IK25" s="958"/>
      <c r="IL25" s="958"/>
      <c r="IM25" s="958"/>
      <c r="IN25" s="958"/>
      <c r="IO25" s="958"/>
      <c r="IP25" s="958"/>
      <c r="IQ25" s="958"/>
      <c r="IR25" s="958"/>
      <c r="IS25" s="958"/>
      <c r="IT25" s="958"/>
      <c r="IU25" s="958"/>
      <c r="IV25" s="958"/>
      <c r="IW25" s="958"/>
      <c r="IX25" s="958"/>
      <c r="IY25" s="958"/>
      <c r="IZ25" s="958"/>
      <c r="JA25" s="958"/>
      <c r="JB25" s="958"/>
      <c r="JC25" s="958"/>
      <c r="JD25" s="958"/>
      <c r="JE25" s="958"/>
      <c r="JF25" s="958"/>
      <c r="JG25" s="958"/>
      <c r="JH25" s="958"/>
      <c r="JI25" s="958"/>
      <c r="JJ25" s="958"/>
      <c r="JK25" s="958"/>
      <c r="JL25" s="958"/>
      <c r="JM25" s="958"/>
      <c r="JN25" s="958"/>
      <c r="JO25" s="958"/>
      <c r="JP25" s="958"/>
      <c r="JQ25" s="958"/>
      <c r="JR25" s="958"/>
      <c r="JS25" s="958"/>
      <c r="JT25" s="958"/>
      <c r="JU25" s="958"/>
      <c r="JV25" s="958"/>
      <c r="JW25" s="958"/>
      <c r="JX25" s="958"/>
      <c r="JY25" s="958"/>
      <c r="JZ25" s="958"/>
      <c r="KA25" s="958"/>
      <c r="KB25" s="958"/>
      <c r="KC25" s="958"/>
      <c r="KD25" s="958"/>
      <c r="KE25" s="958"/>
      <c r="KF25" s="958"/>
      <c r="KG25" s="958"/>
      <c r="KH25" s="958"/>
      <c r="KI25" s="958"/>
      <c r="KJ25" s="958"/>
      <c r="KK25" s="958"/>
      <c r="KL25" s="958"/>
      <c r="KM25" s="958"/>
      <c r="KN25" s="958"/>
      <c r="KO25" s="958"/>
      <c r="KP25" s="958"/>
      <c r="KQ25" s="958"/>
      <c r="KR25" s="958"/>
      <c r="KS25" s="958"/>
      <c r="KT25" s="958"/>
      <c r="KU25" s="958"/>
      <c r="KV25" s="958"/>
      <c r="KW25" s="958"/>
      <c r="KX25" s="958"/>
      <c r="KY25" s="958"/>
      <c r="KZ25" s="958"/>
      <c r="LA25" s="958"/>
      <c r="LB25" s="958"/>
      <c r="LC25" s="958"/>
      <c r="LD25" s="958"/>
      <c r="LE25" s="958"/>
      <c r="LF25" s="958"/>
      <c r="LG25" s="958"/>
      <c r="LH25" s="958"/>
      <c r="LI25" s="958"/>
      <c r="LJ25" s="958"/>
      <c r="LK25" s="958"/>
      <c r="LL25" s="958"/>
      <c r="LM25" s="958"/>
      <c r="LN25" s="958"/>
      <c r="LO25" s="958"/>
      <c r="LP25" s="958"/>
      <c r="LQ25" s="958"/>
      <c r="LR25" s="958"/>
      <c r="LS25" s="958"/>
      <c r="LT25" s="958"/>
      <c r="LU25" s="958"/>
      <c r="LV25" s="958"/>
      <c r="LW25" s="958"/>
      <c r="LX25" s="958"/>
      <c r="LY25" s="958"/>
      <c r="LZ25" s="958"/>
      <c r="MA25" s="958"/>
      <c r="MB25" s="958"/>
      <c r="MC25" s="958"/>
      <c r="MD25" s="958"/>
      <c r="ME25" s="958"/>
      <c r="MF25" s="958"/>
      <c r="MG25" s="958"/>
      <c r="MH25" s="958"/>
      <c r="MI25" s="958"/>
      <c r="MJ25" s="958"/>
      <c r="MK25" s="958"/>
      <c r="ML25" s="958"/>
      <c r="MM25" s="958"/>
      <c r="MN25" s="958"/>
      <c r="MO25" s="958"/>
      <c r="MP25" s="958"/>
      <c r="MQ25" s="958"/>
      <c r="MR25" s="958"/>
      <c r="MS25" s="958"/>
      <c r="MT25" s="958"/>
      <c r="MU25" s="958"/>
      <c r="MV25" s="958"/>
      <c r="MW25" s="958"/>
      <c r="MX25" s="958"/>
      <c r="MY25" s="958"/>
      <c r="MZ25" s="958"/>
      <c r="NA25" s="958"/>
      <c r="NB25" s="958"/>
      <c r="NC25" s="958"/>
      <c r="ND25" s="958"/>
      <c r="NE25" s="958"/>
      <c r="NF25" s="958"/>
      <c r="NG25" s="958"/>
      <c r="NH25" s="958"/>
      <c r="NI25" s="958"/>
      <c r="NJ25" s="958"/>
      <c r="NK25" s="958"/>
      <c r="NL25" s="958"/>
      <c r="NM25" s="958"/>
      <c r="NN25" s="958"/>
      <c r="NO25" s="958"/>
      <c r="NP25" s="958"/>
      <c r="NQ25" s="958"/>
      <c r="NR25" s="958"/>
      <c r="NS25" s="958"/>
      <c r="NT25" s="958"/>
      <c r="NU25" s="958"/>
      <c r="NV25" s="958"/>
      <c r="NW25" s="958"/>
      <c r="NX25" s="958"/>
      <c r="NY25" s="958"/>
      <c r="NZ25" s="958"/>
      <c r="OA25" s="958"/>
      <c r="OB25" s="958"/>
      <c r="OC25" s="958"/>
      <c r="OD25" s="958"/>
      <c r="OE25" s="958"/>
      <c r="OF25" s="958"/>
      <c r="OG25" s="958"/>
      <c r="OH25" s="958"/>
      <c r="OI25" s="958"/>
      <c r="OJ25" s="958"/>
      <c r="OK25" s="958"/>
      <c r="OL25" s="958"/>
      <c r="OM25" s="958"/>
      <c r="ON25" s="958"/>
      <c r="OO25" s="958"/>
      <c r="OP25" s="958"/>
      <c r="OQ25" s="958"/>
      <c r="OR25" s="958"/>
      <c r="OS25" s="958"/>
      <c r="OT25" s="958"/>
      <c r="OU25" s="958"/>
      <c r="OV25" s="958"/>
      <c r="OW25" s="958"/>
      <c r="OX25" s="958"/>
      <c r="OY25" s="958"/>
      <c r="OZ25" s="958"/>
      <c r="PA25" s="958"/>
      <c r="PB25" s="958"/>
      <c r="PC25" s="958"/>
      <c r="PD25" s="958"/>
      <c r="PE25" s="958"/>
      <c r="PF25" s="958"/>
      <c r="PG25" s="958"/>
      <c r="PH25" s="958"/>
      <c r="PI25" s="958"/>
      <c r="PJ25" s="958"/>
      <c r="PK25" s="958"/>
      <c r="PL25" s="958"/>
      <c r="PM25" s="958"/>
      <c r="PN25" s="958"/>
      <c r="PO25" s="958"/>
      <c r="PP25" s="958"/>
      <c r="PQ25" s="958"/>
      <c r="PR25" s="958"/>
      <c r="PS25" s="958"/>
      <c r="PT25" s="958"/>
      <c r="PU25" s="958"/>
      <c r="PV25" s="958"/>
      <c r="PW25" s="958"/>
      <c r="PX25" s="958"/>
      <c r="PY25" s="958"/>
      <c r="PZ25" s="958"/>
      <c r="QA25" s="958"/>
      <c r="QB25" s="958"/>
      <c r="QC25" s="958"/>
      <c r="QD25" s="958"/>
      <c r="QE25" s="958"/>
      <c r="QF25" s="958"/>
      <c r="QG25" s="958"/>
      <c r="QH25" s="958"/>
      <c r="QI25" s="958"/>
      <c r="QJ25" s="958"/>
      <c r="QK25" s="958"/>
      <c r="QL25" s="958"/>
      <c r="QM25" s="958"/>
      <c r="QN25" s="958"/>
      <c r="QO25" s="958"/>
      <c r="QP25" s="958"/>
      <c r="QQ25" s="958"/>
      <c r="QR25" s="958"/>
      <c r="QS25" s="958"/>
      <c r="QT25" s="958"/>
      <c r="QU25" s="958"/>
      <c r="QV25" s="958"/>
      <c r="QW25" s="958"/>
      <c r="QX25" s="958"/>
      <c r="QY25" s="958"/>
      <c r="QZ25" s="958"/>
      <c r="RA25" s="958"/>
      <c r="RB25" s="958"/>
      <c r="RC25" s="958"/>
      <c r="RD25" s="958"/>
      <c r="RE25" s="958"/>
      <c r="RF25" s="958"/>
      <c r="RG25" s="958"/>
      <c r="RH25" s="958"/>
      <c r="RI25" s="958"/>
      <c r="RJ25" s="958"/>
      <c r="RK25" s="958"/>
      <c r="RL25" s="958"/>
      <c r="RM25" s="958"/>
      <c r="RN25" s="958"/>
      <c r="RO25" s="958"/>
      <c r="RP25" s="958"/>
      <c r="RQ25" s="958"/>
      <c r="RR25" s="958"/>
      <c r="RS25" s="958"/>
      <c r="RT25" s="958"/>
      <c r="RU25" s="958"/>
      <c r="RV25" s="958"/>
      <c r="RW25" s="958"/>
      <c r="RX25" s="958"/>
      <c r="RY25" s="958"/>
      <c r="RZ25" s="958"/>
      <c r="SA25" s="958"/>
      <c r="SB25" s="958"/>
      <c r="SC25" s="958"/>
      <c r="SD25" s="958"/>
      <c r="SE25" s="958"/>
      <c r="SF25" s="958"/>
      <c r="SG25" s="958"/>
      <c r="SH25" s="958"/>
      <c r="SI25" s="958"/>
      <c r="SJ25" s="958"/>
      <c r="SK25" s="958"/>
      <c r="SL25" s="958"/>
      <c r="SM25" s="958"/>
      <c r="SN25" s="958"/>
      <c r="SO25" s="958"/>
      <c r="SP25" s="958"/>
      <c r="SQ25" s="958"/>
      <c r="SR25" s="958"/>
      <c r="SS25" s="958"/>
      <c r="ST25" s="958"/>
      <c r="SU25" s="958"/>
      <c r="SV25" s="958"/>
      <c r="SW25" s="958"/>
      <c r="SX25" s="958"/>
      <c r="SY25" s="958"/>
      <c r="SZ25" s="958"/>
      <c r="TA25" s="958"/>
      <c r="TB25" s="958"/>
      <c r="TC25" s="958"/>
      <c r="TD25" s="958"/>
      <c r="TE25" s="958"/>
      <c r="TF25" s="958"/>
      <c r="TG25" s="958"/>
      <c r="TH25" s="958"/>
      <c r="TI25" s="958"/>
      <c r="TJ25" s="958"/>
      <c r="TK25" s="958"/>
      <c r="TL25" s="958"/>
      <c r="TM25" s="958"/>
      <c r="TN25" s="958"/>
      <c r="TO25" s="958"/>
      <c r="TP25" s="958"/>
      <c r="TQ25" s="958"/>
      <c r="TR25" s="958"/>
      <c r="TS25" s="958"/>
      <c r="TT25" s="958"/>
      <c r="TU25" s="958"/>
      <c r="TV25" s="958"/>
      <c r="TW25" s="958"/>
      <c r="TX25" s="958"/>
      <c r="TY25" s="958"/>
      <c r="TZ25" s="958"/>
      <c r="UA25" s="958"/>
      <c r="UB25" s="958"/>
      <c r="UC25" s="958"/>
      <c r="UD25" s="958"/>
      <c r="UE25" s="958"/>
      <c r="UF25" s="958"/>
      <c r="UG25" s="958"/>
      <c r="UH25" s="958"/>
      <c r="UI25" s="958"/>
      <c r="UJ25" s="958"/>
      <c r="UK25" s="958"/>
      <c r="UL25" s="958"/>
      <c r="UM25" s="958"/>
      <c r="UN25" s="958"/>
      <c r="UO25" s="958"/>
      <c r="UP25" s="958"/>
      <c r="UQ25" s="958"/>
      <c r="UR25" s="958"/>
      <c r="US25" s="958"/>
      <c r="UT25" s="958"/>
      <c r="UU25" s="958"/>
      <c r="UV25" s="958"/>
      <c r="UW25" s="958"/>
      <c r="UX25" s="958"/>
      <c r="UY25" s="958"/>
      <c r="UZ25" s="958"/>
      <c r="VA25" s="958"/>
      <c r="VB25" s="958"/>
      <c r="VC25" s="958"/>
      <c r="VD25" s="958"/>
      <c r="VE25" s="958"/>
      <c r="VF25" s="958"/>
      <c r="VG25" s="958"/>
      <c r="VH25" s="958"/>
      <c r="VI25" s="958"/>
      <c r="VJ25" s="958"/>
      <c r="VK25" s="958"/>
      <c r="VL25" s="958"/>
      <c r="VM25" s="958"/>
      <c r="VN25" s="958"/>
      <c r="VO25" s="958"/>
      <c r="VP25" s="958"/>
      <c r="VQ25" s="958"/>
      <c r="VR25" s="958"/>
      <c r="VS25" s="958"/>
      <c r="VT25" s="958"/>
      <c r="VU25" s="958"/>
      <c r="VV25" s="958"/>
      <c r="VW25" s="958"/>
      <c r="VX25" s="958"/>
      <c r="VY25" s="958"/>
      <c r="VZ25" s="958"/>
      <c r="WA25" s="958"/>
      <c r="WB25" s="958"/>
      <c r="WC25" s="958"/>
      <c r="WD25" s="958"/>
      <c r="WE25" s="958"/>
      <c r="WF25" s="958"/>
      <c r="WG25" s="958"/>
      <c r="WH25" s="958"/>
      <c r="WI25" s="958"/>
      <c r="WJ25" s="958"/>
      <c r="WK25" s="958"/>
      <c r="WL25" s="958"/>
      <c r="WM25" s="958"/>
      <c r="WN25" s="958"/>
      <c r="WO25" s="958"/>
      <c r="WP25" s="958"/>
      <c r="WQ25" s="958"/>
      <c r="WR25" s="958"/>
      <c r="WS25" s="958"/>
      <c r="WT25" s="958"/>
      <c r="WU25" s="958"/>
      <c r="WV25" s="958"/>
      <c r="WW25" s="958"/>
      <c r="WX25" s="958"/>
      <c r="WY25" s="958"/>
      <c r="WZ25" s="958"/>
      <c r="XA25" s="958"/>
      <c r="XB25" s="958"/>
      <c r="XC25" s="958"/>
      <c r="XD25" s="958"/>
      <c r="XE25" s="958"/>
      <c r="XF25" s="958"/>
      <c r="XG25" s="958"/>
      <c r="XH25" s="958"/>
      <c r="XI25" s="958"/>
      <c r="XJ25" s="958"/>
      <c r="XK25" s="958"/>
      <c r="XL25" s="958"/>
      <c r="XM25" s="958"/>
      <c r="XN25" s="958"/>
      <c r="XO25" s="958"/>
      <c r="XP25" s="958"/>
      <c r="XQ25" s="958"/>
      <c r="XR25" s="958"/>
      <c r="XS25" s="958"/>
      <c r="XT25" s="958"/>
      <c r="XU25" s="958"/>
      <c r="XV25" s="958"/>
      <c r="XW25" s="958"/>
      <c r="XX25" s="958"/>
      <c r="XY25" s="958"/>
      <c r="XZ25" s="958"/>
      <c r="YA25" s="958"/>
      <c r="YB25" s="958"/>
      <c r="YC25" s="958"/>
      <c r="YD25" s="958"/>
      <c r="YE25" s="958"/>
      <c r="YF25" s="958"/>
      <c r="YG25" s="958"/>
      <c r="YH25" s="958"/>
      <c r="YI25" s="958"/>
      <c r="YJ25" s="958"/>
      <c r="YK25" s="958"/>
      <c r="YL25" s="958"/>
      <c r="YM25" s="958"/>
      <c r="YN25" s="958"/>
      <c r="YO25" s="958"/>
      <c r="YP25" s="958"/>
      <c r="YQ25" s="958"/>
      <c r="YR25" s="958"/>
      <c r="YS25" s="958"/>
      <c r="YT25" s="958"/>
      <c r="YU25" s="958"/>
      <c r="YV25" s="958"/>
      <c r="YW25" s="958"/>
      <c r="YX25" s="958"/>
      <c r="YY25" s="958"/>
      <c r="YZ25" s="958"/>
      <c r="ZA25" s="958"/>
      <c r="ZB25" s="958"/>
      <c r="ZC25" s="958"/>
      <c r="ZD25" s="958"/>
      <c r="ZE25" s="958"/>
      <c r="ZF25" s="958"/>
      <c r="ZG25" s="958"/>
      <c r="ZH25" s="958"/>
      <c r="ZI25" s="958"/>
      <c r="ZJ25" s="958"/>
      <c r="ZK25" s="958"/>
      <c r="ZL25" s="958"/>
      <c r="ZM25" s="958"/>
      <c r="ZN25" s="958"/>
      <c r="ZO25" s="958"/>
      <c r="ZP25" s="958"/>
      <c r="ZQ25" s="958"/>
      <c r="ZR25" s="958"/>
      <c r="ZS25" s="958"/>
      <c r="ZT25" s="958"/>
      <c r="ZU25" s="958"/>
      <c r="ZV25" s="958"/>
      <c r="ZW25" s="958"/>
      <c r="ZX25" s="958"/>
      <c r="ZY25" s="958"/>
      <c r="ZZ25" s="958"/>
      <c r="AAA25" s="958"/>
      <c r="AAB25" s="958"/>
      <c r="AAC25" s="958"/>
      <c r="AAD25" s="958"/>
      <c r="AAE25" s="958"/>
      <c r="AAF25" s="958"/>
      <c r="AAG25" s="958"/>
      <c r="AAH25" s="958"/>
      <c r="AAI25" s="958"/>
      <c r="AAJ25" s="958"/>
      <c r="AAK25" s="958"/>
      <c r="AAL25" s="958"/>
      <c r="AAM25" s="958"/>
      <c r="AAN25" s="958"/>
      <c r="AAO25" s="958"/>
      <c r="AAP25" s="958"/>
      <c r="AAQ25" s="958"/>
      <c r="AAR25" s="958"/>
      <c r="AAS25" s="958"/>
      <c r="AAT25" s="958"/>
      <c r="AAU25" s="958"/>
      <c r="AAV25" s="958"/>
      <c r="AAW25" s="958"/>
      <c r="AAX25" s="958"/>
      <c r="AAY25" s="958"/>
      <c r="AAZ25" s="958"/>
      <c r="ABA25" s="958"/>
      <c r="ABB25" s="958"/>
      <c r="ABC25" s="958"/>
      <c r="ABD25" s="958"/>
      <c r="ABE25" s="958"/>
      <c r="ABF25" s="958"/>
      <c r="ABG25" s="958"/>
      <c r="ABH25" s="958"/>
      <c r="ABI25" s="958"/>
      <c r="ABJ25" s="958"/>
      <c r="ABK25" s="958"/>
      <c r="ABL25" s="958"/>
      <c r="ABM25" s="958"/>
      <c r="ABN25" s="958"/>
      <c r="ABO25" s="958"/>
      <c r="ABP25" s="958"/>
      <c r="ABQ25" s="958"/>
      <c r="ABR25" s="958"/>
      <c r="ABS25" s="958"/>
      <c r="ABT25" s="958"/>
      <c r="ABU25" s="958"/>
      <c r="ABV25" s="958"/>
      <c r="ABW25" s="958"/>
      <c r="ABX25" s="958"/>
      <c r="ABY25" s="958"/>
      <c r="ABZ25" s="958"/>
      <c r="ACA25" s="958"/>
      <c r="ACB25" s="958"/>
      <c r="ACC25" s="958"/>
      <c r="ACD25" s="958"/>
      <c r="ACE25" s="958"/>
      <c r="ACF25" s="958"/>
      <c r="ACG25" s="958"/>
      <c r="ACH25" s="958"/>
      <c r="ACI25" s="958"/>
      <c r="ACJ25" s="958"/>
      <c r="ACK25" s="958"/>
      <c r="ACL25" s="958"/>
      <c r="ACM25" s="958"/>
      <c r="ACN25" s="958"/>
      <c r="ACO25" s="958"/>
      <c r="ACP25" s="958"/>
      <c r="ACQ25" s="958"/>
      <c r="ACR25" s="958"/>
      <c r="ACS25" s="958"/>
      <c r="ACT25" s="958"/>
      <c r="ACU25" s="958"/>
      <c r="ACV25" s="958"/>
      <c r="ACW25" s="958"/>
      <c r="ACX25" s="958"/>
      <c r="ACY25" s="958"/>
      <c r="ACZ25" s="958"/>
      <c r="ADA25" s="958"/>
      <c r="ADB25" s="958"/>
      <c r="ADC25" s="958"/>
      <c r="ADD25" s="958"/>
      <c r="ADE25" s="958"/>
      <c r="ADF25" s="958"/>
      <c r="ADG25" s="958"/>
      <c r="ADH25" s="958"/>
      <c r="ADI25" s="958"/>
      <c r="ADJ25" s="958"/>
      <c r="ADK25" s="958"/>
      <c r="ADL25" s="958"/>
      <c r="ADM25" s="958"/>
      <c r="ADN25" s="958"/>
      <c r="ADO25" s="958"/>
      <c r="ADP25" s="958"/>
      <c r="ADQ25" s="958"/>
      <c r="ADR25" s="958"/>
      <c r="ADS25" s="958"/>
      <c r="ADT25" s="958"/>
      <c r="ADU25" s="958"/>
      <c r="ADV25" s="958"/>
      <c r="ADW25" s="958"/>
      <c r="ADX25" s="958"/>
      <c r="ADY25" s="958"/>
      <c r="ADZ25" s="958"/>
      <c r="AEA25" s="958"/>
      <c r="AEB25" s="958"/>
      <c r="AEC25" s="958"/>
      <c r="AED25" s="958"/>
      <c r="AEE25" s="958"/>
      <c r="AEF25" s="958"/>
      <c r="AEG25" s="958"/>
      <c r="AEH25" s="958"/>
      <c r="AEI25" s="958"/>
      <c r="AEJ25" s="958"/>
      <c r="AEK25" s="958"/>
      <c r="AEL25" s="958"/>
      <c r="AEM25" s="958"/>
      <c r="AEN25" s="958"/>
      <c r="AEO25" s="958"/>
      <c r="AEP25" s="958"/>
      <c r="AEQ25" s="958"/>
      <c r="AER25" s="958"/>
      <c r="AES25" s="958"/>
      <c r="AET25" s="958"/>
      <c r="AEU25" s="958"/>
      <c r="AEV25" s="958"/>
      <c r="AEW25" s="958"/>
      <c r="AEX25" s="958"/>
      <c r="AEY25" s="958"/>
      <c r="AEZ25" s="958"/>
      <c r="AFA25" s="958"/>
      <c r="AFB25" s="958"/>
      <c r="AFC25" s="958"/>
      <c r="AFD25" s="958"/>
      <c r="AFE25" s="958"/>
      <c r="AFF25" s="958"/>
      <c r="AFG25" s="958"/>
      <c r="AFH25" s="958"/>
      <c r="AFI25" s="958"/>
      <c r="AFJ25" s="958"/>
      <c r="AFK25" s="958"/>
      <c r="AFL25" s="958"/>
      <c r="AFM25" s="958"/>
      <c r="AFN25" s="958"/>
      <c r="AFO25" s="958"/>
      <c r="AFP25" s="958"/>
      <c r="AFQ25" s="958"/>
      <c r="AFR25" s="958"/>
      <c r="AFS25" s="958"/>
      <c r="AFT25" s="958"/>
      <c r="AFU25" s="958"/>
      <c r="AFV25" s="958"/>
      <c r="AFW25" s="958"/>
      <c r="AFX25" s="958"/>
      <c r="AFY25" s="958"/>
      <c r="AFZ25" s="958"/>
      <c r="AGA25" s="958"/>
      <c r="AGB25" s="958"/>
      <c r="AGC25" s="958"/>
      <c r="AGD25" s="958"/>
      <c r="AGE25" s="958"/>
      <c r="AGF25" s="958"/>
      <c r="AGG25" s="958"/>
      <c r="AGH25" s="958"/>
      <c r="AGI25" s="958"/>
      <c r="AGJ25" s="958"/>
      <c r="AGK25" s="958"/>
      <c r="AGL25" s="958"/>
      <c r="AGM25" s="958"/>
      <c r="AGN25" s="958"/>
      <c r="AGO25" s="958"/>
      <c r="AGP25" s="958"/>
      <c r="AGQ25" s="958"/>
      <c r="AGR25" s="958"/>
      <c r="AGS25" s="958"/>
      <c r="AGT25" s="958"/>
      <c r="AGU25" s="958"/>
      <c r="AGV25" s="958"/>
      <c r="AGW25" s="958"/>
      <c r="AGX25" s="958"/>
      <c r="AGY25" s="958"/>
      <c r="AGZ25" s="958"/>
      <c r="AHA25" s="958"/>
      <c r="AHB25" s="958"/>
      <c r="AHC25" s="958"/>
      <c r="AHD25" s="958"/>
      <c r="AHE25" s="958"/>
      <c r="AHF25" s="958"/>
      <c r="AHG25" s="958"/>
      <c r="AHH25" s="958"/>
      <c r="AHI25" s="958"/>
      <c r="AHJ25" s="958"/>
      <c r="AHK25" s="958"/>
      <c r="AHL25" s="958"/>
      <c r="AHM25" s="958"/>
      <c r="AHN25" s="958"/>
      <c r="AHO25" s="958"/>
      <c r="AHP25" s="958"/>
      <c r="AHQ25" s="958"/>
      <c r="AHR25" s="958"/>
      <c r="AHS25" s="958"/>
      <c r="AHT25" s="958"/>
      <c r="AHU25" s="958"/>
      <c r="AHV25" s="958"/>
      <c r="AHW25" s="958"/>
      <c r="AHX25" s="958"/>
      <c r="AHY25" s="958"/>
      <c r="AHZ25" s="958"/>
      <c r="AIA25" s="958"/>
      <c r="AIB25" s="958"/>
      <c r="AIC25" s="958"/>
      <c r="AID25" s="958"/>
      <c r="AIE25" s="958"/>
      <c r="AIF25" s="958"/>
      <c r="AIG25" s="958"/>
      <c r="AIH25" s="958"/>
      <c r="AII25" s="958"/>
      <c r="AIJ25" s="958"/>
      <c r="AIK25" s="958"/>
      <c r="AIL25" s="958"/>
      <c r="AIM25" s="958"/>
      <c r="AIN25" s="958"/>
      <c r="AIO25" s="958"/>
      <c r="AIP25" s="958"/>
      <c r="AIQ25" s="958"/>
      <c r="AIR25" s="958"/>
      <c r="AIS25" s="958"/>
      <c r="AIT25" s="958"/>
      <c r="AIU25" s="958"/>
      <c r="AIV25" s="958"/>
      <c r="AIW25" s="958"/>
      <c r="AIX25" s="958"/>
      <c r="AIY25" s="958"/>
      <c r="AIZ25" s="958"/>
      <c r="AJA25" s="958"/>
      <c r="AJB25" s="958"/>
      <c r="AJC25" s="958"/>
      <c r="AJD25" s="958"/>
      <c r="AJE25" s="958"/>
      <c r="AJF25" s="958"/>
      <c r="AJG25" s="958"/>
      <c r="AJH25" s="958"/>
      <c r="AJI25" s="958"/>
      <c r="AJJ25" s="958"/>
      <c r="AJK25" s="958"/>
      <c r="AJL25" s="958"/>
      <c r="AJM25" s="958"/>
      <c r="AJN25" s="958"/>
      <c r="AJO25" s="958"/>
      <c r="AJP25" s="958"/>
      <c r="AJQ25" s="958"/>
      <c r="AJR25" s="958"/>
      <c r="AJS25" s="958"/>
      <c r="AJT25" s="958"/>
      <c r="AJU25" s="958"/>
      <c r="AJV25" s="958"/>
      <c r="AJW25" s="958"/>
      <c r="AJX25" s="958"/>
      <c r="AJY25" s="958"/>
      <c r="AJZ25" s="958"/>
      <c r="AKA25" s="958"/>
      <c r="AKB25" s="958"/>
      <c r="AKC25" s="958"/>
      <c r="AKD25" s="958"/>
      <c r="AKE25" s="958"/>
      <c r="AKF25" s="958"/>
      <c r="AKG25" s="958"/>
      <c r="AKH25" s="958"/>
      <c r="AKI25" s="958"/>
      <c r="AKJ25" s="958"/>
      <c r="AKK25" s="958"/>
      <c r="AKL25" s="958"/>
      <c r="AKM25" s="958"/>
      <c r="AKN25" s="958"/>
      <c r="AKO25" s="958"/>
      <c r="AKP25" s="958"/>
      <c r="AKQ25" s="958"/>
      <c r="AKR25" s="958"/>
      <c r="AKS25" s="958"/>
      <c r="AKT25" s="958"/>
      <c r="AKU25" s="958"/>
      <c r="AKV25" s="958"/>
      <c r="AKW25" s="958"/>
      <c r="AKX25" s="958"/>
      <c r="AKY25" s="958"/>
      <c r="AKZ25" s="958"/>
      <c r="ALA25" s="958"/>
      <c r="ALB25" s="958"/>
      <c r="ALC25" s="958"/>
      <c r="ALD25" s="958"/>
      <c r="ALE25" s="958"/>
      <c r="ALF25" s="958"/>
      <c r="ALG25" s="958"/>
      <c r="ALH25" s="958"/>
      <c r="ALI25" s="958"/>
      <c r="ALJ25" s="958"/>
      <c r="ALK25" s="958"/>
      <c r="ALL25" s="958"/>
      <c r="ALM25" s="958"/>
      <c r="ALN25" s="958"/>
      <c r="ALO25" s="958"/>
      <c r="ALP25" s="958"/>
      <c r="ALQ25" s="958"/>
      <c r="ALR25" s="958"/>
      <c r="ALS25" s="958"/>
      <c r="ALT25" s="958"/>
      <c r="ALU25" s="958"/>
      <c r="ALV25" s="958"/>
      <c r="ALW25" s="958"/>
      <c r="ALX25" s="958"/>
      <c r="ALY25" s="958"/>
      <c r="ALZ25" s="958"/>
      <c r="AMA25" s="958"/>
      <c r="AMB25" s="958"/>
      <c r="AMC25" s="958"/>
      <c r="AMD25" s="958"/>
      <c r="AME25" s="958"/>
      <c r="AMF25" s="958"/>
      <c r="AMG25" s="958"/>
      <c r="AMH25" s="958"/>
      <c r="AMI25" s="958"/>
      <c r="AMJ25" s="958"/>
      <c r="AMK25" s="958"/>
      <c r="AML25" s="958"/>
      <c r="AMM25" s="958"/>
      <c r="AMN25" s="958"/>
      <c r="AMO25" s="958"/>
      <c r="AMP25" s="958"/>
      <c r="AMQ25" s="958"/>
      <c r="AMR25" s="958"/>
      <c r="AMS25" s="958"/>
      <c r="AMT25" s="958"/>
      <c r="AMU25" s="958"/>
      <c r="AMV25" s="958"/>
      <c r="AMW25" s="958"/>
      <c r="AMX25" s="958"/>
      <c r="AMY25" s="958"/>
      <c r="AMZ25" s="958"/>
      <c r="ANA25" s="958"/>
      <c r="ANB25" s="958"/>
      <c r="ANC25" s="958"/>
      <c r="AND25" s="958"/>
      <c r="ANE25" s="958"/>
      <c r="ANF25" s="958"/>
      <c r="ANG25" s="958"/>
      <c r="ANH25" s="958"/>
      <c r="ANI25" s="958"/>
      <c r="ANJ25" s="958"/>
      <c r="ANK25" s="958"/>
      <c r="ANL25" s="958"/>
      <c r="ANM25" s="958"/>
      <c r="ANN25" s="958"/>
      <c r="ANO25" s="958"/>
      <c r="ANP25" s="958"/>
      <c r="ANQ25" s="958"/>
      <c r="ANR25" s="958"/>
      <c r="ANS25" s="958"/>
      <c r="ANT25" s="958"/>
      <c r="ANU25" s="958"/>
      <c r="ANV25" s="958"/>
      <c r="ANW25" s="958"/>
      <c r="ANX25" s="958"/>
      <c r="ANY25" s="958"/>
      <c r="ANZ25" s="958"/>
      <c r="AOA25" s="958"/>
      <c r="AOB25" s="958"/>
      <c r="AOC25" s="958"/>
      <c r="AOD25" s="958"/>
      <c r="AOE25" s="958"/>
      <c r="AOF25" s="958"/>
      <c r="AOG25" s="958"/>
      <c r="AOH25" s="958"/>
      <c r="AOI25" s="958"/>
      <c r="AOJ25" s="958"/>
      <c r="AOK25" s="958"/>
      <c r="AOL25" s="958"/>
      <c r="AOM25" s="958"/>
      <c r="AON25" s="958"/>
      <c r="AOO25" s="958"/>
      <c r="AOP25" s="958"/>
      <c r="AOQ25" s="958"/>
      <c r="AOR25" s="958"/>
      <c r="AOS25" s="958"/>
      <c r="AOT25" s="958"/>
      <c r="AOU25" s="958"/>
      <c r="AOV25" s="958"/>
      <c r="AOW25" s="958"/>
      <c r="AOX25" s="958"/>
      <c r="AOY25" s="958"/>
      <c r="AOZ25" s="958"/>
      <c r="APA25" s="958"/>
      <c r="APB25" s="958"/>
      <c r="APC25" s="958"/>
      <c r="APD25" s="958"/>
      <c r="APE25" s="958"/>
      <c r="APF25" s="958"/>
      <c r="APG25" s="958"/>
      <c r="APH25" s="958"/>
      <c r="API25" s="958"/>
      <c r="APJ25" s="958"/>
      <c r="APK25" s="958"/>
      <c r="APL25" s="958"/>
      <c r="APM25" s="958"/>
      <c r="APN25" s="958"/>
      <c r="APO25" s="958"/>
      <c r="APP25" s="958"/>
      <c r="APQ25" s="958"/>
      <c r="APR25" s="958"/>
      <c r="APS25" s="958"/>
      <c r="APT25" s="958"/>
      <c r="APU25" s="958"/>
      <c r="APV25" s="958"/>
      <c r="APW25" s="958"/>
      <c r="APX25" s="958"/>
      <c r="APY25" s="958"/>
      <c r="APZ25" s="958"/>
      <c r="AQA25" s="958"/>
      <c r="AQB25" s="958"/>
      <c r="AQC25" s="958"/>
      <c r="AQD25" s="958"/>
      <c r="AQE25" s="958"/>
      <c r="AQF25" s="958"/>
      <c r="AQG25" s="958"/>
      <c r="AQH25" s="958"/>
      <c r="AQI25" s="958"/>
      <c r="AQJ25" s="958"/>
      <c r="AQK25" s="958"/>
      <c r="AQL25" s="958"/>
      <c r="AQM25" s="958"/>
      <c r="AQN25" s="958"/>
      <c r="AQO25" s="958"/>
      <c r="AQP25" s="958"/>
      <c r="AQQ25" s="958"/>
      <c r="AQR25" s="958"/>
      <c r="AQS25" s="958"/>
      <c r="AQT25" s="958"/>
      <c r="AQU25" s="958"/>
      <c r="AQV25" s="958"/>
      <c r="AQW25" s="958"/>
      <c r="AQX25" s="958"/>
      <c r="AQY25" s="958"/>
      <c r="AQZ25" s="958"/>
      <c r="ARA25" s="958"/>
      <c r="ARB25" s="958"/>
      <c r="ARC25" s="958"/>
      <c r="ARD25" s="958"/>
      <c r="ARE25" s="958"/>
      <c r="ARF25" s="958"/>
      <c r="ARG25" s="958"/>
      <c r="ARH25" s="958"/>
      <c r="ARI25" s="958"/>
      <c r="ARJ25" s="958"/>
      <c r="ARK25" s="958"/>
      <c r="ARL25" s="958"/>
      <c r="ARM25" s="958"/>
      <c r="ARN25" s="958"/>
      <c r="ARO25" s="958"/>
      <c r="ARP25" s="958"/>
      <c r="ARQ25" s="958"/>
      <c r="ARR25" s="958"/>
      <c r="ARS25" s="958"/>
      <c r="ART25" s="958"/>
      <c r="ARU25" s="958"/>
      <c r="ARV25" s="958"/>
      <c r="ARW25" s="958"/>
      <c r="ARX25" s="958"/>
      <c r="ARY25" s="958"/>
      <c r="ARZ25" s="958"/>
      <c r="ASA25" s="958"/>
      <c r="ASB25" s="958"/>
      <c r="ASC25" s="958"/>
      <c r="ASD25" s="958"/>
      <c r="ASE25" s="958"/>
      <c r="ASF25" s="958"/>
      <c r="ASG25" s="958"/>
      <c r="ASH25" s="958"/>
      <c r="ASI25" s="958"/>
      <c r="ASJ25" s="958"/>
      <c r="ASK25" s="958"/>
      <c r="ASL25" s="958"/>
      <c r="ASM25" s="958"/>
      <c r="ASN25" s="958"/>
      <c r="ASO25" s="958"/>
      <c r="ASP25" s="958"/>
      <c r="ASQ25" s="958"/>
      <c r="ASR25" s="958"/>
      <c r="ASS25" s="958"/>
      <c r="AST25" s="958"/>
      <c r="ASU25" s="958"/>
      <c r="ASV25" s="958"/>
      <c r="ASW25" s="958"/>
      <c r="ASX25" s="958"/>
      <c r="ASY25" s="958"/>
      <c r="ASZ25" s="958"/>
    </row>
    <row r="26" spans="1:1196" s="22" customFormat="1" ht="63.75" customHeight="1" thickTop="1" thickBot="1">
      <c r="A26" s="2846"/>
      <c r="B26" s="2992"/>
      <c r="C26" s="3025"/>
      <c r="D26" s="111" t="s">
        <v>126</v>
      </c>
      <c r="E26" s="177" t="s">
        <v>127</v>
      </c>
      <c r="F26" s="177" t="s">
        <v>10</v>
      </c>
      <c r="G26" s="888">
        <v>0.4</v>
      </c>
      <c r="H26" s="76"/>
      <c r="I26" s="76"/>
      <c r="J26" s="76"/>
      <c r="K26" s="179" t="s">
        <v>7</v>
      </c>
      <c r="L26" s="869">
        <v>0.4</v>
      </c>
      <c r="M26" s="978">
        <v>0.4</v>
      </c>
      <c r="N26" s="73">
        <f t="shared" si="3"/>
        <v>1</v>
      </c>
      <c r="O26" s="869">
        <v>0.4</v>
      </c>
      <c r="P26" s="978">
        <v>0.4</v>
      </c>
      <c r="Q26" s="73">
        <f t="shared" si="4"/>
        <v>1</v>
      </c>
      <c r="R26" s="869">
        <v>0.4</v>
      </c>
      <c r="S26" s="978">
        <v>0.4</v>
      </c>
      <c r="T26" s="73">
        <f t="shared" si="5"/>
        <v>1</v>
      </c>
      <c r="U26" s="869">
        <v>0.4</v>
      </c>
      <c r="V26" s="978">
        <v>0.4</v>
      </c>
      <c r="W26" s="73">
        <f t="shared" si="6"/>
        <v>1</v>
      </c>
      <c r="X26" s="869">
        <v>0.4</v>
      </c>
      <c r="Y26" s="978">
        <v>0.4</v>
      </c>
      <c r="Z26" s="73">
        <f t="shared" si="7"/>
        <v>1</v>
      </c>
      <c r="AA26" s="869">
        <v>0.4</v>
      </c>
      <c r="AB26" s="869">
        <v>0.4</v>
      </c>
      <c r="AC26" s="73">
        <f t="shared" si="8"/>
        <v>1</v>
      </c>
      <c r="AD26" s="979">
        <f>(M26+P26+S26+V26+Y26+AB26)/6</f>
        <v>0.39999999999999997</v>
      </c>
      <c r="AE26" s="956">
        <f t="shared" si="21"/>
        <v>0.99999999999999989</v>
      </c>
      <c r="AF26" s="979">
        <v>0.4</v>
      </c>
      <c r="AG26" s="978">
        <v>0.4</v>
      </c>
      <c r="AH26" s="73">
        <f t="shared" si="11"/>
        <v>1</v>
      </c>
      <c r="AI26" s="869">
        <v>0.4</v>
      </c>
      <c r="AJ26" s="978">
        <v>0.4</v>
      </c>
      <c r="AK26" s="73">
        <f t="shared" si="12"/>
        <v>1</v>
      </c>
      <c r="AL26" s="869">
        <v>0.4</v>
      </c>
      <c r="AM26" s="978">
        <v>0.4</v>
      </c>
      <c r="AN26" s="73">
        <f t="shared" si="13"/>
        <v>1</v>
      </c>
      <c r="AO26" s="869">
        <v>0.4</v>
      </c>
      <c r="AP26" s="978">
        <v>0.4</v>
      </c>
      <c r="AQ26" s="73">
        <f t="shared" si="14"/>
        <v>1</v>
      </c>
      <c r="AR26" s="869">
        <v>0.4</v>
      </c>
      <c r="AS26" s="978">
        <v>0.4</v>
      </c>
      <c r="AT26" s="73">
        <f t="shared" si="15"/>
        <v>1</v>
      </c>
      <c r="AU26" s="869">
        <v>0.4</v>
      </c>
      <c r="AV26" s="978">
        <v>0.4</v>
      </c>
      <c r="AW26" s="73">
        <f t="shared" si="16"/>
        <v>1</v>
      </c>
      <c r="AX26" s="979">
        <f>(M26+P26+S26+V26+Y26++AG26+AJ26+AM26+AP26+AS26+AV26+AB26)/12</f>
        <v>0.39999999999999997</v>
      </c>
      <c r="AY26" s="956">
        <f t="shared" si="18"/>
        <v>0.99999999999999989</v>
      </c>
      <c r="AZ26" s="958"/>
      <c r="BA26" s="958"/>
      <c r="BB26" s="958"/>
      <c r="BC26" s="958"/>
      <c r="BD26" s="958"/>
      <c r="BE26" s="958"/>
      <c r="BF26" s="958"/>
      <c r="BG26" s="958"/>
      <c r="BH26" s="958"/>
      <c r="BI26" s="958"/>
      <c r="BJ26" s="958"/>
      <c r="BK26" s="958"/>
      <c r="BL26" s="958"/>
      <c r="BM26" s="958"/>
      <c r="BN26" s="958"/>
      <c r="BO26" s="958"/>
      <c r="BP26" s="958"/>
      <c r="BQ26" s="958"/>
      <c r="BR26" s="958"/>
      <c r="BS26" s="958"/>
      <c r="BT26" s="958"/>
      <c r="BU26" s="958"/>
      <c r="BV26" s="958"/>
      <c r="BW26" s="958"/>
      <c r="BX26" s="958"/>
      <c r="BY26" s="958"/>
      <c r="BZ26" s="958"/>
      <c r="CA26" s="958"/>
      <c r="CB26" s="958"/>
      <c r="CC26" s="958"/>
      <c r="CD26" s="958"/>
      <c r="CE26" s="958"/>
      <c r="CF26" s="958"/>
      <c r="CG26" s="958"/>
      <c r="CH26" s="958"/>
      <c r="CI26" s="958"/>
      <c r="CJ26" s="958"/>
      <c r="CK26" s="958"/>
      <c r="CL26" s="958"/>
      <c r="CM26" s="958"/>
      <c r="CN26" s="958"/>
      <c r="CO26" s="958"/>
      <c r="CP26" s="958"/>
      <c r="CQ26" s="958"/>
      <c r="CR26" s="958"/>
      <c r="CS26" s="958"/>
      <c r="CT26" s="958"/>
      <c r="CU26" s="958"/>
      <c r="CV26" s="958"/>
      <c r="CW26" s="958"/>
      <c r="CX26" s="958"/>
      <c r="CY26" s="958"/>
      <c r="CZ26" s="958"/>
      <c r="DA26" s="958"/>
      <c r="DB26" s="958"/>
      <c r="DC26" s="958"/>
      <c r="DD26" s="958"/>
      <c r="DE26" s="958"/>
      <c r="DF26" s="958"/>
      <c r="DG26" s="958"/>
      <c r="DH26" s="958"/>
      <c r="DI26" s="958"/>
      <c r="DJ26" s="958"/>
      <c r="DK26" s="958"/>
      <c r="DL26" s="958"/>
      <c r="DM26" s="958"/>
      <c r="DN26" s="958"/>
      <c r="DO26" s="958"/>
      <c r="DP26" s="958"/>
      <c r="DQ26" s="958"/>
      <c r="DR26" s="958"/>
      <c r="DS26" s="958"/>
      <c r="DT26" s="958"/>
      <c r="DU26" s="958"/>
      <c r="DV26" s="958"/>
      <c r="DW26" s="958"/>
      <c r="DX26" s="958"/>
      <c r="DY26" s="958"/>
      <c r="DZ26" s="958"/>
      <c r="EA26" s="958"/>
      <c r="EB26" s="958"/>
      <c r="EC26" s="958"/>
      <c r="ED26" s="958"/>
      <c r="EE26" s="958"/>
      <c r="EF26" s="958"/>
      <c r="EG26" s="958"/>
      <c r="EH26" s="958"/>
      <c r="EI26" s="958"/>
      <c r="EJ26" s="958"/>
      <c r="EK26" s="958"/>
      <c r="EL26" s="958"/>
      <c r="EM26" s="958"/>
      <c r="EN26" s="958"/>
      <c r="EO26" s="958"/>
      <c r="EP26" s="958"/>
      <c r="EQ26" s="958"/>
      <c r="ER26" s="958"/>
      <c r="ES26" s="958"/>
      <c r="ET26" s="958"/>
      <c r="EU26" s="958"/>
      <c r="EV26" s="958"/>
      <c r="EW26" s="958"/>
      <c r="EX26" s="958"/>
      <c r="EY26" s="958"/>
      <c r="EZ26" s="958"/>
      <c r="FA26" s="958"/>
      <c r="FB26" s="958"/>
      <c r="FC26" s="958"/>
      <c r="FD26" s="958"/>
      <c r="FE26" s="958"/>
      <c r="FF26" s="958"/>
      <c r="FG26" s="958"/>
      <c r="FH26" s="958"/>
      <c r="FI26" s="958"/>
      <c r="FJ26" s="958"/>
      <c r="FK26" s="958"/>
      <c r="FL26" s="958"/>
      <c r="FM26" s="958"/>
      <c r="FN26" s="958"/>
      <c r="FO26" s="958"/>
      <c r="FP26" s="958"/>
      <c r="FQ26" s="958"/>
      <c r="FR26" s="958"/>
      <c r="FS26" s="958"/>
      <c r="FT26" s="958"/>
      <c r="FU26" s="958"/>
      <c r="FV26" s="958"/>
      <c r="FW26" s="958"/>
      <c r="FX26" s="958"/>
      <c r="FY26" s="958"/>
      <c r="FZ26" s="958"/>
      <c r="GA26" s="958"/>
      <c r="GB26" s="958"/>
      <c r="GC26" s="958"/>
      <c r="GD26" s="958"/>
      <c r="GE26" s="958"/>
      <c r="GF26" s="958"/>
      <c r="GG26" s="958"/>
      <c r="GH26" s="958"/>
      <c r="GI26" s="958"/>
      <c r="GJ26" s="958"/>
      <c r="GK26" s="958"/>
      <c r="GL26" s="958"/>
      <c r="GM26" s="958"/>
      <c r="GN26" s="958"/>
      <c r="GO26" s="958"/>
      <c r="GP26" s="958"/>
      <c r="GQ26" s="958"/>
      <c r="GR26" s="958"/>
      <c r="GS26" s="958"/>
      <c r="GT26" s="958"/>
      <c r="GU26" s="958"/>
      <c r="GV26" s="958"/>
      <c r="GW26" s="958"/>
      <c r="GX26" s="958"/>
      <c r="GY26" s="958"/>
      <c r="GZ26" s="958"/>
      <c r="HA26" s="958"/>
      <c r="HB26" s="958"/>
      <c r="HC26" s="958"/>
      <c r="HD26" s="958"/>
      <c r="HE26" s="958"/>
      <c r="HF26" s="958"/>
      <c r="HG26" s="958"/>
      <c r="HH26" s="958"/>
      <c r="HI26" s="958"/>
      <c r="HJ26" s="958"/>
      <c r="HK26" s="958"/>
      <c r="HL26" s="958"/>
      <c r="HM26" s="958"/>
      <c r="HN26" s="958"/>
      <c r="HO26" s="958"/>
      <c r="HP26" s="958"/>
      <c r="HQ26" s="958"/>
      <c r="HR26" s="958"/>
      <c r="HS26" s="958"/>
      <c r="HT26" s="958"/>
      <c r="HU26" s="958"/>
      <c r="HV26" s="958"/>
      <c r="HW26" s="958"/>
      <c r="HX26" s="958"/>
      <c r="HY26" s="958"/>
      <c r="HZ26" s="958"/>
      <c r="IA26" s="958"/>
      <c r="IB26" s="958"/>
      <c r="IC26" s="958"/>
      <c r="ID26" s="958"/>
      <c r="IE26" s="958"/>
      <c r="IF26" s="958"/>
      <c r="IG26" s="958"/>
      <c r="IH26" s="958"/>
      <c r="II26" s="958"/>
      <c r="IJ26" s="958"/>
      <c r="IK26" s="958"/>
      <c r="IL26" s="958"/>
      <c r="IM26" s="958"/>
      <c r="IN26" s="958"/>
      <c r="IO26" s="958"/>
      <c r="IP26" s="958"/>
      <c r="IQ26" s="958"/>
      <c r="IR26" s="958"/>
      <c r="IS26" s="958"/>
      <c r="IT26" s="958"/>
      <c r="IU26" s="958"/>
      <c r="IV26" s="958"/>
      <c r="IW26" s="958"/>
      <c r="IX26" s="958"/>
      <c r="IY26" s="958"/>
      <c r="IZ26" s="958"/>
      <c r="JA26" s="958"/>
      <c r="JB26" s="958"/>
      <c r="JC26" s="958"/>
      <c r="JD26" s="958"/>
      <c r="JE26" s="958"/>
      <c r="JF26" s="958"/>
      <c r="JG26" s="958"/>
      <c r="JH26" s="958"/>
      <c r="JI26" s="958"/>
      <c r="JJ26" s="958"/>
      <c r="JK26" s="958"/>
      <c r="JL26" s="958"/>
      <c r="JM26" s="958"/>
      <c r="JN26" s="958"/>
      <c r="JO26" s="958"/>
      <c r="JP26" s="958"/>
      <c r="JQ26" s="958"/>
      <c r="JR26" s="958"/>
      <c r="JS26" s="958"/>
      <c r="JT26" s="958"/>
      <c r="JU26" s="958"/>
      <c r="JV26" s="958"/>
      <c r="JW26" s="958"/>
      <c r="JX26" s="958"/>
      <c r="JY26" s="958"/>
      <c r="JZ26" s="958"/>
      <c r="KA26" s="958"/>
      <c r="KB26" s="958"/>
      <c r="KC26" s="958"/>
      <c r="KD26" s="958"/>
      <c r="KE26" s="958"/>
      <c r="KF26" s="958"/>
      <c r="KG26" s="958"/>
      <c r="KH26" s="958"/>
      <c r="KI26" s="958"/>
      <c r="KJ26" s="958"/>
      <c r="KK26" s="958"/>
      <c r="KL26" s="958"/>
      <c r="KM26" s="958"/>
      <c r="KN26" s="958"/>
      <c r="KO26" s="958"/>
      <c r="KP26" s="958"/>
      <c r="KQ26" s="958"/>
      <c r="KR26" s="958"/>
      <c r="KS26" s="958"/>
      <c r="KT26" s="958"/>
      <c r="KU26" s="958"/>
      <c r="KV26" s="958"/>
      <c r="KW26" s="958"/>
      <c r="KX26" s="958"/>
      <c r="KY26" s="958"/>
      <c r="KZ26" s="958"/>
      <c r="LA26" s="958"/>
      <c r="LB26" s="958"/>
      <c r="LC26" s="958"/>
      <c r="LD26" s="958"/>
      <c r="LE26" s="958"/>
      <c r="LF26" s="958"/>
      <c r="LG26" s="958"/>
      <c r="LH26" s="958"/>
      <c r="LI26" s="958"/>
      <c r="LJ26" s="958"/>
      <c r="LK26" s="958"/>
      <c r="LL26" s="958"/>
      <c r="LM26" s="958"/>
      <c r="LN26" s="958"/>
      <c r="LO26" s="958"/>
      <c r="LP26" s="958"/>
      <c r="LQ26" s="958"/>
      <c r="LR26" s="958"/>
      <c r="LS26" s="958"/>
      <c r="LT26" s="958"/>
      <c r="LU26" s="958"/>
      <c r="LV26" s="958"/>
      <c r="LW26" s="958"/>
      <c r="LX26" s="958"/>
      <c r="LY26" s="958"/>
      <c r="LZ26" s="958"/>
      <c r="MA26" s="958"/>
      <c r="MB26" s="958"/>
      <c r="MC26" s="958"/>
      <c r="MD26" s="958"/>
      <c r="ME26" s="958"/>
      <c r="MF26" s="958"/>
      <c r="MG26" s="958"/>
      <c r="MH26" s="958"/>
      <c r="MI26" s="958"/>
      <c r="MJ26" s="958"/>
      <c r="MK26" s="958"/>
      <c r="ML26" s="958"/>
      <c r="MM26" s="958"/>
      <c r="MN26" s="958"/>
      <c r="MO26" s="958"/>
      <c r="MP26" s="958"/>
      <c r="MQ26" s="958"/>
      <c r="MR26" s="958"/>
      <c r="MS26" s="958"/>
      <c r="MT26" s="958"/>
      <c r="MU26" s="958"/>
      <c r="MV26" s="958"/>
      <c r="MW26" s="958"/>
      <c r="MX26" s="958"/>
      <c r="MY26" s="958"/>
      <c r="MZ26" s="958"/>
      <c r="NA26" s="958"/>
      <c r="NB26" s="958"/>
      <c r="NC26" s="958"/>
      <c r="ND26" s="958"/>
      <c r="NE26" s="958"/>
      <c r="NF26" s="958"/>
      <c r="NG26" s="958"/>
      <c r="NH26" s="958"/>
      <c r="NI26" s="958"/>
      <c r="NJ26" s="958"/>
      <c r="NK26" s="958"/>
      <c r="NL26" s="958"/>
      <c r="NM26" s="958"/>
      <c r="NN26" s="958"/>
      <c r="NO26" s="958"/>
      <c r="NP26" s="958"/>
      <c r="NQ26" s="958"/>
      <c r="NR26" s="958"/>
      <c r="NS26" s="958"/>
      <c r="NT26" s="958"/>
      <c r="NU26" s="958"/>
      <c r="NV26" s="958"/>
      <c r="NW26" s="958"/>
      <c r="NX26" s="958"/>
      <c r="NY26" s="958"/>
      <c r="NZ26" s="958"/>
      <c r="OA26" s="958"/>
      <c r="OB26" s="958"/>
      <c r="OC26" s="958"/>
      <c r="OD26" s="958"/>
      <c r="OE26" s="958"/>
      <c r="OF26" s="958"/>
      <c r="OG26" s="958"/>
      <c r="OH26" s="958"/>
      <c r="OI26" s="958"/>
      <c r="OJ26" s="958"/>
      <c r="OK26" s="958"/>
      <c r="OL26" s="958"/>
      <c r="OM26" s="958"/>
      <c r="ON26" s="958"/>
      <c r="OO26" s="958"/>
      <c r="OP26" s="958"/>
      <c r="OQ26" s="958"/>
      <c r="OR26" s="958"/>
      <c r="OS26" s="958"/>
      <c r="OT26" s="958"/>
      <c r="OU26" s="958"/>
      <c r="OV26" s="958"/>
      <c r="OW26" s="958"/>
      <c r="OX26" s="958"/>
      <c r="OY26" s="958"/>
      <c r="OZ26" s="958"/>
      <c r="PA26" s="958"/>
      <c r="PB26" s="958"/>
      <c r="PC26" s="958"/>
      <c r="PD26" s="958"/>
      <c r="PE26" s="958"/>
      <c r="PF26" s="958"/>
      <c r="PG26" s="958"/>
      <c r="PH26" s="958"/>
      <c r="PI26" s="958"/>
      <c r="PJ26" s="958"/>
      <c r="PK26" s="958"/>
      <c r="PL26" s="958"/>
      <c r="PM26" s="958"/>
      <c r="PN26" s="958"/>
      <c r="PO26" s="958"/>
      <c r="PP26" s="958"/>
      <c r="PQ26" s="958"/>
      <c r="PR26" s="958"/>
      <c r="PS26" s="958"/>
      <c r="PT26" s="958"/>
      <c r="PU26" s="958"/>
      <c r="PV26" s="958"/>
      <c r="PW26" s="958"/>
      <c r="PX26" s="958"/>
      <c r="PY26" s="958"/>
      <c r="PZ26" s="958"/>
      <c r="QA26" s="958"/>
      <c r="QB26" s="958"/>
      <c r="QC26" s="958"/>
      <c r="QD26" s="958"/>
      <c r="QE26" s="958"/>
      <c r="QF26" s="958"/>
      <c r="QG26" s="958"/>
      <c r="QH26" s="958"/>
      <c r="QI26" s="958"/>
      <c r="QJ26" s="958"/>
      <c r="QK26" s="958"/>
      <c r="QL26" s="958"/>
      <c r="QM26" s="958"/>
      <c r="QN26" s="958"/>
      <c r="QO26" s="958"/>
      <c r="QP26" s="958"/>
      <c r="QQ26" s="958"/>
      <c r="QR26" s="958"/>
      <c r="QS26" s="958"/>
      <c r="QT26" s="958"/>
      <c r="QU26" s="958"/>
      <c r="QV26" s="958"/>
      <c r="QW26" s="958"/>
      <c r="QX26" s="958"/>
      <c r="QY26" s="958"/>
      <c r="QZ26" s="958"/>
      <c r="RA26" s="958"/>
      <c r="RB26" s="958"/>
      <c r="RC26" s="958"/>
      <c r="RD26" s="958"/>
      <c r="RE26" s="958"/>
      <c r="RF26" s="958"/>
      <c r="RG26" s="958"/>
      <c r="RH26" s="958"/>
      <c r="RI26" s="958"/>
      <c r="RJ26" s="958"/>
      <c r="RK26" s="958"/>
      <c r="RL26" s="958"/>
      <c r="RM26" s="958"/>
      <c r="RN26" s="958"/>
      <c r="RO26" s="958"/>
      <c r="RP26" s="958"/>
      <c r="RQ26" s="958"/>
      <c r="RR26" s="958"/>
      <c r="RS26" s="958"/>
      <c r="RT26" s="958"/>
      <c r="RU26" s="958"/>
      <c r="RV26" s="958"/>
      <c r="RW26" s="958"/>
      <c r="RX26" s="958"/>
      <c r="RY26" s="958"/>
      <c r="RZ26" s="958"/>
      <c r="SA26" s="958"/>
      <c r="SB26" s="958"/>
      <c r="SC26" s="958"/>
      <c r="SD26" s="958"/>
      <c r="SE26" s="958"/>
      <c r="SF26" s="958"/>
      <c r="SG26" s="958"/>
      <c r="SH26" s="958"/>
      <c r="SI26" s="958"/>
      <c r="SJ26" s="958"/>
      <c r="SK26" s="958"/>
      <c r="SL26" s="958"/>
      <c r="SM26" s="958"/>
      <c r="SN26" s="958"/>
      <c r="SO26" s="958"/>
      <c r="SP26" s="958"/>
      <c r="SQ26" s="958"/>
      <c r="SR26" s="958"/>
      <c r="SS26" s="958"/>
      <c r="ST26" s="958"/>
      <c r="SU26" s="958"/>
      <c r="SV26" s="958"/>
      <c r="SW26" s="958"/>
      <c r="SX26" s="958"/>
      <c r="SY26" s="958"/>
      <c r="SZ26" s="958"/>
      <c r="TA26" s="958"/>
      <c r="TB26" s="958"/>
      <c r="TC26" s="958"/>
      <c r="TD26" s="958"/>
      <c r="TE26" s="958"/>
      <c r="TF26" s="958"/>
      <c r="TG26" s="958"/>
      <c r="TH26" s="958"/>
      <c r="TI26" s="958"/>
      <c r="TJ26" s="958"/>
      <c r="TK26" s="958"/>
      <c r="TL26" s="958"/>
      <c r="TM26" s="958"/>
      <c r="TN26" s="958"/>
      <c r="TO26" s="958"/>
      <c r="TP26" s="958"/>
      <c r="TQ26" s="958"/>
      <c r="TR26" s="958"/>
      <c r="TS26" s="958"/>
      <c r="TT26" s="958"/>
      <c r="TU26" s="958"/>
      <c r="TV26" s="958"/>
      <c r="TW26" s="958"/>
      <c r="TX26" s="958"/>
      <c r="TY26" s="958"/>
      <c r="TZ26" s="958"/>
      <c r="UA26" s="958"/>
      <c r="UB26" s="958"/>
      <c r="UC26" s="958"/>
      <c r="UD26" s="958"/>
      <c r="UE26" s="958"/>
      <c r="UF26" s="958"/>
      <c r="UG26" s="958"/>
      <c r="UH26" s="958"/>
      <c r="UI26" s="958"/>
      <c r="UJ26" s="958"/>
      <c r="UK26" s="958"/>
      <c r="UL26" s="958"/>
      <c r="UM26" s="958"/>
      <c r="UN26" s="958"/>
      <c r="UO26" s="958"/>
      <c r="UP26" s="958"/>
      <c r="UQ26" s="958"/>
      <c r="UR26" s="958"/>
      <c r="US26" s="958"/>
      <c r="UT26" s="958"/>
      <c r="UU26" s="958"/>
      <c r="UV26" s="958"/>
      <c r="UW26" s="958"/>
      <c r="UX26" s="958"/>
      <c r="UY26" s="958"/>
      <c r="UZ26" s="958"/>
      <c r="VA26" s="958"/>
      <c r="VB26" s="958"/>
      <c r="VC26" s="958"/>
      <c r="VD26" s="958"/>
      <c r="VE26" s="958"/>
      <c r="VF26" s="958"/>
      <c r="VG26" s="958"/>
      <c r="VH26" s="958"/>
      <c r="VI26" s="958"/>
      <c r="VJ26" s="958"/>
      <c r="VK26" s="958"/>
      <c r="VL26" s="958"/>
      <c r="VM26" s="958"/>
      <c r="VN26" s="958"/>
      <c r="VO26" s="958"/>
      <c r="VP26" s="958"/>
      <c r="VQ26" s="958"/>
      <c r="VR26" s="958"/>
      <c r="VS26" s="958"/>
      <c r="VT26" s="958"/>
      <c r="VU26" s="958"/>
      <c r="VV26" s="958"/>
      <c r="VW26" s="958"/>
      <c r="VX26" s="958"/>
      <c r="VY26" s="958"/>
      <c r="VZ26" s="958"/>
      <c r="WA26" s="958"/>
      <c r="WB26" s="958"/>
      <c r="WC26" s="958"/>
      <c r="WD26" s="958"/>
      <c r="WE26" s="958"/>
      <c r="WF26" s="958"/>
      <c r="WG26" s="958"/>
      <c r="WH26" s="958"/>
      <c r="WI26" s="958"/>
      <c r="WJ26" s="958"/>
      <c r="WK26" s="958"/>
      <c r="WL26" s="958"/>
      <c r="WM26" s="958"/>
      <c r="WN26" s="958"/>
      <c r="WO26" s="958"/>
      <c r="WP26" s="958"/>
      <c r="WQ26" s="958"/>
      <c r="WR26" s="958"/>
      <c r="WS26" s="958"/>
      <c r="WT26" s="958"/>
      <c r="WU26" s="958"/>
      <c r="WV26" s="958"/>
      <c r="WW26" s="958"/>
      <c r="WX26" s="958"/>
      <c r="WY26" s="958"/>
      <c r="WZ26" s="958"/>
      <c r="XA26" s="958"/>
      <c r="XB26" s="958"/>
      <c r="XC26" s="958"/>
      <c r="XD26" s="958"/>
      <c r="XE26" s="958"/>
      <c r="XF26" s="958"/>
      <c r="XG26" s="958"/>
      <c r="XH26" s="958"/>
      <c r="XI26" s="958"/>
      <c r="XJ26" s="958"/>
      <c r="XK26" s="958"/>
      <c r="XL26" s="958"/>
      <c r="XM26" s="958"/>
      <c r="XN26" s="958"/>
      <c r="XO26" s="958"/>
      <c r="XP26" s="958"/>
      <c r="XQ26" s="958"/>
      <c r="XR26" s="958"/>
      <c r="XS26" s="958"/>
      <c r="XT26" s="958"/>
      <c r="XU26" s="958"/>
      <c r="XV26" s="958"/>
      <c r="XW26" s="958"/>
      <c r="XX26" s="958"/>
      <c r="XY26" s="958"/>
      <c r="XZ26" s="958"/>
      <c r="YA26" s="958"/>
      <c r="YB26" s="958"/>
      <c r="YC26" s="958"/>
      <c r="YD26" s="958"/>
      <c r="YE26" s="958"/>
      <c r="YF26" s="958"/>
      <c r="YG26" s="958"/>
      <c r="YH26" s="958"/>
      <c r="YI26" s="958"/>
      <c r="YJ26" s="958"/>
      <c r="YK26" s="958"/>
      <c r="YL26" s="958"/>
      <c r="YM26" s="958"/>
      <c r="YN26" s="958"/>
      <c r="YO26" s="958"/>
      <c r="YP26" s="958"/>
      <c r="YQ26" s="958"/>
      <c r="YR26" s="958"/>
      <c r="YS26" s="958"/>
      <c r="YT26" s="958"/>
      <c r="YU26" s="958"/>
      <c r="YV26" s="958"/>
      <c r="YW26" s="958"/>
      <c r="YX26" s="958"/>
      <c r="YY26" s="958"/>
      <c r="YZ26" s="958"/>
      <c r="ZA26" s="958"/>
      <c r="ZB26" s="958"/>
      <c r="ZC26" s="958"/>
      <c r="ZD26" s="958"/>
      <c r="ZE26" s="958"/>
      <c r="ZF26" s="958"/>
      <c r="ZG26" s="958"/>
      <c r="ZH26" s="958"/>
      <c r="ZI26" s="958"/>
      <c r="ZJ26" s="958"/>
      <c r="ZK26" s="958"/>
      <c r="ZL26" s="958"/>
      <c r="ZM26" s="958"/>
      <c r="ZN26" s="958"/>
      <c r="ZO26" s="958"/>
      <c r="ZP26" s="958"/>
      <c r="ZQ26" s="958"/>
      <c r="ZR26" s="958"/>
      <c r="ZS26" s="958"/>
      <c r="ZT26" s="958"/>
      <c r="ZU26" s="958"/>
      <c r="ZV26" s="958"/>
      <c r="ZW26" s="958"/>
      <c r="ZX26" s="958"/>
      <c r="ZY26" s="958"/>
      <c r="ZZ26" s="958"/>
      <c r="AAA26" s="958"/>
      <c r="AAB26" s="958"/>
      <c r="AAC26" s="958"/>
      <c r="AAD26" s="958"/>
      <c r="AAE26" s="958"/>
      <c r="AAF26" s="958"/>
      <c r="AAG26" s="958"/>
      <c r="AAH26" s="958"/>
      <c r="AAI26" s="958"/>
      <c r="AAJ26" s="958"/>
      <c r="AAK26" s="958"/>
      <c r="AAL26" s="958"/>
      <c r="AAM26" s="958"/>
      <c r="AAN26" s="958"/>
      <c r="AAO26" s="958"/>
      <c r="AAP26" s="958"/>
      <c r="AAQ26" s="958"/>
      <c r="AAR26" s="958"/>
      <c r="AAS26" s="958"/>
      <c r="AAT26" s="958"/>
      <c r="AAU26" s="958"/>
      <c r="AAV26" s="958"/>
      <c r="AAW26" s="958"/>
      <c r="AAX26" s="958"/>
      <c r="AAY26" s="958"/>
      <c r="AAZ26" s="958"/>
      <c r="ABA26" s="958"/>
      <c r="ABB26" s="958"/>
      <c r="ABC26" s="958"/>
      <c r="ABD26" s="958"/>
      <c r="ABE26" s="958"/>
      <c r="ABF26" s="958"/>
      <c r="ABG26" s="958"/>
      <c r="ABH26" s="958"/>
      <c r="ABI26" s="958"/>
      <c r="ABJ26" s="958"/>
      <c r="ABK26" s="958"/>
      <c r="ABL26" s="958"/>
      <c r="ABM26" s="958"/>
      <c r="ABN26" s="958"/>
      <c r="ABO26" s="958"/>
      <c r="ABP26" s="958"/>
      <c r="ABQ26" s="958"/>
      <c r="ABR26" s="958"/>
      <c r="ABS26" s="958"/>
      <c r="ABT26" s="958"/>
      <c r="ABU26" s="958"/>
      <c r="ABV26" s="958"/>
      <c r="ABW26" s="958"/>
      <c r="ABX26" s="958"/>
      <c r="ABY26" s="958"/>
      <c r="ABZ26" s="958"/>
      <c r="ACA26" s="958"/>
      <c r="ACB26" s="958"/>
      <c r="ACC26" s="958"/>
      <c r="ACD26" s="958"/>
      <c r="ACE26" s="958"/>
      <c r="ACF26" s="958"/>
      <c r="ACG26" s="958"/>
      <c r="ACH26" s="958"/>
      <c r="ACI26" s="958"/>
      <c r="ACJ26" s="958"/>
      <c r="ACK26" s="958"/>
      <c r="ACL26" s="958"/>
      <c r="ACM26" s="958"/>
      <c r="ACN26" s="958"/>
      <c r="ACO26" s="958"/>
      <c r="ACP26" s="958"/>
      <c r="ACQ26" s="958"/>
      <c r="ACR26" s="958"/>
      <c r="ACS26" s="958"/>
      <c r="ACT26" s="958"/>
      <c r="ACU26" s="958"/>
      <c r="ACV26" s="958"/>
      <c r="ACW26" s="958"/>
      <c r="ACX26" s="958"/>
      <c r="ACY26" s="958"/>
      <c r="ACZ26" s="958"/>
      <c r="ADA26" s="958"/>
      <c r="ADB26" s="958"/>
      <c r="ADC26" s="958"/>
      <c r="ADD26" s="958"/>
      <c r="ADE26" s="958"/>
      <c r="ADF26" s="958"/>
      <c r="ADG26" s="958"/>
      <c r="ADH26" s="958"/>
      <c r="ADI26" s="958"/>
      <c r="ADJ26" s="958"/>
      <c r="ADK26" s="958"/>
      <c r="ADL26" s="958"/>
      <c r="ADM26" s="958"/>
      <c r="ADN26" s="958"/>
      <c r="ADO26" s="958"/>
      <c r="ADP26" s="958"/>
      <c r="ADQ26" s="958"/>
      <c r="ADR26" s="958"/>
      <c r="ADS26" s="958"/>
      <c r="ADT26" s="958"/>
      <c r="ADU26" s="958"/>
      <c r="ADV26" s="958"/>
      <c r="ADW26" s="958"/>
      <c r="ADX26" s="958"/>
      <c r="ADY26" s="958"/>
      <c r="ADZ26" s="958"/>
      <c r="AEA26" s="958"/>
      <c r="AEB26" s="958"/>
      <c r="AEC26" s="958"/>
      <c r="AED26" s="958"/>
      <c r="AEE26" s="958"/>
      <c r="AEF26" s="958"/>
      <c r="AEG26" s="958"/>
      <c r="AEH26" s="958"/>
      <c r="AEI26" s="958"/>
      <c r="AEJ26" s="958"/>
      <c r="AEK26" s="958"/>
      <c r="AEL26" s="958"/>
      <c r="AEM26" s="958"/>
      <c r="AEN26" s="958"/>
      <c r="AEO26" s="958"/>
      <c r="AEP26" s="958"/>
      <c r="AEQ26" s="958"/>
      <c r="AER26" s="958"/>
      <c r="AES26" s="958"/>
      <c r="AET26" s="958"/>
      <c r="AEU26" s="958"/>
      <c r="AEV26" s="958"/>
      <c r="AEW26" s="958"/>
      <c r="AEX26" s="958"/>
      <c r="AEY26" s="958"/>
      <c r="AEZ26" s="958"/>
      <c r="AFA26" s="958"/>
      <c r="AFB26" s="958"/>
      <c r="AFC26" s="958"/>
      <c r="AFD26" s="958"/>
      <c r="AFE26" s="958"/>
      <c r="AFF26" s="958"/>
      <c r="AFG26" s="958"/>
      <c r="AFH26" s="958"/>
      <c r="AFI26" s="958"/>
      <c r="AFJ26" s="958"/>
      <c r="AFK26" s="958"/>
      <c r="AFL26" s="958"/>
      <c r="AFM26" s="958"/>
      <c r="AFN26" s="958"/>
      <c r="AFO26" s="958"/>
      <c r="AFP26" s="958"/>
      <c r="AFQ26" s="958"/>
      <c r="AFR26" s="958"/>
      <c r="AFS26" s="958"/>
      <c r="AFT26" s="958"/>
      <c r="AFU26" s="958"/>
      <c r="AFV26" s="958"/>
      <c r="AFW26" s="958"/>
      <c r="AFX26" s="958"/>
      <c r="AFY26" s="958"/>
      <c r="AFZ26" s="958"/>
      <c r="AGA26" s="958"/>
      <c r="AGB26" s="958"/>
      <c r="AGC26" s="958"/>
      <c r="AGD26" s="958"/>
      <c r="AGE26" s="958"/>
      <c r="AGF26" s="958"/>
      <c r="AGG26" s="958"/>
      <c r="AGH26" s="958"/>
      <c r="AGI26" s="958"/>
      <c r="AGJ26" s="958"/>
      <c r="AGK26" s="958"/>
      <c r="AGL26" s="958"/>
      <c r="AGM26" s="958"/>
      <c r="AGN26" s="958"/>
      <c r="AGO26" s="958"/>
      <c r="AGP26" s="958"/>
      <c r="AGQ26" s="958"/>
      <c r="AGR26" s="958"/>
      <c r="AGS26" s="958"/>
      <c r="AGT26" s="958"/>
      <c r="AGU26" s="958"/>
      <c r="AGV26" s="958"/>
      <c r="AGW26" s="958"/>
      <c r="AGX26" s="958"/>
      <c r="AGY26" s="958"/>
      <c r="AGZ26" s="958"/>
      <c r="AHA26" s="958"/>
      <c r="AHB26" s="958"/>
      <c r="AHC26" s="958"/>
      <c r="AHD26" s="958"/>
      <c r="AHE26" s="958"/>
      <c r="AHF26" s="958"/>
      <c r="AHG26" s="958"/>
      <c r="AHH26" s="958"/>
      <c r="AHI26" s="958"/>
      <c r="AHJ26" s="958"/>
      <c r="AHK26" s="958"/>
      <c r="AHL26" s="958"/>
      <c r="AHM26" s="958"/>
      <c r="AHN26" s="958"/>
      <c r="AHO26" s="958"/>
      <c r="AHP26" s="958"/>
      <c r="AHQ26" s="958"/>
      <c r="AHR26" s="958"/>
      <c r="AHS26" s="958"/>
      <c r="AHT26" s="958"/>
      <c r="AHU26" s="958"/>
      <c r="AHV26" s="958"/>
      <c r="AHW26" s="958"/>
      <c r="AHX26" s="958"/>
      <c r="AHY26" s="958"/>
      <c r="AHZ26" s="958"/>
      <c r="AIA26" s="958"/>
      <c r="AIB26" s="958"/>
      <c r="AIC26" s="958"/>
      <c r="AID26" s="958"/>
      <c r="AIE26" s="958"/>
      <c r="AIF26" s="958"/>
      <c r="AIG26" s="958"/>
      <c r="AIH26" s="958"/>
      <c r="AII26" s="958"/>
      <c r="AIJ26" s="958"/>
      <c r="AIK26" s="958"/>
      <c r="AIL26" s="958"/>
      <c r="AIM26" s="958"/>
      <c r="AIN26" s="958"/>
      <c r="AIO26" s="958"/>
      <c r="AIP26" s="958"/>
      <c r="AIQ26" s="958"/>
      <c r="AIR26" s="958"/>
      <c r="AIS26" s="958"/>
      <c r="AIT26" s="958"/>
      <c r="AIU26" s="958"/>
      <c r="AIV26" s="958"/>
      <c r="AIW26" s="958"/>
      <c r="AIX26" s="958"/>
      <c r="AIY26" s="958"/>
      <c r="AIZ26" s="958"/>
      <c r="AJA26" s="958"/>
      <c r="AJB26" s="958"/>
      <c r="AJC26" s="958"/>
      <c r="AJD26" s="958"/>
      <c r="AJE26" s="958"/>
      <c r="AJF26" s="958"/>
      <c r="AJG26" s="958"/>
      <c r="AJH26" s="958"/>
      <c r="AJI26" s="958"/>
      <c r="AJJ26" s="958"/>
      <c r="AJK26" s="958"/>
      <c r="AJL26" s="958"/>
      <c r="AJM26" s="958"/>
      <c r="AJN26" s="958"/>
      <c r="AJO26" s="958"/>
      <c r="AJP26" s="958"/>
      <c r="AJQ26" s="958"/>
      <c r="AJR26" s="958"/>
      <c r="AJS26" s="958"/>
      <c r="AJT26" s="958"/>
      <c r="AJU26" s="958"/>
      <c r="AJV26" s="958"/>
      <c r="AJW26" s="958"/>
      <c r="AJX26" s="958"/>
      <c r="AJY26" s="958"/>
      <c r="AJZ26" s="958"/>
      <c r="AKA26" s="958"/>
      <c r="AKB26" s="958"/>
      <c r="AKC26" s="958"/>
      <c r="AKD26" s="958"/>
      <c r="AKE26" s="958"/>
      <c r="AKF26" s="958"/>
      <c r="AKG26" s="958"/>
      <c r="AKH26" s="958"/>
      <c r="AKI26" s="958"/>
      <c r="AKJ26" s="958"/>
      <c r="AKK26" s="958"/>
      <c r="AKL26" s="958"/>
      <c r="AKM26" s="958"/>
      <c r="AKN26" s="958"/>
      <c r="AKO26" s="958"/>
      <c r="AKP26" s="958"/>
      <c r="AKQ26" s="958"/>
      <c r="AKR26" s="958"/>
      <c r="AKS26" s="958"/>
      <c r="AKT26" s="958"/>
      <c r="AKU26" s="958"/>
      <c r="AKV26" s="958"/>
      <c r="AKW26" s="958"/>
      <c r="AKX26" s="958"/>
      <c r="AKY26" s="958"/>
      <c r="AKZ26" s="958"/>
      <c r="ALA26" s="958"/>
      <c r="ALB26" s="958"/>
      <c r="ALC26" s="958"/>
      <c r="ALD26" s="958"/>
      <c r="ALE26" s="958"/>
      <c r="ALF26" s="958"/>
      <c r="ALG26" s="958"/>
      <c r="ALH26" s="958"/>
      <c r="ALI26" s="958"/>
      <c r="ALJ26" s="958"/>
      <c r="ALK26" s="958"/>
      <c r="ALL26" s="958"/>
      <c r="ALM26" s="958"/>
      <c r="ALN26" s="958"/>
      <c r="ALO26" s="958"/>
      <c r="ALP26" s="958"/>
      <c r="ALQ26" s="958"/>
      <c r="ALR26" s="958"/>
      <c r="ALS26" s="958"/>
      <c r="ALT26" s="958"/>
      <c r="ALU26" s="958"/>
      <c r="ALV26" s="958"/>
      <c r="ALW26" s="958"/>
      <c r="ALX26" s="958"/>
      <c r="ALY26" s="958"/>
      <c r="ALZ26" s="958"/>
      <c r="AMA26" s="958"/>
      <c r="AMB26" s="958"/>
      <c r="AMC26" s="958"/>
      <c r="AMD26" s="958"/>
      <c r="AME26" s="958"/>
      <c r="AMF26" s="958"/>
      <c r="AMG26" s="958"/>
      <c r="AMH26" s="958"/>
      <c r="AMI26" s="958"/>
      <c r="AMJ26" s="958"/>
      <c r="AMK26" s="958"/>
      <c r="AML26" s="958"/>
      <c r="AMM26" s="958"/>
      <c r="AMN26" s="958"/>
      <c r="AMO26" s="958"/>
      <c r="AMP26" s="958"/>
      <c r="AMQ26" s="958"/>
      <c r="AMR26" s="958"/>
      <c r="AMS26" s="958"/>
      <c r="AMT26" s="958"/>
      <c r="AMU26" s="958"/>
      <c r="AMV26" s="958"/>
      <c r="AMW26" s="958"/>
      <c r="AMX26" s="958"/>
      <c r="AMY26" s="958"/>
      <c r="AMZ26" s="958"/>
      <c r="ANA26" s="958"/>
      <c r="ANB26" s="958"/>
      <c r="ANC26" s="958"/>
      <c r="AND26" s="958"/>
      <c r="ANE26" s="958"/>
      <c r="ANF26" s="958"/>
      <c r="ANG26" s="958"/>
      <c r="ANH26" s="958"/>
      <c r="ANI26" s="958"/>
      <c r="ANJ26" s="958"/>
      <c r="ANK26" s="958"/>
      <c r="ANL26" s="958"/>
      <c r="ANM26" s="958"/>
      <c r="ANN26" s="958"/>
      <c r="ANO26" s="958"/>
      <c r="ANP26" s="958"/>
      <c r="ANQ26" s="958"/>
      <c r="ANR26" s="958"/>
      <c r="ANS26" s="958"/>
      <c r="ANT26" s="958"/>
      <c r="ANU26" s="958"/>
      <c r="ANV26" s="958"/>
      <c r="ANW26" s="958"/>
      <c r="ANX26" s="958"/>
      <c r="ANY26" s="958"/>
      <c r="ANZ26" s="958"/>
      <c r="AOA26" s="958"/>
      <c r="AOB26" s="958"/>
      <c r="AOC26" s="958"/>
      <c r="AOD26" s="958"/>
      <c r="AOE26" s="958"/>
      <c r="AOF26" s="958"/>
      <c r="AOG26" s="958"/>
      <c r="AOH26" s="958"/>
      <c r="AOI26" s="958"/>
      <c r="AOJ26" s="958"/>
      <c r="AOK26" s="958"/>
      <c r="AOL26" s="958"/>
      <c r="AOM26" s="958"/>
      <c r="AON26" s="958"/>
      <c r="AOO26" s="958"/>
      <c r="AOP26" s="958"/>
      <c r="AOQ26" s="958"/>
      <c r="AOR26" s="958"/>
      <c r="AOS26" s="958"/>
      <c r="AOT26" s="958"/>
      <c r="AOU26" s="958"/>
      <c r="AOV26" s="958"/>
      <c r="AOW26" s="958"/>
      <c r="AOX26" s="958"/>
      <c r="AOY26" s="958"/>
      <c r="AOZ26" s="958"/>
      <c r="APA26" s="958"/>
      <c r="APB26" s="958"/>
      <c r="APC26" s="958"/>
      <c r="APD26" s="958"/>
      <c r="APE26" s="958"/>
      <c r="APF26" s="958"/>
      <c r="APG26" s="958"/>
      <c r="APH26" s="958"/>
      <c r="API26" s="958"/>
      <c r="APJ26" s="958"/>
      <c r="APK26" s="958"/>
      <c r="APL26" s="958"/>
      <c r="APM26" s="958"/>
      <c r="APN26" s="958"/>
      <c r="APO26" s="958"/>
      <c r="APP26" s="958"/>
      <c r="APQ26" s="958"/>
      <c r="APR26" s="958"/>
      <c r="APS26" s="958"/>
      <c r="APT26" s="958"/>
      <c r="APU26" s="958"/>
      <c r="APV26" s="958"/>
      <c r="APW26" s="958"/>
      <c r="APX26" s="958"/>
      <c r="APY26" s="958"/>
      <c r="APZ26" s="958"/>
      <c r="AQA26" s="958"/>
      <c r="AQB26" s="958"/>
      <c r="AQC26" s="958"/>
      <c r="AQD26" s="958"/>
      <c r="AQE26" s="958"/>
      <c r="AQF26" s="958"/>
      <c r="AQG26" s="958"/>
      <c r="AQH26" s="958"/>
      <c r="AQI26" s="958"/>
      <c r="AQJ26" s="958"/>
      <c r="AQK26" s="958"/>
      <c r="AQL26" s="958"/>
      <c r="AQM26" s="958"/>
      <c r="AQN26" s="958"/>
      <c r="AQO26" s="958"/>
      <c r="AQP26" s="958"/>
      <c r="AQQ26" s="958"/>
      <c r="AQR26" s="958"/>
      <c r="AQS26" s="958"/>
      <c r="AQT26" s="958"/>
      <c r="AQU26" s="958"/>
      <c r="AQV26" s="958"/>
      <c r="AQW26" s="958"/>
      <c r="AQX26" s="958"/>
      <c r="AQY26" s="958"/>
      <c r="AQZ26" s="958"/>
      <c r="ARA26" s="958"/>
      <c r="ARB26" s="958"/>
      <c r="ARC26" s="958"/>
      <c r="ARD26" s="958"/>
      <c r="ARE26" s="958"/>
      <c r="ARF26" s="958"/>
      <c r="ARG26" s="958"/>
      <c r="ARH26" s="958"/>
      <c r="ARI26" s="958"/>
      <c r="ARJ26" s="958"/>
      <c r="ARK26" s="958"/>
      <c r="ARL26" s="958"/>
      <c r="ARM26" s="958"/>
      <c r="ARN26" s="958"/>
      <c r="ARO26" s="958"/>
      <c r="ARP26" s="958"/>
      <c r="ARQ26" s="958"/>
      <c r="ARR26" s="958"/>
      <c r="ARS26" s="958"/>
      <c r="ART26" s="958"/>
      <c r="ARU26" s="958"/>
      <c r="ARV26" s="958"/>
      <c r="ARW26" s="958"/>
      <c r="ARX26" s="958"/>
      <c r="ARY26" s="958"/>
      <c r="ARZ26" s="958"/>
      <c r="ASA26" s="958"/>
      <c r="ASB26" s="958"/>
      <c r="ASC26" s="958"/>
      <c r="ASD26" s="958"/>
      <c r="ASE26" s="958"/>
      <c r="ASF26" s="958"/>
      <c r="ASG26" s="958"/>
      <c r="ASH26" s="958"/>
      <c r="ASI26" s="958"/>
      <c r="ASJ26" s="958"/>
      <c r="ASK26" s="958"/>
      <c r="ASL26" s="958"/>
      <c r="ASM26" s="958"/>
      <c r="ASN26" s="958"/>
      <c r="ASO26" s="958"/>
      <c r="ASP26" s="958"/>
      <c r="ASQ26" s="958"/>
      <c r="ASR26" s="958"/>
      <c r="ASS26" s="958"/>
      <c r="AST26" s="958"/>
      <c r="ASU26" s="958"/>
      <c r="ASV26" s="958"/>
      <c r="ASW26" s="958"/>
      <c r="ASX26" s="958"/>
      <c r="ASY26" s="958"/>
      <c r="ASZ26" s="958"/>
    </row>
    <row r="27" spans="1:1196" s="22" customFormat="1" ht="59.25" customHeight="1" thickTop="1" thickBot="1">
      <c r="A27" s="2846"/>
      <c r="B27" s="2992"/>
      <c r="C27" s="3025"/>
      <c r="D27" s="171" t="s">
        <v>128</v>
      </c>
      <c r="E27" s="172" t="s">
        <v>220</v>
      </c>
      <c r="F27" s="172" t="s">
        <v>10</v>
      </c>
      <c r="G27" s="173">
        <v>1</v>
      </c>
      <c r="H27" s="82"/>
      <c r="I27" s="88"/>
      <c r="J27" s="82"/>
      <c r="K27" s="172" t="s">
        <v>7</v>
      </c>
      <c r="L27" s="871">
        <v>1</v>
      </c>
      <c r="M27" s="974">
        <v>1</v>
      </c>
      <c r="N27" s="73">
        <f t="shared" si="3"/>
        <v>1</v>
      </c>
      <c r="O27" s="871">
        <v>1</v>
      </c>
      <c r="P27" s="974">
        <v>1</v>
      </c>
      <c r="Q27" s="73">
        <f t="shared" si="4"/>
        <v>1</v>
      </c>
      <c r="R27" s="871">
        <v>1</v>
      </c>
      <c r="S27" s="974">
        <v>1</v>
      </c>
      <c r="T27" s="73">
        <f t="shared" si="5"/>
        <v>1</v>
      </c>
      <c r="U27" s="871">
        <v>1</v>
      </c>
      <c r="V27" s="974">
        <v>1</v>
      </c>
      <c r="W27" s="73">
        <f t="shared" si="6"/>
        <v>1</v>
      </c>
      <c r="X27" s="871">
        <v>1</v>
      </c>
      <c r="Y27" s="974">
        <v>1</v>
      </c>
      <c r="Z27" s="73">
        <f t="shared" si="7"/>
        <v>1</v>
      </c>
      <c r="AA27" s="871">
        <v>1</v>
      </c>
      <c r="AB27" s="871">
        <v>1</v>
      </c>
      <c r="AC27" s="73">
        <f t="shared" si="8"/>
        <v>1</v>
      </c>
      <c r="AD27" s="975">
        <f>(M27+P27+S27+V27+Y27+AB27)/6</f>
        <v>1</v>
      </c>
      <c r="AE27" s="956">
        <f t="shared" si="21"/>
        <v>1</v>
      </c>
      <c r="AF27" s="975">
        <v>1</v>
      </c>
      <c r="AG27" s="974">
        <v>1</v>
      </c>
      <c r="AH27" s="73">
        <f t="shared" si="11"/>
        <v>1</v>
      </c>
      <c r="AI27" s="871">
        <v>1</v>
      </c>
      <c r="AJ27" s="974">
        <v>1</v>
      </c>
      <c r="AK27" s="73">
        <f t="shared" si="12"/>
        <v>1</v>
      </c>
      <c r="AL27" s="871">
        <v>1</v>
      </c>
      <c r="AM27" s="974">
        <v>1</v>
      </c>
      <c r="AN27" s="73">
        <f t="shared" si="13"/>
        <v>1</v>
      </c>
      <c r="AO27" s="871">
        <v>1</v>
      </c>
      <c r="AP27" s="974">
        <v>0.56999999999999995</v>
      </c>
      <c r="AQ27" s="73">
        <f t="shared" si="14"/>
        <v>0.56999999999999995</v>
      </c>
      <c r="AR27" s="871">
        <v>1</v>
      </c>
      <c r="AS27" s="974">
        <v>1</v>
      </c>
      <c r="AT27" s="73">
        <f t="shared" si="15"/>
        <v>1</v>
      </c>
      <c r="AU27" s="871">
        <v>1</v>
      </c>
      <c r="AV27" s="974">
        <v>1</v>
      </c>
      <c r="AW27" s="73">
        <f t="shared" si="16"/>
        <v>1</v>
      </c>
      <c r="AX27" s="975">
        <f>(M27+P27+S27+V27+Y27++AG27+AJ27+AM27+AP27+AS27+AV27+AB27)/12</f>
        <v>0.96416666666666673</v>
      </c>
      <c r="AY27" s="956">
        <f t="shared" si="18"/>
        <v>0.96416666666666673</v>
      </c>
      <c r="AZ27" s="958"/>
      <c r="BA27" s="958"/>
      <c r="BB27" s="958"/>
      <c r="BC27" s="958"/>
      <c r="BD27" s="958"/>
      <c r="BE27" s="958"/>
      <c r="BF27" s="958"/>
      <c r="BG27" s="958"/>
      <c r="BH27" s="958"/>
      <c r="BI27" s="958"/>
      <c r="BJ27" s="958"/>
      <c r="BK27" s="958"/>
      <c r="BL27" s="958"/>
      <c r="BM27" s="958"/>
      <c r="BN27" s="958"/>
      <c r="BO27" s="958"/>
      <c r="BP27" s="958"/>
      <c r="BQ27" s="958"/>
      <c r="BR27" s="958"/>
      <c r="BS27" s="958"/>
      <c r="BT27" s="958"/>
      <c r="BU27" s="958"/>
      <c r="BV27" s="958"/>
      <c r="BW27" s="958"/>
      <c r="BX27" s="958"/>
      <c r="BY27" s="958"/>
      <c r="BZ27" s="958"/>
      <c r="CA27" s="958"/>
      <c r="CB27" s="958"/>
      <c r="CC27" s="958"/>
      <c r="CD27" s="958"/>
      <c r="CE27" s="958"/>
      <c r="CF27" s="958"/>
      <c r="CG27" s="958"/>
      <c r="CH27" s="958"/>
      <c r="CI27" s="958"/>
      <c r="CJ27" s="958"/>
      <c r="CK27" s="958"/>
      <c r="CL27" s="958"/>
      <c r="CM27" s="958"/>
      <c r="CN27" s="958"/>
      <c r="CO27" s="958"/>
      <c r="CP27" s="958"/>
      <c r="CQ27" s="958"/>
      <c r="CR27" s="958"/>
      <c r="CS27" s="958"/>
      <c r="CT27" s="958"/>
      <c r="CU27" s="958"/>
      <c r="CV27" s="958"/>
      <c r="CW27" s="958"/>
      <c r="CX27" s="958"/>
      <c r="CY27" s="958"/>
      <c r="CZ27" s="958"/>
      <c r="DA27" s="958"/>
      <c r="DB27" s="958"/>
      <c r="DC27" s="958"/>
      <c r="DD27" s="958"/>
      <c r="DE27" s="958"/>
      <c r="DF27" s="958"/>
      <c r="DG27" s="958"/>
      <c r="DH27" s="958"/>
      <c r="DI27" s="958"/>
      <c r="DJ27" s="958"/>
      <c r="DK27" s="958"/>
      <c r="DL27" s="958"/>
      <c r="DM27" s="958"/>
      <c r="DN27" s="958"/>
      <c r="DO27" s="958"/>
      <c r="DP27" s="958"/>
      <c r="DQ27" s="958"/>
      <c r="DR27" s="958"/>
      <c r="DS27" s="958"/>
      <c r="DT27" s="958"/>
      <c r="DU27" s="958"/>
      <c r="DV27" s="958"/>
      <c r="DW27" s="958"/>
      <c r="DX27" s="958"/>
      <c r="DY27" s="958"/>
      <c r="DZ27" s="958"/>
      <c r="EA27" s="958"/>
      <c r="EB27" s="958"/>
      <c r="EC27" s="958"/>
      <c r="ED27" s="958"/>
      <c r="EE27" s="958"/>
      <c r="EF27" s="958"/>
      <c r="EG27" s="958"/>
      <c r="EH27" s="958"/>
      <c r="EI27" s="958"/>
      <c r="EJ27" s="958"/>
      <c r="EK27" s="958"/>
      <c r="EL27" s="958"/>
      <c r="EM27" s="958"/>
      <c r="EN27" s="958"/>
      <c r="EO27" s="958"/>
      <c r="EP27" s="958"/>
      <c r="EQ27" s="958"/>
      <c r="ER27" s="958"/>
      <c r="ES27" s="958"/>
      <c r="ET27" s="958"/>
      <c r="EU27" s="958"/>
      <c r="EV27" s="958"/>
      <c r="EW27" s="958"/>
      <c r="EX27" s="958"/>
      <c r="EY27" s="958"/>
      <c r="EZ27" s="958"/>
      <c r="FA27" s="958"/>
      <c r="FB27" s="958"/>
      <c r="FC27" s="958"/>
      <c r="FD27" s="958"/>
      <c r="FE27" s="958"/>
      <c r="FF27" s="958"/>
      <c r="FG27" s="958"/>
      <c r="FH27" s="958"/>
      <c r="FI27" s="958"/>
      <c r="FJ27" s="958"/>
      <c r="FK27" s="958"/>
      <c r="FL27" s="958"/>
      <c r="FM27" s="958"/>
      <c r="FN27" s="958"/>
      <c r="FO27" s="958"/>
      <c r="FP27" s="958"/>
      <c r="FQ27" s="958"/>
      <c r="FR27" s="958"/>
      <c r="FS27" s="958"/>
      <c r="FT27" s="958"/>
      <c r="FU27" s="958"/>
      <c r="FV27" s="958"/>
      <c r="FW27" s="958"/>
      <c r="FX27" s="958"/>
      <c r="FY27" s="958"/>
      <c r="FZ27" s="958"/>
      <c r="GA27" s="958"/>
      <c r="GB27" s="958"/>
      <c r="GC27" s="958"/>
      <c r="GD27" s="958"/>
      <c r="GE27" s="958"/>
      <c r="GF27" s="958"/>
      <c r="GG27" s="958"/>
      <c r="GH27" s="958"/>
      <c r="GI27" s="958"/>
      <c r="GJ27" s="958"/>
      <c r="GK27" s="958"/>
      <c r="GL27" s="958"/>
      <c r="GM27" s="958"/>
      <c r="GN27" s="958"/>
      <c r="GO27" s="958"/>
      <c r="GP27" s="958"/>
      <c r="GQ27" s="958"/>
      <c r="GR27" s="958"/>
      <c r="GS27" s="958"/>
      <c r="GT27" s="958"/>
      <c r="GU27" s="958"/>
      <c r="GV27" s="958"/>
      <c r="GW27" s="958"/>
      <c r="GX27" s="958"/>
      <c r="GY27" s="958"/>
      <c r="GZ27" s="958"/>
      <c r="HA27" s="958"/>
      <c r="HB27" s="958"/>
      <c r="HC27" s="958"/>
      <c r="HD27" s="958"/>
      <c r="HE27" s="958"/>
      <c r="HF27" s="958"/>
      <c r="HG27" s="958"/>
      <c r="HH27" s="958"/>
      <c r="HI27" s="958"/>
      <c r="HJ27" s="958"/>
      <c r="HK27" s="958"/>
      <c r="HL27" s="958"/>
      <c r="HM27" s="958"/>
      <c r="HN27" s="958"/>
      <c r="HO27" s="958"/>
      <c r="HP27" s="958"/>
      <c r="HQ27" s="958"/>
      <c r="HR27" s="958"/>
      <c r="HS27" s="958"/>
      <c r="HT27" s="958"/>
      <c r="HU27" s="958"/>
      <c r="HV27" s="958"/>
      <c r="HW27" s="958"/>
      <c r="HX27" s="958"/>
      <c r="HY27" s="958"/>
      <c r="HZ27" s="958"/>
      <c r="IA27" s="958"/>
      <c r="IB27" s="958"/>
      <c r="IC27" s="958"/>
      <c r="ID27" s="958"/>
      <c r="IE27" s="958"/>
      <c r="IF27" s="958"/>
      <c r="IG27" s="958"/>
      <c r="IH27" s="958"/>
      <c r="II27" s="958"/>
      <c r="IJ27" s="958"/>
      <c r="IK27" s="958"/>
      <c r="IL27" s="958"/>
      <c r="IM27" s="958"/>
      <c r="IN27" s="958"/>
      <c r="IO27" s="958"/>
      <c r="IP27" s="958"/>
      <c r="IQ27" s="958"/>
      <c r="IR27" s="958"/>
      <c r="IS27" s="958"/>
      <c r="IT27" s="958"/>
      <c r="IU27" s="958"/>
      <c r="IV27" s="958"/>
      <c r="IW27" s="958"/>
      <c r="IX27" s="958"/>
      <c r="IY27" s="958"/>
      <c r="IZ27" s="958"/>
      <c r="JA27" s="958"/>
      <c r="JB27" s="958"/>
      <c r="JC27" s="958"/>
      <c r="JD27" s="958"/>
      <c r="JE27" s="958"/>
      <c r="JF27" s="958"/>
      <c r="JG27" s="958"/>
      <c r="JH27" s="958"/>
      <c r="JI27" s="958"/>
      <c r="JJ27" s="958"/>
      <c r="JK27" s="958"/>
      <c r="JL27" s="958"/>
      <c r="JM27" s="958"/>
      <c r="JN27" s="958"/>
      <c r="JO27" s="958"/>
      <c r="JP27" s="958"/>
      <c r="JQ27" s="958"/>
      <c r="JR27" s="958"/>
      <c r="JS27" s="958"/>
      <c r="JT27" s="958"/>
      <c r="JU27" s="958"/>
      <c r="JV27" s="958"/>
      <c r="JW27" s="958"/>
      <c r="JX27" s="958"/>
      <c r="JY27" s="958"/>
      <c r="JZ27" s="958"/>
      <c r="KA27" s="958"/>
      <c r="KB27" s="958"/>
      <c r="KC27" s="958"/>
      <c r="KD27" s="958"/>
      <c r="KE27" s="958"/>
      <c r="KF27" s="958"/>
      <c r="KG27" s="958"/>
      <c r="KH27" s="958"/>
      <c r="KI27" s="958"/>
      <c r="KJ27" s="958"/>
      <c r="KK27" s="958"/>
      <c r="KL27" s="958"/>
      <c r="KM27" s="958"/>
      <c r="KN27" s="958"/>
      <c r="KO27" s="958"/>
      <c r="KP27" s="958"/>
      <c r="KQ27" s="958"/>
      <c r="KR27" s="958"/>
      <c r="KS27" s="958"/>
      <c r="KT27" s="958"/>
      <c r="KU27" s="958"/>
      <c r="KV27" s="958"/>
      <c r="KW27" s="958"/>
      <c r="KX27" s="958"/>
      <c r="KY27" s="958"/>
      <c r="KZ27" s="958"/>
      <c r="LA27" s="958"/>
      <c r="LB27" s="958"/>
      <c r="LC27" s="958"/>
      <c r="LD27" s="958"/>
      <c r="LE27" s="958"/>
      <c r="LF27" s="958"/>
      <c r="LG27" s="958"/>
      <c r="LH27" s="958"/>
      <c r="LI27" s="958"/>
      <c r="LJ27" s="958"/>
      <c r="LK27" s="958"/>
      <c r="LL27" s="958"/>
      <c r="LM27" s="958"/>
      <c r="LN27" s="958"/>
      <c r="LO27" s="958"/>
      <c r="LP27" s="958"/>
      <c r="LQ27" s="958"/>
      <c r="LR27" s="958"/>
      <c r="LS27" s="958"/>
      <c r="LT27" s="958"/>
      <c r="LU27" s="958"/>
      <c r="LV27" s="958"/>
      <c r="LW27" s="958"/>
      <c r="LX27" s="958"/>
      <c r="LY27" s="958"/>
      <c r="LZ27" s="958"/>
      <c r="MA27" s="958"/>
      <c r="MB27" s="958"/>
      <c r="MC27" s="958"/>
      <c r="MD27" s="958"/>
      <c r="ME27" s="958"/>
      <c r="MF27" s="958"/>
      <c r="MG27" s="958"/>
      <c r="MH27" s="958"/>
      <c r="MI27" s="958"/>
      <c r="MJ27" s="958"/>
      <c r="MK27" s="958"/>
      <c r="ML27" s="958"/>
      <c r="MM27" s="958"/>
      <c r="MN27" s="958"/>
      <c r="MO27" s="958"/>
      <c r="MP27" s="958"/>
      <c r="MQ27" s="958"/>
      <c r="MR27" s="958"/>
      <c r="MS27" s="958"/>
      <c r="MT27" s="958"/>
      <c r="MU27" s="958"/>
      <c r="MV27" s="958"/>
      <c r="MW27" s="958"/>
      <c r="MX27" s="958"/>
      <c r="MY27" s="958"/>
      <c r="MZ27" s="958"/>
      <c r="NA27" s="958"/>
      <c r="NB27" s="958"/>
      <c r="NC27" s="958"/>
      <c r="ND27" s="958"/>
      <c r="NE27" s="958"/>
      <c r="NF27" s="958"/>
      <c r="NG27" s="958"/>
      <c r="NH27" s="958"/>
      <c r="NI27" s="958"/>
      <c r="NJ27" s="958"/>
      <c r="NK27" s="958"/>
      <c r="NL27" s="958"/>
      <c r="NM27" s="958"/>
      <c r="NN27" s="958"/>
      <c r="NO27" s="958"/>
      <c r="NP27" s="958"/>
      <c r="NQ27" s="958"/>
      <c r="NR27" s="958"/>
      <c r="NS27" s="958"/>
      <c r="NT27" s="958"/>
      <c r="NU27" s="958"/>
      <c r="NV27" s="958"/>
      <c r="NW27" s="958"/>
      <c r="NX27" s="958"/>
      <c r="NY27" s="958"/>
      <c r="NZ27" s="958"/>
      <c r="OA27" s="958"/>
      <c r="OB27" s="958"/>
      <c r="OC27" s="958"/>
      <c r="OD27" s="958"/>
      <c r="OE27" s="958"/>
      <c r="OF27" s="958"/>
      <c r="OG27" s="958"/>
      <c r="OH27" s="958"/>
      <c r="OI27" s="958"/>
      <c r="OJ27" s="958"/>
      <c r="OK27" s="958"/>
      <c r="OL27" s="958"/>
      <c r="OM27" s="958"/>
      <c r="ON27" s="958"/>
      <c r="OO27" s="958"/>
      <c r="OP27" s="958"/>
      <c r="OQ27" s="958"/>
      <c r="OR27" s="958"/>
      <c r="OS27" s="958"/>
      <c r="OT27" s="958"/>
      <c r="OU27" s="958"/>
      <c r="OV27" s="958"/>
      <c r="OW27" s="958"/>
      <c r="OX27" s="958"/>
      <c r="OY27" s="958"/>
      <c r="OZ27" s="958"/>
      <c r="PA27" s="958"/>
      <c r="PB27" s="958"/>
      <c r="PC27" s="958"/>
      <c r="PD27" s="958"/>
      <c r="PE27" s="958"/>
      <c r="PF27" s="958"/>
      <c r="PG27" s="958"/>
      <c r="PH27" s="958"/>
      <c r="PI27" s="958"/>
      <c r="PJ27" s="958"/>
      <c r="PK27" s="958"/>
      <c r="PL27" s="958"/>
      <c r="PM27" s="958"/>
      <c r="PN27" s="958"/>
      <c r="PO27" s="958"/>
      <c r="PP27" s="958"/>
      <c r="PQ27" s="958"/>
      <c r="PR27" s="958"/>
      <c r="PS27" s="958"/>
      <c r="PT27" s="958"/>
      <c r="PU27" s="958"/>
      <c r="PV27" s="958"/>
      <c r="PW27" s="958"/>
      <c r="PX27" s="958"/>
      <c r="PY27" s="958"/>
      <c r="PZ27" s="958"/>
      <c r="QA27" s="958"/>
      <c r="QB27" s="958"/>
      <c r="QC27" s="958"/>
      <c r="QD27" s="958"/>
      <c r="QE27" s="958"/>
      <c r="QF27" s="958"/>
      <c r="QG27" s="958"/>
      <c r="QH27" s="958"/>
      <c r="QI27" s="958"/>
      <c r="QJ27" s="958"/>
      <c r="QK27" s="958"/>
      <c r="QL27" s="958"/>
      <c r="QM27" s="958"/>
      <c r="QN27" s="958"/>
      <c r="QO27" s="958"/>
      <c r="QP27" s="958"/>
      <c r="QQ27" s="958"/>
      <c r="QR27" s="958"/>
      <c r="QS27" s="958"/>
      <c r="QT27" s="958"/>
      <c r="QU27" s="958"/>
      <c r="QV27" s="958"/>
      <c r="QW27" s="958"/>
      <c r="QX27" s="958"/>
      <c r="QY27" s="958"/>
      <c r="QZ27" s="958"/>
      <c r="RA27" s="958"/>
      <c r="RB27" s="958"/>
      <c r="RC27" s="958"/>
      <c r="RD27" s="958"/>
      <c r="RE27" s="958"/>
      <c r="RF27" s="958"/>
      <c r="RG27" s="958"/>
      <c r="RH27" s="958"/>
      <c r="RI27" s="958"/>
      <c r="RJ27" s="958"/>
      <c r="RK27" s="958"/>
      <c r="RL27" s="958"/>
      <c r="RM27" s="958"/>
      <c r="RN27" s="958"/>
      <c r="RO27" s="958"/>
      <c r="RP27" s="958"/>
      <c r="RQ27" s="958"/>
      <c r="RR27" s="958"/>
      <c r="RS27" s="958"/>
      <c r="RT27" s="958"/>
      <c r="RU27" s="958"/>
      <c r="RV27" s="958"/>
      <c r="RW27" s="958"/>
      <c r="RX27" s="958"/>
      <c r="RY27" s="958"/>
      <c r="RZ27" s="958"/>
      <c r="SA27" s="958"/>
      <c r="SB27" s="958"/>
      <c r="SC27" s="958"/>
      <c r="SD27" s="958"/>
      <c r="SE27" s="958"/>
      <c r="SF27" s="958"/>
      <c r="SG27" s="958"/>
      <c r="SH27" s="958"/>
      <c r="SI27" s="958"/>
      <c r="SJ27" s="958"/>
      <c r="SK27" s="958"/>
      <c r="SL27" s="958"/>
      <c r="SM27" s="958"/>
      <c r="SN27" s="958"/>
      <c r="SO27" s="958"/>
      <c r="SP27" s="958"/>
      <c r="SQ27" s="958"/>
      <c r="SR27" s="958"/>
      <c r="SS27" s="958"/>
      <c r="ST27" s="958"/>
      <c r="SU27" s="958"/>
      <c r="SV27" s="958"/>
      <c r="SW27" s="958"/>
      <c r="SX27" s="958"/>
      <c r="SY27" s="958"/>
      <c r="SZ27" s="958"/>
      <c r="TA27" s="958"/>
      <c r="TB27" s="958"/>
      <c r="TC27" s="958"/>
      <c r="TD27" s="958"/>
      <c r="TE27" s="958"/>
      <c r="TF27" s="958"/>
      <c r="TG27" s="958"/>
      <c r="TH27" s="958"/>
      <c r="TI27" s="958"/>
      <c r="TJ27" s="958"/>
      <c r="TK27" s="958"/>
      <c r="TL27" s="958"/>
      <c r="TM27" s="958"/>
      <c r="TN27" s="958"/>
      <c r="TO27" s="958"/>
      <c r="TP27" s="958"/>
      <c r="TQ27" s="958"/>
      <c r="TR27" s="958"/>
      <c r="TS27" s="958"/>
      <c r="TT27" s="958"/>
      <c r="TU27" s="958"/>
      <c r="TV27" s="958"/>
      <c r="TW27" s="958"/>
      <c r="TX27" s="958"/>
      <c r="TY27" s="958"/>
      <c r="TZ27" s="958"/>
      <c r="UA27" s="958"/>
      <c r="UB27" s="958"/>
      <c r="UC27" s="958"/>
      <c r="UD27" s="958"/>
      <c r="UE27" s="958"/>
      <c r="UF27" s="958"/>
      <c r="UG27" s="958"/>
      <c r="UH27" s="958"/>
      <c r="UI27" s="958"/>
      <c r="UJ27" s="958"/>
      <c r="UK27" s="958"/>
      <c r="UL27" s="958"/>
      <c r="UM27" s="958"/>
      <c r="UN27" s="958"/>
      <c r="UO27" s="958"/>
      <c r="UP27" s="958"/>
      <c r="UQ27" s="958"/>
      <c r="UR27" s="958"/>
      <c r="US27" s="958"/>
      <c r="UT27" s="958"/>
      <c r="UU27" s="958"/>
      <c r="UV27" s="958"/>
      <c r="UW27" s="958"/>
      <c r="UX27" s="958"/>
      <c r="UY27" s="958"/>
      <c r="UZ27" s="958"/>
      <c r="VA27" s="958"/>
      <c r="VB27" s="958"/>
      <c r="VC27" s="958"/>
      <c r="VD27" s="958"/>
      <c r="VE27" s="958"/>
      <c r="VF27" s="958"/>
      <c r="VG27" s="958"/>
      <c r="VH27" s="958"/>
      <c r="VI27" s="958"/>
      <c r="VJ27" s="958"/>
      <c r="VK27" s="958"/>
      <c r="VL27" s="958"/>
      <c r="VM27" s="958"/>
      <c r="VN27" s="958"/>
      <c r="VO27" s="958"/>
      <c r="VP27" s="958"/>
      <c r="VQ27" s="958"/>
      <c r="VR27" s="958"/>
      <c r="VS27" s="958"/>
      <c r="VT27" s="958"/>
      <c r="VU27" s="958"/>
      <c r="VV27" s="958"/>
      <c r="VW27" s="958"/>
      <c r="VX27" s="958"/>
      <c r="VY27" s="958"/>
      <c r="VZ27" s="958"/>
      <c r="WA27" s="958"/>
      <c r="WB27" s="958"/>
      <c r="WC27" s="958"/>
      <c r="WD27" s="958"/>
      <c r="WE27" s="958"/>
      <c r="WF27" s="958"/>
      <c r="WG27" s="958"/>
      <c r="WH27" s="958"/>
      <c r="WI27" s="958"/>
      <c r="WJ27" s="958"/>
      <c r="WK27" s="958"/>
      <c r="WL27" s="958"/>
      <c r="WM27" s="958"/>
      <c r="WN27" s="958"/>
      <c r="WO27" s="958"/>
      <c r="WP27" s="958"/>
      <c r="WQ27" s="958"/>
      <c r="WR27" s="958"/>
      <c r="WS27" s="958"/>
      <c r="WT27" s="958"/>
      <c r="WU27" s="958"/>
      <c r="WV27" s="958"/>
      <c r="WW27" s="958"/>
      <c r="WX27" s="958"/>
      <c r="WY27" s="958"/>
      <c r="WZ27" s="958"/>
      <c r="XA27" s="958"/>
      <c r="XB27" s="958"/>
      <c r="XC27" s="958"/>
      <c r="XD27" s="958"/>
      <c r="XE27" s="958"/>
      <c r="XF27" s="958"/>
      <c r="XG27" s="958"/>
      <c r="XH27" s="958"/>
      <c r="XI27" s="958"/>
      <c r="XJ27" s="958"/>
      <c r="XK27" s="958"/>
      <c r="XL27" s="958"/>
      <c r="XM27" s="958"/>
      <c r="XN27" s="958"/>
      <c r="XO27" s="958"/>
      <c r="XP27" s="958"/>
      <c r="XQ27" s="958"/>
      <c r="XR27" s="958"/>
      <c r="XS27" s="958"/>
      <c r="XT27" s="958"/>
      <c r="XU27" s="958"/>
      <c r="XV27" s="958"/>
      <c r="XW27" s="958"/>
      <c r="XX27" s="958"/>
      <c r="XY27" s="958"/>
      <c r="XZ27" s="958"/>
      <c r="YA27" s="958"/>
      <c r="YB27" s="958"/>
      <c r="YC27" s="958"/>
      <c r="YD27" s="958"/>
      <c r="YE27" s="958"/>
      <c r="YF27" s="958"/>
      <c r="YG27" s="958"/>
      <c r="YH27" s="958"/>
      <c r="YI27" s="958"/>
      <c r="YJ27" s="958"/>
      <c r="YK27" s="958"/>
      <c r="YL27" s="958"/>
      <c r="YM27" s="958"/>
      <c r="YN27" s="958"/>
      <c r="YO27" s="958"/>
      <c r="YP27" s="958"/>
      <c r="YQ27" s="958"/>
      <c r="YR27" s="958"/>
      <c r="YS27" s="958"/>
      <c r="YT27" s="958"/>
      <c r="YU27" s="958"/>
      <c r="YV27" s="958"/>
      <c r="YW27" s="958"/>
      <c r="YX27" s="958"/>
      <c r="YY27" s="958"/>
      <c r="YZ27" s="958"/>
      <c r="ZA27" s="958"/>
      <c r="ZB27" s="958"/>
      <c r="ZC27" s="958"/>
      <c r="ZD27" s="958"/>
      <c r="ZE27" s="958"/>
      <c r="ZF27" s="958"/>
      <c r="ZG27" s="958"/>
      <c r="ZH27" s="958"/>
      <c r="ZI27" s="958"/>
      <c r="ZJ27" s="958"/>
      <c r="ZK27" s="958"/>
      <c r="ZL27" s="958"/>
      <c r="ZM27" s="958"/>
      <c r="ZN27" s="958"/>
      <c r="ZO27" s="958"/>
      <c r="ZP27" s="958"/>
      <c r="ZQ27" s="958"/>
      <c r="ZR27" s="958"/>
      <c r="ZS27" s="958"/>
      <c r="ZT27" s="958"/>
      <c r="ZU27" s="958"/>
      <c r="ZV27" s="958"/>
      <c r="ZW27" s="958"/>
      <c r="ZX27" s="958"/>
      <c r="ZY27" s="958"/>
      <c r="ZZ27" s="958"/>
      <c r="AAA27" s="958"/>
      <c r="AAB27" s="958"/>
      <c r="AAC27" s="958"/>
      <c r="AAD27" s="958"/>
      <c r="AAE27" s="958"/>
      <c r="AAF27" s="958"/>
      <c r="AAG27" s="958"/>
      <c r="AAH27" s="958"/>
      <c r="AAI27" s="958"/>
      <c r="AAJ27" s="958"/>
      <c r="AAK27" s="958"/>
      <c r="AAL27" s="958"/>
      <c r="AAM27" s="958"/>
      <c r="AAN27" s="958"/>
      <c r="AAO27" s="958"/>
      <c r="AAP27" s="958"/>
      <c r="AAQ27" s="958"/>
      <c r="AAR27" s="958"/>
      <c r="AAS27" s="958"/>
      <c r="AAT27" s="958"/>
      <c r="AAU27" s="958"/>
      <c r="AAV27" s="958"/>
      <c r="AAW27" s="958"/>
      <c r="AAX27" s="958"/>
      <c r="AAY27" s="958"/>
      <c r="AAZ27" s="958"/>
      <c r="ABA27" s="958"/>
      <c r="ABB27" s="958"/>
      <c r="ABC27" s="958"/>
      <c r="ABD27" s="958"/>
      <c r="ABE27" s="958"/>
      <c r="ABF27" s="958"/>
      <c r="ABG27" s="958"/>
      <c r="ABH27" s="958"/>
      <c r="ABI27" s="958"/>
      <c r="ABJ27" s="958"/>
      <c r="ABK27" s="958"/>
      <c r="ABL27" s="958"/>
      <c r="ABM27" s="958"/>
      <c r="ABN27" s="958"/>
      <c r="ABO27" s="958"/>
      <c r="ABP27" s="958"/>
      <c r="ABQ27" s="958"/>
      <c r="ABR27" s="958"/>
      <c r="ABS27" s="958"/>
      <c r="ABT27" s="958"/>
      <c r="ABU27" s="958"/>
      <c r="ABV27" s="958"/>
      <c r="ABW27" s="958"/>
      <c r="ABX27" s="958"/>
      <c r="ABY27" s="958"/>
      <c r="ABZ27" s="958"/>
      <c r="ACA27" s="958"/>
      <c r="ACB27" s="958"/>
      <c r="ACC27" s="958"/>
      <c r="ACD27" s="958"/>
      <c r="ACE27" s="958"/>
      <c r="ACF27" s="958"/>
      <c r="ACG27" s="958"/>
      <c r="ACH27" s="958"/>
      <c r="ACI27" s="958"/>
      <c r="ACJ27" s="958"/>
      <c r="ACK27" s="958"/>
      <c r="ACL27" s="958"/>
      <c r="ACM27" s="958"/>
      <c r="ACN27" s="958"/>
      <c r="ACO27" s="958"/>
      <c r="ACP27" s="958"/>
      <c r="ACQ27" s="958"/>
      <c r="ACR27" s="958"/>
      <c r="ACS27" s="958"/>
      <c r="ACT27" s="958"/>
      <c r="ACU27" s="958"/>
      <c r="ACV27" s="958"/>
      <c r="ACW27" s="958"/>
      <c r="ACX27" s="958"/>
      <c r="ACY27" s="958"/>
      <c r="ACZ27" s="958"/>
      <c r="ADA27" s="958"/>
      <c r="ADB27" s="958"/>
      <c r="ADC27" s="958"/>
      <c r="ADD27" s="958"/>
      <c r="ADE27" s="958"/>
      <c r="ADF27" s="958"/>
      <c r="ADG27" s="958"/>
      <c r="ADH27" s="958"/>
      <c r="ADI27" s="958"/>
      <c r="ADJ27" s="958"/>
      <c r="ADK27" s="958"/>
      <c r="ADL27" s="958"/>
      <c r="ADM27" s="958"/>
      <c r="ADN27" s="958"/>
      <c r="ADO27" s="958"/>
      <c r="ADP27" s="958"/>
      <c r="ADQ27" s="958"/>
      <c r="ADR27" s="958"/>
      <c r="ADS27" s="958"/>
      <c r="ADT27" s="958"/>
      <c r="ADU27" s="958"/>
      <c r="ADV27" s="958"/>
      <c r="ADW27" s="958"/>
      <c r="ADX27" s="958"/>
      <c r="ADY27" s="958"/>
      <c r="ADZ27" s="958"/>
      <c r="AEA27" s="958"/>
      <c r="AEB27" s="958"/>
      <c r="AEC27" s="958"/>
      <c r="AED27" s="958"/>
      <c r="AEE27" s="958"/>
      <c r="AEF27" s="958"/>
      <c r="AEG27" s="958"/>
      <c r="AEH27" s="958"/>
      <c r="AEI27" s="958"/>
      <c r="AEJ27" s="958"/>
      <c r="AEK27" s="958"/>
      <c r="AEL27" s="958"/>
      <c r="AEM27" s="958"/>
      <c r="AEN27" s="958"/>
      <c r="AEO27" s="958"/>
      <c r="AEP27" s="958"/>
      <c r="AEQ27" s="958"/>
      <c r="AER27" s="958"/>
      <c r="AES27" s="958"/>
      <c r="AET27" s="958"/>
      <c r="AEU27" s="958"/>
      <c r="AEV27" s="958"/>
      <c r="AEW27" s="958"/>
      <c r="AEX27" s="958"/>
      <c r="AEY27" s="958"/>
      <c r="AEZ27" s="958"/>
      <c r="AFA27" s="958"/>
      <c r="AFB27" s="958"/>
      <c r="AFC27" s="958"/>
      <c r="AFD27" s="958"/>
      <c r="AFE27" s="958"/>
      <c r="AFF27" s="958"/>
      <c r="AFG27" s="958"/>
      <c r="AFH27" s="958"/>
      <c r="AFI27" s="958"/>
      <c r="AFJ27" s="958"/>
      <c r="AFK27" s="958"/>
      <c r="AFL27" s="958"/>
      <c r="AFM27" s="958"/>
      <c r="AFN27" s="958"/>
      <c r="AFO27" s="958"/>
      <c r="AFP27" s="958"/>
      <c r="AFQ27" s="958"/>
      <c r="AFR27" s="958"/>
      <c r="AFS27" s="958"/>
      <c r="AFT27" s="958"/>
      <c r="AFU27" s="958"/>
      <c r="AFV27" s="958"/>
      <c r="AFW27" s="958"/>
      <c r="AFX27" s="958"/>
      <c r="AFY27" s="958"/>
      <c r="AFZ27" s="958"/>
      <c r="AGA27" s="958"/>
      <c r="AGB27" s="958"/>
      <c r="AGC27" s="958"/>
      <c r="AGD27" s="958"/>
      <c r="AGE27" s="958"/>
      <c r="AGF27" s="958"/>
      <c r="AGG27" s="958"/>
      <c r="AGH27" s="958"/>
      <c r="AGI27" s="958"/>
      <c r="AGJ27" s="958"/>
      <c r="AGK27" s="958"/>
      <c r="AGL27" s="958"/>
      <c r="AGM27" s="958"/>
      <c r="AGN27" s="958"/>
      <c r="AGO27" s="958"/>
      <c r="AGP27" s="958"/>
      <c r="AGQ27" s="958"/>
      <c r="AGR27" s="958"/>
      <c r="AGS27" s="958"/>
      <c r="AGT27" s="958"/>
      <c r="AGU27" s="958"/>
      <c r="AGV27" s="958"/>
      <c r="AGW27" s="958"/>
      <c r="AGX27" s="958"/>
      <c r="AGY27" s="958"/>
      <c r="AGZ27" s="958"/>
      <c r="AHA27" s="958"/>
      <c r="AHB27" s="958"/>
      <c r="AHC27" s="958"/>
      <c r="AHD27" s="958"/>
      <c r="AHE27" s="958"/>
      <c r="AHF27" s="958"/>
      <c r="AHG27" s="958"/>
      <c r="AHH27" s="958"/>
      <c r="AHI27" s="958"/>
      <c r="AHJ27" s="958"/>
      <c r="AHK27" s="958"/>
      <c r="AHL27" s="958"/>
      <c r="AHM27" s="958"/>
      <c r="AHN27" s="958"/>
      <c r="AHO27" s="958"/>
      <c r="AHP27" s="958"/>
      <c r="AHQ27" s="958"/>
      <c r="AHR27" s="958"/>
      <c r="AHS27" s="958"/>
      <c r="AHT27" s="958"/>
      <c r="AHU27" s="958"/>
      <c r="AHV27" s="958"/>
      <c r="AHW27" s="958"/>
      <c r="AHX27" s="958"/>
      <c r="AHY27" s="958"/>
      <c r="AHZ27" s="958"/>
      <c r="AIA27" s="958"/>
      <c r="AIB27" s="958"/>
      <c r="AIC27" s="958"/>
      <c r="AID27" s="958"/>
      <c r="AIE27" s="958"/>
      <c r="AIF27" s="958"/>
      <c r="AIG27" s="958"/>
      <c r="AIH27" s="958"/>
      <c r="AII27" s="958"/>
      <c r="AIJ27" s="958"/>
      <c r="AIK27" s="958"/>
      <c r="AIL27" s="958"/>
      <c r="AIM27" s="958"/>
      <c r="AIN27" s="958"/>
      <c r="AIO27" s="958"/>
      <c r="AIP27" s="958"/>
      <c r="AIQ27" s="958"/>
      <c r="AIR27" s="958"/>
      <c r="AIS27" s="958"/>
      <c r="AIT27" s="958"/>
      <c r="AIU27" s="958"/>
      <c r="AIV27" s="958"/>
      <c r="AIW27" s="958"/>
      <c r="AIX27" s="958"/>
      <c r="AIY27" s="958"/>
      <c r="AIZ27" s="958"/>
      <c r="AJA27" s="958"/>
      <c r="AJB27" s="958"/>
      <c r="AJC27" s="958"/>
      <c r="AJD27" s="958"/>
      <c r="AJE27" s="958"/>
      <c r="AJF27" s="958"/>
      <c r="AJG27" s="958"/>
      <c r="AJH27" s="958"/>
      <c r="AJI27" s="958"/>
      <c r="AJJ27" s="958"/>
      <c r="AJK27" s="958"/>
      <c r="AJL27" s="958"/>
      <c r="AJM27" s="958"/>
      <c r="AJN27" s="958"/>
      <c r="AJO27" s="958"/>
      <c r="AJP27" s="958"/>
      <c r="AJQ27" s="958"/>
      <c r="AJR27" s="958"/>
      <c r="AJS27" s="958"/>
      <c r="AJT27" s="958"/>
      <c r="AJU27" s="958"/>
      <c r="AJV27" s="958"/>
      <c r="AJW27" s="958"/>
      <c r="AJX27" s="958"/>
      <c r="AJY27" s="958"/>
      <c r="AJZ27" s="958"/>
      <c r="AKA27" s="958"/>
      <c r="AKB27" s="958"/>
      <c r="AKC27" s="958"/>
      <c r="AKD27" s="958"/>
      <c r="AKE27" s="958"/>
      <c r="AKF27" s="958"/>
      <c r="AKG27" s="958"/>
      <c r="AKH27" s="958"/>
      <c r="AKI27" s="958"/>
      <c r="AKJ27" s="958"/>
      <c r="AKK27" s="958"/>
      <c r="AKL27" s="958"/>
      <c r="AKM27" s="958"/>
      <c r="AKN27" s="958"/>
      <c r="AKO27" s="958"/>
      <c r="AKP27" s="958"/>
      <c r="AKQ27" s="958"/>
      <c r="AKR27" s="958"/>
      <c r="AKS27" s="958"/>
      <c r="AKT27" s="958"/>
      <c r="AKU27" s="958"/>
      <c r="AKV27" s="958"/>
      <c r="AKW27" s="958"/>
      <c r="AKX27" s="958"/>
      <c r="AKY27" s="958"/>
      <c r="AKZ27" s="958"/>
      <c r="ALA27" s="958"/>
      <c r="ALB27" s="958"/>
      <c r="ALC27" s="958"/>
      <c r="ALD27" s="958"/>
      <c r="ALE27" s="958"/>
      <c r="ALF27" s="958"/>
      <c r="ALG27" s="958"/>
      <c r="ALH27" s="958"/>
      <c r="ALI27" s="958"/>
      <c r="ALJ27" s="958"/>
      <c r="ALK27" s="958"/>
      <c r="ALL27" s="958"/>
      <c r="ALM27" s="958"/>
      <c r="ALN27" s="958"/>
      <c r="ALO27" s="958"/>
      <c r="ALP27" s="958"/>
      <c r="ALQ27" s="958"/>
      <c r="ALR27" s="958"/>
      <c r="ALS27" s="958"/>
      <c r="ALT27" s="958"/>
      <c r="ALU27" s="958"/>
      <c r="ALV27" s="958"/>
      <c r="ALW27" s="958"/>
      <c r="ALX27" s="958"/>
      <c r="ALY27" s="958"/>
      <c r="ALZ27" s="958"/>
      <c r="AMA27" s="958"/>
      <c r="AMB27" s="958"/>
      <c r="AMC27" s="958"/>
      <c r="AMD27" s="958"/>
      <c r="AME27" s="958"/>
      <c r="AMF27" s="958"/>
      <c r="AMG27" s="958"/>
      <c r="AMH27" s="958"/>
      <c r="AMI27" s="958"/>
      <c r="AMJ27" s="958"/>
      <c r="AMK27" s="958"/>
      <c r="AML27" s="958"/>
      <c r="AMM27" s="958"/>
      <c r="AMN27" s="958"/>
      <c r="AMO27" s="958"/>
      <c r="AMP27" s="958"/>
      <c r="AMQ27" s="958"/>
      <c r="AMR27" s="958"/>
      <c r="AMS27" s="958"/>
      <c r="AMT27" s="958"/>
      <c r="AMU27" s="958"/>
      <c r="AMV27" s="958"/>
      <c r="AMW27" s="958"/>
      <c r="AMX27" s="958"/>
      <c r="AMY27" s="958"/>
      <c r="AMZ27" s="958"/>
      <c r="ANA27" s="958"/>
      <c r="ANB27" s="958"/>
      <c r="ANC27" s="958"/>
      <c r="AND27" s="958"/>
      <c r="ANE27" s="958"/>
      <c r="ANF27" s="958"/>
      <c r="ANG27" s="958"/>
      <c r="ANH27" s="958"/>
      <c r="ANI27" s="958"/>
      <c r="ANJ27" s="958"/>
      <c r="ANK27" s="958"/>
      <c r="ANL27" s="958"/>
      <c r="ANM27" s="958"/>
      <c r="ANN27" s="958"/>
      <c r="ANO27" s="958"/>
      <c r="ANP27" s="958"/>
      <c r="ANQ27" s="958"/>
      <c r="ANR27" s="958"/>
      <c r="ANS27" s="958"/>
      <c r="ANT27" s="958"/>
      <c r="ANU27" s="958"/>
      <c r="ANV27" s="958"/>
      <c r="ANW27" s="958"/>
      <c r="ANX27" s="958"/>
      <c r="ANY27" s="958"/>
      <c r="ANZ27" s="958"/>
      <c r="AOA27" s="958"/>
      <c r="AOB27" s="958"/>
      <c r="AOC27" s="958"/>
      <c r="AOD27" s="958"/>
      <c r="AOE27" s="958"/>
      <c r="AOF27" s="958"/>
      <c r="AOG27" s="958"/>
      <c r="AOH27" s="958"/>
      <c r="AOI27" s="958"/>
      <c r="AOJ27" s="958"/>
      <c r="AOK27" s="958"/>
      <c r="AOL27" s="958"/>
      <c r="AOM27" s="958"/>
      <c r="AON27" s="958"/>
      <c r="AOO27" s="958"/>
      <c r="AOP27" s="958"/>
      <c r="AOQ27" s="958"/>
      <c r="AOR27" s="958"/>
      <c r="AOS27" s="958"/>
      <c r="AOT27" s="958"/>
      <c r="AOU27" s="958"/>
      <c r="AOV27" s="958"/>
      <c r="AOW27" s="958"/>
      <c r="AOX27" s="958"/>
      <c r="AOY27" s="958"/>
      <c r="AOZ27" s="958"/>
      <c r="APA27" s="958"/>
      <c r="APB27" s="958"/>
      <c r="APC27" s="958"/>
      <c r="APD27" s="958"/>
      <c r="APE27" s="958"/>
      <c r="APF27" s="958"/>
      <c r="APG27" s="958"/>
      <c r="APH27" s="958"/>
      <c r="API27" s="958"/>
      <c r="APJ27" s="958"/>
      <c r="APK27" s="958"/>
      <c r="APL27" s="958"/>
      <c r="APM27" s="958"/>
      <c r="APN27" s="958"/>
      <c r="APO27" s="958"/>
      <c r="APP27" s="958"/>
      <c r="APQ27" s="958"/>
      <c r="APR27" s="958"/>
      <c r="APS27" s="958"/>
      <c r="APT27" s="958"/>
      <c r="APU27" s="958"/>
      <c r="APV27" s="958"/>
      <c r="APW27" s="958"/>
      <c r="APX27" s="958"/>
      <c r="APY27" s="958"/>
      <c r="APZ27" s="958"/>
      <c r="AQA27" s="958"/>
      <c r="AQB27" s="958"/>
      <c r="AQC27" s="958"/>
      <c r="AQD27" s="958"/>
      <c r="AQE27" s="958"/>
      <c r="AQF27" s="958"/>
      <c r="AQG27" s="958"/>
      <c r="AQH27" s="958"/>
      <c r="AQI27" s="958"/>
      <c r="AQJ27" s="958"/>
      <c r="AQK27" s="958"/>
      <c r="AQL27" s="958"/>
      <c r="AQM27" s="958"/>
      <c r="AQN27" s="958"/>
      <c r="AQO27" s="958"/>
      <c r="AQP27" s="958"/>
      <c r="AQQ27" s="958"/>
      <c r="AQR27" s="958"/>
      <c r="AQS27" s="958"/>
      <c r="AQT27" s="958"/>
      <c r="AQU27" s="958"/>
      <c r="AQV27" s="958"/>
      <c r="AQW27" s="958"/>
      <c r="AQX27" s="958"/>
      <c r="AQY27" s="958"/>
      <c r="AQZ27" s="958"/>
      <c r="ARA27" s="958"/>
      <c r="ARB27" s="958"/>
      <c r="ARC27" s="958"/>
      <c r="ARD27" s="958"/>
      <c r="ARE27" s="958"/>
      <c r="ARF27" s="958"/>
      <c r="ARG27" s="958"/>
      <c r="ARH27" s="958"/>
      <c r="ARI27" s="958"/>
      <c r="ARJ27" s="958"/>
      <c r="ARK27" s="958"/>
      <c r="ARL27" s="958"/>
      <c r="ARM27" s="958"/>
      <c r="ARN27" s="958"/>
      <c r="ARO27" s="958"/>
      <c r="ARP27" s="958"/>
      <c r="ARQ27" s="958"/>
      <c r="ARR27" s="958"/>
      <c r="ARS27" s="958"/>
      <c r="ART27" s="958"/>
      <c r="ARU27" s="958"/>
      <c r="ARV27" s="958"/>
      <c r="ARW27" s="958"/>
      <c r="ARX27" s="958"/>
      <c r="ARY27" s="958"/>
      <c r="ARZ27" s="958"/>
      <c r="ASA27" s="958"/>
      <c r="ASB27" s="958"/>
      <c r="ASC27" s="958"/>
      <c r="ASD27" s="958"/>
      <c r="ASE27" s="958"/>
      <c r="ASF27" s="958"/>
      <c r="ASG27" s="958"/>
      <c r="ASH27" s="958"/>
      <c r="ASI27" s="958"/>
      <c r="ASJ27" s="958"/>
      <c r="ASK27" s="958"/>
      <c r="ASL27" s="958"/>
      <c r="ASM27" s="958"/>
      <c r="ASN27" s="958"/>
      <c r="ASO27" s="958"/>
      <c r="ASP27" s="958"/>
      <c r="ASQ27" s="958"/>
      <c r="ASR27" s="958"/>
      <c r="ASS27" s="958"/>
      <c r="AST27" s="958"/>
      <c r="ASU27" s="958"/>
      <c r="ASV27" s="958"/>
      <c r="ASW27" s="958"/>
      <c r="ASX27" s="958"/>
      <c r="ASY27" s="958"/>
      <c r="ASZ27" s="958"/>
    </row>
    <row r="28" spans="1:1196" s="22" customFormat="1" ht="77.25" customHeight="1" thickTop="1" thickBot="1">
      <c r="A28" s="2846"/>
      <c r="B28" s="2992"/>
      <c r="C28" s="3025"/>
      <c r="D28" s="111" t="s">
        <v>179</v>
      </c>
      <c r="E28" s="177" t="s">
        <v>131</v>
      </c>
      <c r="F28" s="177" t="s">
        <v>10</v>
      </c>
      <c r="G28" s="888">
        <v>1</v>
      </c>
      <c r="H28" s="76"/>
      <c r="I28" s="76"/>
      <c r="J28" s="76"/>
      <c r="K28" s="179" t="s">
        <v>7</v>
      </c>
      <c r="L28" s="869">
        <v>1</v>
      </c>
      <c r="M28" s="978">
        <v>1</v>
      </c>
      <c r="N28" s="73">
        <f t="shared" si="3"/>
        <v>1</v>
      </c>
      <c r="O28" s="869">
        <v>1</v>
      </c>
      <c r="P28" s="978">
        <v>1</v>
      </c>
      <c r="Q28" s="73">
        <f t="shared" si="4"/>
        <v>1</v>
      </c>
      <c r="R28" s="869">
        <v>1</v>
      </c>
      <c r="S28" s="978">
        <v>1</v>
      </c>
      <c r="T28" s="73">
        <f t="shared" si="5"/>
        <v>1</v>
      </c>
      <c r="U28" s="869">
        <v>1</v>
      </c>
      <c r="V28" s="978">
        <v>1</v>
      </c>
      <c r="W28" s="73">
        <f t="shared" si="6"/>
        <v>1</v>
      </c>
      <c r="X28" s="869">
        <v>1</v>
      </c>
      <c r="Y28" s="978">
        <v>1</v>
      </c>
      <c r="Z28" s="73">
        <f t="shared" si="7"/>
        <v>1</v>
      </c>
      <c r="AA28" s="869">
        <v>1</v>
      </c>
      <c r="AB28" s="869">
        <v>1</v>
      </c>
      <c r="AC28" s="73">
        <f t="shared" si="8"/>
        <v>1</v>
      </c>
      <c r="AD28" s="979">
        <f>(M28+P28+S28+V28+Y28+AB28)/6</f>
        <v>1</v>
      </c>
      <c r="AE28" s="956">
        <f t="shared" si="21"/>
        <v>1</v>
      </c>
      <c r="AF28" s="979">
        <v>1</v>
      </c>
      <c r="AG28" s="978">
        <v>1</v>
      </c>
      <c r="AH28" s="73">
        <f t="shared" si="11"/>
        <v>1</v>
      </c>
      <c r="AI28" s="869">
        <v>1</v>
      </c>
      <c r="AJ28" s="978">
        <v>1</v>
      </c>
      <c r="AK28" s="73">
        <f t="shared" si="12"/>
        <v>1</v>
      </c>
      <c r="AL28" s="869">
        <v>1</v>
      </c>
      <c r="AM28" s="978">
        <v>1</v>
      </c>
      <c r="AN28" s="73">
        <f t="shared" si="13"/>
        <v>1</v>
      </c>
      <c r="AO28" s="869">
        <v>1</v>
      </c>
      <c r="AP28" s="978">
        <v>1</v>
      </c>
      <c r="AQ28" s="73">
        <f t="shared" si="14"/>
        <v>1</v>
      </c>
      <c r="AR28" s="869">
        <v>1</v>
      </c>
      <c r="AS28" s="978">
        <v>1</v>
      </c>
      <c r="AT28" s="73">
        <f t="shared" si="15"/>
        <v>1</v>
      </c>
      <c r="AU28" s="869">
        <v>1</v>
      </c>
      <c r="AV28" s="978">
        <v>1</v>
      </c>
      <c r="AW28" s="73">
        <f t="shared" si="16"/>
        <v>1</v>
      </c>
      <c r="AX28" s="979">
        <f>(M28+P28+S28+V28+Y28++AG28+AJ28+AM28+AP28+AS28+AV28+AB28)/12</f>
        <v>1</v>
      </c>
      <c r="AY28" s="956">
        <f t="shared" si="18"/>
        <v>1</v>
      </c>
      <c r="AZ28" s="958"/>
      <c r="BA28" s="958"/>
      <c r="BB28" s="958"/>
      <c r="BC28" s="958"/>
      <c r="BD28" s="958"/>
      <c r="BE28" s="958"/>
      <c r="BF28" s="958"/>
      <c r="BG28" s="958"/>
      <c r="BH28" s="958"/>
      <c r="BI28" s="958"/>
      <c r="BJ28" s="958"/>
      <c r="BK28" s="958"/>
      <c r="BL28" s="958"/>
      <c r="BM28" s="958"/>
      <c r="BN28" s="958"/>
      <c r="BO28" s="958"/>
      <c r="BP28" s="958"/>
      <c r="BQ28" s="958"/>
      <c r="BR28" s="958"/>
      <c r="BS28" s="958"/>
      <c r="BT28" s="958"/>
      <c r="BU28" s="958"/>
      <c r="BV28" s="958"/>
      <c r="BW28" s="958"/>
      <c r="BX28" s="958"/>
      <c r="BY28" s="958"/>
      <c r="BZ28" s="958"/>
      <c r="CA28" s="958"/>
      <c r="CB28" s="958"/>
      <c r="CC28" s="958"/>
      <c r="CD28" s="958"/>
      <c r="CE28" s="958"/>
      <c r="CF28" s="958"/>
      <c r="CG28" s="958"/>
      <c r="CH28" s="958"/>
      <c r="CI28" s="958"/>
      <c r="CJ28" s="958"/>
      <c r="CK28" s="958"/>
      <c r="CL28" s="958"/>
      <c r="CM28" s="958"/>
      <c r="CN28" s="958"/>
      <c r="CO28" s="958"/>
      <c r="CP28" s="958"/>
      <c r="CQ28" s="958"/>
      <c r="CR28" s="958"/>
      <c r="CS28" s="958"/>
      <c r="CT28" s="958"/>
      <c r="CU28" s="958"/>
      <c r="CV28" s="958"/>
      <c r="CW28" s="958"/>
      <c r="CX28" s="958"/>
      <c r="CY28" s="958"/>
      <c r="CZ28" s="958"/>
      <c r="DA28" s="958"/>
      <c r="DB28" s="958"/>
      <c r="DC28" s="958"/>
      <c r="DD28" s="958"/>
      <c r="DE28" s="958"/>
      <c r="DF28" s="958"/>
      <c r="DG28" s="958"/>
      <c r="DH28" s="958"/>
      <c r="DI28" s="958"/>
      <c r="DJ28" s="958"/>
      <c r="DK28" s="958"/>
      <c r="DL28" s="958"/>
      <c r="DM28" s="958"/>
      <c r="DN28" s="958"/>
      <c r="DO28" s="958"/>
      <c r="DP28" s="958"/>
      <c r="DQ28" s="958"/>
      <c r="DR28" s="958"/>
      <c r="DS28" s="958"/>
      <c r="DT28" s="958"/>
      <c r="DU28" s="958"/>
      <c r="DV28" s="958"/>
      <c r="DW28" s="958"/>
      <c r="DX28" s="958"/>
      <c r="DY28" s="958"/>
      <c r="DZ28" s="958"/>
      <c r="EA28" s="958"/>
      <c r="EB28" s="958"/>
      <c r="EC28" s="958"/>
      <c r="ED28" s="958"/>
      <c r="EE28" s="958"/>
      <c r="EF28" s="958"/>
      <c r="EG28" s="958"/>
      <c r="EH28" s="958"/>
      <c r="EI28" s="958"/>
      <c r="EJ28" s="958"/>
      <c r="EK28" s="958"/>
      <c r="EL28" s="958"/>
      <c r="EM28" s="958"/>
      <c r="EN28" s="958"/>
      <c r="EO28" s="958"/>
      <c r="EP28" s="958"/>
      <c r="EQ28" s="958"/>
      <c r="ER28" s="958"/>
      <c r="ES28" s="958"/>
      <c r="ET28" s="958"/>
      <c r="EU28" s="958"/>
      <c r="EV28" s="958"/>
      <c r="EW28" s="958"/>
      <c r="EX28" s="958"/>
      <c r="EY28" s="958"/>
      <c r="EZ28" s="958"/>
      <c r="FA28" s="958"/>
      <c r="FB28" s="958"/>
      <c r="FC28" s="958"/>
      <c r="FD28" s="958"/>
      <c r="FE28" s="958"/>
      <c r="FF28" s="958"/>
      <c r="FG28" s="958"/>
      <c r="FH28" s="958"/>
      <c r="FI28" s="958"/>
      <c r="FJ28" s="958"/>
      <c r="FK28" s="958"/>
      <c r="FL28" s="958"/>
      <c r="FM28" s="958"/>
      <c r="FN28" s="958"/>
      <c r="FO28" s="958"/>
      <c r="FP28" s="958"/>
      <c r="FQ28" s="958"/>
      <c r="FR28" s="958"/>
      <c r="FS28" s="958"/>
      <c r="FT28" s="958"/>
      <c r="FU28" s="958"/>
      <c r="FV28" s="958"/>
      <c r="FW28" s="958"/>
      <c r="FX28" s="958"/>
      <c r="FY28" s="958"/>
      <c r="FZ28" s="958"/>
      <c r="GA28" s="958"/>
      <c r="GB28" s="958"/>
      <c r="GC28" s="958"/>
      <c r="GD28" s="958"/>
      <c r="GE28" s="958"/>
      <c r="GF28" s="958"/>
      <c r="GG28" s="958"/>
      <c r="GH28" s="958"/>
      <c r="GI28" s="958"/>
      <c r="GJ28" s="958"/>
      <c r="GK28" s="958"/>
      <c r="GL28" s="958"/>
      <c r="GM28" s="958"/>
      <c r="GN28" s="958"/>
      <c r="GO28" s="958"/>
      <c r="GP28" s="958"/>
      <c r="GQ28" s="958"/>
      <c r="GR28" s="958"/>
      <c r="GS28" s="958"/>
      <c r="GT28" s="958"/>
      <c r="GU28" s="958"/>
      <c r="GV28" s="958"/>
      <c r="GW28" s="958"/>
      <c r="GX28" s="958"/>
      <c r="GY28" s="958"/>
      <c r="GZ28" s="958"/>
      <c r="HA28" s="958"/>
      <c r="HB28" s="958"/>
      <c r="HC28" s="958"/>
      <c r="HD28" s="958"/>
      <c r="HE28" s="958"/>
      <c r="HF28" s="958"/>
      <c r="HG28" s="958"/>
      <c r="HH28" s="958"/>
      <c r="HI28" s="958"/>
      <c r="HJ28" s="958"/>
      <c r="HK28" s="958"/>
      <c r="HL28" s="958"/>
      <c r="HM28" s="958"/>
      <c r="HN28" s="958"/>
      <c r="HO28" s="958"/>
      <c r="HP28" s="958"/>
      <c r="HQ28" s="958"/>
      <c r="HR28" s="958"/>
      <c r="HS28" s="958"/>
      <c r="HT28" s="958"/>
      <c r="HU28" s="958"/>
      <c r="HV28" s="958"/>
      <c r="HW28" s="958"/>
      <c r="HX28" s="958"/>
      <c r="HY28" s="958"/>
      <c r="HZ28" s="958"/>
      <c r="IA28" s="958"/>
      <c r="IB28" s="958"/>
      <c r="IC28" s="958"/>
      <c r="ID28" s="958"/>
      <c r="IE28" s="958"/>
      <c r="IF28" s="958"/>
      <c r="IG28" s="958"/>
      <c r="IH28" s="958"/>
      <c r="II28" s="958"/>
      <c r="IJ28" s="958"/>
      <c r="IK28" s="958"/>
      <c r="IL28" s="958"/>
      <c r="IM28" s="958"/>
      <c r="IN28" s="958"/>
      <c r="IO28" s="958"/>
      <c r="IP28" s="958"/>
      <c r="IQ28" s="958"/>
      <c r="IR28" s="958"/>
      <c r="IS28" s="958"/>
      <c r="IT28" s="958"/>
      <c r="IU28" s="958"/>
      <c r="IV28" s="958"/>
      <c r="IW28" s="958"/>
      <c r="IX28" s="958"/>
      <c r="IY28" s="958"/>
      <c r="IZ28" s="958"/>
      <c r="JA28" s="958"/>
      <c r="JB28" s="958"/>
      <c r="JC28" s="958"/>
      <c r="JD28" s="958"/>
      <c r="JE28" s="958"/>
      <c r="JF28" s="958"/>
      <c r="JG28" s="958"/>
      <c r="JH28" s="958"/>
      <c r="JI28" s="958"/>
      <c r="JJ28" s="958"/>
      <c r="JK28" s="958"/>
      <c r="JL28" s="958"/>
      <c r="JM28" s="958"/>
      <c r="JN28" s="958"/>
      <c r="JO28" s="958"/>
      <c r="JP28" s="958"/>
      <c r="JQ28" s="958"/>
      <c r="JR28" s="958"/>
      <c r="JS28" s="958"/>
      <c r="JT28" s="958"/>
      <c r="JU28" s="958"/>
      <c r="JV28" s="958"/>
      <c r="JW28" s="958"/>
      <c r="JX28" s="958"/>
      <c r="JY28" s="958"/>
      <c r="JZ28" s="958"/>
      <c r="KA28" s="958"/>
      <c r="KB28" s="958"/>
      <c r="KC28" s="958"/>
      <c r="KD28" s="958"/>
      <c r="KE28" s="958"/>
      <c r="KF28" s="958"/>
      <c r="KG28" s="958"/>
      <c r="KH28" s="958"/>
      <c r="KI28" s="958"/>
      <c r="KJ28" s="958"/>
      <c r="KK28" s="958"/>
      <c r="KL28" s="958"/>
      <c r="KM28" s="958"/>
      <c r="KN28" s="958"/>
      <c r="KO28" s="958"/>
      <c r="KP28" s="958"/>
      <c r="KQ28" s="958"/>
      <c r="KR28" s="958"/>
      <c r="KS28" s="958"/>
      <c r="KT28" s="958"/>
      <c r="KU28" s="958"/>
      <c r="KV28" s="958"/>
      <c r="KW28" s="958"/>
      <c r="KX28" s="958"/>
      <c r="KY28" s="958"/>
      <c r="KZ28" s="958"/>
      <c r="LA28" s="958"/>
      <c r="LB28" s="958"/>
      <c r="LC28" s="958"/>
      <c r="LD28" s="958"/>
      <c r="LE28" s="958"/>
      <c r="LF28" s="958"/>
      <c r="LG28" s="958"/>
      <c r="LH28" s="958"/>
      <c r="LI28" s="958"/>
      <c r="LJ28" s="958"/>
      <c r="LK28" s="958"/>
      <c r="LL28" s="958"/>
      <c r="LM28" s="958"/>
      <c r="LN28" s="958"/>
      <c r="LO28" s="958"/>
      <c r="LP28" s="958"/>
      <c r="LQ28" s="958"/>
      <c r="LR28" s="958"/>
      <c r="LS28" s="958"/>
      <c r="LT28" s="958"/>
      <c r="LU28" s="958"/>
      <c r="LV28" s="958"/>
      <c r="LW28" s="958"/>
      <c r="LX28" s="958"/>
      <c r="LY28" s="958"/>
      <c r="LZ28" s="958"/>
      <c r="MA28" s="958"/>
      <c r="MB28" s="958"/>
      <c r="MC28" s="958"/>
      <c r="MD28" s="958"/>
      <c r="ME28" s="958"/>
      <c r="MF28" s="958"/>
      <c r="MG28" s="958"/>
      <c r="MH28" s="958"/>
      <c r="MI28" s="958"/>
      <c r="MJ28" s="958"/>
      <c r="MK28" s="958"/>
      <c r="ML28" s="958"/>
      <c r="MM28" s="958"/>
      <c r="MN28" s="958"/>
      <c r="MO28" s="958"/>
      <c r="MP28" s="958"/>
      <c r="MQ28" s="958"/>
      <c r="MR28" s="958"/>
      <c r="MS28" s="958"/>
      <c r="MT28" s="958"/>
      <c r="MU28" s="958"/>
      <c r="MV28" s="958"/>
      <c r="MW28" s="958"/>
      <c r="MX28" s="958"/>
      <c r="MY28" s="958"/>
      <c r="MZ28" s="958"/>
      <c r="NA28" s="958"/>
      <c r="NB28" s="958"/>
      <c r="NC28" s="958"/>
      <c r="ND28" s="958"/>
      <c r="NE28" s="958"/>
      <c r="NF28" s="958"/>
      <c r="NG28" s="958"/>
      <c r="NH28" s="958"/>
      <c r="NI28" s="958"/>
      <c r="NJ28" s="958"/>
      <c r="NK28" s="958"/>
      <c r="NL28" s="958"/>
      <c r="NM28" s="958"/>
      <c r="NN28" s="958"/>
      <c r="NO28" s="958"/>
      <c r="NP28" s="958"/>
      <c r="NQ28" s="958"/>
      <c r="NR28" s="958"/>
      <c r="NS28" s="958"/>
      <c r="NT28" s="958"/>
      <c r="NU28" s="958"/>
      <c r="NV28" s="958"/>
      <c r="NW28" s="958"/>
      <c r="NX28" s="958"/>
      <c r="NY28" s="958"/>
      <c r="NZ28" s="958"/>
      <c r="OA28" s="958"/>
      <c r="OB28" s="958"/>
      <c r="OC28" s="958"/>
      <c r="OD28" s="958"/>
      <c r="OE28" s="958"/>
      <c r="OF28" s="958"/>
      <c r="OG28" s="958"/>
      <c r="OH28" s="958"/>
      <c r="OI28" s="958"/>
      <c r="OJ28" s="958"/>
      <c r="OK28" s="958"/>
      <c r="OL28" s="958"/>
      <c r="OM28" s="958"/>
      <c r="ON28" s="958"/>
      <c r="OO28" s="958"/>
      <c r="OP28" s="958"/>
      <c r="OQ28" s="958"/>
      <c r="OR28" s="958"/>
      <c r="OS28" s="958"/>
      <c r="OT28" s="958"/>
      <c r="OU28" s="958"/>
      <c r="OV28" s="958"/>
      <c r="OW28" s="958"/>
      <c r="OX28" s="958"/>
      <c r="OY28" s="958"/>
      <c r="OZ28" s="958"/>
      <c r="PA28" s="958"/>
      <c r="PB28" s="958"/>
      <c r="PC28" s="958"/>
      <c r="PD28" s="958"/>
      <c r="PE28" s="958"/>
      <c r="PF28" s="958"/>
      <c r="PG28" s="958"/>
      <c r="PH28" s="958"/>
      <c r="PI28" s="958"/>
      <c r="PJ28" s="958"/>
      <c r="PK28" s="958"/>
      <c r="PL28" s="958"/>
      <c r="PM28" s="958"/>
      <c r="PN28" s="958"/>
      <c r="PO28" s="958"/>
      <c r="PP28" s="958"/>
      <c r="PQ28" s="958"/>
      <c r="PR28" s="958"/>
      <c r="PS28" s="958"/>
      <c r="PT28" s="958"/>
      <c r="PU28" s="958"/>
      <c r="PV28" s="958"/>
      <c r="PW28" s="958"/>
      <c r="PX28" s="958"/>
      <c r="PY28" s="958"/>
      <c r="PZ28" s="958"/>
      <c r="QA28" s="958"/>
      <c r="QB28" s="958"/>
      <c r="QC28" s="958"/>
      <c r="QD28" s="958"/>
      <c r="QE28" s="958"/>
      <c r="QF28" s="958"/>
      <c r="QG28" s="958"/>
      <c r="QH28" s="958"/>
      <c r="QI28" s="958"/>
      <c r="QJ28" s="958"/>
      <c r="QK28" s="958"/>
      <c r="QL28" s="958"/>
      <c r="QM28" s="958"/>
      <c r="QN28" s="958"/>
      <c r="QO28" s="958"/>
      <c r="QP28" s="958"/>
      <c r="QQ28" s="958"/>
      <c r="QR28" s="958"/>
      <c r="QS28" s="958"/>
      <c r="QT28" s="958"/>
      <c r="QU28" s="958"/>
      <c r="QV28" s="958"/>
      <c r="QW28" s="958"/>
      <c r="QX28" s="958"/>
      <c r="QY28" s="958"/>
      <c r="QZ28" s="958"/>
      <c r="RA28" s="958"/>
      <c r="RB28" s="958"/>
      <c r="RC28" s="958"/>
      <c r="RD28" s="958"/>
      <c r="RE28" s="958"/>
      <c r="RF28" s="958"/>
      <c r="RG28" s="958"/>
      <c r="RH28" s="958"/>
      <c r="RI28" s="958"/>
      <c r="RJ28" s="958"/>
      <c r="RK28" s="958"/>
      <c r="RL28" s="958"/>
      <c r="RM28" s="958"/>
      <c r="RN28" s="958"/>
      <c r="RO28" s="958"/>
      <c r="RP28" s="958"/>
      <c r="RQ28" s="958"/>
      <c r="RR28" s="958"/>
      <c r="RS28" s="958"/>
      <c r="RT28" s="958"/>
      <c r="RU28" s="958"/>
      <c r="RV28" s="958"/>
      <c r="RW28" s="958"/>
      <c r="RX28" s="958"/>
      <c r="RY28" s="958"/>
      <c r="RZ28" s="958"/>
      <c r="SA28" s="958"/>
      <c r="SB28" s="958"/>
      <c r="SC28" s="958"/>
      <c r="SD28" s="958"/>
      <c r="SE28" s="958"/>
      <c r="SF28" s="958"/>
      <c r="SG28" s="958"/>
      <c r="SH28" s="958"/>
      <c r="SI28" s="958"/>
      <c r="SJ28" s="958"/>
      <c r="SK28" s="958"/>
      <c r="SL28" s="958"/>
      <c r="SM28" s="958"/>
      <c r="SN28" s="958"/>
      <c r="SO28" s="958"/>
      <c r="SP28" s="958"/>
      <c r="SQ28" s="958"/>
      <c r="SR28" s="958"/>
      <c r="SS28" s="958"/>
      <c r="ST28" s="958"/>
      <c r="SU28" s="958"/>
      <c r="SV28" s="958"/>
      <c r="SW28" s="958"/>
      <c r="SX28" s="958"/>
      <c r="SY28" s="958"/>
      <c r="SZ28" s="958"/>
      <c r="TA28" s="958"/>
      <c r="TB28" s="958"/>
      <c r="TC28" s="958"/>
      <c r="TD28" s="958"/>
      <c r="TE28" s="958"/>
      <c r="TF28" s="958"/>
      <c r="TG28" s="958"/>
      <c r="TH28" s="958"/>
      <c r="TI28" s="958"/>
      <c r="TJ28" s="958"/>
      <c r="TK28" s="958"/>
      <c r="TL28" s="958"/>
      <c r="TM28" s="958"/>
      <c r="TN28" s="958"/>
      <c r="TO28" s="958"/>
      <c r="TP28" s="958"/>
      <c r="TQ28" s="958"/>
      <c r="TR28" s="958"/>
      <c r="TS28" s="958"/>
      <c r="TT28" s="958"/>
      <c r="TU28" s="958"/>
      <c r="TV28" s="958"/>
      <c r="TW28" s="958"/>
      <c r="TX28" s="958"/>
      <c r="TY28" s="958"/>
      <c r="TZ28" s="958"/>
      <c r="UA28" s="958"/>
      <c r="UB28" s="958"/>
      <c r="UC28" s="958"/>
      <c r="UD28" s="958"/>
      <c r="UE28" s="958"/>
      <c r="UF28" s="958"/>
      <c r="UG28" s="958"/>
      <c r="UH28" s="958"/>
      <c r="UI28" s="958"/>
      <c r="UJ28" s="958"/>
      <c r="UK28" s="958"/>
      <c r="UL28" s="958"/>
      <c r="UM28" s="958"/>
      <c r="UN28" s="958"/>
      <c r="UO28" s="958"/>
      <c r="UP28" s="958"/>
      <c r="UQ28" s="958"/>
      <c r="UR28" s="958"/>
      <c r="US28" s="958"/>
      <c r="UT28" s="958"/>
      <c r="UU28" s="958"/>
      <c r="UV28" s="958"/>
      <c r="UW28" s="958"/>
      <c r="UX28" s="958"/>
      <c r="UY28" s="958"/>
      <c r="UZ28" s="958"/>
      <c r="VA28" s="958"/>
      <c r="VB28" s="958"/>
      <c r="VC28" s="958"/>
      <c r="VD28" s="958"/>
      <c r="VE28" s="958"/>
      <c r="VF28" s="958"/>
      <c r="VG28" s="958"/>
      <c r="VH28" s="958"/>
      <c r="VI28" s="958"/>
      <c r="VJ28" s="958"/>
      <c r="VK28" s="958"/>
      <c r="VL28" s="958"/>
      <c r="VM28" s="958"/>
      <c r="VN28" s="958"/>
      <c r="VO28" s="958"/>
      <c r="VP28" s="958"/>
      <c r="VQ28" s="958"/>
      <c r="VR28" s="958"/>
      <c r="VS28" s="958"/>
      <c r="VT28" s="958"/>
      <c r="VU28" s="958"/>
      <c r="VV28" s="958"/>
      <c r="VW28" s="958"/>
      <c r="VX28" s="958"/>
      <c r="VY28" s="958"/>
      <c r="VZ28" s="958"/>
      <c r="WA28" s="958"/>
      <c r="WB28" s="958"/>
      <c r="WC28" s="958"/>
      <c r="WD28" s="958"/>
      <c r="WE28" s="958"/>
      <c r="WF28" s="958"/>
      <c r="WG28" s="958"/>
      <c r="WH28" s="958"/>
      <c r="WI28" s="958"/>
      <c r="WJ28" s="958"/>
      <c r="WK28" s="958"/>
      <c r="WL28" s="958"/>
      <c r="WM28" s="958"/>
      <c r="WN28" s="958"/>
      <c r="WO28" s="958"/>
      <c r="WP28" s="958"/>
      <c r="WQ28" s="958"/>
      <c r="WR28" s="958"/>
      <c r="WS28" s="958"/>
      <c r="WT28" s="958"/>
      <c r="WU28" s="958"/>
      <c r="WV28" s="958"/>
      <c r="WW28" s="958"/>
      <c r="WX28" s="958"/>
      <c r="WY28" s="958"/>
      <c r="WZ28" s="958"/>
      <c r="XA28" s="958"/>
      <c r="XB28" s="958"/>
      <c r="XC28" s="958"/>
      <c r="XD28" s="958"/>
      <c r="XE28" s="958"/>
      <c r="XF28" s="958"/>
      <c r="XG28" s="958"/>
      <c r="XH28" s="958"/>
      <c r="XI28" s="958"/>
      <c r="XJ28" s="958"/>
      <c r="XK28" s="958"/>
      <c r="XL28" s="958"/>
      <c r="XM28" s="958"/>
      <c r="XN28" s="958"/>
      <c r="XO28" s="958"/>
      <c r="XP28" s="958"/>
      <c r="XQ28" s="958"/>
      <c r="XR28" s="958"/>
      <c r="XS28" s="958"/>
      <c r="XT28" s="958"/>
      <c r="XU28" s="958"/>
      <c r="XV28" s="958"/>
      <c r="XW28" s="958"/>
      <c r="XX28" s="958"/>
      <c r="XY28" s="958"/>
      <c r="XZ28" s="958"/>
      <c r="YA28" s="958"/>
      <c r="YB28" s="958"/>
      <c r="YC28" s="958"/>
      <c r="YD28" s="958"/>
      <c r="YE28" s="958"/>
      <c r="YF28" s="958"/>
      <c r="YG28" s="958"/>
      <c r="YH28" s="958"/>
      <c r="YI28" s="958"/>
      <c r="YJ28" s="958"/>
      <c r="YK28" s="958"/>
      <c r="YL28" s="958"/>
      <c r="YM28" s="958"/>
      <c r="YN28" s="958"/>
      <c r="YO28" s="958"/>
      <c r="YP28" s="958"/>
      <c r="YQ28" s="958"/>
      <c r="YR28" s="958"/>
      <c r="YS28" s="958"/>
      <c r="YT28" s="958"/>
      <c r="YU28" s="958"/>
      <c r="YV28" s="958"/>
      <c r="YW28" s="958"/>
      <c r="YX28" s="958"/>
      <c r="YY28" s="958"/>
      <c r="YZ28" s="958"/>
      <c r="ZA28" s="958"/>
      <c r="ZB28" s="958"/>
      <c r="ZC28" s="958"/>
      <c r="ZD28" s="958"/>
      <c r="ZE28" s="958"/>
      <c r="ZF28" s="958"/>
      <c r="ZG28" s="958"/>
      <c r="ZH28" s="958"/>
      <c r="ZI28" s="958"/>
      <c r="ZJ28" s="958"/>
      <c r="ZK28" s="958"/>
      <c r="ZL28" s="958"/>
      <c r="ZM28" s="958"/>
      <c r="ZN28" s="958"/>
      <c r="ZO28" s="958"/>
      <c r="ZP28" s="958"/>
      <c r="ZQ28" s="958"/>
      <c r="ZR28" s="958"/>
      <c r="ZS28" s="958"/>
      <c r="ZT28" s="958"/>
      <c r="ZU28" s="958"/>
      <c r="ZV28" s="958"/>
      <c r="ZW28" s="958"/>
      <c r="ZX28" s="958"/>
      <c r="ZY28" s="958"/>
      <c r="ZZ28" s="958"/>
      <c r="AAA28" s="958"/>
      <c r="AAB28" s="958"/>
      <c r="AAC28" s="958"/>
      <c r="AAD28" s="958"/>
      <c r="AAE28" s="958"/>
      <c r="AAF28" s="958"/>
      <c r="AAG28" s="958"/>
      <c r="AAH28" s="958"/>
      <c r="AAI28" s="958"/>
      <c r="AAJ28" s="958"/>
      <c r="AAK28" s="958"/>
      <c r="AAL28" s="958"/>
      <c r="AAM28" s="958"/>
      <c r="AAN28" s="958"/>
      <c r="AAO28" s="958"/>
      <c r="AAP28" s="958"/>
      <c r="AAQ28" s="958"/>
      <c r="AAR28" s="958"/>
      <c r="AAS28" s="958"/>
      <c r="AAT28" s="958"/>
      <c r="AAU28" s="958"/>
      <c r="AAV28" s="958"/>
      <c r="AAW28" s="958"/>
      <c r="AAX28" s="958"/>
      <c r="AAY28" s="958"/>
      <c r="AAZ28" s="958"/>
      <c r="ABA28" s="958"/>
      <c r="ABB28" s="958"/>
      <c r="ABC28" s="958"/>
      <c r="ABD28" s="958"/>
      <c r="ABE28" s="958"/>
      <c r="ABF28" s="958"/>
      <c r="ABG28" s="958"/>
      <c r="ABH28" s="958"/>
      <c r="ABI28" s="958"/>
      <c r="ABJ28" s="958"/>
      <c r="ABK28" s="958"/>
      <c r="ABL28" s="958"/>
      <c r="ABM28" s="958"/>
      <c r="ABN28" s="958"/>
      <c r="ABO28" s="958"/>
      <c r="ABP28" s="958"/>
      <c r="ABQ28" s="958"/>
      <c r="ABR28" s="958"/>
      <c r="ABS28" s="958"/>
      <c r="ABT28" s="958"/>
      <c r="ABU28" s="958"/>
      <c r="ABV28" s="958"/>
      <c r="ABW28" s="958"/>
      <c r="ABX28" s="958"/>
      <c r="ABY28" s="958"/>
      <c r="ABZ28" s="958"/>
      <c r="ACA28" s="958"/>
      <c r="ACB28" s="958"/>
      <c r="ACC28" s="958"/>
      <c r="ACD28" s="958"/>
      <c r="ACE28" s="958"/>
      <c r="ACF28" s="958"/>
      <c r="ACG28" s="958"/>
      <c r="ACH28" s="958"/>
      <c r="ACI28" s="958"/>
      <c r="ACJ28" s="958"/>
      <c r="ACK28" s="958"/>
      <c r="ACL28" s="958"/>
      <c r="ACM28" s="958"/>
      <c r="ACN28" s="958"/>
      <c r="ACO28" s="958"/>
      <c r="ACP28" s="958"/>
      <c r="ACQ28" s="958"/>
      <c r="ACR28" s="958"/>
      <c r="ACS28" s="958"/>
      <c r="ACT28" s="958"/>
      <c r="ACU28" s="958"/>
      <c r="ACV28" s="958"/>
      <c r="ACW28" s="958"/>
      <c r="ACX28" s="958"/>
      <c r="ACY28" s="958"/>
      <c r="ACZ28" s="958"/>
      <c r="ADA28" s="958"/>
      <c r="ADB28" s="958"/>
      <c r="ADC28" s="958"/>
      <c r="ADD28" s="958"/>
      <c r="ADE28" s="958"/>
      <c r="ADF28" s="958"/>
      <c r="ADG28" s="958"/>
      <c r="ADH28" s="958"/>
      <c r="ADI28" s="958"/>
      <c r="ADJ28" s="958"/>
      <c r="ADK28" s="958"/>
      <c r="ADL28" s="958"/>
      <c r="ADM28" s="958"/>
      <c r="ADN28" s="958"/>
      <c r="ADO28" s="958"/>
      <c r="ADP28" s="958"/>
      <c r="ADQ28" s="958"/>
      <c r="ADR28" s="958"/>
      <c r="ADS28" s="958"/>
      <c r="ADT28" s="958"/>
      <c r="ADU28" s="958"/>
      <c r="ADV28" s="958"/>
      <c r="ADW28" s="958"/>
      <c r="ADX28" s="958"/>
      <c r="ADY28" s="958"/>
      <c r="ADZ28" s="958"/>
      <c r="AEA28" s="958"/>
      <c r="AEB28" s="958"/>
      <c r="AEC28" s="958"/>
      <c r="AED28" s="958"/>
      <c r="AEE28" s="958"/>
      <c r="AEF28" s="958"/>
      <c r="AEG28" s="958"/>
      <c r="AEH28" s="958"/>
      <c r="AEI28" s="958"/>
      <c r="AEJ28" s="958"/>
      <c r="AEK28" s="958"/>
      <c r="AEL28" s="958"/>
      <c r="AEM28" s="958"/>
      <c r="AEN28" s="958"/>
      <c r="AEO28" s="958"/>
      <c r="AEP28" s="958"/>
      <c r="AEQ28" s="958"/>
      <c r="AER28" s="958"/>
      <c r="AES28" s="958"/>
      <c r="AET28" s="958"/>
      <c r="AEU28" s="958"/>
      <c r="AEV28" s="958"/>
      <c r="AEW28" s="958"/>
      <c r="AEX28" s="958"/>
      <c r="AEY28" s="958"/>
      <c r="AEZ28" s="958"/>
      <c r="AFA28" s="958"/>
      <c r="AFB28" s="958"/>
      <c r="AFC28" s="958"/>
      <c r="AFD28" s="958"/>
      <c r="AFE28" s="958"/>
      <c r="AFF28" s="958"/>
      <c r="AFG28" s="958"/>
      <c r="AFH28" s="958"/>
      <c r="AFI28" s="958"/>
      <c r="AFJ28" s="958"/>
      <c r="AFK28" s="958"/>
      <c r="AFL28" s="958"/>
      <c r="AFM28" s="958"/>
      <c r="AFN28" s="958"/>
      <c r="AFO28" s="958"/>
      <c r="AFP28" s="958"/>
      <c r="AFQ28" s="958"/>
      <c r="AFR28" s="958"/>
      <c r="AFS28" s="958"/>
      <c r="AFT28" s="958"/>
      <c r="AFU28" s="958"/>
      <c r="AFV28" s="958"/>
      <c r="AFW28" s="958"/>
      <c r="AFX28" s="958"/>
      <c r="AFY28" s="958"/>
      <c r="AFZ28" s="958"/>
      <c r="AGA28" s="958"/>
      <c r="AGB28" s="958"/>
      <c r="AGC28" s="958"/>
      <c r="AGD28" s="958"/>
      <c r="AGE28" s="958"/>
      <c r="AGF28" s="958"/>
      <c r="AGG28" s="958"/>
      <c r="AGH28" s="958"/>
      <c r="AGI28" s="958"/>
      <c r="AGJ28" s="958"/>
      <c r="AGK28" s="958"/>
      <c r="AGL28" s="958"/>
      <c r="AGM28" s="958"/>
      <c r="AGN28" s="958"/>
      <c r="AGO28" s="958"/>
      <c r="AGP28" s="958"/>
      <c r="AGQ28" s="958"/>
      <c r="AGR28" s="958"/>
      <c r="AGS28" s="958"/>
      <c r="AGT28" s="958"/>
      <c r="AGU28" s="958"/>
      <c r="AGV28" s="958"/>
      <c r="AGW28" s="958"/>
      <c r="AGX28" s="958"/>
      <c r="AGY28" s="958"/>
      <c r="AGZ28" s="958"/>
      <c r="AHA28" s="958"/>
      <c r="AHB28" s="958"/>
      <c r="AHC28" s="958"/>
      <c r="AHD28" s="958"/>
      <c r="AHE28" s="958"/>
      <c r="AHF28" s="958"/>
      <c r="AHG28" s="958"/>
      <c r="AHH28" s="958"/>
      <c r="AHI28" s="958"/>
      <c r="AHJ28" s="958"/>
      <c r="AHK28" s="958"/>
      <c r="AHL28" s="958"/>
      <c r="AHM28" s="958"/>
      <c r="AHN28" s="958"/>
      <c r="AHO28" s="958"/>
      <c r="AHP28" s="958"/>
      <c r="AHQ28" s="958"/>
      <c r="AHR28" s="958"/>
      <c r="AHS28" s="958"/>
      <c r="AHT28" s="958"/>
      <c r="AHU28" s="958"/>
      <c r="AHV28" s="958"/>
      <c r="AHW28" s="958"/>
      <c r="AHX28" s="958"/>
      <c r="AHY28" s="958"/>
      <c r="AHZ28" s="958"/>
      <c r="AIA28" s="958"/>
      <c r="AIB28" s="958"/>
      <c r="AIC28" s="958"/>
      <c r="AID28" s="958"/>
      <c r="AIE28" s="958"/>
      <c r="AIF28" s="958"/>
      <c r="AIG28" s="958"/>
      <c r="AIH28" s="958"/>
      <c r="AII28" s="958"/>
      <c r="AIJ28" s="958"/>
      <c r="AIK28" s="958"/>
      <c r="AIL28" s="958"/>
      <c r="AIM28" s="958"/>
      <c r="AIN28" s="958"/>
      <c r="AIO28" s="958"/>
      <c r="AIP28" s="958"/>
      <c r="AIQ28" s="958"/>
      <c r="AIR28" s="958"/>
      <c r="AIS28" s="958"/>
      <c r="AIT28" s="958"/>
      <c r="AIU28" s="958"/>
      <c r="AIV28" s="958"/>
      <c r="AIW28" s="958"/>
      <c r="AIX28" s="958"/>
      <c r="AIY28" s="958"/>
      <c r="AIZ28" s="958"/>
      <c r="AJA28" s="958"/>
      <c r="AJB28" s="958"/>
      <c r="AJC28" s="958"/>
      <c r="AJD28" s="958"/>
      <c r="AJE28" s="958"/>
      <c r="AJF28" s="958"/>
      <c r="AJG28" s="958"/>
      <c r="AJH28" s="958"/>
      <c r="AJI28" s="958"/>
      <c r="AJJ28" s="958"/>
      <c r="AJK28" s="958"/>
      <c r="AJL28" s="958"/>
      <c r="AJM28" s="958"/>
      <c r="AJN28" s="958"/>
      <c r="AJO28" s="958"/>
      <c r="AJP28" s="958"/>
      <c r="AJQ28" s="958"/>
      <c r="AJR28" s="958"/>
      <c r="AJS28" s="958"/>
      <c r="AJT28" s="958"/>
      <c r="AJU28" s="958"/>
      <c r="AJV28" s="958"/>
      <c r="AJW28" s="958"/>
      <c r="AJX28" s="958"/>
      <c r="AJY28" s="958"/>
      <c r="AJZ28" s="958"/>
      <c r="AKA28" s="958"/>
      <c r="AKB28" s="958"/>
      <c r="AKC28" s="958"/>
      <c r="AKD28" s="958"/>
      <c r="AKE28" s="958"/>
      <c r="AKF28" s="958"/>
      <c r="AKG28" s="958"/>
      <c r="AKH28" s="958"/>
      <c r="AKI28" s="958"/>
      <c r="AKJ28" s="958"/>
      <c r="AKK28" s="958"/>
      <c r="AKL28" s="958"/>
      <c r="AKM28" s="958"/>
      <c r="AKN28" s="958"/>
      <c r="AKO28" s="958"/>
      <c r="AKP28" s="958"/>
      <c r="AKQ28" s="958"/>
      <c r="AKR28" s="958"/>
      <c r="AKS28" s="958"/>
      <c r="AKT28" s="958"/>
      <c r="AKU28" s="958"/>
      <c r="AKV28" s="958"/>
      <c r="AKW28" s="958"/>
      <c r="AKX28" s="958"/>
      <c r="AKY28" s="958"/>
      <c r="AKZ28" s="958"/>
      <c r="ALA28" s="958"/>
      <c r="ALB28" s="958"/>
      <c r="ALC28" s="958"/>
      <c r="ALD28" s="958"/>
      <c r="ALE28" s="958"/>
      <c r="ALF28" s="958"/>
      <c r="ALG28" s="958"/>
      <c r="ALH28" s="958"/>
      <c r="ALI28" s="958"/>
      <c r="ALJ28" s="958"/>
      <c r="ALK28" s="958"/>
      <c r="ALL28" s="958"/>
      <c r="ALM28" s="958"/>
      <c r="ALN28" s="958"/>
      <c r="ALO28" s="958"/>
      <c r="ALP28" s="958"/>
      <c r="ALQ28" s="958"/>
      <c r="ALR28" s="958"/>
      <c r="ALS28" s="958"/>
      <c r="ALT28" s="958"/>
      <c r="ALU28" s="958"/>
      <c r="ALV28" s="958"/>
      <c r="ALW28" s="958"/>
      <c r="ALX28" s="958"/>
      <c r="ALY28" s="958"/>
      <c r="ALZ28" s="958"/>
      <c r="AMA28" s="958"/>
      <c r="AMB28" s="958"/>
      <c r="AMC28" s="958"/>
      <c r="AMD28" s="958"/>
      <c r="AME28" s="958"/>
      <c r="AMF28" s="958"/>
      <c r="AMG28" s="958"/>
      <c r="AMH28" s="958"/>
      <c r="AMI28" s="958"/>
      <c r="AMJ28" s="958"/>
      <c r="AMK28" s="958"/>
      <c r="AML28" s="958"/>
      <c r="AMM28" s="958"/>
      <c r="AMN28" s="958"/>
      <c r="AMO28" s="958"/>
      <c r="AMP28" s="958"/>
      <c r="AMQ28" s="958"/>
      <c r="AMR28" s="958"/>
      <c r="AMS28" s="958"/>
      <c r="AMT28" s="958"/>
      <c r="AMU28" s="958"/>
      <c r="AMV28" s="958"/>
      <c r="AMW28" s="958"/>
      <c r="AMX28" s="958"/>
      <c r="AMY28" s="958"/>
      <c r="AMZ28" s="958"/>
      <c r="ANA28" s="958"/>
      <c r="ANB28" s="958"/>
      <c r="ANC28" s="958"/>
      <c r="AND28" s="958"/>
      <c r="ANE28" s="958"/>
      <c r="ANF28" s="958"/>
      <c r="ANG28" s="958"/>
      <c r="ANH28" s="958"/>
      <c r="ANI28" s="958"/>
      <c r="ANJ28" s="958"/>
      <c r="ANK28" s="958"/>
      <c r="ANL28" s="958"/>
      <c r="ANM28" s="958"/>
      <c r="ANN28" s="958"/>
      <c r="ANO28" s="958"/>
      <c r="ANP28" s="958"/>
      <c r="ANQ28" s="958"/>
      <c r="ANR28" s="958"/>
      <c r="ANS28" s="958"/>
      <c r="ANT28" s="958"/>
      <c r="ANU28" s="958"/>
      <c r="ANV28" s="958"/>
      <c r="ANW28" s="958"/>
      <c r="ANX28" s="958"/>
      <c r="ANY28" s="958"/>
      <c r="ANZ28" s="958"/>
      <c r="AOA28" s="958"/>
      <c r="AOB28" s="958"/>
      <c r="AOC28" s="958"/>
      <c r="AOD28" s="958"/>
      <c r="AOE28" s="958"/>
      <c r="AOF28" s="958"/>
      <c r="AOG28" s="958"/>
      <c r="AOH28" s="958"/>
      <c r="AOI28" s="958"/>
      <c r="AOJ28" s="958"/>
      <c r="AOK28" s="958"/>
      <c r="AOL28" s="958"/>
      <c r="AOM28" s="958"/>
      <c r="AON28" s="958"/>
      <c r="AOO28" s="958"/>
      <c r="AOP28" s="958"/>
      <c r="AOQ28" s="958"/>
      <c r="AOR28" s="958"/>
      <c r="AOS28" s="958"/>
      <c r="AOT28" s="958"/>
      <c r="AOU28" s="958"/>
      <c r="AOV28" s="958"/>
      <c r="AOW28" s="958"/>
      <c r="AOX28" s="958"/>
      <c r="AOY28" s="958"/>
      <c r="AOZ28" s="958"/>
      <c r="APA28" s="958"/>
      <c r="APB28" s="958"/>
      <c r="APC28" s="958"/>
      <c r="APD28" s="958"/>
      <c r="APE28" s="958"/>
      <c r="APF28" s="958"/>
      <c r="APG28" s="958"/>
      <c r="APH28" s="958"/>
      <c r="API28" s="958"/>
      <c r="APJ28" s="958"/>
      <c r="APK28" s="958"/>
      <c r="APL28" s="958"/>
      <c r="APM28" s="958"/>
      <c r="APN28" s="958"/>
      <c r="APO28" s="958"/>
      <c r="APP28" s="958"/>
      <c r="APQ28" s="958"/>
      <c r="APR28" s="958"/>
      <c r="APS28" s="958"/>
      <c r="APT28" s="958"/>
      <c r="APU28" s="958"/>
      <c r="APV28" s="958"/>
      <c r="APW28" s="958"/>
      <c r="APX28" s="958"/>
      <c r="APY28" s="958"/>
      <c r="APZ28" s="958"/>
      <c r="AQA28" s="958"/>
      <c r="AQB28" s="958"/>
      <c r="AQC28" s="958"/>
      <c r="AQD28" s="958"/>
      <c r="AQE28" s="958"/>
      <c r="AQF28" s="958"/>
      <c r="AQG28" s="958"/>
      <c r="AQH28" s="958"/>
      <c r="AQI28" s="958"/>
      <c r="AQJ28" s="958"/>
      <c r="AQK28" s="958"/>
      <c r="AQL28" s="958"/>
      <c r="AQM28" s="958"/>
      <c r="AQN28" s="958"/>
      <c r="AQO28" s="958"/>
      <c r="AQP28" s="958"/>
      <c r="AQQ28" s="958"/>
      <c r="AQR28" s="958"/>
      <c r="AQS28" s="958"/>
      <c r="AQT28" s="958"/>
      <c r="AQU28" s="958"/>
      <c r="AQV28" s="958"/>
      <c r="AQW28" s="958"/>
      <c r="AQX28" s="958"/>
      <c r="AQY28" s="958"/>
      <c r="AQZ28" s="958"/>
      <c r="ARA28" s="958"/>
      <c r="ARB28" s="958"/>
      <c r="ARC28" s="958"/>
      <c r="ARD28" s="958"/>
      <c r="ARE28" s="958"/>
      <c r="ARF28" s="958"/>
      <c r="ARG28" s="958"/>
      <c r="ARH28" s="958"/>
      <c r="ARI28" s="958"/>
      <c r="ARJ28" s="958"/>
      <c r="ARK28" s="958"/>
      <c r="ARL28" s="958"/>
      <c r="ARM28" s="958"/>
      <c r="ARN28" s="958"/>
      <c r="ARO28" s="958"/>
      <c r="ARP28" s="958"/>
      <c r="ARQ28" s="958"/>
      <c r="ARR28" s="958"/>
      <c r="ARS28" s="958"/>
      <c r="ART28" s="958"/>
      <c r="ARU28" s="958"/>
      <c r="ARV28" s="958"/>
      <c r="ARW28" s="958"/>
      <c r="ARX28" s="958"/>
      <c r="ARY28" s="958"/>
      <c r="ARZ28" s="958"/>
      <c r="ASA28" s="958"/>
      <c r="ASB28" s="958"/>
      <c r="ASC28" s="958"/>
      <c r="ASD28" s="958"/>
      <c r="ASE28" s="958"/>
      <c r="ASF28" s="958"/>
      <c r="ASG28" s="958"/>
      <c r="ASH28" s="958"/>
      <c r="ASI28" s="958"/>
      <c r="ASJ28" s="958"/>
      <c r="ASK28" s="958"/>
      <c r="ASL28" s="958"/>
      <c r="ASM28" s="958"/>
      <c r="ASN28" s="958"/>
      <c r="ASO28" s="958"/>
      <c r="ASP28" s="958"/>
      <c r="ASQ28" s="958"/>
      <c r="ASR28" s="958"/>
      <c r="ASS28" s="958"/>
      <c r="AST28" s="958"/>
      <c r="ASU28" s="958"/>
      <c r="ASV28" s="958"/>
      <c r="ASW28" s="958"/>
      <c r="ASX28" s="958"/>
      <c r="ASY28" s="958"/>
      <c r="ASZ28" s="958"/>
    </row>
    <row r="29" spans="1:1196" s="22" customFormat="1" ht="77.25" customHeight="1" thickTop="1" thickBot="1">
      <c r="A29" s="2846"/>
      <c r="B29" s="2992"/>
      <c r="C29" s="3026"/>
      <c r="D29" s="171" t="s">
        <v>132</v>
      </c>
      <c r="E29" s="172" t="s">
        <v>133</v>
      </c>
      <c r="F29" s="172" t="s">
        <v>10</v>
      </c>
      <c r="G29" s="173">
        <v>1</v>
      </c>
      <c r="H29" s="82"/>
      <c r="I29" s="88"/>
      <c r="J29" s="82"/>
      <c r="K29" s="172" t="s">
        <v>7</v>
      </c>
      <c r="L29" s="871">
        <v>0</v>
      </c>
      <c r="M29" s="974"/>
      <c r="N29" s="73" t="e">
        <f t="shared" si="3"/>
        <v>#DIV/0!</v>
      </c>
      <c r="O29" s="871">
        <v>0</v>
      </c>
      <c r="P29" s="974"/>
      <c r="Q29" s="73" t="e">
        <f t="shared" si="4"/>
        <v>#DIV/0!</v>
      </c>
      <c r="R29" s="871">
        <v>0</v>
      </c>
      <c r="S29" s="974"/>
      <c r="T29" s="73" t="e">
        <f t="shared" si="5"/>
        <v>#DIV/0!</v>
      </c>
      <c r="U29" s="871">
        <v>0</v>
      </c>
      <c r="V29" s="974"/>
      <c r="W29" s="73" t="e">
        <f t="shared" si="6"/>
        <v>#DIV/0!</v>
      </c>
      <c r="X29" s="871">
        <v>0</v>
      </c>
      <c r="Y29" s="974"/>
      <c r="Z29" s="73" t="e">
        <f t="shared" si="7"/>
        <v>#DIV/0!</v>
      </c>
      <c r="AA29" s="871">
        <v>0</v>
      </c>
      <c r="AB29" s="871"/>
      <c r="AC29" s="73" t="e">
        <f t="shared" si="8"/>
        <v>#DIV/0!</v>
      </c>
      <c r="AD29" s="975">
        <f t="shared" ref="AD29:AD32" si="22">+M29+P29+S29+V29+Y29+AB29</f>
        <v>0</v>
      </c>
      <c r="AE29" s="956">
        <f t="shared" si="21"/>
        <v>0</v>
      </c>
      <c r="AF29" s="975">
        <v>0</v>
      </c>
      <c r="AG29" s="974"/>
      <c r="AH29" s="73" t="e">
        <f t="shared" si="11"/>
        <v>#DIV/0!</v>
      </c>
      <c r="AI29" s="871">
        <v>1</v>
      </c>
      <c r="AJ29" s="974">
        <v>1</v>
      </c>
      <c r="AK29" s="73">
        <f t="shared" si="12"/>
        <v>1</v>
      </c>
      <c r="AL29" s="871">
        <v>0</v>
      </c>
      <c r="AM29" s="974"/>
      <c r="AN29" s="73" t="e">
        <f t="shared" si="13"/>
        <v>#DIV/0!</v>
      </c>
      <c r="AO29" s="871">
        <v>0</v>
      </c>
      <c r="AP29" s="974"/>
      <c r="AQ29" s="73" t="e">
        <f t="shared" si="14"/>
        <v>#DIV/0!</v>
      </c>
      <c r="AR29" s="871">
        <v>0</v>
      </c>
      <c r="AS29" s="974"/>
      <c r="AT29" s="73" t="e">
        <f t="shared" si="15"/>
        <v>#DIV/0!</v>
      </c>
      <c r="AU29" s="871">
        <v>0</v>
      </c>
      <c r="AV29" s="974"/>
      <c r="AW29" s="73" t="e">
        <f t="shared" si="16"/>
        <v>#DIV/0!</v>
      </c>
      <c r="AX29" s="975">
        <f>+AJ29</f>
        <v>1</v>
      </c>
      <c r="AY29" s="956">
        <f t="shared" si="18"/>
        <v>1</v>
      </c>
      <c r="AZ29" s="958"/>
      <c r="BA29" s="958"/>
      <c r="BB29" s="958"/>
      <c r="BC29" s="958"/>
      <c r="BD29" s="958"/>
      <c r="BE29" s="958"/>
      <c r="BF29" s="958"/>
      <c r="BG29" s="958"/>
      <c r="BH29" s="958"/>
      <c r="BI29" s="958"/>
      <c r="BJ29" s="958"/>
      <c r="BK29" s="958"/>
      <c r="BL29" s="958"/>
      <c r="BM29" s="958"/>
      <c r="BN29" s="958"/>
      <c r="BO29" s="958"/>
      <c r="BP29" s="958"/>
      <c r="BQ29" s="958"/>
      <c r="BR29" s="958"/>
      <c r="BS29" s="958"/>
      <c r="BT29" s="958"/>
      <c r="BU29" s="958"/>
      <c r="BV29" s="958"/>
      <c r="BW29" s="958"/>
      <c r="BX29" s="958"/>
      <c r="BY29" s="958"/>
      <c r="BZ29" s="958"/>
      <c r="CA29" s="958"/>
      <c r="CB29" s="958"/>
      <c r="CC29" s="958"/>
      <c r="CD29" s="958"/>
      <c r="CE29" s="958"/>
      <c r="CF29" s="958"/>
      <c r="CG29" s="958"/>
      <c r="CH29" s="958"/>
      <c r="CI29" s="958"/>
      <c r="CJ29" s="958"/>
      <c r="CK29" s="958"/>
      <c r="CL29" s="958"/>
      <c r="CM29" s="958"/>
      <c r="CN29" s="958"/>
      <c r="CO29" s="958"/>
      <c r="CP29" s="958"/>
      <c r="CQ29" s="958"/>
      <c r="CR29" s="958"/>
      <c r="CS29" s="958"/>
      <c r="CT29" s="958"/>
      <c r="CU29" s="958"/>
      <c r="CV29" s="958"/>
      <c r="CW29" s="958"/>
      <c r="CX29" s="958"/>
      <c r="CY29" s="958"/>
      <c r="CZ29" s="958"/>
      <c r="DA29" s="958"/>
      <c r="DB29" s="958"/>
      <c r="DC29" s="958"/>
      <c r="DD29" s="958"/>
      <c r="DE29" s="958"/>
      <c r="DF29" s="958"/>
      <c r="DG29" s="958"/>
      <c r="DH29" s="958"/>
      <c r="DI29" s="958"/>
      <c r="DJ29" s="958"/>
      <c r="DK29" s="958"/>
      <c r="DL29" s="958"/>
      <c r="DM29" s="958"/>
      <c r="DN29" s="958"/>
      <c r="DO29" s="958"/>
      <c r="DP29" s="958"/>
      <c r="DQ29" s="958"/>
      <c r="DR29" s="958"/>
      <c r="DS29" s="958"/>
      <c r="DT29" s="958"/>
      <c r="DU29" s="958"/>
      <c r="DV29" s="958"/>
      <c r="DW29" s="958"/>
      <c r="DX29" s="958"/>
      <c r="DY29" s="958"/>
      <c r="DZ29" s="958"/>
      <c r="EA29" s="958"/>
      <c r="EB29" s="958"/>
      <c r="EC29" s="958"/>
      <c r="ED29" s="958"/>
      <c r="EE29" s="958"/>
      <c r="EF29" s="958"/>
      <c r="EG29" s="958"/>
      <c r="EH29" s="958"/>
      <c r="EI29" s="958"/>
      <c r="EJ29" s="958"/>
      <c r="EK29" s="958"/>
      <c r="EL29" s="958"/>
      <c r="EM29" s="958"/>
      <c r="EN29" s="958"/>
      <c r="EO29" s="958"/>
      <c r="EP29" s="958"/>
      <c r="EQ29" s="958"/>
      <c r="ER29" s="958"/>
      <c r="ES29" s="958"/>
      <c r="ET29" s="958"/>
      <c r="EU29" s="958"/>
      <c r="EV29" s="958"/>
      <c r="EW29" s="958"/>
      <c r="EX29" s="958"/>
      <c r="EY29" s="958"/>
      <c r="EZ29" s="958"/>
      <c r="FA29" s="958"/>
      <c r="FB29" s="958"/>
      <c r="FC29" s="958"/>
      <c r="FD29" s="958"/>
      <c r="FE29" s="958"/>
      <c r="FF29" s="958"/>
      <c r="FG29" s="958"/>
      <c r="FH29" s="958"/>
      <c r="FI29" s="958"/>
      <c r="FJ29" s="958"/>
      <c r="FK29" s="958"/>
      <c r="FL29" s="958"/>
      <c r="FM29" s="958"/>
      <c r="FN29" s="958"/>
      <c r="FO29" s="958"/>
      <c r="FP29" s="958"/>
      <c r="FQ29" s="958"/>
      <c r="FR29" s="958"/>
      <c r="FS29" s="958"/>
      <c r="FT29" s="958"/>
      <c r="FU29" s="958"/>
      <c r="FV29" s="958"/>
      <c r="FW29" s="958"/>
      <c r="FX29" s="958"/>
      <c r="FY29" s="958"/>
      <c r="FZ29" s="958"/>
      <c r="GA29" s="958"/>
      <c r="GB29" s="958"/>
      <c r="GC29" s="958"/>
      <c r="GD29" s="958"/>
      <c r="GE29" s="958"/>
      <c r="GF29" s="958"/>
      <c r="GG29" s="958"/>
      <c r="GH29" s="958"/>
      <c r="GI29" s="958"/>
      <c r="GJ29" s="958"/>
      <c r="GK29" s="958"/>
      <c r="GL29" s="958"/>
      <c r="GM29" s="958"/>
      <c r="GN29" s="958"/>
      <c r="GO29" s="958"/>
      <c r="GP29" s="958"/>
      <c r="GQ29" s="958"/>
      <c r="GR29" s="958"/>
      <c r="GS29" s="958"/>
      <c r="GT29" s="958"/>
      <c r="GU29" s="958"/>
      <c r="GV29" s="958"/>
      <c r="GW29" s="958"/>
      <c r="GX29" s="958"/>
      <c r="GY29" s="958"/>
      <c r="GZ29" s="958"/>
      <c r="HA29" s="958"/>
      <c r="HB29" s="958"/>
      <c r="HC29" s="958"/>
      <c r="HD29" s="958"/>
      <c r="HE29" s="958"/>
      <c r="HF29" s="958"/>
      <c r="HG29" s="958"/>
      <c r="HH29" s="958"/>
      <c r="HI29" s="958"/>
      <c r="HJ29" s="958"/>
      <c r="HK29" s="958"/>
      <c r="HL29" s="958"/>
      <c r="HM29" s="958"/>
      <c r="HN29" s="958"/>
      <c r="HO29" s="958"/>
      <c r="HP29" s="958"/>
      <c r="HQ29" s="958"/>
      <c r="HR29" s="958"/>
      <c r="HS29" s="958"/>
      <c r="HT29" s="958"/>
      <c r="HU29" s="958"/>
      <c r="HV29" s="958"/>
      <c r="HW29" s="958"/>
      <c r="HX29" s="958"/>
      <c r="HY29" s="958"/>
      <c r="HZ29" s="958"/>
      <c r="IA29" s="958"/>
      <c r="IB29" s="958"/>
      <c r="IC29" s="958"/>
      <c r="ID29" s="958"/>
      <c r="IE29" s="958"/>
      <c r="IF29" s="958"/>
      <c r="IG29" s="958"/>
      <c r="IH29" s="958"/>
      <c r="II29" s="958"/>
      <c r="IJ29" s="958"/>
      <c r="IK29" s="958"/>
      <c r="IL29" s="958"/>
      <c r="IM29" s="958"/>
      <c r="IN29" s="958"/>
      <c r="IO29" s="958"/>
      <c r="IP29" s="958"/>
      <c r="IQ29" s="958"/>
      <c r="IR29" s="958"/>
      <c r="IS29" s="958"/>
      <c r="IT29" s="958"/>
      <c r="IU29" s="958"/>
      <c r="IV29" s="958"/>
      <c r="IW29" s="958"/>
      <c r="IX29" s="958"/>
      <c r="IY29" s="958"/>
      <c r="IZ29" s="958"/>
      <c r="JA29" s="958"/>
      <c r="JB29" s="958"/>
      <c r="JC29" s="958"/>
      <c r="JD29" s="958"/>
      <c r="JE29" s="958"/>
      <c r="JF29" s="958"/>
      <c r="JG29" s="958"/>
      <c r="JH29" s="958"/>
      <c r="JI29" s="958"/>
      <c r="JJ29" s="958"/>
      <c r="JK29" s="958"/>
      <c r="JL29" s="958"/>
      <c r="JM29" s="958"/>
      <c r="JN29" s="958"/>
      <c r="JO29" s="958"/>
      <c r="JP29" s="958"/>
      <c r="JQ29" s="958"/>
      <c r="JR29" s="958"/>
      <c r="JS29" s="958"/>
      <c r="JT29" s="958"/>
      <c r="JU29" s="958"/>
      <c r="JV29" s="958"/>
      <c r="JW29" s="958"/>
      <c r="JX29" s="958"/>
      <c r="JY29" s="958"/>
      <c r="JZ29" s="958"/>
      <c r="KA29" s="958"/>
      <c r="KB29" s="958"/>
      <c r="KC29" s="958"/>
      <c r="KD29" s="958"/>
      <c r="KE29" s="958"/>
      <c r="KF29" s="958"/>
      <c r="KG29" s="958"/>
      <c r="KH29" s="958"/>
      <c r="KI29" s="958"/>
      <c r="KJ29" s="958"/>
      <c r="KK29" s="958"/>
      <c r="KL29" s="958"/>
      <c r="KM29" s="958"/>
      <c r="KN29" s="958"/>
      <c r="KO29" s="958"/>
      <c r="KP29" s="958"/>
      <c r="KQ29" s="958"/>
      <c r="KR29" s="958"/>
      <c r="KS29" s="958"/>
      <c r="KT29" s="958"/>
      <c r="KU29" s="958"/>
      <c r="KV29" s="958"/>
      <c r="KW29" s="958"/>
      <c r="KX29" s="958"/>
      <c r="KY29" s="958"/>
      <c r="KZ29" s="958"/>
      <c r="LA29" s="958"/>
      <c r="LB29" s="958"/>
      <c r="LC29" s="958"/>
      <c r="LD29" s="958"/>
      <c r="LE29" s="958"/>
      <c r="LF29" s="958"/>
      <c r="LG29" s="958"/>
      <c r="LH29" s="958"/>
      <c r="LI29" s="958"/>
      <c r="LJ29" s="958"/>
      <c r="LK29" s="958"/>
      <c r="LL29" s="958"/>
      <c r="LM29" s="958"/>
      <c r="LN29" s="958"/>
      <c r="LO29" s="958"/>
      <c r="LP29" s="958"/>
      <c r="LQ29" s="958"/>
      <c r="LR29" s="958"/>
      <c r="LS29" s="958"/>
      <c r="LT29" s="958"/>
      <c r="LU29" s="958"/>
      <c r="LV29" s="958"/>
      <c r="LW29" s="958"/>
      <c r="LX29" s="958"/>
      <c r="LY29" s="958"/>
      <c r="LZ29" s="958"/>
      <c r="MA29" s="958"/>
      <c r="MB29" s="958"/>
      <c r="MC29" s="958"/>
      <c r="MD29" s="958"/>
      <c r="ME29" s="958"/>
      <c r="MF29" s="958"/>
      <c r="MG29" s="958"/>
      <c r="MH29" s="958"/>
      <c r="MI29" s="958"/>
      <c r="MJ29" s="958"/>
      <c r="MK29" s="958"/>
      <c r="ML29" s="958"/>
      <c r="MM29" s="958"/>
      <c r="MN29" s="958"/>
      <c r="MO29" s="958"/>
      <c r="MP29" s="958"/>
      <c r="MQ29" s="958"/>
      <c r="MR29" s="958"/>
      <c r="MS29" s="958"/>
      <c r="MT29" s="958"/>
      <c r="MU29" s="958"/>
      <c r="MV29" s="958"/>
      <c r="MW29" s="958"/>
      <c r="MX29" s="958"/>
      <c r="MY29" s="958"/>
      <c r="MZ29" s="958"/>
      <c r="NA29" s="958"/>
      <c r="NB29" s="958"/>
      <c r="NC29" s="958"/>
      <c r="ND29" s="958"/>
      <c r="NE29" s="958"/>
      <c r="NF29" s="958"/>
      <c r="NG29" s="958"/>
      <c r="NH29" s="958"/>
      <c r="NI29" s="958"/>
      <c r="NJ29" s="958"/>
      <c r="NK29" s="958"/>
      <c r="NL29" s="958"/>
      <c r="NM29" s="958"/>
      <c r="NN29" s="958"/>
      <c r="NO29" s="958"/>
      <c r="NP29" s="958"/>
      <c r="NQ29" s="958"/>
      <c r="NR29" s="958"/>
      <c r="NS29" s="958"/>
      <c r="NT29" s="958"/>
      <c r="NU29" s="958"/>
      <c r="NV29" s="958"/>
      <c r="NW29" s="958"/>
      <c r="NX29" s="958"/>
      <c r="NY29" s="958"/>
      <c r="NZ29" s="958"/>
      <c r="OA29" s="958"/>
      <c r="OB29" s="958"/>
      <c r="OC29" s="958"/>
      <c r="OD29" s="958"/>
      <c r="OE29" s="958"/>
      <c r="OF29" s="958"/>
      <c r="OG29" s="958"/>
      <c r="OH29" s="958"/>
      <c r="OI29" s="958"/>
      <c r="OJ29" s="958"/>
      <c r="OK29" s="958"/>
      <c r="OL29" s="958"/>
      <c r="OM29" s="958"/>
      <c r="ON29" s="958"/>
      <c r="OO29" s="958"/>
      <c r="OP29" s="958"/>
      <c r="OQ29" s="958"/>
      <c r="OR29" s="958"/>
      <c r="OS29" s="958"/>
      <c r="OT29" s="958"/>
      <c r="OU29" s="958"/>
      <c r="OV29" s="958"/>
      <c r="OW29" s="958"/>
      <c r="OX29" s="958"/>
      <c r="OY29" s="958"/>
      <c r="OZ29" s="958"/>
      <c r="PA29" s="958"/>
      <c r="PB29" s="958"/>
      <c r="PC29" s="958"/>
      <c r="PD29" s="958"/>
      <c r="PE29" s="958"/>
      <c r="PF29" s="958"/>
      <c r="PG29" s="958"/>
      <c r="PH29" s="958"/>
      <c r="PI29" s="958"/>
      <c r="PJ29" s="958"/>
      <c r="PK29" s="958"/>
      <c r="PL29" s="958"/>
      <c r="PM29" s="958"/>
      <c r="PN29" s="958"/>
      <c r="PO29" s="958"/>
      <c r="PP29" s="958"/>
      <c r="PQ29" s="958"/>
      <c r="PR29" s="958"/>
      <c r="PS29" s="958"/>
      <c r="PT29" s="958"/>
      <c r="PU29" s="958"/>
      <c r="PV29" s="958"/>
      <c r="PW29" s="958"/>
      <c r="PX29" s="958"/>
      <c r="PY29" s="958"/>
      <c r="PZ29" s="958"/>
      <c r="QA29" s="958"/>
      <c r="QB29" s="958"/>
      <c r="QC29" s="958"/>
      <c r="QD29" s="958"/>
      <c r="QE29" s="958"/>
      <c r="QF29" s="958"/>
      <c r="QG29" s="958"/>
      <c r="QH29" s="958"/>
      <c r="QI29" s="958"/>
      <c r="QJ29" s="958"/>
      <c r="QK29" s="958"/>
      <c r="QL29" s="958"/>
      <c r="QM29" s="958"/>
      <c r="QN29" s="958"/>
      <c r="QO29" s="958"/>
      <c r="QP29" s="958"/>
      <c r="QQ29" s="958"/>
      <c r="QR29" s="958"/>
      <c r="QS29" s="958"/>
      <c r="QT29" s="958"/>
      <c r="QU29" s="958"/>
      <c r="QV29" s="958"/>
      <c r="QW29" s="958"/>
      <c r="QX29" s="958"/>
      <c r="QY29" s="958"/>
      <c r="QZ29" s="958"/>
      <c r="RA29" s="958"/>
      <c r="RB29" s="958"/>
      <c r="RC29" s="958"/>
      <c r="RD29" s="958"/>
      <c r="RE29" s="958"/>
      <c r="RF29" s="958"/>
      <c r="RG29" s="958"/>
      <c r="RH29" s="958"/>
      <c r="RI29" s="958"/>
      <c r="RJ29" s="958"/>
      <c r="RK29" s="958"/>
      <c r="RL29" s="958"/>
      <c r="RM29" s="958"/>
      <c r="RN29" s="958"/>
      <c r="RO29" s="958"/>
      <c r="RP29" s="958"/>
      <c r="RQ29" s="958"/>
      <c r="RR29" s="958"/>
      <c r="RS29" s="958"/>
      <c r="RT29" s="958"/>
      <c r="RU29" s="958"/>
      <c r="RV29" s="958"/>
      <c r="RW29" s="958"/>
      <c r="RX29" s="958"/>
      <c r="RY29" s="958"/>
      <c r="RZ29" s="958"/>
      <c r="SA29" s="958"/>
      <c r="SB29" s="958"/>
      <c r="SC29" s="958"/>
      <c r="SD29" s="958"/>
      <c r="SE29" s="958"/>
      <c r="SF29" s="958"/>
      <c r="SG29" s="958"/>
      <c r="SH29" s="958"/>
      <c r="SI29" s="958"/>
      <c r="SJ29" s="958"/>
      <c r="SK29" s="958"/>
      <c r="SL29" s="958"/>
      <c r="SM29" s="958"/>
      <c r="SN29" s="958"/>
      <c r="SO29" s="958"/>
      <c r="SP29" s="958"/>
      <c r="SQ29" s="958"/>
      <c r="SR29" s="958"/>
      <c r="SS29" s="958"/>
      <c r="ST29" s="958"/>
      <c r="SU29" s="958"/>
      <c r="SV29" s="958"/>
      <c r="SW29" s="958"/>
      <c r="SX29" s="958"/>
      <c r="SY29" s="958"/>
      <c r="SZ29" s="958"/>
      <c r="TA29" s="958"/>
      <c r="TB29" s="958"/>
      <c r="TC29" s="958"/>
      <c r="TD29" s="958"/>
      <c r="TE29" s="958"/>
      <c r="TF29" s="958"/>
      <c r="TG29" s="958"/>
      <c r="TH29" s="958"/>
      <c r="TI29" s="958"/>
      <c r="TJ29" s="958"/>
      <c r="TK29" s="958"/>
      <c r="TL29" s="958"/>
      <c r="TM29" s="958"/>
      <c r="TN29" s="958"/>
      <c r="TO29" s="958"/>
      <c r="TP29" s="958"/>
      <c r="TQ29" s="958"/>
      <c r="TR29" s="958"/>
      <c r="TS29" s="958"/>
      <c r="TT29" s="958"/>
      <c r="TU29" s="958"/>
      <c r="TV29" s="958"/>
      <c r="TW29" s="958"/>
      <c r="TX29" s="958"/>
      <c r="TY29" s="958"/>
      <c r="TZ29" s="958"/>
      <c r="UA29" s="958"/>
      <c r="UB29" s="958"/>
      <c r="UC29" s="958"/>
      <c r="UD29" s="958"/>
      <c r="UE29" s="958"/>
      <c r="UF29" s="958"/>
      <c r="UG29" s="958"/>
      <c r="UH29" s="958"/>
      <c r="UI29" s="958"/>
      <c r="UJ29" s="958"/>
      <c r="UK29" s="958"/>
      <c r="UL29" s="958"/>
      <c r="UM29" s="958"/>
      <c r="UN29" s="958"/>
      <c r="UO29" s="958"/>
      <c r="UP29" s="958"/>
      <c r="UQ29" s="958"/>
      <c r="UR29" s="958"/>
      <c r="US29" s="958"/>
      <c r="UT29" s="958"/>
      <c r="UU29" s="958"/>
      <c r="UV29" s="958"/>
      <c r="UW29" s="958"/>
      <c r="UX29" s="958"/>
      <c r="UY29" s="958"/>
      <c r="UZ29" s="958"/>
      <c r="VA29" s="958"/>
      <c r="VB29" s="958"/>
      <c r="VC29" s="958"/>
      <c r="VD29" s="958"/>
      <c r="VE29" s="958"/>
      <c r="VF29" s="958"/>
      <c r="VG29" s="958"/>
      <c r="VH29" s="958"/>
      <c r="VI29" s="958"/>
      <c r="VJ29" s="958"/>
      <c r="VK29" s="958"/>
      <c r="VL29" s="958"/>
      <c r="VM29" s="958"/>
      <c r="VN29" s="958"/>
      <c r="VO29" s="958"/>
      <c r="VP29" s="958"/>
      <c r="VQ29" s="958"/>
      <c r="VR29" s="958"/>
      <c r="VS29" s="958"/>
      <c r="VT29" s="958"/>
      <c r="VU29" s="958"/>
      <c r="VV29" s="958"/>
      <c r="VW29" s="958"/>
      <c r="VX29" s="958"/>
      <c r="VY29" s="958"/>
      <c r="VZ29" s="958"/>
      <c r="WA29" s="958"/>
      <c r="WB29" s="958"/>
      <c r="WC29" s="958"/>
      <c r="WD29" s="958"/>
      <c r="WE29" s="958"/>
      <c r="WF29" s="958"/>
      <c r="WG29" s="958"/>
      <c r="WH29" s="958"/>
      <c r="WI29" s="958"/>
      <c r="WJ29" s="958"/>
      <c r="WK29" s="958"/>
      <c r="WL29" s="958"/>
      <c r="WM29" s="958"/>
      <c r="WN29" s="958"/>
      <c r="WO29" s="958"/>
      <c r="WP29" s="958"/>
      <c r="WQ29" s="958"/>
      <c r="WR29" s="958"/>
      <c r="WS29" s="958"/>
      <c r="WT29" s="958"/>
      <c r="WU29" s="958"/>
      <c r="WV29" s="958"/>
      <c r="WW29" s="958"/>
      <c r="WX29" s="958"/>
      <c r="WY29" s="958"/>
      <c r="WZ29" s="958"/>
      <c r="XA29" s="958"/>
      <c r="XB29" s="958"/>
      <c r="XC29" s="958"/>
      <c r="XD29" s="958"/>
      <c r="XE29" s="958"/>
      <c r="XF29" s="958"/>
      <c r="XG29" s="958"/>
      <c r="XH29" s="958"/>
      <c r="XI29" s="958"/>
      <c r="XJ29" s="958"/>
      <c r="XK29" s="958"/>
      <c r="XL29" s="958"/>
      <c r="XM29" s="958"/>
      <c r="XN29" s="958"/>
      <c r="XO29" s="958"/>
      <c r="XP29" s="958"/>
      <c r="XQ29" s="958"/>
      <c r="XR29" s="958"/>
      <c r="XS29" s="958"/>
      <c r="XT29" s="958"/>
      <c r="XU29" s="958"/>
      <c r="XV29" s="958"/>
      <c r="XW29" s="958"/>
      <c r="XX29" s="958"/>
      <c r="XY29" s="958"/>
      <c r="XZ29" s="958"/>
      <c r="YA29" s="958"/>
      <c r="YB29" s="958"/>
      <c r="YC29" s="958"/>
      <c r="YD29" s="958"/>
      <c r="YE29" s="958"/>
      <c r="YF29" s="958"/>
      <c r="YG29" s="958"/>
      <c r="YH29" s="958"/>
      <c r="YI29" s="958"/>
      <c r="YJ29" s="958"/>
      <c r="YK29" s="958"/>
      <c r="YL29" s="958"/>
      <c r="YM29" s="958"/>
      <c r="YN29" s="958"/>
      <c r="YO29" s="958"/>
      <c r="YP29" s="958"/>
      <c r="YQ29" s="958"/>
      <c r="YR29" s="958"/>
      <c r="YS29" s="958"/>
      <c r="YT29" s="958"/>
      <c r="YU29" s="958"/>
      <c r="YV29" s="958"/>
      <c r="YW29" s="958"/>
      <c r="YX29" s="958"/>
      <c r="YY29" s="958"/>
      <c r="YZ29" s="958"/>
      <c r="ZA29" s="958"/>
      <c r="ZB29" s="958"/>
      <c r="ZC29" s="958"/>
      <c r="ZD29" s="958"/>
      <c r="ZE29" s="958"/>
      <c r="ZF29" s="958"/>
      <c r="ZG29" s="958"/>
      <c r="ZH29" s="958"/>
      <c r="ZI29" s="958"/>
      <c r="ZJ29" s="958"/>
      <c r="ZK29" s="958"/>
      <c r="ZL29" s="958"/>
      <c r="ZM29" s="958"/>
      <c r="ZN29" s="958"/>
      <c r="ZO29" s="958"/>
      <c r="ZP29" s="958"/>
      <c r="ZQ29" s="958"/>
      <c r="ZR29" s="958"/>
      <c r="ZS29" s="958"/>
      <c r="ZT29" s="958"/>
      <c r="ZU29" s="958"/>
      <c r="ZV29" s="958"/>
      <c r="ZW29" s="958"/>
      <c r="ZX29" s="958"/>
      <c r="ZY29" s="958"/>
      <c r="ZZ29" s="958"/>
      <c r="AAA29" s="958"/>
      <c r="AAB29" s="958"/>
      <c r="AAC29" s="958"/>
      <c r="AAD29" s="958"/>
      <c r="AAE29" s="958"/>
      <c r="AAF29" s="958"/>
      <c r="AAG29" s="958"/>
      <c r="AAH29" s="958"/>
      <c r="AAI29" s="958"/>
      <c r="AAJ29" s="958"/>
      <c r="AAK29" s="958"/>
      <c r="AAL29" s="958"/>
      <c r="AAM29" s="958"/>
      <c r="AAN29" s="958"/>
      <c r="AAO29" s="958"/>
      <c r="AAP29" s="958"/>
      <c r="AAQ29" s="958"/>
      <c r="AAR29" s="958"/>
      <c r="AAS29" s="958"/>
      <c r="AAT29" s="958"/>
      <c r="AAU29" s="958"/>
      <c r="AAV29" s="958"/>
      <c r="AAW29" s="958"/>
      <c r="AAX29" s="958"/>
      <c r="AAY29" s="958"/>
      <c r="AAZ29" s="958"/>
      <c r="ABA29" s="958"/>
      <c r="ABB29" s="958"/>
      <c r="ABC29" s="958"/>
      <c r="ABD29" s="958"/>
      <c r="ABE29" s="958"/>
      <c r="ABF29" s="958"/>
      <c r="ABG29" s="958"/>
      <c r="ABH29" s="958"/>
      <c r="ABI29" s="958"/>
      <c r="ABJ29" s="958"/>
      <c r="ABK29" s="958"/>
      <c r="ABL29" s="958"/>
      <c r="ABM29" s="958"/>
      <c r="ABN29" s="958"/>
      <c r="ABO29" s="958"/>
      <c r="ABP29" s="958"/>
      <c r="ABQ29" s="958"/>
      <c r="ABR29" s="958"/>
      <c r="ABS29" s="958"/>
      <c r="ABT29" s="958"/>
      <c r="ABU29" s="958"/>
      <c r="ABV29" s="958"/>
      <c r="ABW29" s="958"/>
      <c r="ABX29" s="958"/>
      <c r="ABY29" s="958"/>
      <c r="ABZ29" s="958"/>
      <c r="ACA29" s="958"/>
      <c r="ACB29" s="958"/>
      <c r="ACC29" s="958"/>
      <c r="ACD29" s="958"/>
      <c r="ACE29" s="958"/>
      <c r="ACF29" s="958"/>
      <c r="ACG29" s="958"/>
      <c r="ACH29" s="958"/>
      <c r="ACI29" s="958"/>
      <c r="ACJ29" s="958"/>
      <c r="ACK29" s="958"/>
      <c r="ACL29" s="958"/>
      <c r="ACM29" s="958"/>
      <c r="ACN29" s="958"/>
      <c r="ACO29" s="958"/>
      <c r="ACP29" s="958"/>
      <c r="ACQ29" s="958"/>
      <c r="ACR29" s="958"/>
      <c r="ACS29" s="958"/>
      <c r="ACT29" s="958"/>
      <c r="ACU29" s="958"/>
      <c r="ACV29" s="958"/>
      <c r="ACW29" s="958"/>
      <c r="ACX29" s="958"/>
      <c r="ACY29" s="958"/>
      <c r="ACZ29" s="958"/>
      <c r="ADA29" s="958"/>
      <c r="ADB29" s="958"/>
      <c r="ADC29" s="958"/>
      <c r="ADD29" s="958"/>
      <c r="ADE29" s="958"/>
      <c r="ADF29" s="958"/>
      <c r="ADG29" s="958"/>
      <c r="ADH29" s="958"/>
      <c r="ADI29" s="958"/>
      <c r="ADJ29" s="958"/>
      <c r="ADK29" s="958"/>
      <c r="ADL29" s="958"/>
      <c r="ADM29" s="958"/>
      <c r="ADN29" s="958"/>
      <c r="ADO29" s="958"/>
      <c r="ADP29" s="958"/>
      <c r="ADQ29" s="958"/>
      <c r="ADR29" s="958"/>
      <c r="ADS29" s="958"/>
      <c r="ADT29" s="958"/>
      <c r="ADU29" s="958"/>
      <c r="ADV29" s="958"/>
      <c r="ADW29" s="958"/>
      <c r="ADX29" s="958"/>
      <c r="ADY29" s="958"/>
      <c r="ADZ29" s="958"/>
      <c r="AEA29" s="958"/>
      <c r="AEB29" s="958"/>
      <c r="AEC29" s="958"/>
      <c r="AED29" s="958"/>
      <c r="AEE29" s="958"/>
      <c r="AEF29" s="958"/>
      <c r="AEG29" s="958"/>
      <c r="AEH29" s="958"/>
      <c r="AEI29" s="958"/>
      <c r="AEJ29" s="958"/>
      <c r="AEK29" s="958"/>
      <c r="AEL29" s="958"/>
      <c r="AEM29" s="958"/>
      <c r="AEN29" s="958"/>
      <c r="AEO29" s="958"/>
      <c r="AEP29" s="958"/>
      <c r="AEQ29" s="958"/>
      <c r="AER29" s="958"/>
      <c r="AES29" s="958"/>
      <c r="AET29" s="958"/>
      <c r="AEU29" s="958"/>
      <c r="AEV29" s="958"/>
      <c r="AEW29" s="958"/>
      <c r="AEX29" s="958"/>
      <c r="AEY29" s="958"/>
      <c r="AEZ29" s="958"/>
      <c r="AFA29" s="958"/>
      <c r="AFB29" s="958"/>
      <c r="AFC29" s="958"/>
      <c r="AFD29" s="958"/>
      <c r="AFE29" s="958"/>
      <c r="AFF29" s="958"/>
      <c r="AFG29" s="958"/>
      <c r="AFH29" s="958"/>
      <c r="AFI29" s="958"/>
      <c r="AFJ29" s="958"/>
      <c r="AFK29" s="958"/>
      <c r="AFL29" s="958"/>
      <c r="AFM29" s="958"/>
      <c r="AFN29" s="958"/>
      <c r="AFO29" s="958"/>
      <c r="AFP29" s="958"/>
      <c r="AFQ29" s="958"/>
      <c r="AFR29" s="958"/>
      <c r="AFS29" s="958"/>
      <c r="AFT29" s="958"/>
      <c r="AFU29" s="958"/>
      <c r="AFV29" s="958"/>
      <c r="AFW29" s="958"/>
      <c r="AFX29" s="958"/>
      <c r="AFY29" s="958"/>
      <c r="AFZ29" s="958"/>
      <c r="AGA29" s="958"/>
      <c r="AGB29" s="958"/>
      <c r="AGC29" s="958"/>
      <c r="AGD29" s="958"/>
      <c r="AGE29" s="958"/>
      <c r="AGF29" s="958"/>
      <c r="AGG29" s="958"/>
      <c r="AGH29" s="958"/>
      <c r="AGI29" s="958"/>
      <c r="AGJ29" s="958"/>
      <c r="AGK29" s="958"/>
      <c r="AGL29" s="958"/>
      <c r="AGM29" s="958"/>
      <c r="AGN29" s="958"/>
      <c r="AGO29" s="958"/>
      <c r="AGP29" s="958"/>
      <c r="AGQ29" s="958"/>
      <c r="AGR29" s="958"/>
      <c r="AGS29" s="958"/>
      <c r="AGT29" s="958"/>
      <c r="AGU29" s="958"/>
      <c r="AGV29" s="958"/>
      <c r="AGW29" s="958"/>
      <c r="AGX29" s="958"/>
      <c r="AGY29" s="958"/>
      <c r="AGZ29" s="958"/>
      <c r="AHA29" s="958"/>
      <c r="AHB29" s="958"/>
      <c r="AHC29" s="958"/>
      <c r="AHD29" s="958"/>
      <c r="AHE29" s="958"/>
      <c r="AHF29" s="958"/>
      <c r="AHG29" s="958"/>
      <c r="AHH29" s="958"/>
      <c r="AHI29" s="958"/>
      <c r="AHJ29" s="958"/>
      <c r="AHK29" s="958"/>
      <c r="AHL29" s="958"/>
      <c r="AHM29" s="958"/>
      <c r="AHN29" s="958"/>
      <c r="AHO29" s="958"/>
      <c r="AHP29" s="958"/>
      <c r="AHQ29" s="958"/>
      <c r="AHR29" s="958"/>
      <c r="AHS29" s="958"/>
      <c r="AHT29" s="958"/>
      <c r="AHU29" s="958"/>
      <c r="AHV29" s="958"/>
      <c r="AHW29" s="958"/>
      <c r="AHX29" s="958"/>
      <c r="AHY29" s="958"/>
      <c r="AHZ29" s="958"/>
      <c r="AIA29" s="958"/>
      <c r="AIB29" s="958"/>
      <c r="AIC29" s="958"/>
      <c r="AID29" s="958"/>
      <c r="AIE29" s="958"/>
      <c r="AIF29" s="958"/>
      <c r="AIG29" s="958"/>
      <c r="AIH29" s="958"/>
      <c r="AII29" s="958"/>
      <c r="AIJ29" s="958"/>
      <c r="AIK29" s="958"/>
      <c r="AIL29" s="958"/>
      <c r="AIM29" s="958"/>
      <c r="AIN29" s="958"/>
      <c r="AIO29" s="958"/>
      <c r="AIP29" s="958"/>
      <c r="AIQ29" s="958"/>
      <c r="AIR29" s="958"/>
      <c r="AIS29" s="958"/>
      <c r="AIT29" s="958"/>
      <c r="AIU29" s="958"/>
      <c r="AIV29" s="958"/>
      <c r="AIW29" s="958"/>
      <c r="AIX29" s="958"/>
      <c r="AIY29" s="958"/>
      <c r="AIZ29" s="958"/>
      <c r="AJA29" s="958"/>
      <c r="AJB29" s="958"/>
      <c r="AJC29" s="958"/>
      <c r="AJD29" s="958"/>
      <c r="AJE29" s="958"/>
      <c r="AJF29" s="958"/>
      <c r="AJG29" s="958"/>
      <c r="AJH29" s="958"/>
      <c r="AJI29" s="958"/>
      <c r="AJJ29" s="958"/>
      <c r="AJK29" s="958"/>
      <c r="AJL29" s="958"/>
      <c r="AJM29" s="958"/>
      <c r="AJN29" s="958"/>
      <c r="AJO29" s="958"/>
      <c r="AJP29" s="958"/>
      <c r="AJQ29" s="958"/>
      <c r="AJR29" s="958"/>
      <c r="AJS29" s="958"/>
      <c r="AJT29" s="958"/>
      <c r="AJU29" s="958"/>
      <c r="AJV29" s="958"/>
      <c r="AJW29" s="958"/>
      <c r="AJX29" s="958"/>
      <c r="AJY29" s="958"/>
      <c r="AJZ29" s="958"/>
      <c r="AKA29" s="958"/>
      <c r="AKB29" s="958"/>
      <c r="AKC29" s="958"/>
      <c r="AKD29" s="958"/>
      <c r="AKE29" s="958"/>
      <c r="AKF29" s="958"/>
      <c r="AKG29" s="958"/>
      <c r="AKH29" s="958"/>
      <c r="AKI29" s="958"/>
      <c r="AKJ29" s="958"/>
      <c r="AKK29" s="958"/>
      <c r="AKL29" s="958"/>
      <c r="AKM29" s="958"/>
      <c r="AKN29" s="958"/>
      <c r="AKO29" s="958"/>
      <c r="AKP29" s="958"/>
      <c r="AKQ29" s="958"/>
      <c r="AKR29" s="958"/>
      <c r="AKS29" s="958"/>
      <c r="AKT29" s="958"/>
      <c r="AKU29" s="958"/>
      <c r="AKV29" s="958"/>
      <c r="AKW29" s="958"/>
      <c r="AKX29" s="958"/>
      <c r="AKY29" s="958"/>
      <c r="AKZ29" s="958"/>
      <c r="ALA29" s="958"/>
      <c r="ALB29" s="958"/>
      <c r="ALC29" s="958"/>
      <c r="ALD29" s="958"/>
      <c r="ALE29" s="958"/>
      <c r="ALF29" s="958"/>
      <c r="ALG29" s="958"/>
      <c r="ALH29" s="958"/>
      <c r="ALI29" s="958"/>
      <c r="ALJ29" s="958"/>
      <c r="ALK29" s="958"/>
      <c r="ALL29" s="958"/>
      <c r="ALM29" s="958"/>
      <c r="ALN29" s="958"/>
      <c r="ALO29" s="958"/>
      <c r="ALP29" s="958"/>
      <c r="ALQ29" s="958"/>
      <c r="ALR29" s="958"/>
      <c r="ALS29" s="958"/>
      <c r="ALT29" s="958"/>
      <c r="ALU29" s="958"/>
      <c r="ALV29" s="958"/>
      <c r="ALW29" s="958"/>
      <c r="ALX29" s="958"/>
      <c r="ALY29" s="958"/>
      <c r="ALZ29" s="958"/>
      <c r="AMA29" s="958"/>
      <c r="AMB29" s="958"/>
      <c r="AMC29" s="958"/>
      <c r="AMD29" s="958"/>
      <c r="AME29" s="958"/>
      <c r="AMF29" s="958"/>
      <c r="AMG29" s="958"/>
      <c r="AMH29" s="958"/>
      <c r="AMI29" s="958"/>
      <c r="AMJ29" s="958"/>
      <c r="AMK29" s="958"/>
      <c r="AML29" s="958"/>
      <c r="AMM29" s="958"/>
      <c r="AMN29" s="958"/>
      <c r="AMO29" s="958"/>
      <c r="AMP29" s="958"/>
      <c r="AMQ29" s="958"/>
      <c r="AMR29" s="958"/>
      <c r="AMS29" s="958"/>
      <c r="AMT29" s="958"/>
      <c r="AMU29" s="958"/>
      <c r="AMV29" s="958"/>
      <c r="AMW29" s="958"/>
      <c r="AMX29" s="958"/>
      <c r="AMY29" s="958"/>
      <c r="AMZ29" s="958"/>
      <c r="ANA29" s="958"/>
      <c r="ANB29" s="958"/>
      <c r="ANC29" s="958"/>
      <c r="AND29" s="958"/>
      <c r="ANE29" s="958"/>
      <c r="ANF29" s="958"/>
      <c r="ANG29" s="958"/>
      <c r="ANH29" s="958"/>
      <c r="ANI29" s="958"/>
      <c r="ANJ29" s="958"/>
      <c r="ANK29" s="958"/>
      <c r="ANL29" s="958"/>
      <c r="ANM29" s="958"/>
      <c r="ANN29" s="958"/>
      <c r="ANO29" s="958"/>
      <c r="ANP29" s="958"/>
      <c r="ANQ29" s="958"/>
      <c r="ANR29" s="958"/>
      <c r="ANS29" s="958"/>
      <c r="ANT29" s="958"/>
      <c r="ANU29" s="958"/>
      <c r="ANV29" s="958"/>
      <c r="ANW29" s="958"/>
      <c r="ANX29" s="958"/>
      <c r="ANY29" s="958"/>
      <c r="ANZ29" s="958"/>
      <c r="AOA29" s="958"/>
      <c r="AOB29" s="958"/>
      <c r="AOC29" s="958"/>
      <c r="AOD29" s="958"/>
      <c r="AOE29" s="958"/>
      <c r="AOF29" s="958"/>
      <c r="AOG29" s="958"/>
      <c r="AOH29" s="958"/>
      <c r="AOI29" s="958"/>
      <c r="AOJ29" s="958"/>
      <c r="AOK29" s="958"/>
      <c r="AOL29" s="958"/>
      <c r="AOM29" s="958"/>
      <c r="AON29" s="958"/>
      <c r="AOO29" s="958"/>
      <c r="AOP29" s="958"/>
      <c r="AOQ29" s="958"/>
      <c r="AOR29" s="958"/>
      <c r="AOS29" s="958"/>
      <c r="AOT29" s="958"/>
      <c r="AOU29" s="958"/>
      <c r="AOV29" s="958"/>
      <c r="AOW29" s="958"/>
      <c r="AOX29" s="958"/>
      <c r="AOY29" s="958"/>
      <c r="AOZ29" s="958"/>
      <c r="APA29" s="958"/>
      <c r="APB29" s="958"/>
      <c r="APC29" s="958"/>
      <c r="APD29" s="958"/>
      <c r="APE29" s="958"/>
      <c r="APF29" s="958"/>
      <c r="APG29" s="958"/>
      <c r="APH29" s="958"/>
      <c r="API29" s="958"/>
      <c r="APJ29" s="958"/>
      <c r="APK29" s="958"/>
      <c r="APL29" s="958"/>
      <c r="APM29" s="958"/>
      <c r="APN29" s="958"/>
      <c r="APO29" s="958"/>
      <c r="APP29" s="958"/>
      <c r="APQ29" s="958"/>
      <c r="APR29" s="958"/>
      <c r="APS29" s="958"/>
      <c r="APT29" s="958"/>
      <c r="APU29" s="958"/>
      <c r="APV29" s="958"/>
      <c r="APW29" s="958"/>
      <c r="APX29" s="958"/>
      <c r="APY29" s="958"/>
      <c r="APZ29" s="958"/>
      <c r="AQA29" s="958"/>
      <c r="AQB29" s="958"/>
      <c r="AQC29" s="958"/>
      <c r="AQD29" s="958"/>
      <c r="AQE29" s="958"/>
      <c r="AQF29" s="958"/>
      <c r="AQG29" s="958"/>
      <c r="AQH29" s="958"/>
      <c r="AQI29" s="958"/>
      <c r="AQJ29" s="958"/>
      <c r="AQK29" s="958"/>
      <c r="AQL29" s="958"/>
      <c r="AQM29" s="958"/>
      <c r="AQN29" s="958"/>
      <c r="AQO29" s="958"/>
      <c r="AQP29" s="958"/>
      <c r="AQQ29" s="958"/>
      <c r="AQR29" s="958"/>
      <c r="AQS29" s="958"/>
      <c r="AQT29" s="958"/>
      <c r="AQU29" s="958"/>
      <c r="AQV29" s="958"/>
      <c r="AQW29" s="958"/>
      <c r="AQX29" s="958"/>
      <c r="AQY29" s="958"/>
      <c r="AQZ29" s="958"/>
      <c r="ARA29" s="958"/>
      <c r="ARB29" s="958"/>
      <c r="ARC29" s="958"/>
      <c r="ARD29" s="958"/>
      <c r="ARE29" s="958"/>
      <c r="ARF29" s="958"/>
      <c r="ARG29" s="958"/>
      <c r="ARH29" s="958"/>
      <c r="ARI29" s="958"/>
      <c r="ARJ29" s="958"/>
      <c r="ARK29" s="958"/>
      <c r="ARL29" s="958"/>
      <c r="ARM29" s="958"/>
      <c r="ARN29" s="958"/>
      <c r="ARO29" s="958"/>
      <c r="ARP29" s="958"/>
      <c r="ARQ29" s="958"/>
      <c r="ARR29" s="958"/>
      <c r="ARS29" s="958"/>
      <c r="ART29" s="958"/>
      <c r="ARU29" s="958"/>
      <c r="ARV29" s="958"/>
      <c r="ARW29" s="958"/>
      <c r="ARX29" s="958"/>
      <c r="ARY29" s="958"/>
      <c r="ARZ29" s="958"/>
      <c r="ASA29" s="958"/>
      <c r="ASB29" s="958"/>
      <c r="ASC29" s="958"/>
      <c r="ASD29" s="958"/>
      <c r="ASE29" s="958"/>
      <c r="ASF29" s="958"/>
      <c r="ASG29" s="958"/>
      <c r="ASH29" s="958"/>
      <c r="ASI29" s="958"/>
      <c r="ASJ29" s="958"/>
      <c r="ASK29" s="958"/>
      <c r="ASL29" s="958"/>
      <c r="ASM29" s="958"/>
      <c r="ASN29" s="958"/>
      <c r="ASO29" s="958"/>
      <c r="ASP29" s="958"/>
      <c r="ASQ29" s="958"/>
      <c r="ASR29" s="958"/>
      <c r="ASS29" s="958"/>
      <c r="AST29" s="958"/>
      <c r="ASU29" s="958"/>
      <c r="ASV29" s="958"/>
      <c r="ASW29" s="958"/>
      <c r="ASX29" s="958"/>
      <c r="ASY29" s="958"/>
      <c r="ASZ29" s="958"/>
    </row>
    <row r="30" spans="1:1196" s="22" customFormat="1" ht="51.75" customHeight="1" thickTop="1" thickBot="1">
      <c r="A30" s="2846"/>
      <c r="B30" s="2992"/>
      <c r="C30" s="2810" t="s">
        <v>283</v>
      </c>
      <c r="D30" s="111" t="s">
        <v>135</v>
      </c>
      <c r="E30" s="177" t="s">
        <v>22</v>
      </c>
      <c r="F30" s="177" t="s">
        <v>16</v>
      </c>
      <c r="G30" s="2816" t="s">
        <v>136</v>
      </c>
      <c r="H30" s="76"/>
      <c r="I30" s="76"/>
      <c r="J30" s="76"/>
      <c r="K30" s="179" t="s">
        <v>23</v>
      </c>
      <c r="L30" s="953">
        <v>0</v>
      </c>
      <c r="M30" s="954"/>
      <c r="N30" s="73" t="e">
        <f t="shared" si="3"/>
        <v>#DIV/0!</v>
      </c>
      <c r="O30" s="953">
        <v>0</v>
      </c>
      <c r="P30" s="954"/>
      <c r="Q30" s="73" t="e">
        <f t="shared" si="4"/>
        <v>#DIV/0!</v>
      </c>
      <c r="R30" s="953">
        <v>0</v>
      </c>
      <c r="S30" s="954"/>
      <c r="T30" s="73" t="e">
        <f t="shared" si="5"/>
        <v>#DIV/0!</v>
      </c>
      <c r="U30" s="953">
        <v>0</v>
      </c>
      <c r="V30" s="954"/>
      <c r="W30" s="73" t="e">
        <f t="shared" si="6"/>
        <v>#DIV/0!</v>
      </c>
      <c r="X30" s="953">
        <v>0</v>
      </c>
      <c r="Y30" s="954"/>
      <c r="Z30" s="73" t="e">
        <f t="shared" si="7"/>
        <v>#DIV/0!</v>
      </c>
      <c r="AA30" s="953">
        <v>0</v>
      </c>
      <c r="AB30" s="953"/>
      <c r="AC30" s="73" t="e">
        <f t="shared" si="8"/>
        <v>#DIV/0!</v>
      </c>
      <c r="AD30" s="955">
        <f t="shared" si="22"/>
        <v>0</v>
      </c>
      <c r="AE30" s="956" t="e">
        <f t="shared" si="21"/>
        <v>#VALUE!</v>
      </c>
      <c r="AF30" s="955">
        <v>0</v>
      </c>
      <c r="AG30" s="954"/>
      <c r="AH30" s="73" t="e">
        <f t="shared" si="11"/>
        <v>#DIV/0!</v>
      </c>
      <c r="AI30" s="953">
        <v>0</v>
      </c>
      <c r="AJ30" s="954"/>
      <c r="AK30" s="73" t="e">
        <f t="shared" si="12"/>
        <v>#DIV/0!</v>
      </c>
      <c r="AL30" s="953">
        <v>0</v>
      </c>
      <c r="AM30" s="954"/>
      <c r="AN30" s="73" t="e">
        <f t="shared" si="13"/>
        <v>#DIV/0!</v>
      </c>
      <c r="AO30" s="953">
        <v>0</v>
      </c>
      <c r="AP30" s="954"/>
      <c r="AQ30" s="73" t="e">
        <f t="shared" si="14"/>
        <v>#DIV/0!</v>
      </c>
      <c r="AR30" s="953">
        <v>0</v>
      </c>
      <c r="AS30" s="954"/>
      <c r="AT30" s="73" t="e">
        <f t="shared" si="15"/>
        <v>#DIV/0!</v>
      </c>
      <c r="AU30" s="953">
        <v>898459</v>
      </c>
      <c r="AV30" s="954">
        <v>898459</v>
      </c>
      <c r="AW30" s="73">
        <f t="shared" si="16"/>
        <v>1</v>
      </c>
      <c r="AX30" s="957">
        <v>898459</v>
      </c>
      <c r="AY30" s="956"/>
      <c r="AZ30" s="958"/>
      <c r="BA30" s="958"/>
      <c r="BB30" s="958"/>
      <c r="BC30" s="958"/>
      <c r="BD30" s="958"/>
      <c r="BE30" s="958"/>
      <c r="BF30" s="958"/>
      <c r="BG30" s="958"/>
      <c r="BH30" s="958"/>
      <c r="BI30" s="958"/>
      <c r="BJ30" s="958"/>
      <c r="BK30" s="958"/>
      <c r="BL30" s="958"/>
      <c r="BM30" s="958"/>
      <c r="BN30" s="958"/>
      <c r="BO30" s="958"/>
      <c r="BP30" s="958"/>
      <c r="BQ30" s="958"/>
      <c r="BR30" s="958"/>
      <c r="BS30" s="958"/>
      <c r="BT30" s="958"/>
      <c r="BU30" s="958"/>
      <c r="BV30" s="958"/>
      <c r="BW30" s="958"/>
      <c r="BX30" s="958"/>
      <c r="BY30" s="958"/>
      <c r="BZ30" s="958"/>
      <c r="CA30" s="958"/>
      <c r="CB30" s="958"/>
      <c r="CC30" s="958"/>
      <c r="CD30" s="958"/>
      <c r="CE30" s="958"/>
      <c r="CF30" s="958"/>
      <c r="CG30" s="958"/>
      <c r="CH30" s="958"/>
      <c r="CI30" s="958"/>
      <c r="CJ30" s="958"/>
      <c r="CK30" s="958"/>
      <c r="CL30" s="958"/>
      <c r="CM30" s="958"/>
      <c r="CN30" s="958"/>
      <c r="CO30" s="958"/>
      <c r="CP30" s="958"/>
      <c r="CQ30" s="958"/>
      <c r="CR30" s="958"/>
      <c r="CS30" s="958"/>
      <c r="CT30" s="958"/>
      <c r="CU30" s="958"/>
      <c r="CV30" s="958"/>
      <c r="CW30" s="958"/>
      <c r="CX30" s="958"/>
      <c r="CY30" s="958"/>
      <c r="CZ30" s="958"/>
      <c r="DA30" s="958"/>
      <c r="DB30" s="958"/>
      <c r="DC30" s="958"/>
      <c r="DD30" s="958"/>
      <c r="DE30" s="958"/>
      <c r="DF30" s="958"/>
      <c r="DG30" s="958"/>
      <c r="DH30" s="958"/>
      <c r="DI30" s="958"/>
      <c r="DJ30" s="958"/>
      <c r="DK30" s="958"/>
      <c r="DL30" s="958"/>
      <c r="DM30" s="958"/>
      <c r="DN30" s="958"/>
      <c r="DO30" s="958"/>
      <c r="DP30" s="958"/>
      <c r="DQ30" s="958"/>
      <c r="DR30" s="958"/>
      <c r="DS30" s="958"/>
      <c r="DT30" s="958"/>
      <c r="DU30" s="958"/>
      <c r="DV30" s="958"/>
      <c r="DW30" s="958"/>
      <c r="DX30" s="958"/>
      <c r="DY30" s="958"/>
      <c r="DZ30" s="958"/>
      <c r="EA30" s="958"/>
      <c r="EB30" s="958"/>
      <c r="EC30" s="958"/>
      <c r="ED30" s="958"/>
      <c r="EE30" s="958"/>
      <c r="EF30" s="958"/>
      <c r="EG30" s="958"/>
      <c r="EH30" s="958"/>
      <c r="EI30" s="958"/>
      <c r="EJ30" s="958"/>
      <c r="EK30" s="958"/>
      <c r="EL30" s="958"/>
      <c r="EM30" s="958"/>
      <c r="EN30" s="958"/>
      <c r="EO30" s="958"/>
      <c r="EP30" s="958"/>
      <c r="EQ30" s="958"/>
      <c r="ER30" s="958"/>
      <c r="ES30" s="958"/>
      <c r="ET30" s="958"/>
      <c r="EU30" s="958"/>
      <c r="EV30" s="958"/>
      <c r="EW30" s="958"/>
      <c r="EX30" s="958"/>
      <c r="EY30" s="958"/>
      <c r="EZ30" s="958"/>
      <c r="FA30" s="958"/>
      <c r="FB30" s="958"/>
      <c r="FC30" s="958"/>
      <c r="FD30" s="958"/>
      <c r="FE30" s="958"/>
      <c r="FF30" s="958"/>
      <c r="FG30" s="958"/>
      <c r="FH30" s="958"/>
      <c r="FI30" s="958"/>
      <c r="FJ30" s="958"/>
      <c r="FK30" s="958"/>
      <c r="FL30" s="958"/>
      <c r="FM30" s="958"/>
      <c r="FN30" s="958"/>
      <c r="FO30" s="958"/>
      <c r="FP30" s="958"/>
      <c r="FQ30" s="958"/>
      <c r="FR30" s="958"/>
      <c r="FS30" s="958"/>
      <c r="FT30" s="958"/>
      <c r="FU30" s="958"/>
      <c r="FV30" s="958"/>
      <c r="FW30" s="958"/>
      <c r="FX30" s="958"/>
      <c r="FY30" s="958"/>
      <c r="FZ30" s="958"/>
      <c r="GA30" s="958"/>
      <c r="GB30" s="958"/>
      <c r="GC30" s="958"/>
      <c r="GD30" s="958"/>
      <c r="GE30" s="958"/>
      <c r="GF30" s="958"/>
      <c r="GG30" s="958"/>
      <c r="GH30" s="958"/>
      <c r="GI30" s="958"/>
      <c r="GJ30" s="958"/>
      <c r="GK30" s="958"/>
      <c r="GL30" s="958"/>
      <c r="GM30" s="958"/>
      <c r="GN30" s="958"/>
      <c r="GO30" s="958"/>
      <c r="GP30" s="958"/>
      <c r="GQ30" s="958"/>
      <c r="GR30" s="958"/>
      <c r="GS30" s="958"/>
      <c r="GT30" s="958"/>
      <c r="GU30" s="958"/>
      <c r="GV30" s="958"/>
      <c r="GW30" s="958"/>
      <c r="GX30" s="958"/>
      <c r="GY30" s="958"/>
      <c r="GZ30" s="958"/>
      <c r="HA30" s="958"/>
      <c r="HB30" s="958"/>
      <c r="HC30" s="958"/>
      <c r="HD30" s="958"/>
      <c r="HE30" s="958"/>
      <c r="HF30" s="958"/>
      <c r="HG30" s="958"/>
      <c r="HH30" s="958"/>
      <c r="HI30" s="958"/>
      <c r="HJ30" s="958"/>
      <c r="HK30" s="958"/>
      <c r="HL30" s="958"/>
      <c r="HM30" s="958"/>
      <c r="HN30" s="958"/>
      <c r="HO30" s="958"/>
      <c r="HP30" s="958"/>
      <c r="HQ30" s="958"/>
      <c r="HR30" s="958"/>
      <c r="HS30" s="958"/>
      <c r="HT30" s="958"/>
      <c r="HU30" s="958"/>
      <c r="HV30" s="958"/>
      <c r="HW30" s="958"/>
      <c r="HX30" s="958"/>
      <c r="HY30" s="958"/>
      <c r="HZ30" s="958"/>
      <c r="IA30" s="958"/>
      <c r="IB30" s="958"/>
      <c r="IC30" s="958"/>
      <c r="ID30" s="958"/>
      <c r="IE30" s="958"/>
      <c r="IF30" s="958"/>
      <c r="IG30" s="958"/>
      <c r="IH30" s="958"/>
      <c r="II30" s="958"/>
      <c r="IJ30" s="958"/>
      <c r="IK30" s="958"/>
      <c r="IL30" s="958"/>
      <c r="IM30" s="958"/>
      <c r="IN30" s="958"/>
      <c r="IO30" s="958"/>
      <c r="IP30" s="958"/>
      <c r="IQ30" s="958"/>
      <c r="IR30" s="958"/>
      <c r="IS30" s="958"/>
      <c r="IT30" s="958"/>
      <c r="IU30" s="958"/>
      <c r="IV30" s="958"/>
      <c r="IW30" s="958"/>
      <c r="IX30" s="958"/>
      <c r="IY30" s="958"/>
      <c r="IZ30" s="958"/>
      <c r="JA30" s="958"/>
      <c r="JB30" s="958"/>
      <c r="JC30" s="958"/>
      <c r="JD30" s="958"/>
      <c r="JE30" s="958"/>
      <c r="JF30" s="958"/>
      <c r="JG30" s="958"/>
      <c r="JH30" s="958"/>
      <c r="JI30" s="958"/>
      <c r="JJ30" s="958"/>
      <c r="JK30" s="958"/>
      <c r="JL30" s="958"/>
      <c r="JM30" s="958"/>
      <c r="JN30" s="958"/>
      <c r="JO30" s="958"/>
      <c r="JP30" s="958"/>
      <c r="JQ30" s="958"/>
      <c r="JR30" s="958"/>
      <c r="JS30" s="958"/>
      <c r="JT30" s="958"/>
      <c r="JU30" s="958"/>
      <c r="JV30" s="958"/>
      <c r="JW30" s="958"/>
      <c r="JX30" s="958"/>
      <c r="JY30" s="958"/>
      <c r="JZ30" s="958"/>
      <c r="KA30" s="958"/>
      <c r="KB30" s="958"/>
      <c r="KC30" s="958"/>
      <c r="KD30" s="958"/>
      <c r="KE30" s="958"/>
      <c r="KF30" s="958"/>
      <c r="KG30" s="958"/>
      <c r="KH30" s="958"/>
      <c r="KI30" s="958"/>
      <c r="KJ30" s="958"/>
      <c r="KK30" s="958"/>
      <c r="KL30" s="958"/>
      <c r="KM30" s="958"/>
      <c r="KN30" s="958"/>
      <c r="KO30" s="958"/>
      <c r="KP30" s="958"/>
      <c r="KQ30" s="958"/>
      <c r="KR30" s="958"/>
      <c r="KS30" s="958"/>
      <c r="KT30" s="958"/>
      <c r="KU30" s="958"/>
      <c r="KV30" s="958"/>
      <c r="KW30" s="958"/>
      <c r="KX30" s="958"/>
      <c r="KY30" s="958"/>
      <c r="KZ30" s="958"/>
      <c r="LA30" s="958"/>
      <c r="LB30" s="958"/>
      <c r="LC30" s="958"/>
      <c r="LD30" s="958"/>
      <c r="LE30" s="958"/>
      <c r="LF30" s="958"/>
      <c r="LG30" s="958"/>
      <c r="LH30" s="958"/>
      <c r="LI30" s="958"/>
      <c r="LJ30" s="958"/>
      <c r="LK30" s="958"/>
      <c r="LL30" s="958"/>
      <c r="LM30" s="958"/>
      <c r="LN30" s="958"/>
      <c r="LO30" s="958"/>
      <c r="LP30" s="958"/>
      <c r="LQ30" s="958"/>
      <c r="LR30" s="958"/>
      <c r="LS30" s="958"/>
      <c r="LT30" s="958"/>
      <c r="LU30" s="958"/>
      <c r="LV30" s="958"/>
      <c r="LW30" s="958"/>
      <c r="LX30" s="958"/>
      <c r="LY30" s="958"/>
      <c r="LZ30" s="958"/>
      <c r="MA30" s="958"/>
      <c r="MB30" s="958"/>
      <c r="MC30" s="958"/>
      <c r="MD30" s="958"/>
      <c r="ME30" s="958"/>
      <c r="MF30" s="958"/>
      <c r="MG30" s="958"/>
      <c r="MH30" s="958"/>
      <c r="MI30" s="958"/>
      <c r="MJ30" s="958"/>
      <c r="MK30" s="958"/>
      <c r="ML30" s="958"/>
      <c r="MM30" s="958"/>
      <c r="MN30" s="958"/>
      <c r="MO30" s="958"/>
      <c r="MP30" s="958"/>
      <c r="MQ30" s="958"/>
      <c r="MR30" s="958"/>
      <c r="MS30" s="958"/>
      <c r="MT30" s="958"/>
      <c r="MU30" s="958"/>
      <c r="MV30" s="958"/>
      <c r="MW30" s="958"/>
      <c r="MX30" s="958"/>
      <c r="MY30" s="958"/>
      <c r="MZ30" s="958"/>
      <c r="NA30" s="958"/>
      <c r="NB30" s="958"/>
      <c r="NC30" s="958"/>
      <c r="ND30" s="958"/>
      <c r="NE30" s="958"/>
      <c r="NF30" s="958"/>
      <c r="NG30" s="958"/>
      <c r="NH30" s="958"/>
      <c r="NI30" s="958"/>
      <c r="NJ30" s="958"/>
      <c r="NK30" s="958"/>
      <c r="NL30" s="958"/>
      <c r="NM30" s="958"/>
      <c r="NN30" s="958"/>
      <c r="NO30" s="958"/>
      <c r="NP30" s="958"/>
      <c r="NQ30" s="958"/>
      <c r="NR30" s="958"/>
      <c r="NS30" s="958"/>
      <c r="NT30" s="958"/>
      <c r="NU30" s="958"/>
      <c r="NV30" s="958"/>
      <c r="NW30" s="958"/>
      <c r="NX30" s="958"/>
      <c r="NY30" s="958"/>
      <c r="NZ30" s="958"/>
      <c r="OA30" s="958"/>
      <c r="OB30" s="958"/>
      <c r="OC30" s="958"/>
      <c r="OD30" s="958"/>
      <c r="OE30" s="958"/>
      <c r="OF30" s="958"/>
      <c r="OG30" s="958"/>
      <c r="OH30" s="958"/>
      <c r="OI30" s="958"/>
      <c r="OJ30" s="958"/>
      <c r="OK30" s="958"/>
      <c r="OL30" s="958"/>
      <c r="OM30" s="958"/>
      <c r="ON30" s="958"/>
      <c r="OO30" s="958"/>
      <c r="OP30" s="958"/>
      <c r="OQ30" s="958"/>
      <c r="OR30" s="958"/>
      <c r="OS30" s="958"/>
      <c r="OT30" s="958"/>
      <c r="OU30" s="958"/>
      <c r="OV30" s="958"/>
      <c r="OW30" s="958"/>
      <c r="OX30" s="958"/>
      <c r="OY30" s="958"/>
      <c r="OZ30" s="958"/>
      <c r="PA30" s="958"/>
      <c r="PB30" s="958"/>
      <c r="PC30" s="958"/>
      <c r="PD30" s="958"/>
      <c r="PE30" s="958"/>
      <c r="PF30" s="958"/>
      <c r="PG30" s="958"/>
      <c r="PH30" s="958"/>
      <c r="PI30" s="958"/>
      <c r="PJ30" s="958"/>
      <c r="PK30" s="958"/>
      <c r="PL30" s="958"/>
      <c r="PM30" s="958"/>
      <c r="PN30" s="958"/>
      <c r="PO30" s="958"/>
      <c r="PP30" s="958"/>
      <c r="PQ30" s="958"/>
      <c r="PR30" s="958"/>
      <c r="PS30" s="958"/>
      <c r="PT30" s="958"/>
      <c r="PU30" s="958"/>
      <c r="PV30" s="958"/>
      <c r="PW30" s="958"/>
      <c r="PX30" s="958"/>
      <c r="PY30" s="958"/>
      <c r="PZ30" s="958"/>
      <c r="QA30" s="958"/>
      <c r="QB30" s="958"/>
      <c r="QC30" s="958"/>
      <c r="QD30" s="958"/>
      <c r="QE30" s="958"/>
      <c r="QF30" s="958"/>
      <c r="QG30" s="958"/>
      <c r="QH30" s="958"/>
      <c r="QI30" s="958"/>
      <c r="QJ30" s="958"/>
      <c r="QK30" s="958"/>
      <c r="QL30" s="958"/>
      <c r="QM30" s="958"/>
      <c r="QN30" s="958"/>
      <c r="QO30" s="958"/>
      <c r="QP30" s="958"/>
      <c r="QQ30" s="958"/>
      <c r="QR30" s="958"/>
      <c r="QS30" s="958"/>
      <c r="QT30" s="958"/>
      <c r="QU30" s="958"/>
      <c r="QV30" s="958"/>
      <c r="QW30" s="958"/>
      <c r="QX30" s="958"/>
      <c r="QY30" s="958"/>
      <c r="QZ30" s="958"/>
      <c r="RA30" s="958"/>
      <c r="RB30" s="958"/>
      <c r="RC30" s="958"/>
      <c r="RD30" s="958"/>
      <c r="RE30" s="958"/>
      <c r="RF30" s="958"/>
      <c r="RG30" s="958"/>
      <c r="RH30" s="958"/>
      <c r="RI30" s="958"/>
      <c r="RJ30" s="958"/>
      <c r="RK30" s="958"/>
      <c r="RL30" s="958"/>
      <c r="RM30" s="958"/>
      <c r="RN30" s="958"/>
      <c r="RO30" s="958"/>
      <c r="RP30" s="958"/>
      <c r="RQ30" s="958"/>
      <c r="RR30" s="958"/>
      <c r="RS30" s="958"/>
      <c r="RT30" s="958"/>
      <c r="RU30" s="958"/>
      <c r="RV30" s="958"/>
      <c r="RW30" s="958"/>
      <c r="RX30" s="958"/>
      <c r="RY30" s="958"/>
      <c r="RZ30" s="958"/>
      <c r="SA30" s="958"/>
      <c r="SB30" s="958"/>
      <c r="SC30" s="958"/>
      <c r="SD30" s="958"/>
      <c r="SE30" s="958"/>
      <c r="SF30" s="958"/>
      <c r="SG30" s="958"/>
      <c r="SH30" s="958"/>
      <c r="SI30" s="958"/>
      <c r="SJ30" s="958"/>
      <c r="SK30" s="958"/>
      <c r="SL30" s="958"/>
      <c r="SM30" s="958"/>
      <c r="SN30" s="958"/>
      <c r="SO30" s="958"/>
      <c r="SP30" s="958"/>
      <c r="SQ30" s="958"/>
      <c r="SR30" s="958"/>
      <c r="SS30" s="958"/>
      <c r="ST30" s="958"/>
      <c r="SU30" s="958"/>
      <c r="SV30" s="958"/>
      <c r="SW30" s="958"/>
      <c r="SX30" s="958"/>
      <c r="SY30" s="958"/>
      <c r="SZ30" s="958"/>
      <c r="TA30" s="958"/>
      <c r="TB30" s="958"/>
      <c r="TC30" s="958"/>
      <c r="TD30" s="958"/>
      <c r="TE30" s="958"/>
      <c r="TF30" s="958"/>
      <c r="TG30" s="958"/>
      <c r="TH30" s="958"/>
      <c r="TI30" s="958"/>
      <c r="TJ30" s="958"/>
      <c r="TK30" s="958"/>
      <c r="TL30" s="958"/>
      <c r="TM30" s="958"/>
      <c r="TN30" s="958"/>
      <c r="TO30" s="958"/>
      <c r="TP30" s="958"/>
      <c r="TQ30" s="958"/>
      <c r="TR30" s="958"/>
      <c r="TS30" s="958"/>
      <c r="TT30" s="958"/>
      <c r="TU30" s="958"/>
      <c r="TV30" s="958"/>
      <c r="TW30" s="958"/>
      <c r="TX30" s="958"/>
      <c r="TY30" s="958"/>
      <c r="TZ30" s="958"/>
      <c r="UA30" s="958"/>
      <c r="UB30" s="958"/>
      <c r="UC30" s="958"/>
      <c r="UD30" s="958"/>
      <c r="UE30" s="958"/>
      <c r="UF30" s="958"/>
      <c r="UG30" s="958"/>
      <c r="UH30" s="958"/>
      <c r="UI30" s="958"/>
      <c r="UJ30" s="958"/>
      <c r="UK30" s="958"/>
      <c r="UL30" s="958"/>
      <c r="UM30" s="958"/>
      <c r="UN30" s="958"/>
      <c r="UO30" s="958"/>
      <c r="UP30" s="958"/>
      <c r="UQ30" s="958"/>
      <c r="UR30" s="958"/>
      <c r="US30" s="958"/>
      <c r="UT30" s="958"/>
      <c r="UU30" s="958"/>
      <c r="UV30" s="958"/>
      <c r="UW30" s="958"/>
      <c r="UX30" s="958"/>
      <c r="UY30" s="958"/>
      <c r="UZ30" s="958"/>
      <c r="VA30" s="958"/>
      <c r="VB30" s="958"/>
      <c r="VC30" s="958"/>
      <c r="VD30" s="958"/>
      <c r="VE30" s="958"/>
      <c r="VF30" s="958"/>
      <c r="VG30" s="958"/>
      <c r="VH30" s="958"/>
      <c r="VI30" s="958"/>
      <c r="VJ30" s="958"/>
      <c r="VK30" s="958"/>
      <c r="VL30" s="958"/>
      <c r="VM30" s="958"/>
      <c r="VN30" s="958"/>
      <c r="VO30" s="958"/>
      <c r="VP30" s="958"/>
      <c r="VQ30" s="958"/>
      <c r="VR30" s="958"/>
      <c r="VS30" s="958"/>
      <c r="VT30" s="958"/>
      <c r="VU30" s="958"/>
      <c r="VV30" s="958"/>
      <c r="VW30" s="958"/>
      <c r="VX30" s="958"/>
      <c r="VY30" s="958"/>
      <c r="VZ30" s="958"/>
      <c r="WA30" s="958"/>
      <c r="WB30" s="958"/>
      <c r="WC30" s="958"/>
      <c r="WD30" s="958"/>
      <c r="WE30" s="958"/>
      <c r="WF30" s="958"/>
      <c r="WG30" s="958"/>
      <c r="WH30" s="958"/>
      <c r="WI30" s="958"/>
      <c r="WJ30" s="958"/>
      <c r="WK30" s="958"/>
      <c r="WL30" s="958"/>
      <c r="WM30" s="958"/>
      <c r="WN30" s="958"/>
      <c r="WO30" s="958"/>
      <c r="WP30" s="958"/>
      <c r="WQ30" s="958"/>
      <c r="WR30" s="958"/>
      <c r="WS30" s="958"/>
      <c r="WT30" s="958"/>
      <c r="WU30" s="958"/>
      <c r="WV30" s="958"/>
      <c r="WW30" s="958"/>
      <c r="WX30" s="958"/>
      <c r="WY30" s="958"/>
      <c r="WZ30" s="958"/>
      <c r="XA30" s="958"/>
      <c r="XB30" s="958"/>
      <c r="XC30" s="958"/>
      <c r="XD30" s="958"/>
      <c r="XE30" s="958"/>
      <c r="XF30" s="958"/>
      <c r="XG30" s="958"/>
      <c r="XH30" s="958"/>
      <c r="XI30" s="958"/>
      <c r="XJ30" s="958"/>
      <c r="XK30" s="958"/>
      <c r="XL30" s="958"/>
      <c r="XM30" s="958"/>
      <c r="XN30" s="958"/>
      <c r="XO30" s="958"/>
      <c r="XP30" s="958"/>
      <c r="XQ30" s="958"/>
      <c r="XR30" s="958"/>
      <c r="XS30" s="958"/>
      <c r="XT30" s="958"/>
      <c r="XU30" s="958"/>
      <c r="XV30" s="958"/>
      <c r="XW30" s="958"/>
      <c r="XX30" s="958"/>
      <c r="XY30" s="958"/>
      <c r="XZ30" s="958"/>
      <c r="YA30" s="958"/>
      <c r="YB30" s="958"/>
      <c r="YC30" s="958"/>
      <c r="YD30" s="958"/>
      <c r="YE30" s="958"/>
      <c r="YF30" s="958"/>
      <c r="YG30" s="958"/>
      <c r="YH30" s="958"/>
      <c r="YI30" s="958"/>
      <c r="YJ30" s="958"/>
      <c r="YK30" s="958"/>
      <c r="YL30" s="958"/>
      <c r="YM30" s="958"/>
      <c r="YN30" s="958"/>
      <c r="YO30" s="958"/>
      <c r="YP30" s="958"/>
      <c r="YQ30" s="958"/>
      <c r="YR30" s="958"/>
      <c r="YS30" s="958"/>
      <c r="YT30" s="958"/>
      <c r="YU30" s="958"/>
      <c r="YV30" s="958"/>
      <c r="YW30" s="958"/>
      <c r="YX30" s="958"/>
      <c r="YY30" s="958"/>
      <c r="YZ30" s="958"/>
      <c r="ZA30" s="958"/>
      <c r="ZB30" s="958"/>
      <c r="ZC30" s="958"/>
      <c r="ZD30" s="958"/>
      <c r="ZE30" s="958"/>
      <c r="ZF30" s="958"/>
      <c r="ZG30" s="958"/>
      <c r="ZH30" s="958"/>
      <c r="ZI30" s="958"/>
      <c r="ZJ30" s="958"/>
      <c r="ZK30" s="958"/>
      <c r="ZL30" s="958"/>
      <c r="ZM30" s="958"/>
      <c r="ZN30" s="958"/>
      <c r="ZO30" s="958"/>
      <c r="ZP30" s="958"/>
      <c r="ZQ30" s="958"/>
      <c r="ZR30" s="958"/>
      <c r="ZS30" s="958"/>
      <c r="ZT30" s="958"/>
      <c r="ZU30" s="958"/>
      <c r="ZV30" s="958"/>
      <c r="ZW30" s="958"/>
      <c r="ZX30" s="958"/>
      <c r="ZY30" s="958"/>
      <c r="ZZ30" s="958"/>
      <c r="AAA30" s="958"/>
      <c r="AAB30" s="958"/>
      <c r="AAC30" s="958"/>
      <c r="AAD30" s="958"/>
      <c r="AAE30" s="958"/>
      <c r="AAF30" s="958"/>
      <c r="AAG30" s="958"/>
      <c r="AAH30" s="958"/>
      <c r="AAI30" s="958"/>
      <c r="AAJ30" s="958"/>
      <c r="AAK30" s="958"/>
      <c r="AAL30" s="958"/>
      <c r="AAM30" s="958"/>
      <c r="AAN30" s="958"/>
      <c r="AAO30" s="958"/>
      <c r="AAP30" s="958"/>
      <c r="AAQ30" s="958"/>
      <c r="AAR30" s="958"/>
      <c r="AAS30" s="958"/>
      <c r="AAT30" s="958"/>
      <c r="AAU30" s="958"/>
      <c r="AAV30" s="958"/>
      <c r="AAW30" s="958"/>
      <c r="AAX30" s="958"/>
      <c r="AAY30" s="958"/>
      <c r="AAZ30" s="958"/>
      <c r="ABA30" s="958"/>
      <c r="ABB30" s="958"/>
      <c r="ABC30" s="958"/>
      <c r="ABD30" s="958"/>
      <c r="ABE30" s="958"/>
      <c r="ABF30" s="958"/>
      <c r="ABG30" s="958"/>
      <c r="ABH30" s="958"/>
      <c r="ABI30" s="958"/>
      <c r="ABJ30" s="958"/>
      <c r="ABK30" s="958"/>
      <c r="ABL30" s="958"/>
      <c r="ABM30" s="958"/>
      <c r="ABN30" s="958"/>
      <c r="ABO30" s="958"/>
      <c r="ABP30" s="958"/>
      <c r="ABQ30" s="958"/>
      <c r="ABR30" s="958"/>
      <c r="ABS30" s="958"/>
      <c r="ABT30" s="958"/>
      <c r="ABU30" s="958"/>
      <c r="ABV30" s="958"/>
      <c r="ABW30" s="958"/>
      <c r="ABX30" s="958"/>
      <c r="ABY30" s="958"/>
      <c r="ABZ30" s="958"/>
      <c r="ACA30" s="958"/>
      <c r="ACB30" s="958"/>
      <c r="ACC30" s="958"/>
      <c r="ACD30" s="958"/>
      <c r="ACE30" s="958"/>
      <c r="ACF30" s="958"/>
      <c r="ACG30" s="958"/>
      <c r="ACH30" s="958"/>
      <c r="ACI30" s="958"/>
      <c r="ACJ30" s="958"/>
      <c r="ACK30" s="958"/>
      <c r="ACL30" s="958"/>
      <c r="ACM30" s="958"/>
      <c r="ACN30" s="958"/>
      <c r="ACO30" s="958"/>
      <c r="ACP30" s="958"/>
      <c r="ACQ30" s="958"/>
      <c r="ACR30" s="958"/>
      <c r="ACS30" s="958"/>
      <c r="ACT30" s="958"/>
      <c r="ACU30" s="958"/>
      <c r="ACV30" s="958"/>
      <c r="ACW30" s="958"/>
      <c r="ACX30" s="958"/>
      <c r="ACY30" s="958"/>
      <c r="ACZ30" s="958"/>
      <c r="ADA30" s="958"/>
      <c r="ADB30" s="958"/>
      <c r="ADC30" s="958"/>
      <c r="ADD30" s="958"/>
      <c r="ADE30" s="958"/>
      <c r="ADF30" s="958"/>
      <c r="ADG30" s="958"/>
      <c r="ADH30" s="958"/>
      <c r="ADI30" s="958"/>
      <c r="ADJ30" s="958"/>
      <c r="ADK30" s="958"/>
      <c r="ADL30" s="958"/>
      <c r="ADM30" s="958"/>
      <c r="ADN30" s="958"/>
      <c r="ADO30" s="958"/>
      <c r="ADP30" s="958"/>
      <c r="ADQ30" s="958"/>
      <c r="ADR30" s="958"/>
      <c r="ADS30" s="958"/>
      <c r="ADT30" s="958"/>
      <c r="ADU30" s="958"/>
      <c r="ADV30" s="958"/>
      <c r="ADW30" s="958"/>
      <c r="ADX30" s="958"/>
      <c r="ADY30" s="958"/>
      <c r="ADZ30" s="958"/>
      <c r="AEA30" s="958"/>
      <c r="AEB30" s="958"/>
      <c r="AEC30" s="958"/>
      <c r="AED30" s="958"/>
      <c r="AEE30" s="958"/>
      <c r="AEF30" s="958"/>
      <c r="AEG30" s="958"/>
      <c r="AEH30" s="958"/>
      <c r="AEI30" s="958"/>
      <c r="AEJ30" s="958"/>
      <c r="AEK30" s="958"/>
      <c r="AEL30" s="958"/>
      <c r="AEM30" s="958"/>
      <c r="AEN30" s="958"/>
      <c r="AEO30" s="958"/>
      <c r="AEP30" s="958"/>
      <c r="AEQ30" s="958"/>
      <c r="AER30" s="958"/>
      <c r="AES30" s="958"/>
      <c r="AET30" s="958"/>
      <c r="AEU30" s="958"/>
      <c r="AEV30" s="958"/>
      <c r="AEW30" s="958"/>
      <c r="AEX30" s="958"/>
      <c r="AEY30" s="958"/>
      <c r="AEZ30" s="958"/>
      <c r="AFA30" s="958"/>
      <c r="AFB30" s="958"/>
      <c r="AFC30" s="958"/>
      <c r="AFD30" s="958"/>
      <c r="AFE30" s="958"/>
      <c r="AFF30" s="958"/>
      <c r="AFG30" s="958"/>
      <c r="AFH30" s="958"/>
      <c r="AFI30" s="958"/>
      <c r="AFJ30" s="958"/>
      <c r="AFK30" s="958"/>
      <c r="AFL30" s="958"/>
      <c r="AFM30" s="958"/>
      <c r="AFN30" s="958"/>
      <c r="AFO30" s="958"/>
      <c r="AFP30" s="958"/>
      <c r="AFQ30" s="958"/>
      <c r="AFR30" s="958"/>
      <c r="AFS30" s="958"/>
      <c r="AFT30" s="958"/>
      <c r="AFU30" s="958"/>
      <c r="AFV30" s="958"/>
      <c r="AFW30" s="958"/>
      <c r="AFX30" s="958"/>
      <c r="AFY30" s="958"/>
      <c r="AFZ30" s="958"/>
      <c r="AGA30" s="958"/>
      <c r="AGB30" s="958"/>
      <c r="AGC30" s="958"/>
      <c r="AGD30" s="958"/>
      <c r="AGE30" s="958"/>
      <c r="AGF30" s="958"/>
      <c r="AGG30" s="958"/>
      <c r="AGH30" s="958"/>
      <c r="AGI30" s="958"/>
      <c r="AGJ30" s="958"/>
      <c r="AGK30" s="958"/>
      <c r="AGL30" s="958"/>
      <c r="AGM30" s="958"/>
      <c r="AGN30" s="958"/>
      <c r="AGO30" s="958"/>
      <c r="AGP30" s="958"/>
      <c r="AGQ30" s="958"/>
      <c r="AGR30" s="958"/>
      <c r="AGS30" s="958"/>
      <c r="AGT30" s="958"/>
      <c r="AGU30" s="958"/>
      <c r="AGV30" s="958"/>
      <c r="AGW30" s="958"/>
      <c r="AGX30" s="958"/>
      <c r="AGY30" s="958"/>
      <c r="AGZ30" s="958"/>
      <c r="AHA30" s="958"/>
      <c r="AHB30" s="958"/>
      <c r="AHC30" s="958"/>
      <c r="AHD30" s="958"/>
      <c r="AHE30" s="958"/>
      <c r="AHF30" s="958"/>
      <c r="AHG30" s="958"/>
      <c r="AHH30" s="958"/>
      <c r="AHI30" s="958"/>
      <c r="AHJ30" s="958"/>
      <c r="AHK30" s="958"/>
      <c r="AHL30" s="958"/>
      <c r="AHM30" s="958"/>
      <c r="AHN30" s="958"/>
      <c r="AHO30" s="958"/>
      <c r="AHP30" s="958"/>
      <c r="AHQ30" s="958"/>
      <c r="AHR30" s="958"/>
      <c r="AHS30" s="958"/>
      <c r="AHT30" s="958"/>
      <c r="AHU30" s="958"/>
      <c r="AHV30" s="958"/>
      <c r="AHW30" s="958"/>
      <c r="AHX30" s="958"/>
      <c r="AHY30" s="958"/>
      <c r="AHZ30" s="958"/>
      <c r="AIA30" s="958"/>
      <c r="AIB30" s="958"/>
      <c r="AIC30" s="958"/>
      <c r="AID30" s="958"/>
      <c r="AIE30" s="958"/>
      <c r="AIF30" s="958"/>
      <c r="AIG30" s="958"/>
      <c r="AIH30" s="958"/>
      <c r="AII30" s="958"/>
      <c r="AIJ30" s="958"/>
      <c r="AIK30" s="958"/>
      <c r="AIL30" s="958"/>
      <c r="AIM30" s="958"/>
      <c r="AIN30" s="958"/>
      <c r="AIO30" s="958"/>
      <c r="AIP30" s="958"/>
      <c r="AIQ30" s="958"/>
      <c r="AIR30" s="958"/>
      <c r="AIS30" s="958"/>
      <c r="AIT30" s="958"/>
      <c r="AIU30" s="958"/>
      <c r="AIV30" s="958"/>
      <c r="AIW30" s="958"/>
      <c r="AIX30" s="958"/>
      <c r="AIY30" s="958"/>
      <c r="AIZ30" s="958"/>
      <c r="AJA30" s="958"/>
      <c r="AJB30" s="958"/>
      <c r="AJC30" s="958"/>
      <c r="AJD30" s="958"/>
      <c r="AJE30" s="958"/>
      <c r="AJF30" s="958"/>
      <c r="AJG30" s="958"/>
      <c r="AJH30" s="958"/>
      <c r="AJI30" s="958"/>
      <c r="AJJ30" s="958"/>
      <c r="AJK30" s="958"/>
      <c r="AJL30" s="958"/>
      <c r="AJM30" s="958"/>
      <c r="AJN30" s="958"/>
      <c r="AJO30" s="958"/>
      <c r="AJP30" s="958"/>
      <c r="AJQ30" s="958"/>
      <c r="AJR30" s="958"/>
      <c r="AJS30" s="958"/>
      <c r="AJT30" s="958"/>
      <c r="AJU30" s="958"/>
      <c r="AJV30" s="958"/>
      <c r="AJW30" s="958"/>
      <c r="AJX30" s="958"/>
      <c r="AJY30" s="958"/>
      <c r="AJZ30" s="958"/>
      <c r="AKA30" s="958"/>
      <c r="AKB30" s="958"/>
      <c r="AKC30" s="958"/>
      <c r="AKD30" s="958"/>
      <c r="AKE30" s="958"/>
      <c r="AKF30" s="958"/>
      <c r="AKG30" s="958"/>
      <c r="AKH30" s="958"/>
      <c r="AKI30" s="958"/>
      <c r="AKJ30" s="958"/>
      <c r="AKK30" s="958"/>
      <c r="AKL30" s="958"/>
      <c r="AKM30" s="958"/>
      <c r="AKN30" s="958"/>
      <c r="AKO30" s="958"/>
      <c r="AKP30" s="958"/>
      <c r="AKQ30" s="958"/>
      <c r="AKR30" s="958"/>
      <c r="AKS30" s="958"/>
      <c r="AKT30" s="958"/>
      <c r="AKU30" s="958"/>
      <c r="AKV30" s="958"/>
      <c r="AKW30" s="958"/>
      <c r="AKX30" s="958"/>
      <c r="AKY30" s="958"/>
      <c r="AKZ30" s="958"/>
      <c r="ALA30" s="958"/>
      <c r="ALB30" s="958"/>
      <c r="ALC30" s="958"/>
      <c r="ALD30" s="958"/>
      <c r="ALE30" s="958"/>
      <c r="ALF30" s="958"/>
      <c r="ALG30" s="958"/>
      <c r="ALH30" s="958"/>
      <c r="ALI30" s="958"/>
      <c r="ALJ30" s="958"/>
      <c r="ALK30" s="958"/>
      <c r="ALL30" s="958"/>
      <c r="ALM30" s="958"/>
      <c r="ALN30" s="958"/>
      <c r="ALO30" s="958"/>
      <c r="ALP30" s="958"/>
      <c r="ALQ30" s="958"/>
      <c r="ALR30" s="958"/>
      <c r="ALS30" s="958"/>
      <c r="ALT30" s="958"/>
      <c r="ALU30" s="958"/>
      <c r="ALV30" s="958"/>
      <c r="ALW30" s="958"/>
      <c r="ALX30" s="958"/>
      <c r="ALY30" s="958"/>
      <c r="ALZ30" s="958"/>
      <c r="AMA30" s="958"/>
      <c r="AMB30" s="958"/>
      <c r="AMC30" s="958"/>
      <c r="AMD30" s="958"/>
      <c r="AME30" s="958"/>
      <c r="AMF30" s="958"/>
      <c r="AMG30" s="958"/>
      <c r="AMH30" s="958"/>
      <c r="AMI30" s="958"/>
      <c r="AMJ30" s="958"/>
      <c r="AMK30" s="958"/>
      <c r="AML30" s="958"/>
      <c r="AMM30" s="958"/>
      <c r="AMN30" s="958"/>
      <c r="AMO30" s="958"/>
      <c r="AMP30" s="958"/>
      <c r="AMQ30" s="958"/>
      <c r="AMR30" s="958"/>
      <c r="AMS30" s="958"/>
      <c r="AMT30" s="958"/>
      <c r="AMU30" s="958"/>
      <c r="AMV30" s="958"/>
      <c r="AMW30" s="958"/>
      <c r="AMX30" s="958"/>
      <c r="AMY30" s="958"/>
      <c r="AMZ30" s="958"/>
      <c r="ANA30" s="958"/>
      <c r="ANB30" s="958"/>
      <c r="ANC30" s="958"/>
      <c r="AND30" s="958"/>
      <c r="ANE30" s="958"/>
      <c r="ANF30" s="958"/>
      <c r="ANG30" s="958"/>
      <c r="ANH30" s="958"/>
      <c r="ANI30" s="958"/>
      <c r="ANJ30" s="958"/>
      <c r="ANK30" s="958"/>
      <c r="ANL30" s="958"/>
      <c r="ANM30" s="958"/>
      <c r="ANN30" s="958"/>
      <c r="ANO30" s="958"/>
      <c r="ANP30" s="958"/>
      <c r="ANQ30" s="958"/>
      <c r="ANR30" s="958"/>
      <c r="ANS30" s="958"/>
      <c r="ANT30" s="958"/>
      <c r="ANU30" s="958"/>
      <c r="ANV30" s="958"/>
      <c r="ANW30" s="958"/>
      <c r="ANX30" s="958"/>
      <c r="ANY30" s="958"/>
      <c r="ANZ30" s="958"/>
      <c r="AOA30" s="958"/>
      <c r="AOB30" s="958"/>
      <c r="AOC30" s="958"/>
      <c r="AOD30" s="958"/>
      <c r="AOE30" s="958"/>
      <c r="AOF30" s="958"/>
      <c r="AOG30" s="958"/>
      <c r="AOH30" s="958"/>
      <c r="AOI30" s="958"/>
      <c r="AOJ30" s="958"/>
      <c r="AOK30" s="958"/>
      <c r="AOL30" s="958"/>
      <c r="AOM30" s="958"/>
      <c r="AON30" s="958"/>
      <c r="AOO30" s="958"/>
      <c r="AOP30" s="958"/>
      <c r="AOQ30" s="958"/>
      <c r="AOR30" s="958"/>
      <c r="AOS30" s="958"/>
      <c r="AOT30" s="958"/>
      <c r="AOU30" s="958"/>
      <c r="AOV30" s="958"/>
      <c r="AOW30" s="958"/>
      <c r="AOX30" s="958"/>
      <c r="AOY30" s="958"/>
      <c r="AOZ30" s="958"/>
      <c r="APA30" s="958"/>
      <c r="APB30" s="958"/>
      <c r="APC30" s="958"/>
      <c r="APD30" s="958"/>
      <c r="APE30" s="958"/>
      <c r="APF30" s="958"/>
      <c r="APG30" s="958"/>
      <c r="APH30" s="958"/>
      <c r="API30" s="958"/>
      <c r="APJ30" s="958"/>
      <c r="APK30" s="958"/>
      <c r="APL30" s="958"/>
      <c r="APM30" s="958"/>
      <c r="APN30" s="958"/>
      <c r="APO30" s="958"/>
      <c r="APP30" s="958"/>
      <c r="APQ30" s="958"/>
      <c r="APR30" s="958"/>
      <c r="APS30" s="958"/>
      <c r="APT30" s="958"/>
      <c r="APU30" s="958"/>
      <c r="APV30" s="958"/>
      <c r="APW30" s="958"/>
      <c r="APX30" s="958"/>
      <c r="APY30" s="958"/>
      <c r="APZ30" s="958"/>
      <c r="AQA30" s="958"/>
      <c r="AQB30" s="958"/>
      <c r="AQC30" s="958"/>
      <c r="AQD30" s="958"/>
      <c r="AQE30" s="958"/>
      <c r="AQF30" s="958"/>
      <c r="AQG30" s="958"/>
      <c r="AQH30" s="958"/>
      <c r="AQI30" s="958"/>
      <c r="AQJ30" s="958"/>
      <c r="AQK30" s="958"/>
      <c r="AQL30" s="958"/>
      <c r="AQM30" s="958"/>
      <c r="AQN30" s="958"/>
      <c r="AQO30" s="958"/>
      <c r="AQP30" s="958"/>
      <c r="AQQ30" s="958"/>
      <c r="AQR30" s="958"/>
      <c r="AQS30" s="958"/>
      <c r="AQT30" s="958"/>
      <c r="AQU30" s="958"/>
      <c r="AQV30" s="958"/>
      <c r="AQW30" s="958"/>
      <c r="AQX30" s="958"/>
      <c r="AQY30" s="958"/>
      <c r="AQZ30" s="958"/>
      <c r="ARA30" s="958"/>
      <c r="ARB30" s="958"/>
      <c r="ARC30" s="958"/>
      <c r="ARD30" s="958"/>
      <c r="ARE30" s="958"/>
      <c r="ARF30" s="958"/>
      <c r="ARG30" s="958"/>
      <c r="ARH30" s="958"/>
      <c r="ARI30" s="958"/>
      <c r="ARJ30" s="958"/>
      <c r="ARK30" s="958"/>
      <c r="ARL30" s="958"/>
      <c r="ARM30" s="958"/>
      <c r="ARN30" s="958"/>
      <c r="ARO30" s="958"/>
      <c r="ARP30" s="958"/>
      <c r="ARQ30" s="958"/>
      <c r="ARR30" s="958"/>
      <c r="ARS30" s="958"/>
      <c r="ART30" s="958"/>
      <c r="ARU30" s="958"/>
      <c r="ARV30" s="958"/>
      <c r="ARW30" s="958"/>
      <c r="ARX30" s="958"/>
      <c r="ARY30" s="958"/>
      <c r="ARZ30" s="958"/>
      <c r="ASA30" s="958"/>
      <c r="ASB30" s="958"/>
      <c r="ASC30" s="958"/>
      <c r="ASD30" s="958"/>
      <c r="ASE30" s="958"/>
      <c r="ASF30" s="958"/>
      <c r="ASG30" s="958"/>
      <c r="ASH30" s="958"/>
      <c r="ASI30" s="958"/>
      <c r="ASJ30" s="958"/>
      <c r="ASK30" s="958"/>
      <c r="ASL30" s="958"/>
      <c r="ASM30" s="958"/>
      <c r="ASN30" s="958"/>
      <c r="ASO30" s="958"/>
      <c r="ASP30" s="958"/>
      <c r="ASQ30" s="958"/>
      <c r="ASR30" s="958"/>
      <c r="ASS30" s="958"/>
      <c r="AST30" s="958"/>
      <c r="ASU30" s="958"/>
      <c r="ASV30" s="958"/>
      <c r="ASW30" s="958"/>
      <c r="ASX30" s="958"/>
      <c r="ASY30" s="958"/>
      <c r="ASZ30" s="958"/>
    </row>
    <row r="31" spans="1:1196" s="22" customFormat="1" ht="77.25" customHeight="1" thickTop="1" thickBot="1">
      <c r="A31" s="2846"/>
      <c r="B31" s="2863" t="s">
        <v>464</v>
      </c>
      <c r="C31" s="72" t="s">
        <v>284</v>
      </c>
      <c r="D31" s="111" t="s">
        <v>227</v>
      </c>
      <c r="E31" s="177" t="s">
        <v>228</v>
      </c>
      <c r="F31" s="177" t="s">
        <v>101</v>
      </c>
      <c r="G31" s="959">
        <v>36000000000</v>
      </c>
      <c r="H31" s="76"/>
      <c r="I31" s="76"/>
      <c r="J31" s="76"/>
      <c r="K31" s="179" t="s">
        <v>140</v>
      </c>
      <c r="L31" s="953">
        <v>2200000000</v>
      </c>
      <c r="M31" s="954">
        <v>6860312866</v>
      </c>
      <c r="N31" s="73">
        <f t="shared" si="3"/>
        <v>3.1183240300000001</v>
      </c>
      <c r="O31" s="953">
        <v>2200000000</v>
      </c>
      <c r="P31" s="954">
        <v>8297634154</v>
      </c>
      <c r="Q31" s="73">
        <f t="shared" si="4"/>
        <v>3.7716518881818182</v>
      </c>
      <c r="R31" s="953">
        <v>2200000000</v>
      </c>
      <c r="S31" s="954">
        <v>973694995</v>
      </c>
      <c r="T31" s="73">
        <f t="shared" si="5"/>
        <v>0.44258863409090909</v>
      </c>
      <c r="U31" s="953">
        <v>4363333333</v>
      </c>
      <c r="V31" s="954">
        <v>64310793</v>
      </c>
      <c r="W31" s="73">
        <f t="shared" si="6"/>
        <v>1.4738913599292507E-2</v>
      </c>
      <c r="X31" s="953">
        <v>4363333333</v>
      </c>
      <c r="Y31" s="954">
        <v>0</v>
      </c>
      <c r="Z31" s="73">
        <f t="shared" si="7"/>
        <v>0</v>
      </c>
      <c r="AA31" s="953">
        <v>4363333333</v>
      </c>
      <c r="AB31" s="953">
        <v>1628025938</v>
      </c>
      <c r="AC31" s="73">
        <f t="shared" si="8"/>
        <v>0.37311518826379797</v>
      </c>
      <c r="AD31" s="955">
        <f t="shared" si="22"/>
        <v>17823978746</v>
      </c>
      <c r="AE31" s="956">
        <f t="shared" si="21"/>
        <v>0.49511052072222222</v>
      </c>
      <c r="AF31" s="955">
        <v>4363333334</v>
      </c>
      <c r="AG31" s="954">
        <v>1035556850</v>
      </c>
      <c r="AH31" s="73">
        <f t="shared" si="11"/>
        <v>0.23733159278268426</v>
      </c>
      <c r="AI31" s="953">
        <v>2747733333.4099998</v>
      </c>
      <c r="AJ31" s="954">
        <v>1484032366</v>
      </c>
      <c r="AK31" s="73">
        <f t="shared" si="12"/>
        <v>0.54009330088749252</v>
      </c>
      <c r="AL31" s="953">
        <v>2747733333.4099998</v>
      </c>
      <c r="AM31" s="954">
        <v>2302470259</v>
      </c>
      <c r="AN31" s="73">
        <f t="shared" si="13"/>
        <v>0.83795258841314912</v>
      </c>
      <c r="AO31" s="953">
        <v>2747733333.4099998</v>
      </c>
      <c r="AP31" s="954">
        <v>2735041276</v>
      </c>
      <c r="AQ31" s="73">
        <f t="shared" si="14"/>
        <v>0.99538089913759986</v>
      </c>
      <c r="AR31" s="953">
        <v>1851733333.385</v>
      </c>
      <c r="AS31" s="954">
        <v>4741205065</v>
      </c>
      <c r="AT31" s="73">
        <f t="shared" si="15"/>
        <v>2.5604146015630644</v>
      </c>
      <c r="AU31" s="953">
        <v>1851733333.385</v>
      </c>
      <c r="AV31" s="954">
        <v>9742217158.7999992</v>
      </c>
      <c r="AW31" s="73">
        <f t="shared" si="16"/>
        <v>5.2611339781798172</v>
      </c>
      <c r="AX31" s="957">
        <f t="shared" ref="AX31:AX32" si="23">+M31+P31+S31+V31+Y31++AG31+AJ31+AM31+AP31+AS31+AV31+AB31</f>
        <v>39864501720.800003</v>
      </c>
      <c r="AY31" s="956">
        <f t="shared" si="18"/>
        <v>1.1073472700222222</v>
      </c>
      <c r="AZ31" s="958"/>
      <c r="BA31" s="958"/>
      <c r="BB31" s="958"/>
      <c r="BC31" s="958"/>
      <c r="BD31" s="958"/>
      <c r="BE31" s="958"/>
      <c r="BF31" s="958"/>
      <c r="BG31" s="958"/>
      <c r="BH31" s="958"/>
      <c r="BI31" s="958"/>
      <c r="BJ31" s="958"/>
      <c r="BK31" s="958"/>
      <c r="BL31" s="958"/>
      <c r="BM31" s="958"/>
      <c r="BN31" s="958"/>
      <c r="BO31" s="958"/>
      <c r="BP31" s="958"/>
      <c r="BQ31" s="958"/>
      <c r="BR31" s="958"/>
      <c r="BS31" s="958"/>
      <c r="BT31" s="958"/>
      <c r="BU31" s="958"/>
      <c r="BV31" s="958"/>
      <c r="BW31" s="958"/>
      <c r="BX31" s="958"/>
      <c r="BY31" s="958"/>
      <c r="BZ31" s="958"/>
      <c r="CA31" s="958"/>
      <c r="CB31" s="958"/>
      <c r="CC31" s="958"/>
      <c r="CD31" s="958"/>
      <c r="CE31" s="958"/>
      <c r="CF31" s="958"/>
      <c r="CG31" s="958"/>
      <c r="CH31" s="958"/>
      <c r="CI31" s="958"/>
      <c r="CJ31" s="958"/>
      <c r="CK31" s="958"/>
      <c r="CL31" s="958"/>
      <c r="CM31" s="958"/>
      <c r="CN31" s="958"/>
      <c r="CO31" s="958"/>
      <c r="CP31" s="958"/>
      <c r="CQ31" s="958"/>
      <c r="CR31" s="958"/>
      <c r="CS31" s="958"/>
      <c r="CT31" s="958"/>
      <c r="CU31" s="958"/>
      <c r="CV31" s="958"/>
      <c r="CW31" s="958"/>
      <c r="CX31" s="958"/>
      <c r="CY31" s="958"/>
      <c r="CZ31" s="958"/>
      <c r="DA31" s="958"/>
      <c r="DB31" s="958"/>
      <c r="DC31" s="958"/>
      <c r="DD31" s="958"/>
      <c r="DE31" s="958"/>
      <c r="DF31" s="958"/>
      <c r="DG31" s="958"/>
      <c r="DH31" s="958"/>
      <c r="DI31" s="958"/>
      <c r="DJ31" s="958"/>
      <c r="DK31" s="958"/>
      <c r="DL31" s="958"/>
      <c r="DM31" s="958"/>
      <c r="DN31" s="958"/>
      <c r="DO31" s="958"/>
      <c r="DP31" s="958"/>
      <c r="DQ31" s="958"/>
      <c r="DR31" s="958"/>
      <c r="DS31" s="958"/>
      <c r="DT31" s="958"/>
      <c r="DU31" s="958"/>
      <c r="DV31" s="958"/>
      <c r="DW31" s="958"/>
      <c r="DX31" s="958"/>
      <c r="DY31" s="958"/>
      <c r="DZ31" s="958"/>
      <c r="EA31" s="958"/>
      <c r="EB31" s="958"/>
      <c r="EC31" s="958"/>
      <c r="ED31" s="958"/>
      <c r="EE31" s="958"/>
      <c r="EF31" s="958"/>
      <c r="EG31" s="958"/>
      <c r="EH31" s="958"/>
      <c r="EI31" s="958"/>
      <c r="EJ31" s="958"/>
      <c r="EK31" s="958"/>
      <c r="EL31" s="958"/>
      <c r="EM31" s="958"/>
      <c r="EN31" s="958"/>
      <c r="EO31" s="958"/>
      <c r="EP31" s="958"/>
      <c r="EQ31" s="958"/>
      <c r="ER31" s="958"/>
      <c r="ES31" s="958"/>
      <c r="ET31" s="958"/>
      <c r="EU31" s="958"/>
      <c r="EV31" s="958"/>
      <c r="EW31" s="958"/>
      <c r="EX31" s="958"/>
      <c r="EY31" s="958"/>
      <c r="EZ31" s="958"/>
      <c r="FA31" s="958"/>
      <c r="FB31" s="958"/>
      <c r="FC31" s="958"/>
      <c r="FD31" s="958"/>
      <c r="FE31" s="958"/>
      <c r="FF31" s="958"/>
      <c r="FG31" s="958"/>
      <c r="FH31" s="958"/>
      <c r="FI31" s="958"/>
      <c r="FJ31" s="958"/>
      <c r="FK31" s="958"/>
      <c r="FL31" s="958"/>
      <c r="FM31" s="958"/>
      <c r="FN31" s="958"/>
      <c r="FO31" s="958"/>
      <c r="FP31" s="958"/>
      <c r="FQ31" s="958"/>
      <c r="FR31" s="958"/>
      <c r="FS31" s="958"/>
      <c r="FT31" s="958"/>
      <c r="FU31" s="958"/>
      <c r="FV31" s="958"/>
      <c r="FW31" s="958"/>
      <c r="FX31" s="958"/>
      <c r="FY31" s="958"/>
      <c r="FZ31" s="958"/>
      <c r="GA31" s="958"/>
      <c r="GB31" s="958"/>
      <c r="GC31" s="958"/>
      <c r="GD31" s="958"/>
      <c r="GE31" s="958"/>
      <c r="GF31" s="958"/>
      <c r="GG31" s="958"/>
      <c r="GH31" s="958"/>
      <c r="GI31" s="958"/>
      <c r="GJ31" s="958"/>
      <c r="GK31" s="958"/>
      <c r="GL31" s="958"/>
      <c r="GM31" s="958"/>
      <c r="GN31" s="958"/>
      <c r="GO31" s="958"/>
      <c r="GP31" s="958"/>
      <c r="GQ31" s="958"/>
      <c r="GR31" s="958"/>
      <c r="GS31" s="958"/>
      <c r="GT31" s="958"/>
      <c r="GU31" s="958"/>
      <c r="GV31" s="958"/>
      <c r="GW31" s="958"/>
      <c r="GX31" s="958"/>
      <c r="GY31" s="958"/>
      <c r="GZ31" s="958"/>
      <c r="HA31" s="958"/>
      <c r="HB31" s="958"/>
      <c r="HC31" s="958"/>
      <c r="HD31" s="958"/>
      <c r="HE31" s="958"/>
      <c r="HF31" s="958"/>
      <c r="HG31" s="958"/>
      <c r="HH31" s="958"/>
      <c r="HI31" s="958"/>
      <c r="HJ31" s="958"/>
      <c r="HK31" s="958"/>
      <c r="HL31" s="958"/>
      <c r="HM31" s="958"/>
      <c r="HN31" s="958"/>
      <c r="HO31" s="958"/>
      <c r="HP31" s="958"/>
      <c r="HQ31" s="958"/>
      <c r="HR31" s="958"/>
      <c r="HS31" s="958"/>
      <c r="HT31" s="958"/>
      <c r="HU31" s="958"/>
      <c r="HV31" s="958"/>
      <c r="HW31" s="958"/>
      <c r="HX31" s="958"/>
      <c r="HY31" s="958"/>
      <c r="HZ31" s="958"/>
      <c r="IA31" s="958"/>
      <c r="IB31" s="958"/>
      <c r="IC31" s="958"/>
      <c r="ID31" s="958"/>
      <c r="IE31" s="958"/>
      <c r="IF31" s="958"/>
      <c r="IG31" s="958"/>
      <c r="IH31" s="958"/>
      <c r="II31" s="958"/>
      <c r="IJ31" s="958"/>
      <c r="IK31" s="958"/>
      <c r="IL31" s="958"/>
      <c r="IM31" s="958"/>
      <c r="IN31" s="958"/>
      <c r="IO31" s="958"/>
      <c r="IP31" s="958"/>
      <c r="IQ31" s="958"/>
      <c r="IR31" s="958"/>
      <c r="IS31" s="958"/>
      <c r="IT31" s="958"/>
      <c r="IU31" s="958"/>
      <c r="IV31" s="958"/>
      <c r="IW31" s="958"/>
      <c r="IX31" s="958"/>
      <c r="IY31" s="958"/>
      <c r="IZ31" s="958"/>
      <c r="JA31" s="958"/>
      <c r="JB31" s="958"/>
      <c r="JC31" s="958"/>
      <c r="JD31" s="958"/>
      <c r="JE31" s="958"/>
      <c r="JF31" s="958"/>
      <c r="JG31" s="958"/>
      <c r="JH31" s="958"/>
      <c r="JI31" s="958"/>
      <c r="JJ31" s="958"/>
      <c r="JK31" s="958"/>
      <c r="JL31" s="958"/>
      <c r="JM31" s="958"/>
      <c r="JN31" s="958"/>
      <c r="JO31" s="958"/>
      <c r="JP31" s="958"/>
      <c r="JQ31" s="958"/>
      <c r="JR31" s="958"/>
      <c r="JS31" s="958"/>
      <c r="JT31" s="958"/>
      <c r="JU31" s="958"/>
      <c r="JV31" s="958"/>
      <c r="JW31" s="958"/>
      <c r="JX31" s="958"/>
      <c r="JY31" s="958"/>
      <c r="JZ31" s="958"/>
      <c r="KA31" s="958"/>
      <c r="KB31" s="958"/>
      <c r="KC31" s="958"/>
      <c r="KD31" s="958"/>
      <c r="KE31" s="958"/>
      <c r="KF31" s="958"/>
      <c r="KG31" s="958"/>
      <c r="KH31" s="958"/>
      <c r="KI31" s="958"/>
      <c r="KJ31" s="958"/>
      <c r="KK31" s="958"/>
      <c r="KL31" s="958"/>
      <c r="KM31" s="958"/>
      <c r="KN31" s="958"/>
      <c r="KO31" s="958"/>
      <c r="KP31" s="958"/>
      <c r="KQ31" s="958"/>
      <c r="KR31" s="958"/>
      <c r="KS31" s="958"/>
      <c r="KT31" s="958"/>
      <c r="KU31" s="958"/>
      <c r="KV31" s="958"/>
      <c r="KW31" s="958"/>
      <c r="KX31" s="958"/>
      <c r="KY31" s="958"/>
      <c r="KZ31" s="958"/>
      <c r="LA31" s="958"/>
      <c r="LB31" s="958"/>
      <c r="LC31" s="958"/>
      <c r="LD31" s="958"/>
      <c r="LE31" s="958"/>
      <c r="LF31" s="958"/>
      <c r="LG31" s="958"/>
      <c r="LH31" s="958"/>
      <c r="LI31" s="958"/>
      <c r="LJ31" s="958"/>
      <c r="LK31" s="958"/>
      <c r="LL31" s="958"/>
      <c r="LM31" s="958"/>
      <c r="LN31" s="958"/>
      <c r="LO31" s="958"/>
      <c r="LP31" s="958"/>
      <c r="LQ31" s="958"/>
      <c r="LR31" s="958"/>
      <c r="LS31" s="958"/>
      <c r="LT31" s="958"/>
      <c r="LU31" s="958"/>
      <c r="LV31" s="958"/>
      <c r="LW31" s="958"/>
      <c r="LX31" s="958"/>
      <c r="LY31" s="958"/>
      <c r="LZ31" s="958"/>
      <c r="MA31" s="958"/>
      <c r="MB31" s="958"/>
      <c r="MC31" s="958"/>
      <c r="MD31" s="958"/>
      <c r="ME31" s="958"/>
      <c r="MF31" s="958"/>
      <c r="MG31" s="958"/>
      <c r="MH31" s="958"/>
      <c r="MI31" s="958"/>
      <c r="MJ31" s="958"/>
      <c r="MK31" s="958"/>
      <c r="ML31" s="958"/>
      <c r="MM31" s="958"/>
      <c r="MN31" s="958"/>
      <c r="MO31" s="958"/>
      <c r="MP31" s="958"/>
      <c r="MQ31" s="958"/>
      <c r="MR31" s="958"/>
      <c r="MS31" s="958"/>
      <c r="MT31" s="958"/>
      <c r="MU31" s="958"/>
      <c r="MV31" s="958"/>
      <c r="MW31" s="958"/>
      <c r="MX31" s="958"/>
      <c r="MY31" s="958"/>
      <c r="MZ31" s="958"/>
      <c r="NA31" s="958"/>
      <c r="NB31" s="958"/>
      <c r="NC31" s="958"/>
      <c r="ND31" s="958"/>
      <c r="NE31" s="958"/>
      <c r="NF31" s="958"/>
      <c r="NG31" s="958"/>
      <c r="NH31" s="958"/>
      <c r="NI31" s="958"/>
      <c r="NJ31" s="958"/>
      <c r="NK31" s="958"/>
      <c r="NL31" s="958"/>
      <c r="NM31" s="958"/>
      <c r="NN31" s="958"/>
      <c r="NO31" s="958"/>
      <c r="NP31" s="958"/>
      <c r="NQ31" s="958"/>
      <c r="NR31" s="958"/>
      <c r="NS31" s="958"/>
      <c r="NT31" s="958"/>
      <c r="NU31" s="958"/>
      <c r="NV31" s="958"/>
      <c r="NW31" s="958"/>
      <c r="NX31" s="958"/>
      <c r="NY31" s="958"/>
      <c r="NZ31" s="958"/>
      <c r="OA31" s="958"/>
      <c r="OB31" s="958"/>
      <c r="OC31" s="958"/>
      <c r="OD31" s="958"/>
      <c r="OE31" s="958"/>
      <c r="OF31" s="958"/>
      <c r="OG31" s="958"/>
      <c r="OH31" s="958"/>
      <c r="OI31" s="958"/>
      <c r="OJ31" s="958"/>
      <c r="OK31" s="958"/>
      <c r="OL31" s="958"/>
      <c r="OM31" s="958"/>
      <c r="ON31" s="958"/>
      <c r="OO31" s="958"/>
      <c r="OP31" s="958"/>
      <c r="OQ31" s="958"/>
      <c r="OR31" s="958"/>
      <c r="OS31" s="958"/>
      <c r="OT31" s="958"/>
      <c r="OU31" s="958"/>
      <c r="OV31" s="958"/>
      <c r="OW31" s="958"/>
      <c r="OX31" s="958"/>
      <c r="OY31" s="958"/>
      <c r="OZ31" s="958"/>
      <c r="PA31" s="958"/>
      <c r="PB31" s="958"/>
      <c r="PC31" s="958"/>
      <c r="PD31" s="958"/>
      <c r="PE31" s="958"/>
      <c r="PF31" s="958"/>
      <c r="PG31" s="958"/>
      <c r="PH31" s="958"/>
      <c r="PI31" s="958"/>
      <c r="PJ31" s="958"/>
      <c r="PK31" s="958"/>
      <c r="PL31" s="958"/>
      <c r="PM31" s="958"/>
      <c r="PN31" s="958"/>
      <c r="PO31" s="958"/>
      <c r="PP31" s="958"/>
      <c r="PQ31" s="958"/>
      <c r="PR31" s="958"/>
      <c r="PS31" s="958"/>
      <c r="PT31" s="958"/>
      <c r="PU31" s="958"/>
      <c r="PV31" s="958"/>
      <c r="PW31" s="958"/>
      <c r="PX31" s="958"/>
      <c r="PY31" s="958"/>
      <c r="PZ31" s="958"/>
      <c r="QA31" s="958"/>
      <c r="QB31" s="958"/>
      <c r="QC31" s="958"/>
      <c r="QD31" s="958"/>
      <c r="QE31" s="958"/>
      <c r="QF31" s="958"/>
      <c r="QG31" s="958"/>
      <c r="QH31" s="958"/>
      <c r="QI31" s="958"/>
      <c r="QJ31" s="958"/>
      <c r="QK31" s="958"/>
      <c r="QL31" s="958"/>
      <c r="QM31" s="958"/>
      <c r="QN31" s="958"/>
      <c r="QO31" s="958"/>
      <c r="QP31" s="958"/>
      <c r="QQ31" s="958"/>
      <c r="QR31" s="958"/>
      <c r="QS31" s="958"/>
      <c r="QT31" s="958"/>
      <c r="QU31" s="958"/>
      <c r="QV31" s="958"/>
      <c r="QW31" s="958"/>
      <c r="QX31" s="958"/>
      <c r="QY31" s="958"/>
      <c r="QZ31" s="958"/>
      <c r="RA31" s="958"/>
      <c r="RB31" s="958"/>
      <c r="RC31" s="958"/>
      <c r="RD31" s="958"/>
      <c r="RE31" s="958"/>
      <c r="RF31" s="958"/>
      <c r="RG31" s="958"/>
      <c r="RH31" s="958"/>
      <c r="RI31" s="958"/>
      <c r="RJ31" s="958"/>
      <c r="RK31" s="958"/>
      <c r="RL31" s="958"/>
      <c r="RM31" s="958"/>
      <c r="RN31" s="958"/>
      <c r="RO31" s="958"/>
      <c r="RP31" s="958"/>
      <c r="RQ31" s="958"/>
      <c r="RR31" s="958"/>
      <c r="RS31" s="958"/>
      <c r="RT31" s="958"/>
      <c r="RU31" s="958"/>
      <c r="RV31" s="958"/>
      <c r="RW31" s="958"/>
      <c r="RX31" s="958"/>
      <c r="RY31" s="958"/>
      <c r="RZ31" s="958"/>
      <c r="SA31" s="958"/>
      <c r="SB31" s="958"/>
      <c r="SC31" s="958"/>
      <c r="SD31" s="958"/>
      <c r="SE31" s="958"/>
      <c r="SF31" s="958"/>
      <c r="SG31" s="958"/>
      <c r="SH31" s="958"/>
      <c r="SI31" s="958"/>
      <c r="SJ31" s="958"/>
      <c r="SK31" s="958"/>
      <c r="SL31" s="958"/>
      <c r="SM31" s="958"/>
      <c r="SN31" s="958"/>
      <c r="SO31" s="958"/>
      <c r="SP31" s="958"/>
      <c r="SQ31" s="958"/>
      <c r="SR31" s="958"/>
      <c r="SS31" s="958"/>
      <c r="ST31" s="958"/>
      <c r="SU31" s="958"/>
      <c r="SV31" s="958"/>
      <c r="SW31" s="958"/>
      <c r="SX31" s="958"/>
      <c r="SY31" s="958"/>
      <c r="SZ31" s="958"/>
      <c r="TA31" s="958"/>
      <c r="TB31" s="958"/>
      <c r="TC31" s="958"/>
      <c r="TD31" s="958"/>
      <c r="TE31" s="958"/>
      <c r="TF31" s="958"/>
      <c r="TG31" s="958"/>
      <c r="TH31" s="958"/>
      <c r="TI31" s="958"/>
      <c r="TJ31" s="958"/>
      <c r="TK31" s="958"/>
      <c r="TL31" s="958"/>
      <c r="TM31" s="958"/>
      <c r="TN31" s="958"/>
      <c r="TO31" s="958"/>
      <c r="TP31" s="958"/>
      <c r="TQ31" s="958"/>
      <c r="TR31" s="958"/>
      <c r="TS31" s="958"/>
      <c r="TT31" s="958"/>
      <c r="TU31" s="958"/>
      <c r="TV31" s="958"/>
      <c r="TW31" s="958"/>
      <c r="TX31" s="958"/>
      <c r="TY31" s="958"/>
      <c r="TZ31" s="958"/>
      <c r="UA31" s="958"/>
      <c r="UB31" s="958"/>
      <c r="UC31" s="958"/>
      <c r="UD31" s="958"/>
      <c r="UE31" s="958"/>
      <c r="UF31" s="958"/>
      <c r="UG31" s="958"/>
      <c r="UH31" s="958"/>
      <c r="UI31" s="958"/>
      <c r="UJ31" s="958"/>
      <c r="UK31" s="958"/>
      <c r="UL31" s="958"/>
      <c r="UM31" s="958"/>
      <c r="UN31" s="958"/>
      <c r="UO31" s="958"/>
      <c r="UP31" s="958"/>
      <c r="UQ31" s="958"/>
      <c r="UR31" s="958"/>
      <c r="US31" s="958"/>
      <c r="UT31" s="958"/>
      <c r="UU31" s="958"/>
      <c r="UV31" s="958"/>
      <c r="UW31" s="958"/>
      <c r="UX31" s="958"/>
      <c r="UY31" s="958"/>
      <c r="UZ31" s="958"/>
      <c r="VA31" s="958"/>
      <c r="VB31" s="958"/>
      <c r="VC31" s="958"/>
      <c r="VD31" s="958"/>
      <c r="VE31" s="958"/>
      <c r="VF31" s="958"/>
      <c r="VG31" s="958"/>
      <c r="VH31" s="958"/>
      <c r="VI31" s="958"/>
      <c r="VJ31" s="958"/>
      <c r="VK31" s="958"/>
      <c r="VL31" s="958"/>
      <c r="VM31" s="958"/>
      <c r="VN31" s="958"/>
      <c r="VO31" s="958"/>
      <c r="VP31" s="958"/>
      <c r="VQ31" s="958"/>
      <c r="VR31" s="958"/>
      <c r="VS31" s="958"/>
      <c r="VT31" s="958"/>
      <c r="VU31" s="958"/>
      <c r="VV31" s="958"/>
      <c r="VW31" s="958"/>
      <c r="VX31" s="958"/>
      <c r="VY31" s="958"/>
      <c r="VZ31" s="958"/>
      <c r="WA31" s="958"/>
      <c r="WB31" s="958"/>
      <c r="WC31" s="958"/>
      <c r="WD31" s="958"/>
      <c r="WE31" s="958"/>
      <c r="WF31" s="958"/>
      <c r="WG31" s="958"/>
      <c r="WH31" s="958"/>
      <c r="WI31" s="958"/>
      <c r="WJ31" s="958"/>
      <c r="WK31" s="958"/>
      <c r="WL31" s="958"/>
      <c r="WM31" s="958"/>
      <c r="WN31" s="958"/>
      <c r="WO31" s="958"/>
      <c r="WP31" s="958"/>
      <c r="WQ31" s="958"/>
      <c r="WR31" s="958"/>
      <c r="WS31" s="958"/>
      <c r="WT31" s="958"/>
      <c r="WU31" s="958"/>
      <c r="WV31" s="958"/>
      <c r="WW31" s="958"/>
      <c r="WX31" s="958"/>
      <c r="WY31" s="958"/>
      <c r="WZ31" s="958"/>
      <c r="XA31" s="958"/>
      <c r="XB31" s="958"/>
      <c r="XC31" s="958"/>
      <c r="XD31" s="958"/>
      <c r="XE31" s="958"/>
      <c r="XF31" s="958"/>
      <c r="XG31" s="958"/>
      <c r="XH31" s="958"/>
      <c r="XI31" s="958"/>
      <c r="XJ31" s="958"/>
      <c r="XK31" s="958"/>
      <c r="XL31" s="958"/>
      <c r="XM31" s="958"/>
      <c r="XN31" s="958"/>
      <c r="XO31" s="958"/>
      <c r="XP31" s="958"/>
      <c r="XQ31" s="958"/>
      <c r="XR31" s="958"/>
      <c r="XS31" s="958"/>
      <c r="XT31" s="958"/>
      <c r="XU31" s="958"/>
      <c r="XV31" s="958"/>
      <c r="XW31" s="958"/>
      <c r="XX31" s="958"/>
      <c r="XY31" s="958"/>
      <c r="XZ31" s="958"/>
      <c r="YA31" s="958"/>
      <c r="YB31" s="958"/>
      <c r="YC31" s="958"/>
      <c r="YD31" s="958"/>
      <c r="YE31" s="958"/>
      <c r="YF31" s="958"/>
      <c r="YG31" s="958"/>
      <c r="YH31" s="958"/>
      <c r="YI31" s="958"/>
      <c r="YJ31" s="958"/>
      <c r="YK31" s="958"/>
      <c r="YL31" s="958"/>
      <c r="YM31" s="958"/>
      <c r="YN31" s="958"/>
      <c r="YO31" s="958"/>
      <c r="YP31" s="958"/>
      <c r="YQ31" s="958"/>
      <c r="YR31" s="958"/>
      <c r="YS31" s="958"/>
      <c r="YT31" s="958"/>
      <c r="YU31" s="958"/>
      <c r="YV31" s="958"/>
      <c r="YW31" s="958"/>
      <c r="YX31" s="958"/>
      <c r="YY31" s="958"/>
      <c r="YZ31" s="958"/>
      <c r="ZA31" s="958"/>
      <c r="ZB31" s="958"/>
      <c r="ZC31" s="958"/>
      <c r="ZD31" s="958"/>
      <c r="ZE31" s="958"/>
      <c r="ZF31" s="958"/>
      <c r="ZG31" s="958"/>
      <c r="ZH31" s="958"/>
      <c r="ZI31" s="958"/>
      <c r="ZJ31" s="958"/>
      <c r="ZK31" s="958"/>
      <c r="ZL31" s="958"/>
      <c r="ZM31" s="958"/>
      <c r="ZN31" s="958"/>
      <c r="ZO31" s="958"/>
      <c r="ZP31" s="958"/>
      <c r="ZQ31" s="958"/>
      <c r="ZR31" s="958"/>
      <c r="ZS31" s="958"/>
      <c r="ZT31" s="958"/>
      <c r="ZU31" s="958"/>
      <c r="ZV31" s="958"/>
      <c r="ZW31" s="958"/>
      <c r="ZX31" s="958"/>
      <c r="ZY31" s="958"/>
      <c r="ZZ31" s="958"/>
      <c r="AAA31" s="958"/>
      <c r="AAB31" s="958"/>
      <c r="AAC31" s="958"/>
      <c r="AAD31" s="958"/>
      <c r="AAE31" s="958"/>
      <c r="AAF31" s="958"/>
      <c r="AAG31" s="958"/>
      <c r="AAH31" s="958"/>
      <c r="AAI31" s="958"/>
      <c r="AAJ31" s="958"/>
      <c r="AAK31" s="958"/>
      <c r="AAL31" s="958"/>
      <c r="AAM31" s="958"/>
      <c r="AAN31" s="958"/>
      <c r="AAO31" s="958"/>
      <c r="AAP31" s="958"/>
      <c r="AAQ31" s="958"/>
      <c r="AAR31" s="958"/>
      <c r="AAS31" s="958"/>
      <c r="AAT31" s="958"/>
      <c r="AAU31" s="958"/>
      <c r="AAV31" s="958"/>
      <c r="AAW31" s="958"/>
      <c r="AAX31" s="958"/>
      <c r="AAY31" s="958"/>
      <c r="AAZ31" s="958"/>
      <c r="ABA31" s="958"/>
      <c r="ABB31" s="958"/>
      <c r="ABC31" s="958"/>
      <c r="ABD31" s="958"/>
      <c r="ABE31" s="958"/>
      <c r="ABF31" s="958"/>
      <c r="ABG31" s="958"/>
      <c r="ABH31" s="958"/>
      <c r="ABI31" s="958"/>
      <c r="ABJ31" s="958"/>
      <c r="ABK31" s="958"/>
      <c r="ABL31" s="958"/>
      <c r="ABM31" s="958"/>
      <c r="ABN31" s="958"/>
      <c r="ABO31" s="958"/>
      <c r="ABP31" s="958"/>
      <c r="ABQ31" s="958"/>
      <c r="ABR31" s="958"/>
      <c r="ABS31" s="958"/>
      <c r="ABT31" s="958"/>
      <c r="ABU31" s="958"/>
      <c r="ABV31" s="958"/>
      <c r="ABW31" s="958"/>
      <c r="ABX31" s="958"/>
      <c r="ABY31" s="958"/>
      <c r="ABZ31" s="958"/>
      <c r="ACA31" s="958"/>
      <c r="ACB31" s="958"/>
      <c r="ACC31" s="958"/>
      <c r="ACD31" s="958"/>
      <c r="ACE31" s="958"/>
      <c r="ACF31" s="958"/>
      <c r="ACG31" s="958"/>
      <c r="ACH31" s="958"/>
      <c r="ACI31" s="958"/>
      <c r="ACJ31" s="958"/>
      <c r="ACK31" s="958"/>
      <c r="ACL31" s="958"/>
      <c r="ACM31" s="958"/>
      <c r="ACN31" s="958"/>
      <c r="ACO31" s="958"/>
      <c r="ACP31" s="958"/>
      <c r="ACQ31" s="958"/>
      <c r="ACR31" s="958"/>
      <c r="ACS31" s="958"/>
      <c r="ACT31" s="958"/>
      <c r="ACU31" s="958"/>
      <c r="ACV31" s="958"/>
      <c r="ACW31" s="958"/>
      <c r="ACX31" s="958"/>
      <c r="ACY31" s="958"/>
      <c r="ACZ31" s="958"/>
      <c r="ADA31" s="958"/>
      <c r="ADB31" s="958"/>
      <c r="ADC31" s="958"/>
      <c r="ADD31" s="958"/>
      <c r="ADE31" s="958"/>
      <c r="ADF31" s="958"/>
      <c r="ADG31" s="958"/>
      <c r="ADH31" s="958"/>
      <c r="ADI31" s="958"/>
      <c r="ADJ31" s="958"/>
      <c r="ADK31" s="958"/>
      <c r="ADL31" s="958"/>
      <c r="ADM31" s="958"/>
      <c r="ADN31" s="958"/>
      <c r="ADO31" s="958"/>
      <c r="ADP31" s="958"/>
      <c r="ADQ31" s="958"/>
      <c r="ADR31" s="958"/>
      <c r="ADS31" s="958"/>
      <c r="ADT31" s="958"/>
      <c r="ADU31" s="958"/>
      <c r="ADV31" s="958"/>
      <c r="ADW31" s="958"/>
      <c r="ADX31" s="958"/>
      <c r="ADY31" s="958"/>
      <c r="ADZ31" s="958"/>
      <c r="AEA31" s="958"/>
      <c r="AEB31" s="958"/>
      <c r="AEC31" s="958"/>
      <c r="AED31" s="958"/>
      <c r="AEE31" s="958"/>
      <c r="AEF31" s="958"/>
      <c r="AEG31" s="958"/>
      <c r="AEH31" s="958"/>
      <c r="AEI31" s="958"/>
      <c r="AEJ31" s="958"/>
      <c r="AEK31" s="958"/>
      <c r="AEL31" s="958"/>
      <c r="AEM31" s="958"/>
      <c r="AEN31" s="958"/>
      <c r="AEO31" s="958"/>
      <c r="AEP31" s="958"/>
      <c r="AEQ31" s="958"/>
      <c r="AER31" s="958"/>
      <c r="AES31" s="958"/>
      <c r="AET31" s="958"/>
      <c r="AEU31" s="958"/>
      <c r="AEV31" s="958"/>
      <c r="AEW31" s="958"/>
      <c r="AEX31" s="958"/>
      <c r="AEY31" s="958"/>
      <c r="AEZ31" s="958"/>
      <c r="AFA31" s="958"/>
      <c r="AFB31" s="958"/>
      <c r="AFC31" s="958"/>
      <c r="AFD31" s="958"/>
      <c r="AFE31" s="958"/>
      <c r="AFF31" s="958"/>
      <c r="AFG31" s="958"/>
      <c r="AFH31" s="958"/>
      <c r="AFI31" s="958"/>
      <c r="AFJ31" s="958"/>
      <c r="AFK31" s="958"/>
      <c r="AFL31" s="958"/>
      <c r="AFM31" s="958"/>
      <c r="AFN31" s="958"/>
      <c r="AFO31" s="958"/>
      <c r="AFP31" s="958"/>
      <c r="AFQ31" s="958"/>
      <c r="AFR31" s="958"/>
      <c r="AFS31" s="958"/>
      <c r="AFT31" s="958"/>
      <c r="AFU31" s="958"/>
      <c r="AFV31" s="958"/>
      <c r="AFW31" s="958"/>
      <c r="AFX31" s="958"/>
      <c r="AFY31" s="958"/>
      <c r="AFZ31" s="958"/>
      <c r="AGA31" s="958"/>
      <c r="AGB31" s="958"/>
      <c r="AGC31" s="958"/>
      <c r="AGD31" s="958"/>
      <c r="AGE31" s="958"/>
      <c r="AGF31" s="958"/>
      <c r="AGG31" s="958"/>
      <c r="AGH31" s="958"/>
      <c r="AGI31" s="958"/>
      <c r="AGJ31" s="958"/>
      <c r="AGK31" s="958"/>
      <c r="AGL31" s="958"/>
      <c r="AGM31" s="958"/>
      <c r="AGN31" s="958"/>
      <c r="AGO31" s="958"/>
      <c r="AGP31" s="958"/>
      <c r="AGQ31" s="958"/>
      <c r="AGR31" s="958"/>
      <c r="AGS31" s="958"/>
      <c r="AGT31" s="958"/>
      <c r="AGU31" s="958"/>
      <c r="AGV31" s="958"/>
      <c r="AGW31" s="958"/>
      <c r="AGX31" s="958"/>
      <c r="AGY31" s="958"/>
      <c r="AGZ31" s="958"/>
      <c r="AHA31" s="958"/>
      <c r="AHB31" s="958"/>
      <c r="AHC31" s="958"/>
      <c r="AHD31" s="958"/>
      <c r="AHE31" s="958"/>
      <c r="AHF31" s="958"/>
      <c r="AHG31" s="958"/>
      <c r="AHH31" s="958"/>
      <c r="AHI31" s="958"/>
      <c r="AHJ31" s="958"/>
      <c r="AHK31" s="958"/>
      <c r="AHL31" s="958"/>
      <c r="AHM31" s="958"/>
      <c r="AHN31" s="958"/>
      <c r="AHO31" s="958"/>
      <c r="AHP31" s="958"/>
      <c r="AHQ31" s="958"/>
      <c r="AHR31" s="958"/>
      <c r="AHS31" s="958"/>
      <c r="AHT31" s="958"/>
      <c r="AHU31" s="958"/>
      <c r="AHV31" s="958"/>
      <c r="AHW31" s="958"/>
      <c r="AHX31" s="958"/>
      <c r="AHY31" s="958"/>
      <c r="AHZ31" s="958"/>
      <c r="AIA31" s="958"/>
      <c r="AIB31" s="958"/>
      <c r="AIC31" s="958"/>
      <c r="AID31" s="958"/>
      <c r="AIE31" s="958"/>
      <c r="AIF31" s="958"/>
      <c r="AIG31" s="958"/>
      <c r="AIH31" s="958"/>
      <c r="AII31" s="958"/>
      <c r="AIJ31" s="958"/>
      <c r="AIK31" s="958"/>
      <c r="AIL31" s="958"/>
      <c r="AIM31" s="958"/>
      <c r="AIN31" s="958"/>
      <c r="AIO31" s="958"/>
      <c r="AIP31" s="958"/>
      <c r="AIQ31" s="958"/>
      <c r="AIR31" s="958"/>
      <c r="AIS31" s="958"/>
      <c r="AIT31" s="958"/>
      <c r="AIU31" s="958"/>
      <c r="AIV31" s="958"/>
      <c r="AIW31" s="958"/>
      <c r="AIX31" s="958"/>
      <c r="AIY31" s="958"/>
      <c r="AIZ31" s="958"/>
      <c r="AJA31" s="958"/>
      <c r="AJB31" s="958"/>
      <c r="AJC31" s="958"/>
      <c r="AJD31" s="958"/>
      <c r="AJE31" s="958"/>
      <c r="AJF31" s="958"/>
      <c r="AJG31" s="958"/>
      <c r="AJH31" s="958"/>
      <c r="AJI31" s="958"/>
      <c r="AJJ31" s="958"/>
      <c r="AJK31" s="958"/>
      <c r="AJL31" s="958"/>
      <c r="AJM31" s="958"/>
      <c r="AJN31" s="958"/>
      <c r="AJO31" s="958"/>
      <c r="AJP31" s="958"/>
      <c r="AJQ31" s="958"/>
      <c r="AJR31" s="958"/>
      <c r="AJS31" s="958"/>
      <c r="AJT31" s="958"/>
      <c r="AJU31" s="958"/>
      <c r="AJV31" s="958"/>
      <c r="AJW31" s="958"/>
      <c r="AJX31" s="958"/>
      <c r="AJY31" s="958"/>
      <c r="AJZ31" s="958"/>
      <c r="AKA31" s="958"/>
      <c r="AKB31" s="958"/>
      <c r="AKC31" s="958"/>
      <c r="AKD31" s="958"/>
      <c r="AKE31" s="958"/>
      <c r="AKF31" s="958"/>
      <c r="AKG31" s="958"/>
      <c r="AKH31" s="958"/>
      <c r="AKI31" s="958"/>
      <c r="AKJ31" s="958"/>
      <c r="AKK31" s="958"/>
      <c r="AKL31" s="958"/>
      <c r="AKM31" s="958"/>
      <c r="AKN31" s="958"/>
      <c r="AKO31" s="958"/>
      <c r="AKP31" s="958"/>
      <c r="AKQ31" s="958"/>
      <c r="AKR31" s="958"/>
      <c r="AKS31" s="958"/>
      <c r="AKT31" s="958"/>
      <c r="AKU31" s="958"/>
      <c r="AKV31" s="958"/>
      <c r="AKW31" s="958"/>
      <c r="AKX31" s="958"/>
      <c r="AKY31" s="958"/>
      <c r="AKZ31" s="958"/>
      <c r="ALA31" s="958"/>
      <c r="ALB31" s="958"/>
      <c r="ALC31" s="958"/>
      <c r="ALD31" s="958"/>
      <c r="ALE31" s="958"/>
      <c r="ALF31" s="958"/>
      <c r="ALG31" s="958"/>
      <c r="ALH31" s="958"/>
      <c r="ALI31" s="958"/>
      <c r="ALJ31" s="958"/>
      <c r="ALK31" s="958"/>
      <c r="ALL31" s="958"/>
      <c r="ALM31" s="958"/>
      <c r="ALN31" s="958"/>
      <c r="ALO31" s="958"/>
      <c r="ALP31" s="958"/>
      <c r="ALQ31" s="958"/>
      <c r="ALR31" s="958"/>
      <c r="ALS31" s="958"/>
      <c r="ALT31" s="958"/>
      <c r="ALU31" s="958"/>
      <c r="ALV31" s="958"/>
      <c r="ALW31" s="958"/>
      <c r="ALX31" s="958"/>
      <c r="ALY31" s="958"/>
      <c r="ALZ31" s="958"/>
      <c r="AMA31" s="958"/>
      <c r="AMB31" s="958"/>
      <c r="AMC31" s="958"/>
      <c r="AMD31" s="958"/>
      <c r="AME31" s="958"/>
      <c r="AMF31" s="958"/>
      <c r="AMG31" s="958"/>
      <c r="AMH31" s="958"/>
      <c r="AMI31" s="958"/>
      <c r="AMJ31" s="958"/>
      <c r="AMK31" s="958"/>
      <c r="AML31" s="958"/>
      <c r="AMM31" s="958"/>
      <c r="AMN31" s="958"/>
      <c r="AMO31" s="958"/>
      <c r="AMP31" s="958"/>
      <c r="AMQ31" s="958"/>
      <c r="AMR31" s="958"/>
      <c r="AMS31" s="958"/>
      <c r="AMT31" s="958"/>
      <c r="AMU31" s="958"/>
      <c r="AMV31" s="958"/>
      <c r="AMW31" s="958"/>
      <c r="AMX31" s="958"/>
      <c r="AMY31" s="958"/>
      <c r="AMZ31" s="958"/>
      <c r="ANA31" s="958"/>
      <c r="ANB31" s="958"/>
      <c r="ANC31" s="958"/>
      <c r="AND31" s="958"/>
      <c r="ANE31" s="958"/>
      <c r="ANF31" s="958"/>
      <c r="ANG31" s="958"/>
      <c r="ANH31" s="958"/>
      <c r="ANI31" s="958"/>
      <c r="ANJ31" s="958"/>
      <c r="ANK31" s="958"/>
      <c r="ANL31" s="958"/>
      <c r="ANM31" s="958"/>
      <c r="ANN31" s="958"/>
      <c r="ANO31" s="958"/>
      <c r="ANP31" s="958"/>
      <c r="ANQ31" s="958"/>
      <c r="ANR31" s="958"/>
      <c r="ANS31" s="958"/>
      <c r="ANT31" s="958"/>
      <c r="ANU31" s="958"/>
      <c r="ANV31" s="958"/>
      <c r="ANW31" s="958"/>
      <c r="ANX31" s="958"/>
      <c r="ANY31" s="958"/>
      <c r="ANZ31" s="958"/>
      <c r="AOA31" s="958"/>
      <c r="AOB31" s="958"/>
      <c r="AOC31" s="958"/>
      <c r="AOD31" s="958"/>
      <c r="AOE31" s="958"/>
      <c r="AOF31" s="958"/>
      <c r="AOG31" s="958"/>
      <c r="AOH31" s="958"/>
      <c r="AOI31" s="958"/>
      <c r="AOJ31" s="958"/>
      <c r="AOK31" s="958"/>
      <c r="AOL31" s="958"/>
      <c r="AOM31" s="958"/>
      <c r="AON31" s="958"/>
      <c r="AOO31" s="958"/>
      <c r="AOP31" s="958"/>
      <c r="AOQ31" s="958"/>
      <c r="AOR31" s="958"/>
      <c r="AOS31" s="958"/>
      <c r="AOT31" s="958"/>
      <c r="AOU31" s="958"/>
      <c r="AOV31" s="958"/>
      <c r="AOW31" s="958"/>
      <c r="AOX31" s="958"/>
      <c r="AOY31" s="958"/>
      <c r="AOZ31" s="958"/>
      <c r="APA31" s="958"/>
      <c r="APB31" s="958"/>
      <c r="APC31" s="958"/>
      <c r="APD31" s="958"/>
      <c r="APE31" s="958"/>
      <c r="APF31" s="958"/>
      <c r="APG31" s="958"/>
      <c r="APH31" s="958"/>
      <c r="API31" s="958"/>
      <c r="APJ31" s="958"/>
      <c r="APK31" s="958"/>
      <c r="APL31" s="958"/>
      <c r="APM31" s="958"/>
      <c r="APN31" s="958"/>
      <c r="APO31" s="958"/>
      <c r="APP31" s="958"/>
      <c r="APQ31" s="958"/>
      <c r="APR31" s="958"/>
      <c r="APS31" s="958"/>
      <c r="APT31" s="958"/>
      <c r="APU31" s="958"/>
      <c r="APV31" s="958"/>
      <c r="APW31" s="958"/>
      <c r="APX31" s="958"/>
      <c r="APY31" s="958"/>
      <c r="APZ31" s="958"/>
      <c r="AQA31" s="958"/>
      <c r="AQB31" s="958"/>
      <c r="AQC31" s="958"/>
      <c r="AQD31" s="958"/>
      <c r="AQE31" s="958"/>
      <c r="AQF31" s="958"/>
      <c r="AQG31" s="958"/>
      <c r="AQH31" s="958"/>
      <c r="AQI31" s="958"/>
      <c r="AQJ31" s="958"/>
      <c r="AQK31" s="958"/>
      <c r="AQL31" s="958"/>
      <c r="AQM31" s="958"/>
      <c r="AQN31" s="958"/>
      <c r="AQO31" s="958"/>
      <c r="AQP31" s="958"/>
      <c r="AQQ31" s="958"/>
      <c r="AQR31" s="958"/>
      <c r="AQS31" s="958"/>
      <c r="AQT31" s="958"/>
      <c r="AQU31" s="958"/>
      <c r="AQV31" s="958"/>
      <c r="AQW31" s="958"/>
      <c r="AQX31" s="958"/>
      <c r="AQY31" s="958"/>
      <c r="AQZ31" s="958"/>
      <c r="ARA31" s="958"/>
      <c r="ARB31" s="958"/>
      <c r="ARC31" s="958"/>
      <c r="ARD31" s="958"/>
      <c r="ARE31" s="958"/>
      <c r="ARF31" s="958"/>
      <c r="ARG31" s="958"/>
      <c r="ARH31" s="958"/>
      <c r="ARI31" s="958"/>
      <c r="ARJ31" s="958"/>
      <c r="ARK31" s="958"/>
      <c r="ARL31" s="958"/>
      <c r="ARM31" s="958"/>
      <c r="ARN31" s="958"/>
      <c r="ARO31" s="958"/>
      <c r="ARP31" s="958"/>
      <c r="ARQ31" s="958"/>
      <c r="ARR31" s="958"/>
      <c r="ARS31" s="958"/>
      <c r="ART31" s="958"/>
      <c r="ARU31" s="958"/>
      <c r="ARV31" s="958"/>
      <c r="ARW31" s="958"/>
      <c r="ARX31" s="958"/>
      <c r="ARY31" s="958"/>
      <c r="ARZ31" s="958"/>
      <c r="ASA31" s="958"/>
      <c r="ASB31" s="958"/>
      <c r="ASC31" s="958"/>
      <c r="ASD31" s="958"/>
      <c r="ASE31" s="958"/>
      <c r="ASF31" s="958"/>
      <c r="ASG31" s="958"/>
      <c r="ASH31" s="958"/>
      <c r="ASI31" s="958"/>
      <c r="ASJ31" s="958"/>
      <c r="ASK31" s="958"/>
      <c r="ASL31" s="958"/>
      <c r="ASM31" s="958"/>
      <c r="ASN31" s="958"/>
      <c r="ASO31" s="958"/>
      <c r="ASP31" s="958"/>
      <c r="ASQ31" s="958"/>
      <c r="ASR31" s="958"/>
      <c r="ASS31" s="958"/>
      <c r="AST31" s="958"/>
      <c r="ASU31" s="958"/>
      <c r="ASV31" s="958"/>
      <c r="ASW31" s="958"/>
      <c r="ASX31" s="958"/>
      <c r="ASY31" s="958"/>
      <c r="ASZ31" s="958"/>
    </row>
    <row r="32" spans="1:1196" s="22" customFormat="1" ht="91.5" customHeight="1" thickTop="1" thickBot="1">
      <c r="A32" s="2846"/>
      <c r="B32" s="2942"/>
      <c r="C32" s="172" t="s">
        <v>484</v>
      </c>
      <c r="D32" s="171" t="s">
        <v>230</v>
      </c>
      <c r="E32" s="172" t="s">
        <v>231</v>
      </c>
      <c r="F32" s="172" t="s">
        <v>101</v>
      </c>
      <c r="G32" s="951">
        <v>1624738830</v>
      </c>
      <c r="H32" s="81"/>
      <c r="I32" s="88"/>
      <c r="J32" s="81"/>
      <c r="K32" s="172" t="s">
        <v>140</v>
      </c>
      <c r="L32" s="953">
        <v>108315922</v>
      </c>
      <c r="M32" s="954">
        <v>359441262</v>
      </c>
      <c r="N32" s="73">
        <f t="shared" si="3"/>
        <v>3.3184526832537142</v>
      </c>
      <c r="O32" s="953">
        <v>108315922</v>
      </c>
      <c r="P32" s="954">
        <v>317678653</v>
      </c>
      <c r="Q32" s="73">
        <f t="shared" si="4"/>
        <v>2.932889709418713</v>
      </c>
      <c r="R32" s="953">
        <v>108315922</v>
      </c>
      <c r="S32" s="954">
        <v>436985312</v>
      </c>
      <c r="T32" s="73">
        <f t="shared" si="5"/>
        <v>4.0343589744820711</v>
      </c>
      <c r="U32" s="953">
        <v>162473883</v>
      </c>
      <c r="V32" s="954">
        <v>55327891</v>
      </c>
      <c r="W32" s="73">
        <f t="shared" si="6"/>
        <v>0.34053405986487073</v>
      </c>
      <c r="X32" s="953">
        <v>162473883</v>
      </c>
      <c r="Y32" s="954">
        <v>982504213</v>
      </c>
      <c r="Z32" s="73">
        <f t="shared" si="7"/>
        <v>6.0471516705241788</v>
      </c>
      <c r="AA32" s="953">
        <v>162473883</v>
      </c>
      <c r="AB32" s="953">
        <v>422551098</v>
      </c>
      <c r="AC32" s="73">
        <f t="shared" si="8"/>
        <v>2.600732438948357</v>
      </c>
      <c r="AD32" s="955">
        <f t="shared" si="22"/>
        <v>2574488429</v>
      </c>
      <c r="AE32" s="956">
        <f t="shared" si="21"/>
        <v>1.5845552414107071</v>
      </c>
      <c r="AF32" s="955">
        <v>162473883</v>
      </c>
      <c r="AG32" s="954">
        <v>600485139</v>
      </c>
      <c r="AH32" s="73">
        <f t="shared" si="11"/>
        <v>3.6958871660622528</v>
      </c>
      <c r="AI32" s="953">
        <v>162473883</v>
      </c>
      <c r="AJ32" s="954">
        <v>444506710</v>
      </c>
      <c r="AK32" s="73">
        <f t="shared" si="12"/>
        <v>2.7358656160141135</v>
      </c>
      <c r="AL32" s="953">
        <v>162473883</v>
      </c>
      <c r="AM32" s="954">
        <v>709358750.60000002</v>
      </c>
      <c r="AN32" s="73">
        <f t="shared" si="13"/>
        <v>4.3659863203983376</v>
      </c>
      <c r="AO32" s="953">
        <v>108315922</v>
      </c>
      <c r="AP32" s="954">
        <v>288957747</v>
      </c>
      <c r="AQ32" s="73">
        <f t="shared" si="14"/>
        <v>2.6677310377323842</v>
      </c>
      <c r="AR32" s="953">
        <v>108315922</v>
      </c>
      <c r="AS32" s="954">
        <v>1193207681.8799999</v>
      </c>
      <c r="AT32" s="73">
        <f t="shared" si="15"/>
        <v>11.015995246571412</v>
      </c>
      <c r="AU32" s="953">
        <v>108315922</v>
      </c>
      <c r="AV32" s="954">
        <v>701753171</v>
      </c>
      <c r="AW32" s="73">
        <f t="shared" si="16"/>
        <v>6.4787628452260231</v>
      </c>
      <c r="AX32" s="957">
        <f t="shared" si="23"/>
        <v>6512757628.4799995</v>
      </c>
      <c r="AY32" s="956">
        <f t="shared" si="18"/>
        <v>4.0084950936268324</v>
      </c>
      <c r="AZ32" s="958"/>
      <c r="BA32" s="958"/>
      <c r="BB32" s="958"/>
      <c r="BC32" s="958"/>
      <c r="BD32" s="958"/>
      <c r="BE32" s="958"/>
      <c r="BF32" s="958"/>
      <c r="BG32" s="958"/>
      <c r="BH32" s="958"/>
      <c r="BI32" s="958"/>
      <c r="BJ32" s="958"/>
      <c r="BK32" s="958"/>
      <c r="BL32" s="958"/>
      <c r="BM32" s="958"/>
      <c r="BN32" s="958"/>
      <c r="BO32" s="958"/>
      <c r="BP32" s="958"/>
      <c r="BQ32" s="958"/>
      <c r="BR32" s="958"/>
      <c r="BS32" s="958"/>
      <c r="BT32" s="958"/>
      <c r="BU32" s="958"/>
      <c r="BV32" s="958"/>
      <c r="BW32" s="958"/>
      <c r="BX32" s="958"/>
      <c r="BY32" s="958"/>
      <c r="BZ32" s="958"/>
      <c r="CA32" s="958"/>
      <c r="CB32" s="958"/>
      <c r="CC32" s="958"/>
      <c r="CD32" s="958"/>
      <c r="CE32" s="958"/>
      <c r="CF32" s="958"/>
      <c r="CG32" s="958"/>
      <c r="CH32" s="958"/>
      <c r="CI32" s="958"/>
      <c r="CJ32" s="958"/>
      <c r="CK32" s="958"/>
      <c r="CL32" s="958"/>
      <c r="CM32" s="958"/>
      <c r="CN32" s="958"/>
      <c r="CO32" s="958"/>
      <c r="CP32" s="958"/>
      <c r="CQ32" s="958"/>
      <c r="CR32" s="958"/>
      <c r="CS32" s="958"/>
      <c r="CT32" s="958"/>
      <c r="CU32" s="958"/>
      <c r="CV32" s="958"/>
      <c r="CW32" s="958"/>
      <c r="CX32" s="958"/>
      <c r="CY32" s="958"/>
      <c r="CZ32" s="958"/>
      <c r="DA32" s="958"/>
      <c r="DB32" s="958"/>
      <c r="DC32" s="958"/>
      <c r="DD32" s="958"/>
      <c r="DE32" s="958"/>
      <c r="DF32" s="958"/>
      <c r="DG32" s="958"/>
      <c r="DH32" s="958"/>
      <c r="DI32" s="958"/>
      <c r="DJ32" s="958"/>
      <c r="DK32" s="958"/>
      <c r="DL32" s="958"/>
      <c r="DM32" s="958"/>
      <c r="DN32" s="958"/>
      <c r="DO32" s="958"/>
      <c r="DP32" s="958"/>
      <c r="DQ32" s="958"/>
      <c r="DR32" s="958"/>
      <c r="DS32" s="958"/>
      <c r="DT32" s="958"/>
      <c r="DU32" s="958"/>
      <c r="DV32" s="958"/>
      <c r="DW32" s="958"/>
      <c r="DX32" s="958"/>
      <c r="DY32" s="958"/>
      <c r="DZ32" s="958"/>
      <c r="EA32" s="958"/>
      <c r="EB32" s="958"/>
      <c r="EC32" s="958"/>
      <c r="ED32" s="958"/>
      <c r="EE32" s="958"/>
      <c r="EF32" s="958"/>
      <c r="EG32" s="958"/>
      <c r="EH32" s="958"/>
      <c r="EI32" s="958"/>
      <c r="EJ32" s="958"/>
      <c r="EK32" s="958"/>
      <c r="EL32" s="958"/>
      <c r="EM32" s="958"/>
      <c r="EN32" s="958"/>
      <c r="EO32" s="958"/>
      <c r="EP32" s="958"/>
      <c r="EQ32" s="958"/>
      <c r="ER32" s="958"/>
      <c r="ES32" s="958"/>
      <c r="ET32" s="958"/>
      <c r="EU32" s="958"/>
      <c r="EV32" s="958"/>
      <c r="EW32" s="958"/>
      <c r="EX32" s="958"/>
      <c r="EY32" s="958"/>
      <c r="EZ32" s="958"/>
      <c r="FA32" s="958"/>
      <c r="FB32" s="958"/>
      <c r="FC32" s="958"/>
      <c r="FD32" s="958"/>
      <c r="FE32" s="958"/>
      <c r="FF32" s="958"/>
      <c r="FG32" s="958"/>
      <c r="FH32" s="958"/>
      <c r="FI32" s="958"/>
      <c r="FJ32" s="958"/>
      <c r="FK32" s="958"/>
      <c r="FL32" s="958"/>
      <c r="FM32" s="958"/>
      <c r="FN32" s="958"/>
      <c r="FO32" s="958"/>
      <c r="FP32" s="958"/>
      <c r="FQ32" s="958"/>
      <c r="FR32" s="958"/>
      <c r="FS32" s="958"/>
      <c r="FT32" s="958"/>
      <c r="FU32" s="958"/>
      <c r="FV32" s="958"/>
      <c r="FW32" s="958"/>
      <c r="FX32" s="958"/>
      <c r="FY32" s="958"/>
      <c r="FZ32" s="958"/>
      <c r="GA32" s="958"/>
      <c r="GB32" s="958"/>
      <c r="GC32" s="958"/>
      <c r="GD32" s="958"/>
      <c r="GE32" s="958"/>
      <c r="GF32" s="958"/>
      <c r="GG32" s="958"/>
      <c r="GH32" s="958"/>
      <c r="GI32" s="958"/>
      <c r="GJ32" s="958"/>
      <c r="GK32" s="958"/>
      <c r="GL32" s="958"/>
      <c r="GM32" s="958"/>
      <c r="GN32" s="958"/>
      <c r="GO32" s="958"/>
      <c r="GP32" s="958"/>
      <c r="GQ32" s="958"/>
      <c r="GR32" s="958"/>
      <c r="GS32" s="958"/>
      <c r="GT32" s="958"/>
      <c r="GU32" s="958"/>
      <c r="GV32" s="958"/>
      <c r="GW32" s="958"/>
      <c r="GX32" s="958"/>
      <c r="GY32" s="958"/>
      <c r="GZ32" s="958"/>
      <c r="HA32" s="958"/>
      <c r="HB32" s="958"/>
      <c r="HC32" s="958"/>
      <c r="HD32" s="958"/>
      <c r="HE32" s="958"/>
      <c r="HF32" s="958"/>
      <c r="HG32" s="958"/>
      <c r="HH32" s="958"/>
      <c r="HI32" s="958"/>
      <c r="HJ32" s="958"/>
      <c r="HK32" s="958"/>
      <c r="HL32" s="958"/>
      <c r="HM32" s="958"/>
      <c r="HN32" s="958"/>
      <c r="HO32" s="958"/>
      <c r="HP32" s="958"/>
      <c r="HQ32" s="958"/>
      <c r="HR32" s="958"/>
      <c r="HS32" s="958"/>
      <c r="HT32" s="958"/>
      <c r="HU32" s="958"/>
      <c r="HV32" s="958"/>
      <c r="HW32" s="958"/>
      <c r="HX32" s="958"/>
      <c r="HY32" s="958"/>
      <c r="HZ32" s="958"/>
      <c r="IA32" s="958"/>
      <c r="IB32" s="958"/>
      <c r="IC32" s="958"/>
      <c r="ID32" s="958"/>
      <c r="IE32" s="958"/>
      <c r="IF32" s="958"/>
      <c r="IG32" s="958"/>
      <c r="IH32" s="958"/>
      <c r="II32" s="958"/>
      <c r="IJ32" s="958"/>
      <c r="IK32" s="958"/>
      <c r="IL32" s="958"/>
      <c r="IM32" s="958"/>
      <c r="IN32" s="958"/>
      <c r="IO32" s="958"/>
      <c r="IP32" s="958"/>
      <c r="IQ32" s="958"/>
      <c r="IR32" s="958"/>
      <c r="IS32" s="958"/>
      <c r="IT32" s="958"/>
      <c r="IU32" s="958"/>
      <c r="IV32" s="958"/>
      <c r="IW32" s="958"/>
      <c r="IX32" s="958"/>
      <c r="IY32" s="958"/>
      <c r="IZ32" s="958"/>
      <c r="JA32" s="958"/>
      <c r="JB32" s="958"/>
      <c r="JC32" s="958"/>
      <c r="JD32" s="958"/>
      <c r="JE32" s="958"/>
      <c r="JF32" s="958"/>
      <c r="JG32" s="958"/>
      <c r="JH32" s="958"/>
      <c r="JI32" s="958"/>
      <c r="JJ32" s="958"/>
      <c r="JK32" s="958"/>
      <c r="JL32" s="958"/>
      <c r="JM32" s="958"/>
      <c r="JN32" s="958"/>
      <c r="JO32" s="958"/>
      <c r="JP32" s="958"/>
      <c r="JQ32" s="958"/>
      <c r="JR32" s="958"/>
      <c r="JS32" s="958"/>
      <c r="JT32" s="958"/>
      <c r="JU32" s="958"/>
      <c r="JV32" s="958"/>
      <c r="JW32" s="958"/>
      <c r="JX32" s="958"/>
      <c r="JY32" s="958"/>
      <c r="JZ32" s="958"/>
      <c r="KA32" s="958"/>
      <c r="KB32" s="958"/>
      <c r="KC32" s="958"/>
      <c r="KD32" s="958"/>
      <c r="KE32" s="958"/>
      <c r="KF32" s="958"/>
      <c r="KG32" s="958"/>
      <c r="KH32" s="958"/>
      <c r="KI32" s="958"/>
      <c r="KJ32" s="958"/>
      <c r="KK32" s="958"/>
      <c r="KL32" s="958"/>
      <c r="KM32" s="958"/>
      <c r="KN32" s="958"/>
      <c r="KO32" s="958"/>
      <c r="KP32" s="958"/>
      <c r="KQ32" s="958"/>
      <c r="KR32" s="958"/>
      <c r="KS32" s="958"/>
      <c r="KT32" s="958"/>
      <c r="KU32" s="958"/>
      <c r="KV32" s="958"/>
      <c r="KW32" s="958"/>
      <c r="KX32" s="958"/>
      <c r="KY32" s="958"/>
      <c r="KZ32" s="958"/>
      <c r="LA32" s="958"/>
      <c r="LB32" s="958"/>
      <c r="LC32" s="958"/>
      <c r="LD32" s="958"/>
      <c r="LE32" s="958"/>
      <c r="LF32" s="958"/>
      <c r="LG32" s="958"/>
      <c r="LH32" s="958"/>
      <c r="LI32" s="958"/>
      <c r="LJ32" s="958"/>
      <c r="LK32" s="958"/>
      <c r="LL32" s="958"/>
      <c r="LM32" s="958"/>
      <c r="LN32" s="958"/>
      <c r="LO32" s="958"/>
      <c r="LP32" s="958"/>
      <c r="LQ32" s="958"/>
      <c r="LR32" s="958"/>
      <c r="LS32" s="958"/>
      <c r="LT32" s="958"/>
      <c r="LU32" s="958"/>
      <c r="LV32" s="958"/>
      <c r="LW32" s="958"/>
      <c r="LX32" s="958"/>
      <c r="LY32" s="958"/>
      <c r="LZ32" s="958"/>
      <c r="MA32" s="958"/>
      <c r="MB32" s="958"/>
      <c r="MC32" s="958"/>
      <c r="MD32" s="958"/>
      <c r="ME32" s="958"/>
      <c r="MF32" s="958"/>
      <c r="MG32" s="958"/>
      <c r="MH32" s="958"/>
      <c r="MI32" s="958"/>
      <c r="MJ32" s="958"/>
      <c r="MK32" s="958"/>
      <c r="ML32" s="958"/>
      <c r="MM32" s="958"/>
      <c r="MN32" s="958"/>
      <c r="MO32" s="958"/>
      <c r="MP32" s="958"/>
      <c r="MQ32" s="958"/>
      <c r="MR32" s="958"/>
      <c r="MS32" s="958"/>
      <c r="MT32" s="958"/>
      <c r="MU32" s="958"/>
      <c r="MV32" s="958"/>
      <c r="MW32" s="958"/>
      <c r="MX32" s="958"/>
      <c r="MY32" s="958"/>
      <c r="MZ32" s="958"/>
      <c r="NA32" s="958"/>
      <c r="NB32" s="958"/>
      <c r="NC32" s="958"/>
      <c r="ND32" s="958"/>
      <c r="NE32" s="958"/>
      <c r="NF32" s="958"/>
      <c r="NG32" s="958"/>
      <c r="NH32" s="958"/>
      <c r="NI32" s="958"/>
      <c r="NJ32" s="958"/>
      <c r="NK32" s="958"/>
      <c r="NL32" s="958"/>
      <c r="NM32" s="958"/>
      <c r="NN32" s="958"/>
      <c r="NO32" s="958"/>
      <c r="NP32" s="958"/>
      <c r="NQ32" s="958"/>
      <c r="NR32" s="958"/>
      <c r="NS32" s="958"/>
      <c r="NT32" s="958"/>
      <c r="NU32" s="958"/>
      <c r="NV32" s="958"/>
      <c r="NW32" s="958"/>
      <c r="NX32" s="958"/>
      <c r="NY32" s="958"/>
      <c r="NZ32" s="958"/>
      <c r="OA32" s="958"/>
      <c r="OB32" s="958"/>
      <c r="OC32" s="958"/>
      <c r="OD32" s="958"/>
      <c r="OE32" s="958"/>
      <c r="OF32" s="958"/>
      <c r="OG32" s="958"/>
      <c r="OH32" s="958"/>
      <c r="OI32" s="958"/>
      <c r="OJ32" s="958"/>
      <c r="OK32" s="958"/>
      <c r="OL32" s="958"/>
      <c r="OM32" s="958"/>
      <c r="ON32" s="958"/>
      <c r="OO32" s="958"/>
      <c r="OP32" s="958"/>
      <c r="OQ32" s="958"/>
      <c r="OR32" s="958"/>
      <c r="OS32" s="958"/>
      <c r="OT32" s="958"/>
      <c r="OU32" s="958"/>
      <c r="OV32" s="958"/>
      <c r="OW32" s="958"/>
      <c r="OX32" s="958"/>
      <c r="OY32" s="958"/>
      <c r="OZ32" s="958"/>
      <c r="PA32" s="958"/>
      <c r="PB32" s="958"/>
      <c r="PC32" s="958"/>
      <c r="PD32" s="958"/>
      <c r="PE32" s="958"/>
      <c r="PF32" s="958"/>
      <c r="PG32" s="958"/>
      <c r="PH32" s="958"/>
      <c r="PI32" s="958"/>
      <c r="PJ32" s="958"/>
      <c r="PK32" s="958"/>
      <c r="PL32" s="958"/>
      <c r="PM32" s="958"/>
      <c r="PN32" s="958"/>
      <c r="PO32" s="958"/>
      <c r="PP32" s="958"/>
      <c r="PQ32" s="958"/>
      <c r="PR32" s="958"/>
      <c r="PS32" s="958"/>
      <c r="PT32" s="958"/>
      <c r="PU32" s="958"/>
      <c r="PV32" s="958"/>
      <c r="PW32" s="958"/>
      <c r="PX32" s="958"/>
      <c r="PY32" s="958"/>
      <c r="PZ32" s="958"/>
      <c r="QA32" s="958"/>
      <c r="QB32" s="958"/>
      <c r="QC32" s="958"/>
      <c r="QD32" s="958"/>
      <c r="QE32" s="958"/>
      <c r="QF32" s="958"/>
      <c r="QG32" s="958"/>
      <c r="QH32" s="958"/>
      <c r="QI32" s="958"/>
      <c r="QJ32" s="958"/>
      <c r="QK32" s="958"/>
      <c r="QL32" s="958"/>
      <c r="QM32" s="958"/>
      <c r="QN32" s="958"/>
      <c r="QO32" s="958"/>
      <c r="QP32" s="958"/>
      <c r="QQ32" s="958"/>
      <c r="QR32" s="958"/>
      <c r="QS32" s="958"/>
      <c r="QT32" s="958"/>
      <c r="QU32" s="958"/>
      <c r="QV32" s="958"/>
      <c r="QW32" s="958"/>
      <c r="QX32" s="958"/>
      <c r="QY32" s="958"/>
      <c r="QZ32" s="958"/>
      <c r="RA32" s="958"/>
      <c r="RB32" s="958"/>
      <c r="RC32" s="958"/>
      <c r="RD32" s="958"/>
      <c r="RE32" s="958"/>
      <c r="RF32" s="958"/>
      <c r="RG32" s="958"/>
      <c r="RH32" s="958"/>
      <c r="RI32" s="958"/>
      <c r="RJ32" s="958"/>
      <c r="RK32" s="958"/>
      <c r="RL32" s="958"/>
      <c r="RM32" s="958"/>
      <c r="RN32" s="958"/>
      <c r="RO32" s="958"/>
      <c r="RP32" s="958"/>
      <c r="RQ32" s="958"/>
      <c r="RR32" s="958"/>
      <c r="RS32" s="958"/>
      <c r="RT32" s="958"/>
      <c r="RU32" s="958"/>
      <c r="RV32" s="958"/>
      <c r="RW32" s="958"/>
      <c r="RX32" s="958"/>
      <c r="RY32" s="958"/>
      <c r="RZ32" s="958"/>
      <c r="SA32" s="958"/>
      <c r="SB32" s="958"/>
      <c r="SC32" s="958"/>
      <c r="SD32" s="958"/>
      <c r="SE32" s="958"/>
      <c r="SF32" s="958"/>
      <c r="SG32" s="958"/>
      <c r="SH32" s="958"/>
      <c r="SI32" s="958"/>
      <c r="SJ32" s="958"/>
      <c r="SK32" s="958"/>
      <c r="SL32" s="958"/>
      <c r="SM32" s="958"/>
      <c r="SN32" s="958"/>
      <c r="SO32" s="958"/>
      <c r="SP32" s="958"/>
      <c r="SQ32" s="958"/>
      <c r="SR32" s="958"/>
      <c r="SS32" s="958"/>
      <c r="ST32" s="958"/>
      <c r="SU32" s="958"/>
      <c r="SV32" s="958"/>
      <c r="SW32" s="958"/>
      <c r="SX32" s="958"/>
      <c r="SY32" s="958"/>
      <c r="SZ32" s="958"/>
      <c r="TA32" s="958"/>
      <c r="TB32" s="958"/>
      <c r="TC32" s="958"/>
      <c r="TD32" s="958"/>
      <c r="TE32" s="958"/>
      <c r="TF32" s="958"/>
      <c r="TG32" s="958"/>
      <c r="TH32" s="958"/>
      <c r="TI32" s="958"/>
      <c r="TJ32" s="958"/>
      <c r="TK32" s="958"/>
      <c r="TL32" s="958"/>
      <c r="TM32" s="958"/>
      <c r="TN32" s="958"/>
      <c r="TO32" s="958"/>
      <c r="TP32" s="958"/>
      <c r="TQ32" s="958"/>
      <c r="TR32" s="958"/>
      <c r="TS32" s="958"/>
      <c r="TT32" s="958"/>
      <c r="TU32" s="958"/>
      <c r="TV32" s="958"/>
      <c r="TW32" s="958"/>
      <c r="TX32" s="958"/>
      <c r="TY32" s="958"/>
      <c r="TZ32" s="958"/>
      <c r="UA32" s="958"/>
      <c r="UB32" s="958"/>
      <c r="UC32" s="958"/>
      <c r="UD32" s="958"/>
      <c r="UE32" s="958"/>
      <c r="UF32" s="958"/>
      <c r="UG32" s="958"/>
      <c r="UH32" s="958"/>
      <c r="UI32" s="958"/>
      <c r="UJ32" s="958"/>
      <c r="UK32" s="958"/>
      <c r="UL32" s="958"/>
      <c r="UM32" s="958"/>
      <c r="UN32" s="958"/>
      <c r="UO32" s="958"/>
      <c r="UP32" s="958"/>
      <c r="UQ32" s="958"/>
      <c r="UR32" s="958"/>
      <c r="US32" s="958"/>
      <c r="UT32" s="958"/>
      <c r="UU32" s="958"/>
      <c r="UV32" s="958"/>
      <c r="UW32" s="958"/>
      <c r="UX32" s="958"/>
      <c r="UY32" s="958"/>
      <c r="UZ32" s="958"/>
      <c r="VA32" s="958"/>
      <c r="VB32" s="958"/>
      <c r="VC32" s="958"/>
      <c r="VD32" s="958"/>
      <c r="VE32" s="958"/>
      <c r="VF32" s="958"/>
      <c r="VG32" s="958"/>
      <c r="VH32" s="958"/>
      <c r="VI32" s="958"/>
      <c r="VJ32" s="958"/>
      <c r="VK32" s="958"/>
      <c r="VL32" s="958"/>
      <c r="VM32" s="958"/>
      <c r="VN32" s="958"/>
      <c r="VO32" s="958"/>
      <c r="VP32" s="958"/>
      <c r="VQ32" s="958"/>
      <c r="VR32" s="958"/>
      <c r="VS32" s="958"/>
      <c r="VT32" s="958"/>
      <c r="VU32" s="958"/>
      <c r="VV32" s="958"/>
      <c r="VW32" s="958"/>
      <c r="VX32" s="958"/>
      <c r="VY32" s="958"/>
      <c r="VZ32" s="958"/>
      <c r="WA32" s="958"/>
      <c r="WB32" s="958"/>
      <c r="WC32" s="958"/>
      <c r="WD32" s="958"/>
      <c r="WE32" s="958"/>
      <c r="WF32" s="958"/>
      <c r="WG32" s="958"/>
      <c r="WH32" s="958"/>
      <c r="WI32" s="958"/>
      <c r="WJ32" s="958"/>
      <c r="WK32" s="958"/>
      <c r="WL32" s="958"/>
      <c r="WM32" s="958"/>
      <c r="WN32" s="958"/>
      <c r="WO32" s="958"/>
      <c r="WP32" s="958"/>
      <c r="WQ32" s="958"/>
      <c r="WR32" s="958"/>
      <c r="WS32" s="958"/>
      <c r="WT32" s="958"/>
      <c r="WU32" s="958"/>
      <c r="WV32" s="958"/>
      <c r="WW32" s="958"/>
      <c r="WX32" s="958"/>
      <c r="WY32" s="958"/>
      <c r="WZ32" s="958"/>
      <c r="XA32" s="958"/>
      <c r="XB32" s="958"/>
      <c r="XC32" s="958"/>
      <c r="XD32" s="958"/>
      <c r="XE32" s="958"/>
      <c r="XF32" s="958"/>
      <c r="XG32" s="958"/>
      <c r="XH32" s="958"/>
      <c r="XI32" s="958"/>
      <c r="XJ32" s="958"/>
      <c r="XK32" s="958"/>
      <c r="XL32" s="958"/>
      <c r="XM32" s="958"/>
      <c r="XN32" s="958"/>
      <c r="XO32" s="958"/>
      <c r="XP32" s="958"/>
      <c r="XQ32" s="958"/>
      <c r="XR32" s="958"/>
      <c r="XS32" s="958"/>
      <c r="XT32" s="958"/>
      <c r="XU32" s="958"/>
      <c r="XV32" s="958"/>
      <c r="XW32" s="958"/>
      <c r="XX32" s="958"/>
      <c r="XY32" s="958"/>
      <c r="XZ32" s="958"/>
      <c r="YA32" s="958"/>
      <c r="YB32" s="958"/>
      <c r="YC32" s="958"/>
      <c r="YD32" s="958"/>
      <c r="YE32" s="958"/>
      <c r="YF32" s="958"/>
      <c r="YG32" s="958"/>
      <c r="YH32" s="958"/>
      <c r="YI32" s="958"/>
      <c r="YJ32" s="958"/>
      <c r="YK32" s="958"/>
      <c r="YL32" s="958"/>
      <c r="YM32" s="958"/>
      <c r="YN32" s="958"/>
      <c r="YO32" s="958"/>
      <c r="YP32" s="958"/>
      <c r="YQ32" s="958"/>
      <c r="YR32" s="958"/>
      <c r="YS32" s="958"/>
      <c r="YT32" s="958"/>
      <c r="YU32" s="958"/>
      <c r="YV32" s="958"/>
      <c r="YW32" s="958"/>
      <c r="YX32" s="958"/>
      <c r="YY32" s="958"/>
      <c r="YZ32" s="958"/>
      <c r="ZA32" s="958"/>
      <c r="ZB32" s="958"/>
      <c r="ZC32" s="958"/>
      <c r="ZD32" s="958"/>
      <c r="ZE32" s="958"/>
      <c r="ZF32" s="958"/>
      <c r="ZG32" s="958"/>
      <c r="ZH32" s="958"/>
      <c r="ZI32" s="958"/>
      <c r="ZJ32" s="958"/>
      <c r="ZK32" s="958"/>
      <c r="ZL32" s="958"/>
      <c r="ZM32" s="958"/>
      <c r="ZN32" s="958"/>
      <c r="ZO32" s="958"/>
      <c r="ZP32" s="958"/>
      <c r="ZQ32" s="958"/>
      <c r="ZR32" s="958"/>
      <c r="ZS32" s="958"/>
      <c r="ZT32" s="958"/>
      <c r="ZU32" s="958"/>
      <c r="ZV32" s="958"/>
      <c r="ZW32" s="958"/>
      <c r="ZX32" s="958"/>
      <c r="ZY32" s="958"/>
      <c r="ZZ32" s="958"/>
      <c r="AAA32" s="958"/>
      <c r="AAB32" s="958"/>
      <c r="AAC32" s="958"/>
      <c r="AAD32" s="958"/>
      <c r="AAE32" s="958"/>
      <c r="AAF32" s="958"/>
      <c r="AAG32" s="958"/>
      <c r="AAH32" s="958"/>
      <c r="AAI32" s="958"/>
      <c r="AAJ32" s="958"/>
      <c r="AAK32" s="958"/>
      <c r="AAL32" s="958"/>
      <c r="AAM32" s="958"/>
      <c r="AAN32" s="958"/>
      <c r="AAO32" s="958"/>
      <c r="AAP32" s="958"/>
      <c r="AAQ32" s="958"/>
      <c r="AAR32" s="958"/>
      <c r="AAS32" s="958"/>
      <c r="AAT32" s="958"/>
      <c r="AAU32" s="958"/>
      <c r="AAV32" s="958"/>
      <c r="AAW32" s="958"/>
      <c r="AAX32" s="958"/>
      <c r="AAY32" s="958"/>
      <c r="AAZ32" s="958"/>
      <c r="ABA32" s="958"/>
      <c r="ABB32" s="958"/>
      <c r="ABC32" s="958"/>
      <c r="ABD32" s="958"/>
      <c r="ABE32" s="958"/>
      <c r="ABF32" s="958"/>
      <c r="ABG32" s="958"/>
      <c r="ABH32" s="958"/>
      <c r="ABI32" s="958"/>
      <c r="ABJ32" s="958"/>
      <c r="ABK32" s="958"/>
      <c r="ABL32" s="958"/>
      <c r="ABM32" s="958"/>
      <c r="ABN32" s="958"/>
      <c r="ABO32" s="958"/>
      <c r="ABP32" s="958"/>
      <c r="ABQ32" s="958"/>
      <c r="ABR32" s="958"/>
      <c r="ABS32" s="958"/>
      <c r="ABT32" s="958"/>
      <c r="ABU32" s="958"/>
      <c r="ABV32" s="958"/>
      <c r="ABW32" s="958"/>
      <c r="ABX32" s="958"/>
      <c r="ABY32" s="958"/>
      <c r="ABZ32" s="958"/>
      <c r="ACA32" s="958"/>
      <c r="ACB32" s="958"/>
      <c r="ACC32" s="958"/>
      <c r="ACD32" s="958"/>
      <c r="ACE32" s="958"/>
      <c r="ACF32" s="958"/>
      <c r="ACG32" s="958"/>
      <c r="ACH32" s="958"/>
      <c r="ACI32" s="958"/>
      <c r="ACJ32" s="958"/>
      <c r="ACK32" s="958"/>
      <c r="ACL32" s="958"/>
      <c r="ACM32" s="958"/>
      <c r="ACN32" s="958"/>
      <c r="ACO32" s="958"/>
      <c r="ACP32" s="958"/>
      <c r="ACQ32" s="958"/>
      <c r="ACR32" s="958"/>
      <c r="ACS32" s="958"/>
      <c r="ACT32" s="958"/>
      <c r="ACU32" s="958"/>
      <c r="ACV32" s="958"/>
      <c r="ACW32" s="958"/>
      <c r="ACX32" s="958"/>
      <c r="ACY32" s="958"/>
      <c r="ACZ32" s="958"/>
      <c r="ADA32" s="958"/>
      <c r="ADB32" s="958"/>
      <c r="ADC32" s="958"/>
      <c r="ADD32" s="958"/>
      <c r="ADE32" s="958"/>
      <c r="ADF32" s="958"/>
      <c r="ADG32" s="958"/>
      <c r="ADH32" s="958"/>
      <c r="ADI32" s="958"/>
      <c r="ADJ32" s="958"/>
      <c r="ADK32" s="958"/>
      <c r="ADL32" s="958"/>
      <c r="ADM32" s="958"/>
      <c r="ADN32" s="958"/>
      <c r="ADO32" s="958"/>
      <c r="ADP32" s="958"/>
      <c r="ADQ32" s="958"/>
      <c r="ADR32" s="958"/>
      <c r="ADS32" s="958"/>
      <c r="ADT32" s="958"/>
      <c r="ADU32" s="958"/>
      <c r="ADV32" s="958"/>
      <c r="ADW32" s="958"/>
      <c r="ADX32" s="958"/>
      <c r="ADY32" s="958"/>
      <c r="ADZ32" s="958"/>
      <c r="AEA32" s="958"/>
      <c r="AEB32" s="958"/>
      <c r="AEC32" s="958"/>
      <c r="AED32" s="958"/>
      <c r="AEE32" s="958"/>
      <c r="AEF32" s="958"/>
      <c r="AEG32" s="958"/>
      <c r="AEH32" s="958"/>
      <c r="AEI32" s="958"/>
      <c r="AEJ32" s="958"/>
      <c r="AEK32" s="958"/>
      <c r="AEL32" s="958"/>
      <c r="AEM32" s="958"/>
      <c r="AEN32" s="958"/>
      <c r="AEO32" s="958"/>
      <c r="AEP32" s="958"/>
      <c r="AEQ32" s="958"/>
      <c r="AER32" s="958"/>
      <c r="AES32" s="958"/>
      <c r="AET32" s="958"/>
      <c r="AEU32" s="958"/>
      <c r="AEV32" s="958"/>
      <c r="AEW32" s="958"/>
      <c r="AEX32" s="958"/>
      <c r="AEY32" s="958"/>
      <c r="AEZ32" s="958"/>
      <c r="AFA32" s="958"/>
      <c r="AFB32" s="958"/>
      <c r="AFC32" s="958"/>
      <c r="AFD32" s="958"/>
      <c r="AFE32" s="958"/>
      <c r="AFF32" s="958"/>
      <c r="AFG32" s="958"/>
      <c r="AFH32" s="958"/>
      <c r="AFI32" s="958"/>
      <c r="AFJ32" s="958"/>
      <c r="AFK32" s="958"/>
      <c r="AFL32" s="958"/>
      <c r="AFM32" s="958"/>
      <c r="AFN32" s="958"/>
      <c r="AFO32" s="958"/>
      <c r="AFP32" s="958"/>
      <c r="AFQ32" s="958"/>
      <c r="AFR32" s="958"/>
      <c r="AFS32" s="958"/>
      <c r="AFT32" s="958"/>
      <c r="AFU32" s="958"/>
      <c r="AFV32" s="958"/>
      <c r="AFW32" s="958"/>
      <c r="AFX32" s="958"/>
      <c r="AFY32" s="958"/>
      <c r="AFZ32" s="958"/>
      <c r="AGA32" s="958"/>
      <c r="AGB32" s="958"/>
      <c r="AGC32" s="958"/>
      <c r="AGD32" s="958"/>
      <c r="AGE32" s="958"/>
      <c r="AGF32" s="958"/>
      <c r="AGG32" s="958"/>
      <c r="AGH32" s="958"/>
      <c r="AGI32" s="958"/>
      <c r="AGJ32" s="958"/>
      <c r="AGK32" s="958"/>
      <c r="AGL32" s="958"/>
      <c r="AGM32" s="958"/>
      <c r="AGN32" s="958"/>
      <c r="AGO32" s="958"/>
      <c r="AGP32" s="958"/>
      <c r="AGQ32" s="958"/>
      <c r="AGR32" s="958"/>
      <c r="AGS32" s="958"/>
      <c r="AGT32" s="958"/>
      <c r="AGU32" s="958"/>
      <c r="AGV32" s="958"/>
      <c r="AGW32" s="958"/>
      <c r="AGX32" s="958"/>
      <c r="AGY32" s="958"/>
      <c r="AGZ32" s="958"/>
      <c r="AHA32" s="958"/>
      <c r="AHB32" s="958"/>
      <c r="AHC32" s="958"/>
      <c r="AHD32" s="958"/>
      <c r="AHE32" s="958"/>
      <c r="AHF32" s="958"/>
      <c r="AHG32" s="958"/>
      <c r="AHH32" s="958"/>
      <c r="AHI32" s="958"/>
      <c r="AHJ32" s="958"/>
      <c r="AHK32" s="958"/>
      <c r="AHL32" s="958"/>
      <c r="AHM32" s="958"/>
      <c r="AHN32" s="958"/>
      <c r="AHO32" s="958"/>
      <c r="AHP32" s="958"/>
      <c r="AHQ32" s="958"/>
      <c r="AHR32" s="958"/>
      <c r="AHS32" s="958"/>
      <c r="AHT32" s="958"/>
      <c r="AHU32" s="958"/>
      <c r="AHV32" s="958"/>
      <c r="AHW32" s="958"/>
      <c r="AHX32" s="958"/>
      <c r="AHY32" s="958"/>
      <c r="AHZ32" s="958"/>
      <c r="AIA32" s="958"/>
      <c r="AIB32" s="958"/>
      <c r="AIC32" s="958"/>
      <c r="AID32" s="958"/>
      <c r="AIE32" s="958"/>
      <c r="AIF32" s="958"/>
      <c r="AIG32" s="958"/>
      <c r="AIH32" s="958"/>
      <c r="AII32" s="958"/>
      <c r="AIJ32" s="958"/>
      <c r="AIK32" s="958"/>
      <c r="AIL32" s="958"/>
      <c r="AIM32" s="958"/>
      <c r="AIN32" s="958"/>
      <c r="AIO32" s="958"/>
      <c r="AIP32" s="958"/>
      <c r="AIQ32" s="958"/>
      <c r="AIR32" s="958"/>
      <c r="AIS32" s="958"/>
      <c r="AIT32" s="958"/>
      <c r="AIU32" s="958"/>
      <c r="AIV32" s="958"/>
      <c r="AIW32" s="958"/>
      <c r="AIX32" s="958"/>
      <c r="AIY32" s="958"/>
      <c r="AIZ32" s="958"/>
      <c r="AJA32" s="958"/>
      <c r="AJB32" s="958"/>
      <c r="AJC32" s="958"/>
      <c r="AJD32" s="958"/>
      <c r="AJE32" s="958"/>
      <c r="AJF32" s="958"/>
      <c r="AJG32" s="958"/>
      <c r="AJH32" s="958"/>
      <c r="AJI32" s="958"/>
      <c r="AJJ32" s="958"/>
      <c r="AJK32" s="958"/>
      <c r="AJL32" s="958"/>
      <c r="AJM32" s="958"/>
      <c r="AJN32" s="958"/>
      <c r="AJO32" s="958"/>
      <c r="AJP32" s="958"/>
      <c r="AJQ32" s="958"/>
      <c r="AJR32" s="958"/>
      <c r="AJS32" s="958"/>
      <c r="AJT32" s="958"/>
      <c r="AJU32" s="958"/>
      <c r="AJV32" s="958"/>
      <c r="AJW32" s="958"/>
      <c r="AJX32" s="958"/>
      <c r="AJY32" s="958"/>
      <c r="AJZ32" s="958"/>
      <c r="AKA32" s="958"/>
      <c r="AKB32" s="958"/>
      <c r="AKC32" s="958"/>
      <c r="AKD32" s="958"/>
      <c r="AKE32" s="958"/>
      <c r="AKF32" s="958"/>
      <c r="AKG32" s="958"/>
      <c r="AKH32" s="958"/>
      <c r="AKI32" s="958"/>
      <c r="AKJ32" s="958"/>
      <c r="AKK32" s="958"/>
      <c r="AKL32" s="958"/>
      <c r="AKM32" s="958"/>
      <c r="AKN32" s="958"/>
      <c r="AKO32" s="958"/>
      <c r="AKP32" s="958"/>
      <c r="AKQ32" s="958"/>
      <c r="AKR32" s="958"/>
      <c r="AKS32" s="958"/>
      <c r="AKT32" s="958"/>
      <c r="AKU32" s="958"/>
      <c r="AKV32" s="958"/>
      <c r="AKW32" s="958"/>
      <c r="AKX32" s="958"/>
      <c r="AKY32" s="958"/>
      <c r="AKZ32" s="958"/>
      <c r="ALA32" s="958"/>
      <c r="ALB32" s="958"/>
      <c r="ALC32" s="958"/>
      <c r="ALD32" s="958"/>
      <c r="ALE32" s="958"/>
      <c r="ALF32" s="958"/>
      <c r="ALG32" s="958"/>
      <c r="ALH32" s="958"/>
      <c r="ALI32" s="958"/>
      <c r="ALJ32" s="958"/>
      <c r="ALK32" s="958"/>
      <c r="ALL32" s="958"/>
      <c r="ALM32" s="958"/>
      <c r="ALN32" s="958"/>
      <c r="ALO32" s="958"/>
      <c r="ALP32" s="958"/>
      <c r="ALQ32" s="958"/>
      <c r="ALR32" s="958"/>
      <c r="ALS32" s="958"/>
      <c r="ALT32" s="958"/>
      <c r="ALU32" s="958"/>
      <c r="ALV32" s="958"/>
      <c r="ALW32" s="958"/>
      <c r="ALX32" s="958"/>
      <c r="ALY32" s="958"/>
      <c r="ALZ32" s="958"/>
      <c r="AMA32" s="958"/>
      <c r="AMB32" s="958"/>
      <c r="AMC32" s="958"/>
      <c r="AMD32" s="958"/>
      <c r="AME32" s="958"/>
      <c r="AMF32" s="958"/>
      <c r="AMG32" s="958"/>
      <c r="AMH32" s="958"/>
      <c r="AMI32" s="958"/>
      <c r="AMJ32" s="958"/>
      <c r="AMK32" s="958"/>
      <c r="AML32" s="958"/>
      <c r="AMM32" s="958"/>
      <c r="AMN32" s="958"/>
      <c r="AMO32" s="958"/>
      <c r="AMP32" s="958"/>
      <c r="AMQ32" s="958"/>
      <c r="AMR32" s="958"/>
      <c r="AMS32" s="958"/>
      <c r="AMT32" s="958"/>
      <c r="AMU32" s="958"/>
      <c r="AMV32" s="958"/>
      <c r="AMW32" s="958"/>
      <c r="AMX32" s="958"/>
      <c r="AMY32" s="958"/>
      <c r="AMZ32" s="958"/>
      <c r="ANA32" s="958"/>
      <c r="ANB32" s="958"/>
      <c r="ANC32" s="958"/>
      <c r="AND32" s="958"/>
      <c r="ANE32" s="958"/>
      <c r="ANF32" s="958"/>
      <c r="ANG32" s="958"/>
      <c r="ANH32" s="958"/>
      <c r="ANI32" s="958"/>
      <c r="ANJ32" s="958"/>
      <c r="ANK32" s="958"/>
      <c r="ANL32" s="958"/>
      <c r="ANM32" s="958"/>
      <c r="ANN32" s="958"/>
      <c r="ANO32" s="958"/>
      <c r="ANP32" s="958"/>
      <c r="ANQ32" s="958"/>
      <c r="ANR32" s="958"/>
      <c r="ANS32" s="958"/>
      <c r="ANT32" s="958"/>
      <c r="ANU32" s="958"/>
      <c r="ANV32" s="958"/>
      <c r="ANW32" s="958"/>
      <c r="ANX32" s="958"/>
      <c r="ANY32" s="958"/>
      <c r="ANZ32" s="958"/>
      <c r="AOA32" s="958"/>
      <c r="AOB32" s="958"/>
      <c r="AOC32" s="958"/>
      <c r="AOD32" s="958"/>
      <c r="AOE32" s="958"/>
      <c r="AOF32" s="958"/>
      <c r="AOG32" s="958"/>
      <c r="AOH32" s="958"/>
      <c r="AOI32" s="958"/>
      <c r="AOJ32" s="958"/>
      <c r="AOK32" s="958"/>
      <c r="AOL32" s="958"/>
      <c r="AOM32" s="958"/>
      <c r="AON32" s="958"/>
      <c r="AOO32" s="958"/>
      <c r="AOP32" s="958"/>
      <c r="AOQ32" s="958"/>
      <c r="AOR32" s="958"/>
      <c r="AOS32" s="958"/>
      <c r="AOT32" s="958"/>
      <c r="AOU32" s="958"/>
      <c r="AOV32" s="958"/>
      <c r="AOW32" s="958"/>
      <c r="AOX32" s="958"/>
      <c r="AOY32" s="958"/>
      <c r="AOZ32" s="958"/>
      <c r="APA32" s="958"/>
      <c r="APB32" s="958"/>
      <c r="APC32" s="958"/>
      <c r="APD32" s="958"/>
      <c r="APE32" s="958"/>
      <c r="APF32" s="958"/>
      <c r="APG32" s="958"/>
      <c r="APH32" s="958"/>
      <c r="API32" s="958"/>
      <c r="APJ32" s="958"/>
      <c r="APK32" s="958"/>
      <c r="APL32" s="958"/>
      <c r="APM32" s="958"/>
      <c r="APN32" s="958"/>
      <c r="APO32" s="958"/>
      <c r="APP32" s="958"/>
      <c r="APQ32" s="958"/>
      <c r="APR32" s="958"/>
      <c r="APS32" s="958"/>
      <c r="APT32" s="958"/>
      <c r="APU32" s="958"/>
      <c r="APV32" s="958"/>
      <c r="APW32" s="958"/>
      <c r="APX32" s="958"/>
      <c r="APY32" s="958"/>
      <c r="APZ32" s="958"/>
      <c r="AQA32" s="958"/>
      <c r="AQB32" s="958"/>
      <c r="AQC32" s="958"/>
      <c r="AQD32" s="958"/>
      <c r="AQE32" s="958"/>
      <c r="AQF32" s="958"/>
      <c r="AQG32" s="958"/>
      <c r="AQH32" s="958"/>
      <c r="AQI32" s="958"/>
      <c r="AQJ32" s="958"/>
      <c r="AQK32" s="958"/>
      <c r="AQL32" s="958"/>
      <c r="AQM32" s="958"/>
      <c r="AQN32" s="958"/>
      <c r="AQO32" s="958"/>
      <c r="AQP32" s="958"/>
      <c r="AQQ32" s="958"/>
      <c r="AQR32" s="958"/>
      <c r="AQS32" s="958"/>
      <c r="AQT32" s="958"/>
      <c r="AQU32" s="958"/>
      <c r="AQV32" s="958"/>
      <c r="AQW32" s="958"/>
      <c r="AQX32" s="958"/>
      <c r="AQY32" s="958"/>
      <c r="AQZ32" s="958"/>
      <c r="ARA32" s="958"/>
      <c r="ARB32" s="958"/>
      <c r="ARC32" s="958"/>
      <c r="ARD32" s="958"/>
      <c r="ARE32" s="958"/>
      <c r="ARF32" s="958"/>
      <c r="ARG32" s="958"/>
      <c r="ARH32" s="958"/>
      <c r="ARI32" s="958"/>
      <c r="ARJ32" s="958"/>
      <c r="ARK32" s="958"/>
      <c r="ARL32" s="958"/>
      <c r="ARM32" s="958"/>
      <c r="ARN32" s="958"/>
      <c r="ARO32" s="958"/>
      <c r="ARP32" s="958"/>
      <c r="ARQ32" s="958"/>
      <c r="ARR32" s="958"/>
      <c r="ARS32" s="958"/>
      <c r="ART32" s="958"/>
      <c r="ARU32" s="958"/>
      <c r="ARV32" s="958"/>
      <c r="ARW32" s="958"/>
      <c r="ARX32" s="958"/>
      <c r="ARY32" s="958"/>
      <c r="ARZ32" s="958"/>
      <c r="ASA32" s="958"/>
      <c r="ASB32" s="958"/>
      <c r="ASC32" s="958"/>
      <c r="ASD32" s="958"/>
      <c r="ASE32" s="958"/>
      <c r="ASF32" s="958"/>
      <c r="ASG32" s="958"/>
      <c r="ASH32" s="958"/>
      <c r="ASI32" s="958"/>
      <c r="ASJ32" s="958"/>
      <c r="ASK32" s="958"/>
      <c r="ASL32" s="958"/>
      <c r="ASM32" s="958"/>
      <c r="ASN32" s="958"/>
      <c r="ASO32" s="958"/>
      <c r="ASP32" s="958"/>
      <c r="ASQ32" s="958"/>
      <c r="ASR32" s="958"/>
      <c r="ASS32" s="958"/>
      <c r="AST32" s="958"/>
      <c r="ASU32" s="958"/>
      <c r="ASV32" s="958"/>
      <c r="ASW32" s="958"/>
      <c r="ASX32" s="958"/>
      <c r="ASY32" s="958"/>
      <c r="ASZ32" s="958"/>
    </row>
    <row r="33" spans="1:1196" s="22" customFormat="1" ht="91.5" customHeight="1" thickTop="1" thickBot="1">
      <c r="A33" s="2846"/>
      <c r="B33" s="2942"/>
      <c r="C33" s="3024" t="s">
        <v>485</v>
      </c>
      <c r="D33" s="111" t="s">
        <v>233</v>
      </c>
      <c r="E33" s="177" t="s">
        <v>234</v>
      </c>
      <c r="F33" s="177" t="s">
        <v>10</v>
      </c>
      <c r="G33" s="888">
        <v>0.02</v>
      </c>
      <c r="H33" s="76"/>
      <c r="I33" s="76"/>
      <c r="J33" s="76"/>
      <c r="K33" s="179" t="s">
        <v>23</v>
      </c>
      <c r="L33" s="980">
        <v>0.02</v>
      </c>
      <c r="M33" s="981">
        <f>3/185</f>
        <v>1.6216216216216217E-2</v>
      </c>
      <c r="N33" s="73">
        <f t="shared" si="3"/>
        <v>0.81081081081081086</v>
      </c>
      <c r="O33" s="980">
        <v>0.02</v>
      </c>
      <c r="P33" s="981">
        <f>10/183</f>
        <v>5.4644808743169397E-2</v>
      </c>
      <c r="Q33" s="73">
        <f t="shared" si="4"/>
        <v>2.7322404371584699</v>
      </c>
      <c r="R33" s="980">
        <v>0.02</v>
      </c>
      <c r="S33" s="981">
        <f>9/135</f>
        <v>6.6666666666666666E-2</v>
      </c>
      <c r="T33" s="73">
        <f t="shared" si="5"/>
        <v>3.333333333333333</v>
      </c>
      <c r="U33" s="980">
        <v>0.02</v>
      </c>
      <c r="V33" s="981">
        <f>0/40</f>
        <v>0</v>
      </c>
      <c r="W33" s="73">
        <f t="shared" si="6"/>
        <v>0</v>
      </c>
      <c r="X33" s="980">
        <v>0.02</v>
      </c>
      <c r="Y33" s="981">
        <f>4/70</f>
        <v>5.7142857142857141E-2</v>
      </c>
      <c r="Z33" s="73">
        <f t="shared" si="7"/>
        <v>2.8571428571428572</v>
      </c>
      <c r="AA33" s="980">
        <v>0.02</v>
      </c>
      <c r="AB33" s="980">
        <f>7/104</f>
        <v>6.7307692307692304E-2</v>
      </c>
      <c r="AC33" s="73">
        <f t="shared" si="8"/>
        <v>3.365384615384615</v>
      </c>
      <c r="AD33" s="982">
        <f>+(M33+P33+S33+V33+Y33+AB33)/6</f>
        <v>4.3663040179433621E-2</v>
      </c>
      <c r="AE33" s="956">
        <f t="shared" si="21"/>
        <v>2.1831520089716809</v>
      </c>
      <c r="AF33" s="982">
        <v>0.02</v>
      </c>
      <c r="AG33" s="981">
        <f>3/123</f>
        <v>2.4390243902439025E-2</v>
      </c>
      <c r="AH33" s="73">
        <f t="shared" si="11"/>
        <v>1.2195121951219512</v>
      </c>
      <c r="AI33" s="980">
        <v>0.02</v>
      </c>
      <c r="AJ33" s="981">
        <f>3/92</f>
        <v>3.2608695652173912E-2</v>
      </c>
      <c r="AK33" s="73">
        <f t="shared" si="12"/>
        <v>1.6304347826086956</v>
      </c>
      <c r="AL33" s="980">
        <v>0.02</v>
      </c>
      <c r="AM33" s="981">
        <f>3/107</f>
        <v>2.8037383177570093E-2</v>
      </c>
      <c r="AN33" s="73">
        <f t="shared" si="13"/>
        <v>1.4018691588785046</v>
      </c>
      <c r="AO33" s="980">
        <v>0.02</v>
      </c>
      <c r="AP33" s="981">
        <f>3/143</f>
        <v>2.097902097902098E-2</v>
      </c>
      <c r="AQ33" s="73">
        <f t="shared" si="14"/>
        <v>1.048951048951049</v>
      </c>
      <c r="AR33" s="980">
        <v>0.02</v>
      </c>
      <c r="AS33" s="981">
        <f>2/142</f>
        <v>1.4084507042253521E-2</v>
      </c>
      <c r="AT33" s="73">
        <f t="shared" si="15"/>
        <v>0.70422535211267601</v>
      </c>
      <c r="AU33" s="869">
        <v>0.02</v>
      </c>
      <c r="AV33" s="978">
        <f>4/128</f>
        <v>3.125E-2</v>
      </c>
      <c r="AW33" s="73">
        <f t="shared" si="16"/>
        <v>1.5625</v>
      </c>
      <c r="AX33" s="596">
        <f>+(M33+P33+S33+V33+Y33+AB33+AV33+AS33+AP33+AM33+AJ33+AG33)/12</f>
        <v>3.4444007652504938E-2</v>
      </c>
      <c r="AY33" s="956">
        <f t="shared" si="18"/>
        <v>1.7222003826252468</v>
      </c>
      <c r="AZ33" s="958"/>
      <c r="BA33" s="958"/>
      <c r="BB33" s="958"/>
      <c r="BC33" s="958"/>
      <c r="BD33" s="958"/>
      <c r="BE33" s="958"/>
      <c r="BF33" s="958"/>
      <c r="BG33" s="958"/>
      <c r="BH33" s="958"/>
      <c r="BI33" s="958"/>
      <c r="BJ33" s="958"/>
      <c r="BK33" s="958"/>
      <c r="BL33" s="958"/>
      <c r="BM33" s="958"/>
      <c r="BN33" s="958"/>
      <c r="BO33" s="958"/>
      <c r="BP33" s="958"/>
      <c r="BQ33" s="958"/>
      <c r="BR33" s="958"/>
      <c r="BS33" s="958"/>
      <c r="BT33" s="958"/>
      <c r="BU33" s="958"/>
      <c r="BV33" s="958"/>
      <c r="BW33" s="958"/>
      <c r="BX33" s="958"/>
      <c r="BY33" s="958"/>
      <c r="BZ33" s="958"/>
      <c r="CA33" s="958"/>
      <c r="CB33" s="958"/>
      <c r="CC33" s="958"/>
      <c r="CD33" s="958"/>
      <c r="CE33" s="958"/>
      <c r="CF33" s="958"/>
      <c r="CG33" s="958"/>
      <c r="CH33" s="958"/>
      <c r="CI33" s="958"/>
      <c r="CJ33" s="958"/>
      <c r="CK33" s="958"/>
      <c r="CL33" s="958"/>
      <c r="CM33" s="958"/>
      <c r="CN33" s="958"/>
      <c r="CO33" s="958"/>
      <c r="CP33" s="958"/>
      <c r="CQ33" s="958"/>
      <c r="CR33" s="958"/>
      <c r="CS33" s="958"/>
      <c r="CT33" s="958"/>
      <c r="CU33" s="958"/>
      <c r="CV33" s="958"/>
      <c r="CW33" s="958"/>
      <c r="CX33" s="958"/>
      <c r="CY33" s="958"/>
      <c r="CZ33" s="958"/>
      <c r="DA33" s="958"/>
      <c r="DB33" s="958"/>
      <c r="DC33" s="958"/>
      <c r="DD33" s="958"/>
      <c r="DE33" s="958"/>
      <c r="DF33" s="958"/>
      <c r="DG33" s="958"/>
      <c r="DH33" s="958"/>
      <c r="DI33" s="958"/>
      <c r="DJ33" s="958"/>
      <c r="DK33" s="958"/>
      <c r="DL33" s="958"/>
      <c r="DM33" s="958"/>
      <c r="DN33" s="958"/>
      <c r="DO33" s="958"/>
      <c r="DP33" s="958"/>
      <c r="DQ33" s="958"/>
      <c r="DR33" s="958"/>
      <c r="DS33" s="958"/>
      <c r="DT33" s="958"/>
      <c r="DU33" s="958"/>
      <c r="DV33" s="958"/>
      <c r="DW33" s="958"/>
      <c r="DX33" s="958"/>
      <c r="DY33" s="958"/>
      <c r="DZ33" s="958"/>
      <c r="EA33" s="958"/>
      <c r="EB33" s="958"/>
      <c r="EC33" s="958"/>
      <c r="ED33" s="958"/>
      <c r="EE33" s="958"/>
      <c r="EF33" s="958"/>
      <c r="EG33" s="958"/>
      <c r="EH33" s="958"/>
      <c r="EI33" s="958"/>
      <c r="EJ33" s="958"/>
      <c r="EK33" s="958"/>
      <c r="EL33" s="958"/>
      <c r="EM33" s="958"/>
      <c r="EN33" s="958"/>
      <c r="EO33" s="958"/>
      <c r="EP33" s="958"/>
      <c r="EQ33" s="958"/>
      <c r="ER33" s="958"/>
      <c r="ES33" s="958"/>
      <c r="ET33" s="958"/>
      <c r="EU33" s="958"/>
      <c r="EV33" s="958"/>
      <c r="EW33" s="958"/>
      <c r="EX33" s="958"/>
      <c r="EY33" s="958"/>
      <c r="EZ33" s="958"/>
      <c r="FA33" s="958"/>
      <c r="FB33" s="958"/>
      <c r="FC33" s="958"/>
      <c r="FD33" s="958"/>
      <c r="FE33" s="958"/>
      <c r="FF33" s="958"/>
      <c r="FG33" s="958"/>
      <c r="FH33" s="958"/>
      <c r="FI33" s="958"/>
      <c r="FJ33" s="958"/>
      <c r="FK33" s="958"/>
      <c r="FL33" s="958"/>
      <c r="FM33" s="958"/>
      <c r="FN33" s="958"/>
      <c r="FO33" s="958"/>
      <c r="FP33" s="958"/>
      <c r="FQ33" s="958"/>
      <c r="FR33" s="958"/>
      <c r="FS33" s="958"/>
      <c r="FT33" s="958"/>
      <c r="FU33" s="958"/>
      <c r="FV33" s="958"/>
      <c r="FW33" s="958"/>
      <c r="FX33" s="958"/>
      <c r="FY33" s="958"/>
      <c r="FZ33" s="958"/>
      <c r="GA33" s="958"/>
      <c r="GB33" s="958"/>
      <c r="GC33" s="958"/>
      <c r="GD33" s="958"/>
      <c r="GE33" s="958"/>
      <c r="GF33" s="958"/>
      <c r="GG33" s="958"/>
      <c r="GH33" s="958"/>
      <c r="GI33" s="958"/>
      <c r="GJ33" s="958"/>
      <c r="GK33" s="958"/>
      <c r="GL33" s="958"/>
      <c r="GM33" s="958"/>
      <c r="GN33" s="958"/>
      <c r="GO33" s="958"/>
      <c r="GP33" s="958"/>
      <c r="GQ33" s="958"/>
      <c r="GR33" s="958"/>
      <c r="GS33" s="958"/>
      <c r="GT33" s="958"/>
      <c r="GU33" s="958"/>
      <c r="GV33" s="958"/>
      <c r="GW33" s="958"/>
      <c r="GX33" s="958"/>
      <c r="GY33" s="958"/>
      <c r="GZ33" s="958"/>
      <c r="HA33" s="958"/>
      <c r="HB33" s="958"/>
      <c r="HC33" s="958"/>
      <c r="HD33" s="958"/>
      <c r="HE33" s="958"/>
      <c r="HF33" s="958"/>
      <c r="HG33" s="958"/>
      <c r="HH33" s="958"/>
      <c r="HI33" s="958"/>
      <c r="HJ33" s="958"/>
      <c r="HK33" s="958"/>
      <c r="HL33" s="958"/>
      <c r="HM33" s="958"/>
      <c r="HN33" s="958"/>
      <c r="HO33" s="958"/>
      <c r="HP33" s="958"/>
      <c r="HQ33" s="958"/>
      <c r="HR33" s="958"/>
      <c r="HS33" s="958"/>
      <c r="HT33" s="958"/>
      <c r="HU33" s="958"/>
      <c r="HV33" s="958"/>
      <c r="HW33" s="958"/>
      <c r="HX33" s="958"/>
      <c r="HY33" s="958"/>
      <c r="HZ33" s="958"/>
      <c r="IA33" s="958"/>
      <c r="IB33" s="958"/>
      <c r="IC33" s="958"/>
      <c r="ID33" s="958"/>
      <c r="IE33" s="958"/>
      <c r="IF33" s="958"/>
      <c r="IG33" s="958"/>
      <c r="IH33" s="958"/>
      <c r="II33" s="958"/>
      <c r="IJ33" s="958"/>
      <c r="IK33" s="958"/>
      <c r="IL33" s="958"/>
      <c r="IM33" s="958"/>
      <c r="IN33" s="958"/>
      <c r="IO33" s="958"/>
      <c r="IP33" s="958"/>
      <c r="IQ33" s="958"/>
      <c r="IR33" s="958"/>
      <c r="IS33" s="958"/>
      <c r="IT33" s="958"/>
      <c r="IU33" s="958"/>
      <c r="IV33" s="958"/>
      <c r="IW33" s="958"/>
      <c r="IX33" s="958"/>
      <c r="IY33" s="958"/>
      <c r="IZ33" s="958"/>
      <c r="JA33" s="958"/>
      <c r="JB33" s="958"/>
      <c r="JC33" s="958"/>
      <c r="JD33" s="958"/>
      <c r="JE33" s="958"/>
      <c r="JF33" s="958"/>
      <c r="JG33" s="958"/>
      <c r="JH33" s="958"/>
      <c r="JI33" s="958"/>
      <c r="JJ33" s="958"/>
      <c r="JK33" s="958"/>
      <c r="JL33" s="958"/>
      <c r="JM33" s="958"/>
      <c r="JN33" s="958"/>
      <c r="JO33" s="958"/>
      <c r="JP33" s="958"/>
      <c r="JQ33" s="958"/>
      <c r="JR33" s="958"/>
      <c r="JS33" s="958"/>
      <c r="JT33" s="958"/>
      <c r="JU33" s="958"/>
      <c r="JV33" s="958"/>
      <c r="JW33" s="958"/>
      <c r="JX33" s="958"/>
      <c r="JY33" s="958"/>
      <c r="JZ33" s="958"/>
      <c r="KA33" s="958"/>
      <c r="KB33" s="958"/>
      <c r="KC33" s="958"/>
      <c r="KD33" s="958"/>
      <c r="KE33" s="958"/>
      <c r="KF33" s="958"/>
      <c r="KG33" s="958"/>
      <c r="KH33" s="958"/>
      <c r="KI33" s="958"/>
      <c r="KJ33" s="958"/>
      <c r="KK33" s="958"/>
      <c r="KL33" s="958"/>
      <c r="KM33" s="958"/>
      <c r="KN33" s="958"/>
      <c r="KO33" s="958"/>
      <c r="KP33" s="958"/>
      <c r="KQ33" s="958"/>
      <c r="KR33" s="958"/>
      <c r="KS33" s="958"/>
      <c r="KT33" s="958"/>
      <c r="KU33" s="958"/>
      <c r="KV33" s="958"/>
      <c r="KW33" s="958"/>
      <c r="KX33" s="958"/>
      <c r="KY33" s="958"/>
      <c r="KZ33" s="958"/>
      <c r="LA33" s="958"/>
      <c r="LB33" s="958"/>
      <c r="LC33" s="958"/>
      <c r="LD33" s="958"/>
      <c r="LE33" s="958"/>
      <c r="LF33" s="958"/>
      <c r="LG33" s="958"/>
      <c r="LH33" s="958"/>
      <c r="LI33" s="958"/>
      <c r="LJ33" s="958"/>
      <c r="LK33" s="958"/>
      <c r="LL33" s="958"/>
      <c r="LM33" s="958"/>
      <c r="LN33" s="958"/>
      <c r="LO33" s="958"/>
      <c r="LP33" s="958"/>
      <c r="LQ33" s="958"/>
      <c r="LR33" s="958"/>
      <c r="LS33" s="958"/>
      <c r="LT33" s="958"/>
      <c r="LU33" s="958"/>
      <c r="LV33" s="958"/>
      <c r="LW33" s="958"/>
      <c r="LX33" s="958"/>
      <c r="LY33" s="958"/>
      <c r="LZ33" s="958"/>
      <c r="MA33" s="958"/>
      <c r="MB33" s="958"/>
      <c r="MC33" s="958"/>
      <c r="MD33" s="958"/>
      <c r="ME33" s="958"/>
      <c r="MF33" s="958"/>
      <c r="MG33" s="958"/>
      <c r="MH33" s="958"/>
      <c r="MI33" s="958"/>
      <c r="MJ33" s="958"/>
      <c r="MK33" s="958"/>
      <c r="ML33" s="958"/>
      <c r="MM33" s="958"/>
      <c r="MN33" s="958"/>
      <c r="MO33" s="958"/>
      <c r="MP33" s="958"/>
      <c r="MQ33" s="958"/>
      <c r="MR33" s="958"/>
      <c r="MS33" s="958"/>
      <c r="MT33" s="958"/>
      <c r="MU33" s="958"/>
      <c r="MV33" s="958"/>
      <c r="MW33" s="958"/>
      <c r="MX33" s="958"/>
      <c r="MY33" s="958"/>
      <c r="MZ33" s="958"/>
      <c r="NA33" s="958"/>
      <c r="NB33" s="958"/>
      <c r="NC33" s="958"/>
      <c r="ND33" s="958"/>
      <c r="NE33" s="958"/>
      <c r="NF33" s="958"/>
      <c r="NG33" s="958"/>
      <c r="NH33" s="958"/>
      <c r="NI33" s="958"/>
      <c r="NJ33" s="958"/>
      <c r="NK33" s="958"/>
      <c r="NL33" s="958"/>
      <c r="NM33" s="958"/>
      <c r="NN33" s="958"/>
      <c r="NO33" s="958"/>
      <c r="NP33" s="958"/>
      <c r="NQ33" s="958"/>
      <c r="NR33" s="958"/>
      <c r="NS33" s="958"/>
      <c r="NT33" s="958"/>
      <c r="NU33" s="958"/>
      <c r="NV33" s="958"/>
      <c r="NW33" s="958"/>
      <c r="NX33" s="958"/>
      <c r="NY33" s="958"/>
      <c r="NZ33" s="958"/>
      <c r="OA33" s="958"/>
      <c r="OB33" s="958"/>
      <c r="OC33" s="958"/>
      <c r="OD33" s="958"/>
      <c r="OE33" s="958"/>
      <c r="OF33" s="958"/>
      <c r="OG33" s="958"/>
      <c r="OH33" s="958"/>
      <c r="OI33" s="958"/>
      <c r="OJ33" s="958"/>
      <c r="OK33" s="958"/>
      <c r="OL33" s="958"/>
      <c r="OM33" s="958"/>
      <c r="ON33" s="958"/>
      <c r="OO33" s="958"/>
      <c r="OP33" s="958"/>
      <c r="OQ33" s="958"/>
      <c r="OR33" s="958"/>
      <c r="OS33" s="958"/>
      <c r="OT33" s="958"/>
      <c r="OU33" s="958"/>
      <c r="OV33" s="958"/>
      <c r="OW33" s="958"/>
      <c r="OX33" s="958"/>
      <c r="OY33" s="958"/>
      <c r="OZ33" s="958"/>
      <c r="PA33" s="958"/>
      <c r="PB33" s="958"/>
      <c r="PC33" s="958"/>
      <c r="PD33" s="958"/>
      <c r="PE33" s="958"/>
      <c r="PF33" s="958"/>
      <c r="PG33" s="958"/>
      <c r="PH33" s="958"/>
      <c r="PI33" s="958"/>
      <c r="PJ33" s="958"/>
      <c r="PK33" s="958"/>
      <c r="PL33" s="958"/>
      <c r="PM33" s="958"/>
      <c r="PN33" s="958"/>
      <c r="PO33" s="958"/>
      <c r="PP33" s="958"/>
      <c r="PQ33" s="958"/>
      <c r="PR33" s="958"/>
      <c r="PS33" s="958"/>
      <c r="PT33" s="958"/>
      <c r="PU33" s="958"/>
      <c r="PV33" s="958"/>
      <c r="PW33" s="958"/>
      <c r="PX33" s="958"/>
      <c r="PY33" s="958"/>
      <c r="PZ33" s="958"/>
      <c r="QA33" s="958"/>
      <c r="QB33" s="958"/>
      <c r="QC33" s="958"/>
      <c r="QD33" s="958"/>
      <c r="QE33" s="958"/>
      <c r="QF33" s="958"/>
      <c r="QG33" s="958"/>
      <c r="QH33" s="958"/>
      <c r="QI33" s="958"/>
      <c r="QJ33" s="958"/>
      <c r="QK33" s="958"/>
      <c r="QL33" s="958"/>
      <c r="QM33" s="958"/>
      <c r="QN33" s="958"/>
      <c r="QO33" s="958"/>
      <c r="QP33" s="958"/>
      <c r="QQ33" s="958"/>
      <c r="QR33" s="958"/>
      <c r="QS33" s="958"/>
      <c r="QT33" s="958"/>
      <c r="QU33" s="958"/>
      <c r="QV33" s="958"/>
      <c r="QW33" s="958"/>
      <c r="QX33" s="958"/>
      <c r="QY33" s="958"/>
      <c r="QZ33" s="958"/>
      <c r="RA33" s="958"/>
      <c r="RB33" s="958"/>
      <c r="RC33" s="958"/>
      <c r="RD33" s="958"/>
      <c r="RE33" s="958"/>
      <c r="RF33" s="958"/>
      <c r="RG33" s="958"/>
      <c r="RH33" s="958"/>
      <c r="RI33" s="958"/>
      <c r="RJ33" s="958"/>
      <c r="RK33" s="958"/>
      <c r="RL33" s="958"/>
      <c r="RM33" s="958"/>
      <c r="RN33" s="958"/>
      <c r="RO33" s="958"/>
      <c r="RP33" s="958"/>
      <c r="RQ33" s="958"/>
      <c r="RR33" s="958"/>
      <c r="RS33" s="958"/>
      <c r="RT33" s="958"/>
      <c r="RU33" s="958"/>
      <c r="RV33" s="958"/>
      <c r="RW33" s="958"/>
      <c r="RX33" s="958"/>
      <c r="RY33" s="958"/>
      <c r="RZ33" s="958"/>
      <c r="SA33" s="958"/>
      <c r="SB33" s="958"/>
      <c r="SC33" s="958"/>
      <c r="SD33" s="958"/>
      <c r="SE33" s="958"/>
      <c r="SF33" s="958"/>
      <c r="SG33" s="958"/>
      <c r="SH33" s="958"/>
      <c r="SI33" s="958"/>
      <c r="SJ33" s="958"/>
      <c r="SK33" s="958"/>
      <c r="SL33" s="958"/>
      <c r="SM33" s="958"/>
      <c r="SN33" s="958"/>
      <c r="SO33" s="958"/>
      <c r="SP33" s="958"/>
      <c r="SQ33" s="958"/>
      <c r="SR33" s="958"/>
      <c r="SS33" s="958"/>
      <c r="ST33" s="958"/>
      <c r="SU33" s="958"/>
      <c r="SV33" s="958"/>
      <c r="SW33" s="958"/>
      <c r="SX33" s="958"/>
      <c r="SY33" s="958"/>
      <c r="SZ33" s="958"/>
      <c r="TA33" s="958"/>
      <c r="TB33" s="958"/>
      <c r="TC33" s="958"/>
      <c r="TD33" s="958"/>
      <c r="TE33" s="958"/>
      <c r="TF33" s="958"/>
      <c r="TG33" s="958"/>
      <c r="TH33" s="958"/>
      <c r="TI33" s="958"/>
      <c r="TJ33" s="958"/>
      <c r="TK33" s="958"/>
      <c r="TL33" s="958"/>
      <c r="TM33" s="958"/>
      <c r="TN33" s="958"/>
      <c r="TO33" s="958"/>
      <c r="TP33" s="958"/>
      <c r="TQ33" s="958"/>
      <c r="TR33" s="958"/>
      <c r="TS33" s="958"/>
      <c r="TT33" s="958"/>
      <c r="TU33" s="958"/>
      <c r="TV33" s="958"/>
      <c r="TW33" s="958"/>
      <c r="TX33" s="958"/>
      <c r="TY33" s="958"/>
      <c r="TZ33" s="958"/>
      <c r="UA33" s="958"/>
      <c r="UB33" s="958"/>
      <c r="UC33" s="958"/>
      <c r="UD33" s="958"/>
      <c r="UE33" s="958"/>
      <c r="UF33" s="958"/>
      <c r="UG33" s="958"/>
      <c r="UH33" s="958"/>
      <c r="UI33" s="958"/>
      <c r="UJ33" s="958"/>
      <c r="UK33" s="958"/>
      <c r="UL33" s="958"/>
      <c r="UM33" s="958"/>
      <c r="UN33" s="958"/>
      <c r="UO33" s="958"/>
      <c r="UP33" s="958"/>
      <c r="UQ33" s="958"/>
      <c r="UR33" s="958"/>
      <c r="US33" s="958"/>
      <c r="UT33" s="958"/>
      <c r="UU33" s="958"/>
      <c r="UV33" s="958"/>
      <c r="UW33" s="958"/>
      <c r="UX33" s="958"/>
      <c r="UY33" s="958"/>
      <c r="UZ33" s="958"/>
      <c r="VA33" s="958"/>
      <c r="VB33" s="958"/>
      <c r="VC33" s="958"/>
      <c r="VD33" s="958"/>
      <c r="VE33" s="958"/>
      <c r="VF33" s="958"/>
      <c r="VG33" s="958"/>
      <c r="VH33" s="958"/>
      <c r="VI33" s="958"/>
      <c r="VJ33" s="958"/>
      <c r="VK33" s="958"/>
      <c r="VL33" s="958"/>
      <c r="VM33" s="958"/>
      <c r="VN33" s="958"/>
      <c r="VO33" s="958"/>
      <c r="VP33" s="958"/>
      <c r="VQ33" s="958"/>
      <c r="VR33" s="958"/>
      <c r="VS33" s="958"/>
      <c r="VT33" s="958"/>
      <c r="VU33" s="958"/>
      <c r="VV33" s="958"/>
      <c r="VW33" s="958"/>
      <c r="VX33" s="958"/>
      <c r="VY33" s="958"/>
      <c r="VZ33" s="958"/>
      <c r="WA33" s="958"/>
      <c r="WB33" s="958"/>
      <c r="WC33" s="958"/>
      <c r="WD33" s="958"/>
      <c r="WE33" s="958"/>
      <c r="WF33" s="958"/>
      <c r="WG33" s="958"/>
      <c r="WH33" s="958"/>
      <c r="WI33" s="958"/>
      <c r="WJ33" s="958"/>
      <c r="WK33" s="958"/>
      <c r="WL33" s="958"/>
      <c r="WM33" s="958"/>
      <c r="WN33" s="958"/>
      <c r="WO33" s="958"/>
      <c r="WP33" s="958"/>
      <c r="WQ33" s="958"/>
      <c r="WR33" s="958"/>
      <c r="WS33" s="958"/>
      <c r="WT33" s="958"/>
      <c r="WU33" s="958"/>
      <c r="WV33" s="958"/>
      <c r="WW33" s="958"/>
      <c r="WX33" s="958"/>
      <c r="WY33" s="958"/>
      <c r="WZ33" s="958"/>
      <c r="XA33" s="958"/>
      <c r="XB33" s="958"/>
      <c r="XC33" s="958"/>
      <c r="XD33" s="958"/>
      <c r="XE33" s="958"/>
      <c r="XF33" s="958"/>
      <c r="XG33" s="958"/>
      <c r="XH33" s="958"/>
      <c r="XI33" s="958"/>
      <c r="XJ33" s="958"/>
      <c r="XK33" s="958"/>
      <c r="XL33" s="958"/>
      <c r="XM33" s="958"/>
      <c r="XN33" s="958"/>
      <c r="XO33" s="958"/>
      <c r="XP33" s="958"/>
      <c r="XQ33" s="958"/>
      <c r="XR33" s="958"/>
      <c r="XS33" s="958"/>
      <c r="XT33" s="958"/>
      <c r="XU33" s="958"/>
      <c r="XV33" s="958"/>
      <c r="XW33" s="958"/>
      <c r="XX33" s="958"/>
      <c r="XY33" s="958"/>
      <c r="XZ33" s="958"/>
      <c r="YA33" s="958"/>
      <c r="YB33" s="958"/>
      <c r="YC33" s="958"/>
      <c r="YD33" s="958"/>
      <c r="YE33" s="958"/>
      <c r="YF33" s="958"/>
      <c r="YG33" s="958"/>
      <c r="YH33" s="958"/>
      <c r="YI33" s="958"/>
      <c r="YJ33" s="958"/>
      <c r="YK33" s="958"/>
      <c r="YL33" s="958"/>
      <c r="YM33" s="958"/>
      <c r="YN33" s="958"/>
      <c r="YO33" s="958"/>
      <c r="YP33" s="958"/>
      <c r="YQ33" s="958"/>
      <c r="YR33" s="958"/>
      <c r="YS33" s="958"/>
      <c r="YT33" s="958"/>
      <c r="YU33" s="958"/>
      <c r="YV33" s="958"/>
      <c r="YW33" s="958"/>
      <c r="YX33" s="958"/>
      <c r="YY33" s="958"/>
      <c r="YZ33" s="958"/>
      <c r="ZA33" s="958"/>
      <c r="ZB33" s="958"/>
      <c r="ZC33" s="958"/>
      <c r="ZD33" s="958"/>
      <c r="ZE33" s="958"/>
      <c r="ZF33" s="958"/>
      <c r="ZG33" s="958"/>
      <c r="ZH33" s="958"/>
      <c r="ZI33" s="958"/>
      <c r="ZJ33" s="958"/>
      <c r="ZK33" s="958"/>
      <c r="ZL33" s="958"/>
      <c r="ZM33" s="958"/>
      <c r="ZN33" s="958"/>
      <c r="ZO33" s="958"/>
      <c r="ZP33" s="958"/>
      <c r="ZQ33" s="958"/>
      <c r="ZR33" s="958"/>
      <c r="ZS33" s="958"/>
      <c r="ZT33" s="958"/>
      <c r="ZU33" s="958"/>
      <c r="ZV33" s="958"/>
      <c r="ZW33" s="958"/>
      <c r="ZX33" s="958"/>
      <c r="ZY33" s="958"/>
      <c r="ZZ33" s="958"/>
      <c r="AAA33" s="958"/>
      <c r="AAB33" s="958"/>
      <c r="AAC33" s="958"/>
      <c r="AAD33" s="958"/>
      <c r="AAE33" s="958"/>
      <c r="AAF33" s="958"/>
      <c r="AAG33" s="958"/>
      <c r="AAH33" s="958"/>
      <c r="AAI33" s="958"/>
      <c r="AAJ33" s="958"/>
      <c r="AAK33" s="958"/>
      <c r="AAL33" s="958"/>
      <c r="AAM33" s="958"/>
      <c r="AAN33" s="958"/>
      <c r="AAO33" s="958"/>
      <c r="AAP33" s="958"/>
      <c r="AAQ33" s="958"/>
      <c r="AAR33" s="958"/>
      <c r="AAS33" s="958"/>
      <c r="AAT33" s="958"/>
      <c r="AAU33" s="958"/>
      <c r="AAV33" s="958"/>
      <c r="AAW33" s="958"/>
      <c r="AAX33" s="958"/>
      <c r="AAY33" s="958"/>
      <c r="AAZ33" s="958"/>
      <c r="ABA33" s="958"/>
      <c r="ABB33" s="958"/>
      <c r="ABC33" s="958"/>
      <c r="ABD33" s="958"/>
      <c r="ABE33" s="958"/>
      <c r="ABF33" s="958"/>
      <c r="ABG33" s="958"/>
      <c r="ABH33" s="958"/>
      <c r="ABI33" s="958"/>
      <c r="ABJ33" s="958"/>
      <c r="ABK33" s="958"/>
      <c r="ABL33" s="958"/>
      <c r="ABM33" s="958"/>
      <c r="ABN33" s="958"/>
      <c r="ABO33" s="958"/>
      <c r="ABP33" s="958"/>
      <c r="ABQ33" s="958"/>
      <c r="ABR33" s="958"/>
      <c r="ABS33" s="958"/>
      <c r="ABT33" s="958"/>
      <c r="ABU33" s="958"/>
      <c r="ABV33" s="958"/>
      <c r="ABW33" s="958"/>
      <c r="ABX33" s="958"/>
      <c r="ABY33" s="958"/>
      <c r="ABZ33" s="958"/>
      <c r="ACA33" s="958"/>
      <c r="ACB33" s="958"/>
      <c r="ACC33" s="958"/>
      <c r="ACD33" s="958"/>
      <c r="ACE33" s="958"/>
      <c r="ACF33" s="958"/>
      <c r="ACG33" s="958"/>
      <c r="ACH33" s="958"/>
      <c r="ACI33" s="958"/>
      <c r="ACJ33" s="958"/>
      <c r="ACK33" s="958"/>
      <c r="ACL33" s="958"/>
      <c r="ACM33" s="958"/>
      <c r="ACN33" s="958"/>
      <c r="ACO33" s="958"/>
      <c r="ACP33" s="958"/>
      <c r="ACQ33" s="958"/>
      <c r="ACR33" s="958"/>
      <c r="ACS33" s="958"/>
      <c r="ACT33" s="958"/>
      <c r="ACU33" s="958"/>
      <c r="ACV33" s="958"/>
      <c r="ACW33" s="958"/>
      <c r="ACX33" s="958"/>
      <c r="ACY33" s="958"/>
      <c r="ACZ33" s="958"/>
      <c r="ADA33" s="958"/>
      <c r="ADB33" s="958"/>
      <c r="ADC33" s="958"/>
      <c r="ADD33" s="958"/>
      <c r="ADE33" s="958"/>
      <c r="ADF33" s="958"/>
      <c r="ADG33" s="958"/>
      <c r="ADH33" s="958"/>
      <c r="ADI33" s="958"/>
      <c r="ADJ33" s="958"/>
      <c r="ADK33" s="958"/>
      <c r="ADL33" s="958"/>
      <c r="ADM33" s="958"/>
      <c r="ADN33" s="958"/>
      <c r="ADO33" s="958"/>
      <c r="ADP33" s="958"/>
      <c r="ADQ33" s="958"/>
      <c r="ADR33" s="958"/>
      <c r="ADS33" s="958"/>
      <c r="ADT33" s="958"/>
      <c r="ADU33" s="958"/>
      <c r="ADV33" s="958"/>
      <c r="ADW33" s="958"/>
      <c r="ADX33" s="958"/>
      <c r="ADY33" s="958"/>
      <c r="ADZ33" s="958"/>
      <c r="AEA33" s="958"/>
      <c r="AEB33" s="958"/>
      <c r="AEC33" s="958"/>
      <c r="AED33" s="958"/>
      <c r="AEE33" s="958"/>
      <c r="AEF33" s="958"/>
      <c r="AEG33" s="958"/>
      <c r="AEH33" s="958"/>
      <c r="AEI33" s="958"/>
      <c r="AEJ33" s="958"/>
      <c r="AEK33" s="958"/>
      <c r="AEL33" s="958"/>
      <c r="AEM33" s="958"/>
      <c r="AEN33" s="958"/>
      <c r="AEO33" s="958"/>
      <c r="AEP33" s="958"/>
      <c r="AEQ33" s="958"/>
      <c r="AER33" s="958"/>
      <c r="AES33" s="958"/>
      <c r="AET33" s="958"/>
      <c r="AEU33" s="958"/>
      <c r="AEV33" s="958"/>
      <c r="AEW33" s="958"/>
      <c r="AEX33" s="958"/>
      <c r="AEY33" s="958"/>
      <c r="AEZ33" s="958"/>
      <c r="AFA33" s="958"/>
      <c r="AFB33" s="958"/>
      <c r="AFC33" s="958"/>
      <c r="AFD33" s="958"/>
      <c r="AFE33" s="958"/>
      <c r="AFF33" s="958"/>
      <c r="AFG33" s="958"/>
      <c r="AFH33" s="958"/>
      <c r="AFI33" s="958"/>
      <c r="AFJ33" s="958"/>
      <c r="AFK33" s="958"/>
      <c r="AFL33" s="958"/>
      <c r="AFM33" s="958"/>
      <c r="AFN33" s="958"/>
      <c r="AFO33" s="958"/>
      <c r="AFP33" s="958"/>
      <c r="AFQ33" s="958"/>
      <c r="AFR33" s="958"/>
      <c r="AFS33" s="958"/>
      <c r="AFT33" s="958"/>
      <c r="AFU33" s="958"/>
      <c r="AFV33" s="958"/>
      <c r="AFW33" s="958"/>
      <c r="AFX33" s="958"/>
      <c r="AFY33" s="958"/>
      <c r="AFZ33" s="958"/>
      <c r="AGA33" s="958"/>
      <c r="AGB33" s="958"/>
      <c r="AGC33" s="958"/>
      <c r="AGD33" s="958"/>
      <c r="AGE33" s="958"/>
      <c r="AGF33" s="958"/>
      <c r="AGG33" s="958"/>
      <c r="AGH33" s="958"/>
      <c r="AGI33" s="958"/>
      <c r="AGJ33" s="958"/>
      <c r="AGK33" s="958"/>
      <c r="AGL33" s="958"/>
      <c r="AGM33" s="958"/>
      <c r="AGN33" s="958"/>
      <c r="AGO33" s="958"/>
      <c r="AGP33" s="958"/>
      <c r="AGQ33" s="958"/>
      <c r="AGR33" s="958"/>
      <c r="AGS33" s="958"/>
      <c r="AGT33" s="958"/>
      <c r="AGU33" s="958"/>
      <c r="AGV33" s="958"/>
      <c r="AGW33" s="958"/>
      <c r="AGX33" s="958"/>
      <c r="AGY33" s="958"/>
      <c r="AGZ33" s="958"/>
      <c r="AHA33" s="958"/>
      <c r="AHB33" s="958"/>
      <c r="AHC33" s="958"/>
      <c r="AHD33" s="958"/>
      <c r="AHE33" s="958"/>
      <c r="AHF33" s="958"/>
      <c r="AHG33" s="958"/>
      <c r="AHH33" s="958"/>
      <c r="AHI33" s="958"/>
      <c r="AHJ33" s="958"/>
      <c r="AHK33" s="958"/>
      <c r="AHL33" s="958"/>
      <c r="AHM33" s="958"/>
      <c r="AHN33" s="958"/>
      <c r="AHO33" s="958"/>
      <c r="AHP33" s="958"/>
      <c r="AHQ33" s="958"/>
      <c r="AHR33" s="958"/>
      <c r="AHS33" s="958"/>
      <c r="AHT33" s="958"/>
      <c r="AHU33" s="958"/>
      <c r="AHV33" s="958"/>
      <c r="AHW33" s="958"/>
      <c r="AHX33" s="958"/>
      <c r="AHY33" s="958"/>
      <c r="AHZ33" s="958"/>
      <c r="AIA33" s="958"/>
      <c r="AIB33" s="958"/>
      <c r="AIC33" s="958"/>
      <c r="AID33" s="958"/>
      <c r="AIE33" s="958"/>
      <c r="AIF33" s="958"/>
      <c r="AIG33" s="958"/>
      <c r="AIH33" s="958"/>
      <c r="AII33" s="958"/>
      <c r="AIJ33" s="958"/>
      <c r="AIK33" s="958"/>
      <c r="AIL33" s="958"/>
      <c r="AIM33" s="958"/>
      <c r="AIN33" s="958"/>
      <c r="AIO33" s="958"/>
      <c r="AIP33" s="958"/>
      <c r="AIQ33" s="958"/>
      <c r="AIR33" s="958"/>
      <c r="AIS33" s="958"/>
      <c r="AIT33" s="958"/>
      <c r="AIU33" s="958"/>
      <c r="AIV33" s="958"/>
      <c r="AIW33" s="958"/>
      <c r="AIX33" s="958"/>
      <c r="AIY33" s="958"/>
      <c r="AIZ33" s="958"/>
      <c r="AJA33" s="958"/>
      <c r="AJB33" s="958"/>
      <c r="AJC33" s="958"/>
      <c r="AJD33" s="958"/>
      <c r="AJE33" s="958"/>
      <c r="AJF33" s="958"/>
      <c r="AJG33" s="958"/>
      <c r="AJH33" s="958"/>
      <c r="AJI33" s="958"/>
      <c r="AJJ33" s="958"/>
      <c r="AJK33" s="958"/>
      <c r="AJL33" s="958"/>
      <c r="AJM33" s="958"/>
      <c r="AJN33" s="958"/>
      <c r="AJO33" s="958"/>
      <c r="AJP33" s="958"/>
      <c r="AJQ33" s="958"/>
      <c r="AJR33" s="958"/>
      <c r="AJS33" s="958"/>
      <c r="AJT33" s="958"/>
      <c r="AJU33" s="958"/>
      <c r="AJV33" s="958"/>
      <c r="AJW33" s="958"/>
      <c r="AJX33" s="958"/>
      <c r="AJY33" s="958"/>
      <c r="AJZ33" s="958"/>
      <c r="AKA33" s="958"/>
      <c r="AKB33" s="958"/>
      <c r="AKC33" s="958"/>
      <c r="AKD33" s="958"/>
      <c r="AKE33" s="958"/>
      <c r="AKF33" s="958"/>
      <c r="AKG33" s="958"/>
      <c r="AKH33" s="958"/>
      <c r="AKI33" s="958"/>
      <c r="AKJ33" s="958"/>
      <c r="AKK33" s="958"/>
      <c r="AKL33" s="958"/>
      <c r="AKM33" s="958"/>
      <c r="AKN33" s="958"/>
      <c r="AKO33" s="958"/>
      <c r="AKP33" s="958"/>
      <c r="AKQ33" s="958"/>
      <c r="AKR33" s="958"/>
      <c r="AKS33" s="958"/>
      <c r="AKT33" s="958"/>
      <c r="AKU33" s="958"/>
      <c r="AKV33" s="958"/>
      <c r="AKW33" s="958"/>
      <c r="AKX33" s="958"/>
      <c r="AKY33" s="958"/>
      <c r="AKZ33" s="958"/>
      <c r="ALA33" s="958"/>
      <c r="ALB33" s="958"/>
      <c r="ALC33" s="958"/>
      <c r="ALD33" s="958"/>
      <c r="ALE33" s="958"/>
      <c r="ALF33" s="958"/>
      <c r="ALG33" s="958"/>
      <c r="ALH33" s="958"/>
      <c r="ALI33" s="958"/>
      <c r="ALJ33" s="958"/>
      <c r="ALK33" s="958"/>
      <c r="ALL33" s="958"/>
      <c r="ALM33" s="958"/>
      <c r="ALN33" s="958"/>
      <c r="ALO33" s="958"/>
      <c r="ALP33" s="958"/>
      <c r="ALQ33" s="958"/>
      <c r="ALR33" s="958"/>
      <c r="ALS33" s="958"/>
      <c r="ALT33" s="958"/>
      <c r="ALU33" s="958"/>
      <c r="ALV33" s="958"/>
      <c r="ALW33" s="958"/>
      <c r="ALX33" s="958"/>
      <c r="ALY33" s="958"/>
      <c r="ALZ33" s="958"/>
      <c r="AMA33" s="958"/>
      <c r="AMB33" s="958"/>
      <c r="AMC33" s="958"/>
      <c r="AMD33" s="958"/>
      <c r="AME33" s="958"/>
      <c r="AMF33" s="958"/>
      <c r="AMG33" s="958"/>
      <c r="AMH33" s="958"/>
      <c r="AMI33" s="958"/>
      <c r="AMJ33" s="958"/>
      <c r="AMK33" s="958"/>
      <c r="AML33" s="958"/>
      <c r="AMM33" s="958"/>
      <c r="AMN33" s="958"/>
      <c r="AMO33" s="958"/>
      <c r="AMP33" s="958"/>
      <c r="AMQ33" s="958"/>
      <c r="AMR33" s="958"/>
      <c r="AMS33" s="958"/>
      <c r="AMT33" s="958"/>
      <c r="AMU33" s="958"/>
      <c r="AMV33" s="958"/>
      <c r="AMW33" s="958"/>
      <c r="AMX33" s="958"/>
      <c r="AMY33" s="958"/>
      <c r="AMZ33" s="958"/>
      <c r="ANA33" s="958"/>
      <c r="ANB33" s="958"/>
      <c r="ANC33" s="958"/>
      <c r="AND33" s="958"/>
      <c r="ANE33" s="958"/>
      <c r="ANF33" s="958"/>
      <c r="ANG33" s="958"/>
      <c r="ANH33" s="958"/>
      <c r="ANI33" s="958"/>
      <c r="ANJ33" s="958"/>
      <c r="ANK33" s="958"/>
      <c r="ANL33" s="958"/>
      <c r="ANM33" s="958"/>
      <c r="ANN33" s="958"/>
      <c r="ANO33" s="958"/>
      <c r="ANP33" s="958"/>
      <c r="ANQ33" s="958"/>
      <c r="ANR33" s="958"/>
      <c r="ANS33" s="958"/>
      <c r="ANT33" s="958"/>
      <c r="ANU33" s="958"/>
      <c r="ANV33" s="958"/>
      <c r="ANW33" s="958"/>
      <c r="ANX33" s="958"/>
      <c r="ANY33" s="958"/>
      <c r="ANZ33" s="958"/>
      <c r="AOA33" s="958"/>
      <c r="AOB33" s="958"/>
      <c r="AOC33" s="958"/>
      <c r="AOD33" s="958"/>
      <c r="AOE33" s="958"/>
      <c r="AOF33" s="958"/>
      <c r="AOG33" s="958"/>
      <c r="AOH33" s="958"/>
      <c r="AOI33" s="958"/>
      <c r="AOJ33" s="958"/>
      <c r="AOK33" s="958"/>
      <c r="AOL33" s="958"/>
      <c r="AOM33" s="958"/>
      <c r="AON33" s="958"/>
      <c r="AOO33" s="958"/>
      <c r="AOP33" s="958"/>
      <c r="AOQ33" s="958"/>
      <c r="AOR33" s="958"/>
      <c r="AOS33" s="958"/>
      <c r="AOT33" s="958"/>
      <c r="AOU33" s="958"/>
      <c r="AOV33" s="958"/>
      <c r="AOW33" s="958"/>
      <c r="AOX33" s="958"/>
      <c r="AOY33" s="958"/>
      <c r="AOZ33" s="958"/>
      <c r="APA33" s="958"/>
      <c r="APB33" s="958"/>
      <c r="APC33" s="958"/>
      <c r="APD33" s="958"/>
      <c r="APE33" s="958"/>
      <c r="APF33" s="958"/>
      <c r="APG33" s="958"/>
      <c r="APH33" s="958"/>
      <c r="API33" s="958"/>
      <c r="APJ33" s="958"/>
      <c r="APK33" s="958"/>
      <c r="APL33" s="958"/>
      <c r="APM33" s="958"/>
      <c r="APN33" s="958"/>
      <c r="APO33" s="958"/>
      <c r="APP33" s="958"/>
      <c r="APQ33" s="958"/>
      <c r="APR33" s="958"/>
      <c r="APS33" s="958"/>
      <c r="APT33" s="958"/>
      <c r="APU33" s="958"/>
      <c r="APV33" s="958"/>
      <c r="APW33" s="958"/>
      <c r="APX33" s="958"/>
      <c r="APY33" s="958"/>
      <c r="APZ33" s="958"/>
      <c r="AQA33" s="958"/>
      <c r="AQB33" s="958"/>
      <c r="AQC33" s="958"/>
      <c r="AQD33" s="958"/>
      <c r="AQE33" s="958"/>
      <c r="AQF33" s="958"/>
      <c r="AQG33" s="958"/>
      <c r="AQH33" s="958"/>
      <c r="AQI33" s="958"/>
      <c r="AQJ33" s="958"/>
      <c r="AQK33" s="958"/>
      <c r="AQL33" s="958"/>
      <c r="AQM33" s="958"/>
      <c r="AQN33" s="958"/>
      <c r="AQO33" s="958"/>
      <c r="AQP33" s="958"/>
      <c r="AQQ33" s="958"/>
      <c r="AQR33" s="958"/>
      <c r="AQS33" s="958"/>
      <c r="AQT33" s="958"/>
      <c r="AQU33" s="958"/>
      <c r="AQV33" s="958"/>
      <c r="AQW33" s="958"/>
      <c r="AQX33" s="958"/>
      <c r="AQY33" s="958"/>
      <c r="AQZ33" s="958"/>
      <c r="ARA33" s="958"/>
      <c r="ARB33" s="958"/>
      <c r="ARC33" s="958"/>
      <c r="ARD33" s="958"/>
      <c r="ARE33" s="958"/>
      <c r="ARF33" s="958"/>
      <c r="ARG33" s="958"/>
      <c r="ARH33" s="958"/>
      <c r="ARI33" s="958"/>
      <c r="ARJ33" s="958"/>
      <c r="ARK33" s="958"/>
      <c r="ARL33" s="958"/>
      <c r="ARM33" s="958"/>
      <c r="ARN33" s="958"/>
      <c r="ARO33" s="958"/>
      <c r="ARP33" s="958"/>
      <c r="ARQ33" s="958"/>
      <c r="ARR33" s="958"/>
      <c r="ARS33" s="958"/>
      <c r="ART33" s="958"/>
      <c r="ARU33" s="958"/>
      <c r="ARV33" s="958"/>
      <c r="ARW33" s="958"/>
      <c r="ARX33" s="958"/>
      <c r="ARY33" s="958"/>
      <c r="ARZ33" s="958"/>
      <c r="ASA33" s="958"/>
      <c r="ASB33" s="958"/>
      <c r="ASC33" s="958"/>
      <c r="ASD33" s="958"/>
      <c r="ASE33" s="958"/>
      <c r="ASF33" s="958"/>
      <c r="ASG33" s="958"/>
      <c r="ASH33" s="958"/>
      <c r="ASI33" s="958"/>
      <c r="ASJ33" s="958"/>
      <c r="ASK33" s="958"/>
      <c r="ASL33" s="958"/>
      <c r="ASM33" s="958"/>
      <c r="ASN33" s="958"/>
      <c r="ASO33" s="958"/>
      <c r="ASP33" s="958"/>
      <c r="ASQ33" s="958"/>
      <c r="ASR33" s="958"/>
      <c r="ASS33" s="958"/>
      <c r="AST33" s="958"/>
      <c r="ASU33" s="958"/>
      <c r="ASV33" s="958"/>
      <c r="ASW33" s="958"/>
      <c r="ASX33" s="958"/>
      <c r="ASY33" s="958"/>
      <c r="ASZ33" s="958"/>
    </row>
    <row r="34" spans="1:1196" s="22" customFormat="1" ht="81.75" customHeight="1" thickTop="1" thickBot="1">
      <c r="A34" s="2846"/>
      <c r="B34" s="2942"/>
      <c r="C34" s="3025"/>
      <c r="D34" s="86" t="s">
        <v>236</v>
      </c>
      <c r="E34" s="81" t="s">
        <v>237</v>
      </c>
      <c r="F34" s="88" t="s">
        <v>10</v>
      </c>
      <c r="G34" s="167">
        <v>0.02</v>
      </c>
      <c r="H34" s="88"/>
      <c r="I34" s="81"/>
      <c r="J34" s="81"/>
      <c r="K34" s="87" t="s">
        <v>23</v>
      </c>
      <c r="L34" s="983">
        <v>0.03</v>
      </c>
      <c r="M34" s="984">
        <f>12/1448</f>
        <v>8.2872928176795577E-3</v>
      </c>
      <c r="N34" s="73">
        <f t="shared" si="3"/>
        <v>0.27624309392265195</v>
      </c>
      <c r="O34" s="983">
        <v>0.03</v>
      </c>
      <c r="P34" s="984">
        <f>14/2135</f>
        <v>6.5573770491803279E-3</v>
      </c>
      <c r="Q34" s="73">
        <f t="shared" si="4"/>
        <v>0.21857923497267762</v>
      </c>
      <c r="R34" s="983">
        <v>0.03</v>
      </c>
      <c r="S34" s="984">
        <f>14/1271</f>
        <v>1.1014948859166011E-2</v>
      </c>
      <c r="T34" s="73">
        <f t="shared" si="5"/>
        <v>0.36716496197220039</v>
      </c>
      <c r="U34" s="983">
        <v>0.03</v>
      </c>
      <c r="V34" s="984">
        <f>1/405</f>
        <v>2.4691358024691358E-3</v>
      </c>
      <c r="W34" s="73">
        <f t="shared" si="6"/>
        <v>8.2304526748971193E-2</v>
      </c>
      <c r="X34" s="983">
        <v>0.03</v>
      </c>
      <c r="Y34" s="984">
        <f>5/943</f>
        <v>5.3022269353128317E-3</v>
      </c>
      <c r="Z34" s="73">
        <f t="shared" si="7"/>
        <v>0.17674089784376107</v>
      </c>
      <c r="AA34" s="983">
        <v>0.03</v>
      </c>
      <c r="AB34" s="984">
        <f>10/1127</f>
        <v>8.8731144631765749E-3</v>
      </c>
      <c r="AC34" s="73">
        <f t="shared" si="8"/>
        <v>0.29577048210588586</v>
      </c>
      <c r="AD34" s="985">
        <f>(M34+P34+S34+V34+Y34+AB34)/6</f>
        <v>7.0840159878307399E-3</v>
      </c>
      <c r="AE34" s="73">
        <f t="shared" si="21"/>
        <v>0.35420079939153698</v>
      </c>
      <c r="AF34" s="983">
        <v>0.03</v>
      </c>
      <c r="AG34" s="984">
        <f>10/1733</f>
        <v>5.7703404500865554E-3</v>
      </c>
      <c r="AH34" s="73">
        <f t="shared" si="11"/>
        <v>0.19234468166955185</v>
      </c>
      <c r="AI34" s="983">
        <v>0.03</v>
      </c>
      <c r="AJ34" s="984">
        <f>12/2117</f>
        <v>5.6683986773736423E-3</v>
      </c>
      <c r="AK34" s="73">
        <f>+AJ34/AI34</f>
        <v>0.18894662257912143</v>
      </c>
      <c r="AL34" s="983">
        <v>0.02</v>
      </c>
      <c r="AM34" s="984">
        <f>16/2346</f>
        <v>6.8201193520886615E-3</v>
      </c>
      <c r="AN34" s="73">
        <f t="shared" si="13"/>
        <v>0.34100596760443308</v>
      </c>
      <c r="AO34" s="983">
        <v>0.02</v>
      </c>
      <c r="AP34" s="984">
        <f>5/2873</f>
        <v>1.7403411068569439E-3</v>
      </c>
      <c r="AQ34" s="73">
        <f t="shared" si="14"/>
        <v>8.7017055342847191E-2</v>
      </c>
      <c r="AR34" s="983">
        <v>0.02</v>
      </c>
      <c r="AS34" s="984">
        <f>1/2934</f>
        <v>3.4083162917518747E-4</v>
      </c>
      <c r="AT34" s="73">
        <f t="shared" si="15"/>
        <v>1.7041581458759374E-2</v>
      </c>
      <c r="AU34" s="163">
        <v>0.02</v>
      </c>
      <c r="AV34" s="164">
        <f>10/2867</f>
        <v>3.4879665155214509E-3</v>
      </c>
      <c r="AW34" s="19">
        <f t="shared" si="16"/>
        <v>0.17439832577607253</v>
      </c>
      <c r="AX34" s="163">
        <f>+((AG34+AJ34)/2+(AM34+AP34+AS34+AV34)/4)</f>
        <v>8.8166842146406611E-3</v>
      </c>
      <c r="AY34" s="73">
        <f t="shared" si="18"/>
        <v>0.44083421073203305</v>
      </c>
      <c r="AZ34" s="958"/>
      <c r="BA34" s="958"/>
      <c r="BB34" s="958"/>
      <c r="BC34" s="958"/>
      <c r="BD34" s="958"/>
      <c r="BE34" s="958"/>
      <c r="BF34" s="958"/>
      <c r="BG34" s="958"/>
      <c r="BH34" s="958"/>
      <c r="BI34" s="958"/>
      <c r="BJ34" s="958"/>
      <c r="BK34" s="958"/>
      <c r="BL34" s="958"/>
      <c r="BM34" s="958"/>
      <c r="BN34" s="958"/>
      <c r="BO34" s="958"/>
      <c r="BP34" s="958"/>
      <c r="BQ34" s="958"/>
      <c r="BR34" s="958"/>
      <c r="BS34" s="958"/>
      <c r="BT34" s="958"/>
      <c r="BU34" s="958"/>
      <c r="BV34" s="958"/>
      <c r="BW34" s="958"/>
      <c r="BX34" s="958"/>
      <c r="BY34" s="958"/>
      <c r="BZ34" s="958"/>
      <c r="CA34" s="958"/>
      <c r="CB34" s="958"/>
      <c r="CC34" s="958"/>
      <c r="CD34" s="958"/>
      <c r="CE34" s="958"/>
      <c r="CF34" s="958"/>
      <c r="CG34" s="958"/>
      <c r="CH34" s="958"/>
      <c r="CI34" s="958"/>
      <c r="CJ34" s="958"/>
      <c r="CK34" s="958"/>
      <c r="CL34" s="958"/>
      <c r="CM34" s="958"/>
      <c r="CN34" s="958"/>
      <c r="CO34" s="958"/>
      <c r="CP34" s="958"/>
      <c r="CQ34" s="958"/>
      <c r="CR34" s="958"/>
      <c r="CS34" s="958"/>
      <c r="CT34" s="958"/>
      <c r="CU34" s="958"/>
      <c r="CV34" s="958"/>
      <c r="CW34" s="958"/>
      <c r="CX34" s="958"/>
      <c r="CY34" s="958"/>
      <c r="CZ34" s="958"/>
      <c r="DA34" s="958"/>
      <c r="DB34" s="958"/>
      <c r="DC34" s="958"/>
      <c r="DD34" s="958"/>
      <c r="DE34" s="958"/>
      <c r="DF34" s="958"/>
      <c r="DG34" s="958"/>
      <c r="DH34" s="958"/>
      <c r="DI34" s="958"/>
      <c r="DJ34" s="958"/>
      <c r="DK34" s="958"/>
      <c r="DL34" s="958"/>
      <c r="DM34" s="958"/>
      <c r="DN34" s="958"/>
      <c r="DO34" s="958"/>
      <c r="DP34" s="958"/>
      <c r="DQ34" s="958"/>
      <c r="DR34" s="958"/>
      <c r="DS34" s="958"/>
      <c r="DT34" s="958"/>
      <c r="DU34" s="958"/>
      <c r="DV34" s="958"/>
      <c r="DW34" s="958"/>
      <c r="DX34" s="958"/>
      <c r="DY34" s="958"/>
      <c r="DZ34" s="958"/>
      <c r="EA34" s="958"/>
      <c r="EB34" s="958"/>
      <c r="EC34" s="958"/>
      <c r="ED34" s="958"/>
      <c r="EE34" s="958"/>
      <c r="EF34" s="958"/>
      <c r="EG34" s="958"/>
      <c r="EH34" s="958"/>
      <c r="EI34" s="958"/>
      <c r="EJ34" s="958"/>
      <c r="EK34" s="958"/>
      <c r="EL34" s="958"/>
      <c r="EM34" s="958"/>
      <c r="EN34" s="958"/>
      <c r="EO34" s="958"/>
      <c r="EP34" s="958"/>
      <c r="EQ34" s="958"/>
      <c r="ER34" s="958"/>
      <c r="ES34" s="958"/>
      <c r="ET34" s="958"/>
      <c r="EU34" s="958"/>
      <c r="EV34" s="958"/>
      <c r="EW34" s="958"/>
      <c r="EX34" s="958"/>
      <c r="EY34" s="958"/>
      <c r="EZ34" s="958"/>
      <c r="FA34" s="958"/>
      <c r="FB34" s="958"/>
      <c r="FC34" s="958"/>
      <c r="FD34" s="958"/>
      <c r="FE34" s="958"/>
      <c r="FF34" s="958"/>
      <c r="FG34" s="958"/>
      <c r="FH34" s="958"/>
      <c r="FI34" s="958"/>
      <c r="FJ34" s="958"/>
      <c r="FK34" s="958"/>
      <c r="FL34" s="958"/>
      <c r="FM34" s="958"/>
      <c r="FN34" s="958"/>
      <c r="FO34" s="958"/>
      <c r="FP34" s="958"/>
      <c r="FQ34" s="958"/>
      <c r="FR34" s="958"/>
      <c r="FS34" s="958"/>
      <c r="FT34" s="958"/>
      <c r="FU34" s="958"/>
      <c r="FV34" s="958"/>
      <c r="FW34" s="958"/>
      <c r="FX34" s="958"/>
      <c r="FY34" s="958"/>
      <c r="FZ34" s="958"/>
      <c r="GA34" s="958"/>
      <c r="GB34" s="958"/>
      <c r="GC34" s="958"/>
      <c r="GD34" s="958"/>
      <c r="GE34" s="958"/>
      <c r="GF34" s="958"/>
      <c r="GG34" s="958"/>
      <c r="GH34" s="958"/>
      <c r="GI34" s="958"/>
      <c r="GJ34" s="958"/>
      <c r="GK34" s="958"/>
      <c r="GL34" s="958"/>
      <c r="GM34" s="958"/>
      <c r="GN34" s="958"/>
      <c r="GO34" s="958"/>
      <c r="GP34" s="958"/>
      <c r="GQ34" s="958"/>
      <c r="GR34" s="958"/>
      <c r="GS34" s="958"/>
      <c r="GT34" s="958"/>
      <c r="GU34" s="958"/>
      <c r="GV34" s="958"/>
      <c r="GW34" s="958"/>
      <c r="GX34" s="958"/>
      <c r="GY34" s="958"/>
      <c r="GZ34" s="958"/>
      <c r="HA34" s="958"/>
      <c r="HB34" s="958"/>
      <c r="HC34" s="958"/>
      <c r="HD34" s="958"/>
      <c r="HE34" s="958"/>
      <c r="HF34" s="958"/>
      <c r="HG34" s="958"/>
      <c r="HH34" s="958"/>
      <c r="HI34" s="958"/>
      <c r="HJ34" s="958"/>
      <c r="HK34" s="958"/>
      <c r="HL34" s="958"/>
      <c r="HM34" s="958"/>
      <c r="HN34" s="958"/>
      <c r="HO34" s="958"/>
      <c r="HP34" s="958"/>
      <c r="HQ34" s="958"/>
      <c r="HR34" s="958"/>
      <c r="HS34" s="958"/>
      <c r="HT34" s="958"/>
      <c r="HU34" s="958"/>
      <c r="HV34" s="958"/>
      <c r="HW34" s="958"/>
      <c r="HX34" s="958"/>
      <c r="HY34" s="958"/>
      <c r="HZ34" s="958"/>
      <c r="IA34" s="958"/>
      <c r="IB34" s="958"/>
      <c r="IC34" s="958"/>
      <c r="ID34" s="958"/>
      <c r="IE34" s="958"/>
      <c r="IF34" s="958"/>
      <c r="IG34" s="958"/>
      <c r="IH34" s="958"/>
      <c r="II34" s="958"/>
      <c r="IJ34" s="958"/>
      <c r="IK34" s="958"/>
      <c r="IL34" s="958"/>
      <c r="IM34" s="958"/>
      <c r="IN34" s="958"/>
      <c r="IO34" s="958"/>
      <c r="IP34" s="958"/>
      <c r="IQ34" s="958"/>
      <c r="IR34" s="958"/>
      <c r="IS34" s="958"/>
      <c r="IT34" s="958"/>
      <c r="IU34" s="958"/>
      <c r="IV34" s="958"/>
      <c r="IW34" s="958"/>
      <c r="IX34" s="958"/>
      <c r="IY34" s="958"/>
      <c r="IZ34" s="958"/>
      <c r="JA34" s="958"/>
      <c r="JB34" s="958"/>
      <c r="JC34" s="958"/>
      <c r="JD34" s="958"/>
      <c r="JE34" s="958"/>
      <c r="JF34" s="958"/>
      <c r="JG34" s="958"/>
      <c r="JH34" s="958"/>
      <c r="JI34" s="958"/>
      <c r="JJ34" s="958"/>
      <c r="JK34" s="958"/>
      <c r="JL34" s="958"/>
      <c r="JM34" s="958"/>
      <c r="JN34" s="958"/>
      <c r="JO34" s="958"/>
      <c r="JP34" s="958"/>
      <c r="JQ34" s="958"/>
      <c r="JR34" s="958"/>
      <c r="JS34" s="958"/>
      <c r="JT34" s="958"/>
      <c r="JU34" s="958"/>
      <c r="JV34" s="958"/>
      <c r="JW34" s="958"/>
      <c r="JX34" s="958"/>
      <c r="JY34" s="958"/>
      <c r="JZ34" s="958"/>
      <c r="KA34" s="958"/>
      <c r="KB34" s="958"/>
      <c r="KC34" s="958"/>
      <c r="KD34" s="958"/>
      <c r="KE34" s="958"/>
      <c r="KF34" s="958"/>
      <c r="KG34" s="958"/>
      <c r="KH34" s="958"/>
      <c r="KI34" s="958"/>
      <c r="KJ34" s="958"/>
      <c r="KK34" s="958"/>
      <c r="KL34" s="958"/>
      <c r="KM34" s="958"/>
      <c r="KN34" s="958"/>
      <c r="KO34" s="958"/>
      <c r="KP34" s="958"/>
      <c r="KQ34" s="958"/>
      <c r="KR34" s="958"/>
      <c r="KS34" s="958"/>
      <c r="KT34" s="958"/>
      <c r="KU34" s="958"/>
      <c r="KV34" s="958"/>
      <c r="KW34" s="958"/>
      <c r="KX34" s="958"/>
      <c r="KY34" s="958"/>
      <c r="KZ34" s="958"/>
      <c r="LA34" s="958"/>
      <c r="LB34" s="958"/>
      <c r="LC34" s="958"/>
      <c r="LD34" s="958"/>
      <c r="LE34" s="958"/>
      <c r="LF34" s="958"/>
      <c r="LG34" s="958"/>
      <c r="LH34" s="958"/>
      <c r="LI34" s="958"/>
      <c r="LJ34" s="958"/>
      <c r="LK34" s="958"/>
      <c r="LL34" s="958"/>
      <c r="LM34" s="958"/>
      <c r="LN34" s="958"/>
      <c r="LO34" s="958"/>
      <c r="LP34" s="958"/>
      <c r="LQ34" s="958"/>
      <c r="LR34" s="958"/>
      <c r="LS34" s="958"/>
      <c r="LT34" s="958"/>
      <c r="LU34" s="958"/>
      <c r="LV34" s="958"/>
      <c r="LW34" s="958"/>
      <c r="LX34" s="958"/>
      <c r="LY34" s="958"/>
      <c r="LZ34" s="958"/>
      <c r="MA34" s="958"/>
      <c r="MB34" s="958"/>
      <c r="MC34" s="958"/>
      <c r="MD34" s="958"/>
      <c r="ME34" s="958"/>
      <c r="MF34" s="958"/>
      <c r="MG34" s="958"/>
      <c r="MH34" s="958"/>
      <c r="MI34" s="958"/>
      <c r="MJ34" s="958"/>
      <c r="MK34" s="958"/>
      <c r="ML34" s="958"/>
      <c r="MM34" s="958"/>
      <c r="MN34" s="958"/>
      <c r="MO34" s="958"/>
      <c r="MP34" s="958"/>
      <c r="MQ34" s="958"/>
      <c r="MR34" s="958"/>
      <c r="MS34" s="958"/>
      <c r="MT34" s="958"/>
      <c r="MU34" s="958"/>
      <c r="MV34" s="958"/>
      <c r="MW34" s="958"/>
      <c r="MX34" s="958"/>
      <c r="MY34" s="958"/>
      <c r="MZ34" s="958"/>
      <c r="NA34" s="958"/>
      <c r="NB34" s="958"/>
      <c r="NC34" s="958"/>
      <c r="ND34" s="958"/>
      <c r="NE34" s="958"/>
      <c r="NF34" s="958"/>
      <c r="NG34" s="958"/>
      <c r="NH34" s="958"/>
      <c r="NI34" s="958"/>
      <c r="NJ34" s="958"/>
      <c r="NK34" s="958"/>
      <c r="NL34" s="958"/>
      <c r="NM34" s="958"/>
      <c r="NN34" s="958"/>
      <c r="NO34" s="958"/>
      <c r="NP34" s="958"/>
      <c r="NQ34" s="958"/>
      <c r="NR34" s="958"/>
      <c r="NS34" s="958"/>
      <c r="NT34" s="958"/>
      <c r="NU34" s="958"/>
      <c r="NV34" s="958"/>
      <c r="NW34" s="958"/>
      <c r="NX34" s="958"/>
      <c r="NY34" s="958"/>
      <c r="NZ34" s="958"/>
      <c r="OA34" s="958"/>
      <c r="OB34" s="958"/>
      <c r="OC34" s="958"/>
      <c r="OD34" s="958"/>
      <c r="OE34" s="958"/>
      <c r="OF34" s="958"/>
      <c r="OG34" s="958"/>
      <c r="OH34" s="958"/>
      <c r="OI34" s="958"/>
      <c r="OJ34" s="958"/>
      <c r="OK34" s="958"/>
      <c r="OL34" s="958"/>
      <c r="OM34" s="958"/>
      <c r="ON34" s="958"/>
      <c r="OO34" s="958"/>
      <c r="OP34" s="958"/>
      <c r="OQ34" s="958"/>
      <c r="OR34" s="958"/>
      <c r="OS34" s="958"/>
      <c r="OT34" s="958"/>
      <c r="OU34" s="958"/>
      <c r="OV34" s="958"/>
      <c r="OW34" s="958"/>
      <c r="OX34" s="958"/>
      <c r="OY34" s="958"/>
      <c r="OZ34" s="958"/>
      <c r="PA34" s="958"/>
      <c r="PB34" s="958"/>
      <c r="PC34" s="958"/>
      <c r="PD34" s="958"/>
      <c r="PE34" s="958"/>
      <c r="PF34" s="958"/>
      <c r="PG34" s="958"/>
      <c r="PH34" s="958"/>
      <c r="PI34" s="958"/>
      <c r="PJ34" s="958"/>
      <c r="PK34" s="958"/>
      <c r="PL34" s="958"/>
      <c r="PM34" s="958"/>
      <c r="PN34" s="958"/>
      <c r="PO34" s="958"/>
      <c r="PP34" s="958"/>
      <c r="PQ34" s="958"/>
      <c r="PR34" s="958"/>
      <c r="PS34" s="958"/>
      <c r="PT34" s="958"/>
      <c r="PU34" s="958"/>
      <c r="PV34" s="958"/>
      <c r="PW34" s="958"/>
      <c r="PX34" s="958"/>
      <c r="PY34" s="958"/>
      <c r="PZ34" s="958"/>
      <c r="QA34" s="958"/>
      <c r="QB34" s="958"/>
      <c r="QC34" s="958"/>
      <c r="QD34" s="958"/>
      <c r="QE34" s="958"/>
      <c r="QF34" s="958"/>
      <c r="QG34" s="958"/>
      <c r="QH34" s="958"/>
      <c r="QI34" s="958"/>
      <c r="QJ34" s="958"/>
      <c r="QK34" s="958"/>
      <c r="QL34" s="958"/>
      <c r="QM34" s="958"/>
      <c r="QN34" s="958"/>
      <c r="QO34" s="958"/>
      <c r="QP34" s="958"/>
      <c r="QQ34" s="958"/>
      <c r="QR34" s="958"/>
      <c r="QS34" s="958"/>
      <c r="QT34" s="958"/>
      <c r="QU34" s="958"/>
      <c r="QV34" s="958"/>
      <c r="QW34" s="958"/>
      <c r="QX34" s="958"/>
      <c r="QY34" s="958"/>
      <c r="QZ34" s="958"/>
      <c r="RA34" s="958"/>
      <c r="RB34" s="958"/>
      <c r="RC34" s="958"/>
      <c r="RD34" s="958"/>
      <c r="RE34" s="958"/>
      <c r="RF34" s="958"/>
      <c r="RG34" s="958"/>
      <c r="RH34" s="958"/>
      <c r="RI34" s="958"/>
      <c r="RJ34" s="958"/>
      <c r="RK34" s="958"/>
      <c r="RL34" s="958"/>
      <c r="RM34" s="958"/>
      <c r="RN34" s="958"/>
      <c r="RO34" s="958"/>
      <c r="RP34" s="958"/>
      <c r="RQ34" s="958"/>
      <c r="RR34" s="958"/>
      <c r="RS34" s="958"/>
      <c r="RT34" s="958"/>
      <c r="RU34" s="958"/>
      <c r="RV34" s="958"/>
      <c r="RW34" s="958"/>
      <c r="RX34" s="958"/>
      <c r="RY34" s="958"/>
      <c r="RZ34" s="958"/>
      <c r="SA34" s="958"/>
      <c r="SB34" s="958"/>
      <c r="SC34" s="958"/>
      <c r="SD34" s="958"/>
      <c r="SE34" s="958"/>
      <c r="SF34" s="958"/>
      <c r="SG34" s="958"/>
      <c r="SH34" s="958"/>
      <c r="SI34" s="958"/>
      <c r="SJ34" s="958"/>
      <c r="SK34" s="958"/>
      <c r="SL34" s="958"/>
      <c r="SM34" s="958"/>
      <c r="SN34" s="958"/>
      <c r="SO34" s="958"/>
      <c r="SP34" s="958"/>
      <c r="SQ34" s="958"/>
      <c r="SR34" s="958"/>
      <c r="SS34" s="958"/>
      <c r="ST34" s="958"/>
      <c r="SU34" s="958"/>
      <c r="SV34" s="958"/>
      <c r="SW34" s="958"/>
      <c r="SX34" s="958"/>
      <c r="SY34" s="958"/>
      <c r="SZ34" s="958"/>
      <c r="TA34" s="958"/>
      <c r="TB34" s="958"/>
      <c r="TC34" s="958"/>
      <c r="TD34" s="958"/>
      <c r="TE34" s="958"/>
      <c r="TF34" s="958"/>
      <c r="TG34" s="958"/>
      <c r="TH34" s="958"/>
      <c r="TI34" s="958"/>
      <c r="TJ34" s="958"/>
      <c r="TK34" s="958"/>
      <c r="TL34" s="958"/>
      <c r="TM34" s="958"/>
      <c r="TN34" s="958"/>
      <c r="TO34" s="958"/>
      <c r="TP34" s="958"/>
      <c r="TQ34" s="958"/>
      <c r="TR34" s="958"/>
      <c r="TS34" s="958"/>
      <c r="TT34" s="958"/>
      <c r="TU34" s="958"/>
      <c r="TV34" s="958"/>
      <c r="TW34" s="958"/>
      <c r="TX34" s="958"/>
      <c r="TY34" s="958"/>
      <c r="TZ34" s="958"/>
      <c r="UA34" s="958"/>
      <c r="UB34" s="958"/>
      <c r="UC34" s="958"/>
      <c r="UD34" s="958"/>
      <c r="UE34" s="958"/>
      <c r="UF34" s="958"/>
      <c r="UG34" s="958"/>
      <c r="UH34" s="958"/>
      <c r="UI34" s="958"/>
      <c r="UJ34" s="958"/>
      <c r="UK34" s="958"/>
      <c r="UL34" s="958"/>
      <c r="UM34" s="958"/>
      <c r="UN34" s="958"/>
      <c r="UO34" s="958"/>
      <c r="UP34" s="958"/>
      <c r="UQ34" s="958"/>
      <c r="UR34" s="958"/>
      <c r="US34" s="958"/>
      <c r="UT34" s="958"/>
      <c r="UU34" s="958"/>
      <c r="UV34" s="958"/>
      <c r="UW34" s="958"/>
      <c r="UX34" s="958"/>
      <c r="UY34" s="958"/>
      <c r="UZ34" s="958"/>
      <c r="VA34" s="958"/>
      <c r="VB34" s="958"/>
      <c r="VC34" s="958"/>
      <c r="VD34" s="958"/>
      <c r="VE34" s="958"/>
      <c r="VF34" s="958"/>
      <c r="VG34" s="958"/>
      <c r="VH34" s="958"/>
      <c r="VI34" s="958"/>
      <c r="VJ34" s="958"/>
      <c r="VK34" s="958"/>
      <c r="VL34" s="958"/>
      <c r="VM34" s="958"/>
      <c r="VN34" s="958"/>
      <c r="VO34" s="958"/>
      <c r="VP34" s="958"/>
      <c r="VQ34" s="958"/>
      <c r="VR34" s="958"/>
      <c r="VS34" s="958"/>
      <c r="VT34" s="958"/>
      <c r="VU34" s="958"/>
      <c r="VV34" s="958"/>
      <c r="VW34" s="958"/>
      <c r="VX34" s="958"/>
      <c r="VY34" s="958"/>
      <c r="VZ34" s="958"/>
      <c r="WA34" s="958"/>
      <c r="WB34" s="958"/>
      <c r="WC34" s="958"/>
      <c r="WD34" s="958"/>
      <c r="WE34" s="958"/>
      <c r="WF34" s="958"/>
      <c r="WG34" s="958"/>
      <c r="WH34" s="958"/>
      <c r="WI34" s="958"/>
      <c r="WJ34" s="958"/>
      <c r="WK34" s="958"/>
      <c r="WL34" s="958"/>
      <c r="WM34" s="958"/>
      <c r="WN34" s="958"/>
      <c r="WO34" s="958"/>
      <c r="WP34" s="958"/>
      <c r="WQ34" s="958"/>
      <c r="WR34" s="958"/>
      <c r="WS34" s="958"/>
      <c r="WT34" s="958"/>
      <c r="WU34" s="958"/>
      <c r="WV34" s="958"/>
      <c r="WW34" s="958"/>
      <c r="WX34" s="958"/>
      <c r="WY34" s="958"/>
      <c r="WZ34" s="958"/>
      <c r="XA34" s="958"/>
      <c r="XB34" s="958"/>
      <c r="XC34" s="958"/>
      <c r="XD34" s="958"/>
      <c r="XE34" s="958"/>
      <c r="XF34" s="958"/>
      <c r="XG34" s="958"/>
      <c r="XH34" s="958"/>
      <c r="XI34" s="958"/>
      <c r="XJ34" s="958"/>
      <c r="XK34" s="958"/>
      <c r="XL34" s="958"/>
      <c r="XM34" s="958"/>
      <c r="XN34" s="958"/>
      <c r="XO34" s="958"/>
      <c r="XP34" s="958"/>
      <c r="XQ34" s="958"/>
      <c r="XR34" s="958"/>
      <c r="XS34" s="958"/>
      <c r="XT34" s="958"/>
      <c r="XU34" s="958"/>
      <c r="XV34" s="958"/>
      <c r="XW34" s="958"/>
      <c r="XX34" s="958"/>
      <c r="XY34" s="958"/>
      <c r="XZ34" s="958"/>
      <c r="YA34" s="958"/>
      <c r="YB34" s="958"/>
      <c r="YC34" s="958"/>
      <c r="YD34" s="958"/>
      <c r="YE34" s="958"/>
      <c r="YF34" s="958"/>
      <c r="YG34" s="958"/>
      <c r="YH34" s="958"/>
      <c r="YI34" s="958"/>
      <c r="YJ34" s="958"/>
      <c r="YK34" s="958"/>
      <c r="YL34" s="958"/>
      <c r="YM34" s="958"/>
      <c r="YN34" s="958"/>
      <c r="YO34" s="958"/>
      <c r="YP34" s="958"/>
      <c r="YQ34" s="958"/>
      <c r="YR34" s="958"/>
      <c r="YS34" s="958"/>
      <c r="YT34" s="958"/>
      <c r="YU34" s="958"/>
      <c r="YV34" s="958"/>
      <c r="YW34" s="958"/>
      <c r="YX34" s="958"/>
      <c r="YY34" s="958"/>
      <c r="YZ34" s="958"/>
      <c r="ZA34" s="958"/>
      <c r="ZB34" s="958"/>
      <c r="ZC34" s="958"/>
      <c r="ZD34" s="958"/>
      <c r="ZE34" s="958"/>
      <c r="ZF34" s="958"/>
      <c r="ZG34" s="958"/>
      <c r="ZH34" s="958"/>
      <c r="ZI34" s="958"/>
      <c r="ZJ34" s="958"/>
      <c r="ZK34" s="958"/>
      <c r="ZL34" s="958"/>
      <c r="ZM34" s="958"/>
      <c r="ZN34" s="958"/>
      <c r="ZO34" s="958"/>
      <c r="ZP34" s="958"/>
      <c r="ZQ34" s="958"/>
      <c r="ZR34" s="958"/>
      <c r="ZS34" s="958"/>
      <c r="ZT34" s="958"/>
      <c r="ZU34" s="958"/>
      <c r="ZV34" s="958"/>
      <c r="ZW34" s="958"/>
      <c r="ZX34" s="958"/>
      <c r="ZY34" s="958"/>
      <c r="ZZ34" s="958"/>
      <c r="AAA34" s="958"/>
      <c r="AAB34" s="958"/>
      <c r="AAC34" s="958"/>
      <c r="AAD34" s="958"/>
      <c r="AAE34" s="958"/>
      <c r="AAF34" s="958"/>
      <c r="AAG34" s="958"/>
      <c r="AAH34" s="958"/>
      <c r="AAI34" s="958"/>
      <c r="AAJ34" s="958"/>
      <c r="AAK34" s="958"/>
      <c r="AAL34" s="958"/>
      <c r="AAM34" s="958"/>
      <c r="AAN34" s="958"/>
      <c r="AAO34" s="958"/>
      <c r="AAP34" s="958"/>
      <c r="AAQ34" s="958"/>
      <c r="AAR34" s="958"/>
      <c r="AAS34" s="958"/>
      <c r="AAT34" s="958"/>
      <c r="AAU34" s="958"/>
      <c r="AAV34" s="958"/>
      <c r="AAW34" s="958"/>
      <c r="AAX34" s="958"/>
      <c r="AAY34" s="958"/>
      <c r="AAZ34" s="958"/>
      <c r="ABA34" s="958"/>
      <c r="ABB34" s="958"/>
      <c r="ABC34" s="958"/>
      <c r="ABD34" s="958"/>
      <c r="ABE34" s="958"/>
      <c r="ABF34" s="958"/>
      <c r="ABG34" s="958"/>
      <c r="ABH34" s="958"/>
      <c r="ABI34" s="958"/>
      <c r="ABJ34" s="958"/>
      <c r="ABK34" s="958"/>
      <c r="ABL34" s="958"/>
      <c r="ABM34" s="958"/>
      <c r="ABN34" s="958"/>
      <c r="ABO34" s="958"/>
      <c r="ABP34" s="958"/>
      <c r="ABQ34" s="958"/>
      <c r="ABR34" s="958"/>
      <c r="ABS34" s="958"/>
      <c r="ABT34" s="958"/>
      <c r="ABU34" s="958"/>
      <c r="ABV34" s="958"/>
      <c r="ABW34" s="958"/>
      <c r="ABX34" s="958"/>
      <c r="ABY34" s="958"/>
      <c r="ABZ34" s="958"/>
      <c r="ACA34" s="958"/>
      <c r="ACB34" s="958"/>
      <c r="ACC34" s="958"/>
      <c r="ACD34" s="958"/>
      <c r="ACE34" s="958"/>
      <c r="ACF34" s="958"/>
      <c r="ACG34" s="958"/>
      <c r="ACH34" s="958"/>
      <c r="ACI34" s="958"/>
      <c r="ACJ34" s="958"/>
      <c r="ACK34" s="958"/>
      <c r="ACL34" s="958"/>
      <c r="ACM34" s="958"/>
      <c r="ACN34" s="958"/>
      <c r="ACO34" s="958"/>
      <c r="ACP34" s="958"/>
      <c r="ACQ34" s="958"/>
      <c r="ACR34" s="958"/>
      <c r="ACS34" s="958"/>
      <c r="ACT34" s="958"/>
      <c r="ACU34" s="958"/>
      <c r="ACV34" s="958"/>
      <c r="ACW34" s="958"/>
      <c r="ACX34" s="958"/>
      <c r="ACY34" s="958"/>
      <c r="ACZ34" s="958"/>
      <c r="ADA34" s="958"/>
      <c r="ADB34" s="958"/>
      <c r="ADC34" s="958"/>
      <c r="ADD34" s="958"/>
      <c r="ADE34" s="958"/>
      <c r="ADF34" s="958"/>
      <c r="ADG34" s="958"/>
      <c r="ADH34" s="958"/>
      <c r="ADI34" s="958"/>
      <c r="ADJ34" s="958"/>
      <c r="ADK34" s="958"/>
      <c r="ADL34" s="958"/>
      <c r="ADM34" s="958"/>
      <c r="ADN34" s="958"/>
      <c r="ADO34" s="958"/>
      <c r="ADP34" s="958"/>
      <c r="ADQ34" s="958"/>
      <c r="ADR34" s="958"/>
      <c r="ADS34" s="958"/>
      <c r="ADT34" s="958"/>
      <c r="ADU34" s="958"/>
      <c r="ADV34" s="958"/>
      <c r="ADW34" s="958"/>
      <c r="ADX34" s="958"/>
      <c r="ADY34" s="958"/>
      <c r="ADZ34" s="958"/>
      <c r="AEA34" s="958"/>
      <c r="AEB34" s="958"/>
      <c r="AEC34" s="958"/>
      <c r="AED34" s="958"/>
      <c r="AEE34" s="958"/>
      <c r="AEF34" s="958"/>
      <c r="AEG34" s="958"/>
      <c r="AEH34" s="958"/>
      <c r="AEI34" s="958"/>
      <c r="AEJ34" s="958"/>
      <c r="AEK34" s="958"/>
      <c r="AEL34" s="958"/>
      <c r="AEM34" s="958"/>
      <c r="AEN34" s="958"/>
      <c r="AEO34" s="958"/>
      <c r="AEP34" s="958"/>
      <c r="AEQ34" s="958"/>
      <c r="AER34" s="958"/>
      <c r="AES34" s="958"/>
      <c r="AET34" s="958"/>
      <c r="AEU34" s="958"/>
      <c r="AEV34" s="958"/>
      <c r="AEW34" s="958"/>
      <c r="AEX34" s="958"/>
      <c r="AEY34" s="958"/>
      <c r="AEZ34" s="958"/>
      <c r="AFA34" s="958"/>
      <c r="AFB34" s="958"/>
      <c r="AFC34" s="958"/>
      <c r="AFD34" s="958"/>
      <c r="AFE34" s="958"/>
      <c r="AFF34" s="958"/>
      <c r="AFG34" s="958"/>
      <c r="AFH34" s="958"/>
      <c r="AFI34" s="958"/>
      <c r="AFJ34" s="958"/>
      <c r="AFK34" s="958"/>
      <c r="AFL34" s="958"/>
      <c r="AFM34" s="958"/>
      <c r="AFN34" s="958"/>
      <c r="AFO34" s="958"/>
      <c r="AFP34" s="958"/>
      <c r="AFQ34" s="958"/>
      <c r="AFR34" s="958"/>
      <c r="AFS34" s="958"/>
      <c r="AFT34" s="958"/>
      <c r="AFU34" s="958"/>
      <c r="AFV34" s="958"/>
      <c r="AFW34" s="958"/>
      <c r="AFX34" s="958"/>
      <c r="AFY34" s="958"/>
      <c r="AFZ34" s="958"/>
      <c r="AGA34" s="958"/>
      <c r="AGB34" s="958"/>
      <c r="AGC34" s="958"/>
      <c r="AGD34" s="958"/>
      <c r="AGE34" s="958"/>
      <c r="AGF34" s="958"/>
      <c r="AGG34" s="958"/>
      <c r="AGH34" s="958"/>
      <c r="AGI34" s="958"/>
      <c r="AGJ34" s="958"/>
      <c r="AGK34" s="958"/>
      <c r="AGL34" s="958"/>
      <c r="AGM34" s="958"/>
      <c r="AGN34" s="958"/>
      <c r="AGO34" s="958"/>
      <c r="AGP34" s="958"/>
      <c r="AGQ34" s="958"/>
      <c r="AGR34" s="958"/>
      <c r="AGS34" s="958"/>
      <c r="AGT34" s="958"/>
      <c r="AGU34" s="958"/>
      <c r="AGV34" s="958"/>
      <c r="AGW34" s="958"/>
      <c r="AGX34" s="958"/>
      <c r="AGY34" s="958"/>
      <c r="AGZ34" s="958"/>
      <c r="AHA34" s="958"/>
      <c r="AHB34" s="958"/>
      <c r="AHC34" s="958"/>
      <c r="AHD34" s="958"/>
      <c r="AHE34" s="958"/>
      <c r="AHF34" s="958"/>
      <c r="AHG34" s="958"/>
      <c r="AHH34" s="958"/>
      <c r="AHI34" s="958"/>
      <c r="AHJ34" s="958"/>
      <c r="AHK34" s="958"/>
      <c r="AHL34" s="958"/>
      <c r="AHM34" s="958"/>
      <c r="AHN34" s="958"/>
      <c r="AHO34" s="958"/>
      <c r="AHP34" s="958"/>
      <c r="AHQ34" s="958"/>
      <c r="AHR34" s="958"/>
      <c r="AHS34" s="958"/>
      <c r="AHT34" s="958"/>
      <c r="AHU34" s="958"/>
      <c r="AHV34" s="958"/>
      <c r="AHW34" s="958"/>
      <c r="AHX34" s="958"/>
      <c r="AHY34" s="958"/>
      <c r="AHZ34" s="958"/>
      <c r="AIA34" s="958"/>
      <c r="AIB34" s="958"/>
      <c r="AIC34" s="958"/>
      <c r="AID34" s="958"/>
      <c r="AIE34" s="958"/>
      <c r="AIF34" s="958"/>
      <c r="AIG34" s="958"/>
      <c r="AIH34" s="958"/>
      <c r="AII34" s="958"/>
      <c r="AIJ34" s="958"/>
      <c r="AIK34" s="958"/>
      <c r="AIL34" s="958"/>
      <c r="AIM34" s="958"/>
      <c r="AIN34" s="958"/>
      <c r="AIO34" s="958"/>
      <c r="AIP34" s="958"/>
      <c r="AIQ34" s="958"/>
      <c r="AIR34" s="958"/>
      <c r="AIS34" s="958"/>
      <c r="AIT34" s="958"/>
      <c r="AIU34" s="958"/>
      <c r="AIV34" s="958"/>
      <c r="AIW34" s="958"/>
      <c r="AIX34" s="958"/>
      <c r="AIY34" s="958"/>
      <c r="AIZ34" s="958"/>
      <c r="AJA34" s="958"/>
      <c r="AJB34" s="958"/>
      <c r="AJC34" s="958"/>
      <c r="AJD34" s="958"/>
      <c r="AJE34" s="958"/>
      <c r="AJF34" s="958"/>
      <c r="AJG34" s="958"/>
      <c r="AJH34" s="958"/>
      <c r="AJI34" s="958"/>
      <c r="AJJ34" s="958"/>
      <c r="AJK34" s="958"/>
      <c r="AJL34" s="958"/>
      <c r="AJM34" s="958"/>
      <c r="AJN34" s="958"/>
      <c r="AJO34" s="958"/>
      <c r="AJP34" s="958"/>
      <c r="AJQ34" s="958"/>
      <c r="AJR34" s="958"/>
      <c r="AJS34" s="958"/>
      <c r="AJT34" s="958"/>
      <c r="AJU34" s="958"/>
      <c r="AJV34" s="958"/>
      <c r="AJW34" s="958"/>
      <c r="AJX34" s="958"/>
      <c r="AJY34" s="958"/>
      <c r="AJZ34" s="958"/>
      <c r="AKA34" s="958"/>
      <c r="AKB34" s="958"/>
      <c r="AKC34" s="958"/>
      <c r="AKD34" s="958"/>
      <c r="AKE34" s="958"/>
      <c r="AKF34" s="958"/>
      <c r="AKG34" s="958"/>
      <c r="AKH34" s="958"/>
      <c r="AKI34" s="958"/>
      <c r="AKJ34" s="958"/>
      <c r="AKK34" s="958"/>
      <c r="AKL34" s="958"/>
      <c r="AKM34" s="958"/>
      <c r="AKN34" s="958"/>
      <c r="AKO34" s="958"/>
      <c r="AKP34" s="958"/>
      <c r="AKQ34" s="958"/>
      <c r="AKR34" s="958"/>
      <c r="AKS34" s="958"/>
      <c r="AKT34" s="958"/>
      <c r="AKU34" s="958"/>
      <c r="AKV34" s="958"/>
      <c r="AKW34" s="958"/>
      <c r="AKX34" s="958"/>
      <c r="AKY34" s="958"/>
      <c r="AKZ34" s="958"/>
      <c r="ALA34" s="958"/>
      <c r="ALB34" s="958"/>
      <c r="ALC34" s="958"/>
      <c r="ALD34" s="958"/>
      <c r="ALE34" s="958"/>
      <c r="ALF34" s="958"/>
      <c r="ALG34" s="958"/>
      <c r="ALH34" s="958"/>
      <c r="ALI34" s="958"/>
      <c r="ALJ34" s="958"/>
      <c r="ALK34" s="958"/>
      <c r="ALL34" s="958"/>
      <c r="ALM34" s="958"/>
      <c r="ALN34" s="958"/>
      <c r="ALO34" s="958"/>
      <c r="ALP34" s="958"/>
      <c r="ALQ34" s="958"/>
      <c r="ALR34" s="958"/>
      <c r="ALS34" s="958"/>
      <c r="ALT34" s="958"/>
      <c r="ALU34" s="958"/>
      <c r="ALV34" s="958"/>
      <c r="ALW34" s="958"/>
      <c r="ALX34" s="958"/>
      <c r="ALY34" s="958"/>
      <c r="ALZ34" s="958"/>
      <c r="AMA34" s="958"/>
      <c r="AMB34" s="958"/>
      <c r="AMC34" s="958"/>
      <c r="AMD34" s="958"/>
      <c r="AME34" s="958"/>
      <c r="AMF34" s="958"/>
      <c r="AMG34" s="958"/>
      <c r="AMH34" s="958"/>
      <c r="AMI34" s="958"/>
      <c r="AMJ34" s="958"/>
      <c r="AMK34" s="958"/>
      <c r="AML34" s="958"/>
      <c r="AMM34" s="958"/>
      <c r="AMN34" s="958"/>
      <c r="AMO34" s="958"/>
      <c r="AMP34" s="958"/>
      <c r="AMQ34" s="958"/>
      <c r="AMR34" s="958"/>
      <c r="AMS34" s="958"/>
      <c r="AMT34" s="958"/>
      <c r="AMU34" s="958"/>
      <c r="AMV34" s="958"/>
      <c r="AMW34" s="958"/>
      <c r="AMX34" s="958"/>
      <c r="AMY34" s="958"/>
      <c r="AMZ34" s="958"/>
      <c r="ANA34" s="958"/>
      <c r="ANB34" s="958"/>
      <c r="ANC34" s="958"/>
      <c r="AND34" s="958"/>
      <c r="ANE34" s="958"/>
      <c r="ANF34" s="958"/>
      <c r="ANG34" s="958"/>
      <c r="ANH34" s="958"/>
      <c r="ANI34" s="958"/>
      <c r="ANJ34" s="958"/>
      <c r="ANK34" s="958"/>
      <c r="ANL34" s="958"/>
      <c r="ANM34" s="958"/>
      <c r="ANN34" s="958"/>
      <c r="ANO34" s="958"/>
      <c r="ANP34" s="958"/>
      <c r="ANQ34" s="958"/>
      <c r="ANR34" s="958"/>
      <c r="ANS34" s="958"/>
      <c r="ANT34" s="958"/>
      <c r="ANU34" s="958"/>
      <c r="ANV34" s="958"/>
      <c r="ANW34" s="958"/>
      <c r="ANX34" s="958"/>
      <c r="ANY34" s="958"/>
      <c r="ANZ34" s="958"/>
      <c r="AOA34" s="958"/>
      <c r="AOB34" s="958"/>
      <c r="AOC34" s="958"/>
      <c r="AOD34" s="958"/>
      <c r="AOE34" s="958"/>
      <c r="AOF34" s="958"/>
      <c r="AOG34" s="958"/>
      <c r="AOH34" s="958"/>
      <c r="AOI34" s="958"/>
      <c r="AOJ34" s="958"/>
      <c r="AOK34" s="958"/>
      <c r="AOL34" s="958"/>
      <c r="AOM34" s="958"/>
      <c r="AON34" s="958"/>
      <c r="AOO34" s="958"/>
      <c r="AOP34" s="958"/>
      <c r="AOQ34" s="958"/>
      <c r="AOR34" s="958"/>
      <c r="AOS34" s="958"/>
      <c r="AOT34" s="958"/>
      <c r="AOU34" s="958"/>
      <c r="AOV34" s="958"/>
      <c r="AOW34" s="958"/>
      <c r="AOX34" s="958"/>
      <c r="AOY34" s="958"/>
      <c r="AOZ34" s="958"/>
      <c r="APA34" s="958"/>
      <c r="APB34" s="958"/>
      <c r="APC34" s="958"/>
      <c r="APD34" s="958"/>
      <c r="APE34" s="958"/>
      <c r="APF34" s="958"/>
      <c r="APG34" s="958"/>
      <c r="APH34" s="958"/>
      <c r="API34" s="958"/>
      <c r="APJ34" s="958"/>
      <c r="APK34" s="958"/>
      <c r="APL34" s="958"/>
      <c r="APM34" s="958"/>
      <c r="APN34" s="958"/>
      <c r="APO34" s="958"/>
      <c r="APP34" s="958"/>
      <c r="APQ34" s="958"/>
      <c r="APR34" s="958"/>
      <c r="APS34" s="958"/>
      <c r="APT34" s="958"/>
      <c r="APU34" s="958"/>
      <c r="APV34" s="958"/>
      <c r="APW34" s="958"/>
      <c r="APX34" s="958"/>
      <c r="APY34" s="958"/>
      <c r="APZ34" s="958"/>
      <c r="AQA34" s="958"/>
      <c r="AQB34" s="958"/>
      <c r="AQC34" s="958"/>
      <c r="AQD34" s="958"/>
      <c r="AQE34" s="958"/>
      <c r="AQF34" s="958"/>
      <c r="AQG34" s="958"/>
      <c r="AQH34" s="958"/>
      <c r="AQI34" s="958"/>
      <c r="AQJ34" s="958"/>
      <c r="AQK34" s="958"/>
      <c r="AQL34" s="958"/>
      <c r="AQM34" s="958"/>
      <c r="AQN34" s="958"/>
      <c r="AQO34" s="958"/>
      <c r="AQP34" s="958"/>
      <c r="AQQ34" s="958"/>
      <c r="AQR34" s="958"/>
      <c r="AQS34" s="958"/>
      <c r="AQT34" s="958"/>
      <c r="AQU34" s="958"/>
      <c r="AQV34" s="958"/>
      <c r="AQW34" s="958"/>
      <c r="AQX34" s="958"/>
      <c r="AQY34" s="958"/>
      <c r="AQZ34" s="958"/>
      <c r="ARA34" s="958"/>
      <c r="ARB34" s="958"/>
      <c r="ARC34" s="958"/>
      <c r="ARD34" s="958"/>
      <c r="ARE34" s="958"/>
      <c r="ARF34" s="958"/>
      <c r="ARG34" s="958"/>
      <c r="ARH34" s="958"/>
      <c r="ARI34" s="958"/>
      <c r="ARJ34" s="958"/>
      <c r="ARK34" s="958"/>
      <c r="ARL34" s="958"/>
      <c r="ARM34" s="958"/>
      <c r="ARN34" s="958"/>
      <c r="ARO34" s="958"/>
      <c r="ARP34" s="958"/>
      <c r="ARQ34" s="958"/>
      <c r="ARR34" s="958"/>
      <c r="ARS34" s="958"/>
      <c r="ART34" s="958"/>
      <c r="ARU34" s="958"/>
      <c r="ARV34" s="958"/>
      <c r="ARW34" s="958"/>
      <c r="ARX34" s="958"/>
      <c r="ARY34" s="958"/>
      <c r="ARZ34" s="958"/>
      <c r="ASA34" s="958"/>
      <c r="ASB34" s="958"/>
      <c r="ASC34" s="958"/>
      <c r="ASD34" s="958"/>
      <c r="ASE34" s="958"/>
      <c r="ASF34" s="958"/>
      <c r="ASG34" s="958"/>
      <c r="ASH34" s="958"/>
      <c r="ASI34" s="958"/>
      <c r="ASJ34" s="958"/>
      <c r="ASK34" s="958"/>
      <c r="ASL34" s="958"/>
      <c r="ASM34" s="958"/>
      <c r="ASN34" s="958"/>
      <c r="ASO34" s="958"/>
      <c r="ASP34" s="958"/>
      <c r="ASQ34" s="958"/>
      <c r="ASR34" s="958"/>
      <c r="ASS34" s="958"/>
      <c r="AST34" s="958"/>
      <c r="ASU34" s="958"/>
      <c r="ASV34" s="958"/>
      <c r="ASW34" s="958"/>
      <c r="ASX34" s="958"/>
      <c r="ASY34" s="958"/>
      <c r="ASZ34" s="958"/>
    </row>
    <row r="35" spans="1:1196" s="22" customFormat="1" ht="81.75" customHeight="1" thickTop="1" thickBot="1">
      <c r="A35" s="2846"/>
      <c r="B35" s="2942"/>
      <c r="C35" s="3025"/>
      <c r="D35" s="86" t="s">
        <v>238</v>
      </c>
      <c r="E35" s="81" t="s">
        <v>239</v>
      </c>
      <c r="F35" s="88" t="s">
        <v>10</v>
      </c>
      <c r="G35" s="167">
        <v>0.01</v>
      </c>
      <c r="H35" s="88"/>
      <c r="I35" s="81"/>
      <c r="J35" s="81"/>
      <c r="K35" s="87" t="s">
        <v>23</v>
      </c>
      <c r="L35" s="983">
        <v>0</v>
      </c>
      <c r="M35" s="984"/>
      <c r="N35" s="73" t="e">
        <f t="shared" si="3"/>
        <v>#DIV/0!</v>
      </c>
      <c r="O35" s="983">
        <v>0</v>
      </c>
      <c r="P35" s="984"/>
      <c r="Q35" s="73" t="e">
        <f t="shared" si="4"/>
        <v>#DIV/0!</v>
      </c>
      <c r="R35" s="983">
        <v>0</v>
      </c>
      <c r="S35" s="984"/>
      <c r="T35" s="73" t="e">
        <f t="shared" si="5"/>
        <v>#DIV/0!</v>
      </c>
      <c r="U35" s="983">
        <v>0</v>
      </c>
      <c r="V35" s="984"/>
      <c r="W35" s="73" t="e">
        <f t="shared" si="6"/>
        <v>#DIV/0!</v>
      </c>
      <c r="X35" s="983">
        <v>0</v>
      </c>
      <c r="Y35" s="984"/>
      <c r="Z35" s="73" t="e">
        <f t="shared" si="7"/>
        <v>#DIV/0!</v>
      </c>
      <c r="AA35" s="983">
        <v>0</v>
      </c>
      <c r="AB35" s="984"/>
      <c r="AC35" s="73" t="e">
        <f t="shared" si="8"/>
        <v>#DIV/0!</v>
      </c>
      <c r="AD35" s="985">
        <f>(V35+Y35+AB35)/3</f>
        <v>0</v>
      </c>
      <c r="AE35" s="73">
        <f>+AD35/G35</f>
        <v>0</v>
      </c>
      <c r="AF35" s="983">
        <v>0</v>
      </c>
      <c r="AG35" s="984"/>
      <c r="AH35" s="73" t="e">
        <f t="shared" si="11"/>
        <v>#DIV/0!</v>
      </c>
      <c r="AI35" s="983">
        <v>0</v>
      </c>
      <c r="AJ35" s="984"/>
      <c r="AK35" s="73" t="e">
        <f t="shared" ref="AK35:AK37" si="24">+AJ35/AI35</f>
        <v>#DIV/0!</v>
      </c>
      <c r="AL35" s="983">
        <v>0.01</v>
      </c>
      <c r="AM35" s="984">
        <f>4/166</f>
        <v>2.4096385542168676E-2</v>
      </c>
      <c r="AN35" s="73">
        <f t="shared" si="13"/>
        <v>2.4096385542168677</v>
      </c>
      <c r="AO35" s="983">
        <v>0.01</v>
      </c>
      <c r="AP35" s="984">
        <f>0/235</f>
        <v>0</v>
      </c>
      <c r="AQ35" s="73">
        <f t="shared" si="14"/>
        <v>0</v>
      </c>
      <c r="AR35" s="983">
        <v>0.01</v>
      </c>
      <c r="AS35" s="984">
        <f>0/187</f>
        <v>0</v>
      </c>
      <c r="AT35" s="73">
        <f t="shared" si="15"/>
        <v>0</v>
      </c>
      <c r="AU35" s="163">
        <v>0.01</v>
      </c>
      <c r="AV35" s="164">
        <f>0/159</f>
        <v>0</v>
      </c>
      <c r="AW35" s="19">
        <f t="shared" si="16"/>
        <v>0</v>
      </c>
      <c r="AX35" s="163">
        <f>+(AV35+AS35+AP35+AM35)/4</f>
        <v>6.024096385542169E-3</v>
      </c>
      <c r="AY35" s="73">
        <f t="shared" si="18"/>
        <v>0.60240963855421692</v>
      </c>
      <c r="AZ35" s="958"/>
      <c r="BA35" s="958"/>
      <c r="BB35" s="958"/>
      <c r="BC35" s="958"/>
      <c r="BD35" s="958"/>
      <c r="BE35" s="958"/>
      <c r="BF35" s="958"/>
      <c r="BG35" s="958"/>
      <c r="BH35" s="958"/>
      <c r="BI35" s="958"/>
      <c r="BJ35" s="958"/>
      <c r="BK35" s="958"/>
      <c r="BL35" s="958"/>
      <c r="BM35" s="958"/>
      <c r="BN35" s="958"/>
      <c r="BO35" s="958"/>
      <c r="BP35" s="958"/>
      <c r="BQ35" s="958"/>
      <c r="BR35" s="958"/>
      <c r="BS35" s="958"/>
      <c r="BT35" s="958"/>
      <c r="BU35" s="958"/>
      <c r="BV35" s="958"/>
      <c r="BW35" s="958"/>
      <c r="BX35" s="958"/>
      <c r="BY35" s="958"/>
      <c r="BZ35" s="958"/>
      <c r="CA35" s="958"/>
      <c r="CB35" s="958"/>
      <c r="CC35" s="958"/>
      <c r="CD35" s="958"/>
      <c r="CE35" s="958"/>
      <c r="CF35" s="958"/>
      <c r="CG35" s="958"/>
      <c r="CH35" s="958"/>
      <c r="CI35" s="958"/>
      <c r="CJ35" s="958"/>
      <c r="CK35" s="958"/>
      <c r="CL35" s="958"/>
      <c r="CM35" s="958"/>
      <c r="CN35" s="958"/>
      <c r="CO35" s="958"/>
      <c r="CP35" s="958"/>
      <c r="CQ35" s="958"/>
      <c r="CR35" s="958"/>
      <c r="CS35" s="958"/>
      <c r="CT35" s="958"/>
      <c r="CU35" s="958"/>
      <c r="CV35" s="958"/>
      <c r="CW35" s="958"/>
      <c r="CX35" s="958"/>
      <c r="CY35" s="958"/>
      <c r="CZ35" s="958"/>
      <c r="DA35" s="958"/>
      <c r="DB35" s="958"/>
      <c r="DC35" s="958"/>
      <c r="DD35" s="958"/>
      <c r="DE35" s="958"/>
      <c r="DF35" s="958"/>
      <c r="DG35" s="958"/>
      <c r="DH35" s="958"/>
      <c r="DI35" s="958"/>
      <c r="DJ35" s="958"/>
      <c r="DK35" s="958"/>
      <c r="DL35" s="958"/>
      <c r="DM35" s="958"/>
      <c r="DN35" s="958"/>
      <c r="DO35" s="958"/>
      <c r="DP35" s="958"/>
      <c r="DQ35" s="958"/>
      <c r="DR35" s="958"/>
      <c r="DS35" s="958"/>
      <c r="DT35" s="958"/>
      <c r="DU35" s="958"/>
      <c r="DV35" s="958"/>
      <c r="DW35" s="958"/>
      <c r="DX35" s="958"/>
      <c r="DY35" s="958"/>
      <c r="DZ35" s="958"/>
      <c r="EA35" s="958"/>
      <c r="EB35" s="958"/>
      <c r="EC35" s="958"/>
      <c r="ED35" s="958"/>
      <c r="EE35" s="958"/>
      <c r="EF35" s="958"/>
      <c r="EG35" s="958"/>
      <c r="EH35" s="958"/>
      <c r="EI35" s="958"/>
      <c r="EJ35" s="958"/>
      <c r="EK35" s="958"/>
      <c r="EL35" s="958"/>
      <c r="EM35" s="958"/>
      <c r="EN35" s="958"/>
      <c r="EO35" s="958"/>
      <c r="EP35" s="958"/>
      <c r="EQ35" s="958"/>
      <c r="ER35" s="958"/>
      <c r="ES35" s="958"/>
      <c r="ET35" s="958"/>
      <c r="EU35" s="958"/>
      <c r="EV35" s="958"/>
      <c r="EW35" s="958"/>
      <c r="EX35" s="958"/>
      <c r="EY35" s="958"/>
      <c r="EZ35" s="958"/>
      <c r="FA35" s="958"/>
      <c r="FB35" s="958"/>
      <c r="FC35" s="958"/>
      <c r="FD35" s="958"/>
      <c r="FE35" s="958"/>
      <c r="FF35" s="958"/>
      <c r="FG35" s="958"/>
      <c r="FH35" s="958"/>
      <c r="FI35" s="958"/>
      <c r="FJ35" s="958"/>
      <c r="FK35" s="958"/>
      <c r="FL35" s="958"/>
      <c r="FM35" s="958"/>
      <c r="FN35" s="958"/>
      <c r="FO35" s="958"/>
      <c r="FP35" s="958"/>
      <c r="FQ35" s="958"/>
      <c r="FR35" s="958"/>
      <c r="FS35" s="958"/>
      <c r="FT35" s="958"/>
      <c r="FU35" s="958"/>
      <c r="FV35" s="958"/>
      <c r="FW35" s="958"/>
      <c r="FX35" s="958"/>
      <c r="FY35" s="958"/>
      <c r="FZ35" s="958"/>
      <c r="GA35" s="958"/>
      <c r="GB35" s="958"/>
      <c r="GC35" s="958"/>
      <c r="GD35" s="958"/>
      <c r="GE35" s="958"/>
      <c r="GF35" s="958"/>
      <c r="GG35" s="958"/>
      <c r="GH35" s="958"/>
      <c r="GI35" s="958"/>
      <c r="GJ35" s="958"/>
      <c r="GK35" s="958"/>
      <c r="GL35" s="958"/>
      <c r="GM35" s="958"/>
      <c r="GN35" s="958"/>
      <c r="GO35" s="958"/>
      <c r="GP35" s="958"/>
      <c r="GQ35" s="958"/>
      <c r="GR35" s="958"/>
      <c r="GS35" s="958"/>
      <c r="GT35" s="958"/>
      <c r="GU35" s="958"/>
      <c r="GV35" s="958"/>
      <c r="GW35" s="958"/>
      <c r="GX35" s="958"/>
      <c r="GY35" s="958"/>
      <c r="GZ35" s="958"/>
      <c r="HA35" s="958"/>
      <c r="HB35" s="958"/>
      <c r="HC35" s="958"/>
      <c r="HD35" s="958"/>
      <c r="HE35" s="958"/>
      <c r="HF35" s="958"/>
      <c r="HG35" s="958"/>
      <c r="HH35" s="958"/>
      <c r="HI35" s="958"/>
      <c r="HJ35" s="958"/>
      <c r="HK35" s="958"/>
      <c r="HL35" s="958"/>
      <c r="HM35" s="958"/>
      <c r="HN35" s="958"/>
      <c r="HO35" s="958"/>
      <c r="HP35" s="958"/>
      <c r="HQ35" s="958"/>
      <c r="HR35" s="958"/>
      <c r="HS35" s="958"/>
      <c r="HT35" s="958"/>
      <c r="HU35" s="958"/>
      <c r="HV35" s="958"/>
      <c r="HW35" s="958"/>
      <c r="HX35" s="958"/>
      <c r="HY35" s="958"/>
      <c r="HZ35" s="958"/>
      <c r="IA35" s="958"/>
      <c r="IB35" s="958"/>
      <c r="IC35" s="958"/>
      <c r="ID35" s="958"/>
      <c r="IE35" s="958"/>
      <c r="IF35" s="958"/>
      <c r="IG35" s="958"/>
      <c r="IH35" s="958"/>
      <c r="II35" s="958"/>
      <c r="IJ35" s="958"/>
      <c r="IK35" s="958"/>
      <c r="IL35" s="958"/>
      <c r="IM35" s="958"/>
      <c r="IN35" s="958"/>
      <c r="IO35" s="958"/>
      <c r="IP35" s="958"/>
      <c r="IQ35" s="958"/>
      <c r="IR35" s="958"/>
      <c r="IS35" s="958"/>
      <c r="IT35" s="958"/>
      <c r="IU35" s="958"/>
      <c r="IV35" s="958"/>
      <c r="IW35" s="958"/>
      <c r="IX35" s="958"/>
      <c r="IY35" s="958"/>
      <c r="IZ35" s="958"/>
      <c r="JA35" s="958"/>
      <c r="JB35" s="958"/>
      <c r="JC35" s="958"/>
      <c r="JD35" s="958"/>
      <c r="JE35" s="958"/>
      <c r="JF35" s="958"/>
      <c r="JG35" s="958"/>
      <c r="JH35" s="958"/>
      <c r="JI35" s="958"/>
      <c r="JJ35" s="958"/>
      <c r="JK35" s="958"/>
      <c r="JL35" s="958"/>
      <c r="JM35" s="958"/>
      <c r="JN35" s="958"/>
      <c r="JO35" s="958"/>
      <c r="JP35" s="958"/>
      <c r="JQ35" s="958"/>
      <c r="JR35" s="958"/>
      <c r="JS35" s="958"/>
      <c r="JT35" s="958"/>
      <c r="JU35" s="958"/>
      <c r="JV35" s="958"/>
      <c r="JW35" s="958"/>
      <c r="JX35" s="958"/>
      <c r="JY35" s="958"/>
      <c r="JZ35" s="958"/>
      <c r="KA35" s="958"/>
      <c r="KB35" s="958"/>
      <c r="KC35" s="958"/>
      <c r="KD35" s="958"/>
      <c r="KE35" s="958"/>
      <c r="KF35" s="958"/>
      <c r="KG35" s="958"/>
      <c r="KH35" s="958"/>
      <c r="KI35" s="958"/>
      <c r="KJ35" s="958"/>
      <c r="KK35" s="958"/>
      <c r="KL35" s="958"/>
      <c r="KM35" s="958"/>
      <c r="KN35" s="958"/>
      <c r="KO35" s="958"/>
      <c r="KP35" s="958"/>
      <c r="KQ35" s="958"/>
      <c r="KR35" s="958"/>
      <c r="KS35" s="958"/>
      <c r="KT35" s="958"/>
      <c r="KU35" s="958"/>
      <c r="KV35" s="958"/>
      <c r="KW35" s="958"/>
      <c r="KX35" s="958"/>
      <c r="KY35" s="958"/>
      <c r="KZ35" s="958"/>
      <c r="LA35" s="958"/>
      <c r="LB35" s="958"/>
      <c r="LC35" s="958"/>
      <c r="LD35" s="958"/>
      <c r="LE35" s="958"/>
      <c r="LF35" s="958"/>
      <c r="LG35" s="958"/>
      <c r="LH35" s="958"/>
      <c r="LI35" s="958"/>
      <c r="LJ35" s="958"/>
      <c r="LK35" s="958"/>
      <c r="LL35" s="958"/>
      <c r="LM35" s="958"/>
      <c r="LN35" s="958"/>
      <c r="LO35" s="958"/>
      <c r="LP35" s="958"/>
      <c r="LQ35" s="958"/>
      <c r="LR35" s="958"/>
      <c r="LS35" s="958"/>
      <c r="LT35" s="958"/>
      <c r="LU35" s="958"/>
      <c r="LV35" s="958"/>
      <c r="LW35" s="958"/>
      <c r="LX35" s="958"/>
      <c r="LY35" s="958"/>
      <c r="LZ35" s="958"/>
      <c r="MA35" s="958"/>
      <c r="MB35" s="958"/>
      <c r="MC35" s="958"/>
      <c r="MD35" s="958"/>
      <c r="ME35" s="958"/>
      <c r="MF35" s="958"/>
      <c r="MG35" s="958"/>
      <c r="MH35" s="958"/>
      <c r="MI35" s="958"/>
      <c r="MJ35" s="958"/>
      <c r="MK35" s="958"/>
      <c r="ML35" s="958"/>
      <c r="MM35" s="958"/>
      <c r="MN35" s="958"/>
      <c r="MO35" s="958"/>
      <c r="MP35" s="958"/>
      <c r="MQ35" s="958"/>
      <c r="MR35" s="958"/>
      <c r="MS35" s="958"/>
      <c r="MT35" s="958"/>
      <c r="MU35" s="958"/>
      <c r="MV35" s="958"/>
      <c r="MW35" s="958"/>
      <c r="MX35" s="958"/>
      <c r="MY35" s="958"/>
      <c r="MZ35" s="958"/>
      <c r="NA35" s="958"/>
      <c r="NB35" s="958"/>
      <c r="NC35" s="958"/>
      <c r="ND35" s="958"/>
      <c r="NE35" s="958"/>
      <c r="NF35" s="958"/>
      <c r="NG35" s="958"/>
      <c r="NH35" s="958"/>
      <c r="NI35" s="958"/>
      <c r="NJ35" s="958"/>
      <c r="NK35" s="958"/>
      <c r="NL35" s="958"/>
      <c r="NM35" s="958"/>
      <c r="NN35" s="958"/>
      <c r="NO35" s="958"/>
      <c r="NP35" s="958"/>
      <c r="NQ35" s="958"/>
      <c r="NR35" s="958"/>
      <c r="NS35" s="958"/>
      <c r="NT35" s="958"/>
      <c r="NU35" s="958"/>
      <c r="NV35" s="958"/>
      <c r="NW35" s="958"/>
      <c r="NX35" s="958"/>
      <c r="NY35" s="958"/>
      <c r="NZ35" s="958"/>
      <c r="OA35" s="958"/>
      <c r="OB35" s="958"/>
      <c r="OC35" s="958"/>
      <c r="OD35" s="958"/>
      <c r="OE35" s="958"/>
      <c r="OF35" s="958"/>
      <c r="OG35" s="958"/>
      <c r="OH35" s="958"/>
      <c r="OI35" s="958"/>
      <c r="OJ35" s="958"/>
      <c r="OK35" s="958"/>
      <c r="OL35" s="958"/>
      <c r="OM35" s="958"/>
      <c r="ON35" s="958"/>
      <c r="OO35" s="958"/>
      <c r="OP35" s="958"/>
      <c r="OQ35" s="958"/>
      <c r="OR35" s="958"/>
      <c r="OS35" s="958"/>
      <c r="OT35" s="958"/>
      <c r="OU35" s="958"/>
      <c r="OV35" s="958"/>
      <c r="OW35" s="958"/>
      <c r="OX35" s="958"/>
      <c r="OY35" s="958"/>
      <c r="OZ35" s="958"/>
      <c r="PA35" s="958"/>
      <c r="PB35" s="958"/>
      <c r="PC35" s="958"/>
      <c r="PD35" s="958"/>
      <c r="PE35" s="958"/>
      <c r="PF35" s="958"/>
      <c r="PG35" s="958"/>
      <c r="PH35" s="958"/>
      <c r="PI35" s="958"/>
      <c r="PJ35" s="958"/>
      <c r="PK35" s="958"/>
      <c r="PL35" s="958"/>
      <c r="PM35" s="958"/>
      <c r="PN35" s="958"/>
      <c r="PO35" s="958"/>
      <c r="PP35" s="958"/>
      <c r="PQ35" s="958"/>
      <c r="PR35" s="958"/>
      <c r="PS35" s="958"/>
      <c r="PT35" s="958"/>
      <c r="PU35" s="958"/>
      <c r="PV35" s="958"/>
      <c r="PW35" s="958"/>
      <c r="PX35" s="958"/>
      <c r="PY35" s="958"/>
      <c r="PZ35" s="958"/>
      <c r="QA35" s="958"/>
      <c r="QB35" s="958"/>
      <c r="QC35" s="958"/>
      <c r="QD35" s="958"/>
      <c r="QE35" s="958"/>
      <c r="QF35" s="958"/>
      <c r="QG35" s="958"/>
      <c r="QH35" s="958"/>
      <c r="QI35" s="958"/>
      <c r="QJ35" s="958"/>
      <c r="QK35" s="958"/>
      <c r="QL35" s="958"/>
      <c r="QM35" s="958"/>
      <c r="QN35" s="958"/>
      <c r="QO35" s="958"/>
      <c r="QP35" s="958"/>
      <c r="QQ35" s="958"/>
      <c r="QR35" s="958"/>
      <c r="QS35" s="958"/>
      <c r="QT35" s="958"/>
      <c r="QU35" s="958"/>
      <c r="QV35" s="958"/>
      <c r="QW35" s="958"/>
      <c r="QX35" s="958"/>
      <c r="QY35" s="958"/>
      <c r="QZ35" s="958"/>
      <c r="RA35" s="958"/>
      <c r="RB35" s="958"/>
      <c r="RC35" s="958"/>
      <c r="RD35" s="958"/>
      <c r="RE35" s="958"/>
      <c r="RF35" s="958"/>
      <c r="RG35" s="958"/>
      <c r="RH35" s="958"/>
      <c r="RI35" s="958"/>
      <c r="RJ35" s="958"/>
      <c r="RK35" s="958"/>
      <c r="RL35" s="958"/>
      <c r="RM35" s="958"/>
      <c r="RN35" s="958"/>
      <c r="RO35" s="958"/>
      <c r="RP35" s="958"/>
      <c r="RQ35" s="958"/>
      <c r="RR35" s="958"/>
      <c r="RS35" s="958"/>
      <c r="RT35" s="958"/>
      <c r="RU35" s="958"/>
      <c r="RV35" s="958"/>
      <c r="RW35" s="958"/>
      <c r="RX35" s="958"/>
      <c r="RY35" s="958"/>
      <c r="RZ35" s="958"/>
      <c r="SA35" s="958"/>
      <c r="SB35" s="958"/>
      <c r="SC35" s="958"/>
      <c r="SD35" s="958"/>
      <c r="SE35" s="958"/>
      <c r="SF35" s="958"/>
      <c r="SG35" s="958"/>
      <c r="SH35" s="958"/>
      <c r="SI35" s="958"/>
      <c r="SJ35" s="958"/>
      <c r="SK35" s="958"/>
      <c r="SL35" s="958"/>
      <c r="SM35" s="958"/>
      <c r="SN35" s="958"/>
      <c r="SO35" s="958"/>
      <c r="SP35" s="958"/>
      <c r="SQ35" s="958"/>
      <c r="SR35" s="958"/>
      <c r="SS35" s="958"/>
      <c r="ST35" s="958"/>
      <c r="SU35" s="958"/>
      <c r="SV35" s="958"/>
      <c r="SW35" s="958"/>
      <c r="SX35" s="958"/>
      <c r="SY35" s="958"/>
      <c r="SZ35" s="958"/>
      <c r="TA35" s="958"/>
      <c r="TB35" s="958"/>
      <c r="TC35" s="958"/>
      <c r="TD35" s="958"/>
      <c r="TE35" s="958"/>
      <c r="TF35" s="958"/>
      <c r="TG35" s="958"/>
      <c r="TH35" s="958"/>
      <c r="TI35" s="958"/>
      <c r="TJ35" s="958"/>
      <c r="TK35" s="958"/>
      <c r="TL35" s="958"/>
      <c r="TM35" s="958"/>
      <c r="TN35" s="958"/>
      <c r="TO35" s="958"/>
      <c r="TP35" s="958"/>
      <c r="TQ35" s="958"/>
      <c r="TR35" s="958"/>
      <c r="TS35" s="958"/>
      <c r="TT35" s="958"/>
      <c r="TU35" s="958"/>
      <c r="TV35" s="958"/>
      <c r="TW35" s="958"/>
      <c r="TX35" s="958"/>
      <c r="TY35" s="958"/>
      <c r="TZ35" s="958"/>
      <c r="UA35" s="958"/>
      <c r="UB35" s="958"/>
      <c r="UC35" s="958"/>
      <c r="UD35" s="958"/>
      <c r="UE35" s="958"/>
      <c r="UF35" s="958"/>
      <c r="UG35" s="958"/>
      <c r="UH35" s="958"/>
      <c r="UI35" s="958"/>
      <c r="UJ35" s="958"/>
      <c r="UK35" s="958"/>
      <c r="UL35" s="958"/>
      <c r="UM35" s="958"/>
      <c r="UN35" s="958"/>
      <c r="UO35" s="958"/>
      <c r="UP35" s="958"/>
      <c r="UQ35" s="958"/>
      <c r="UR35" s="958"/>
      <c r="US35" s="958"/>
      <c r="UT35" s="958"/>
      <c r="UU35" s="958"/>
      <c r="UV35" s="958"/>
      <c r="UW35" s="958"/>
      <c r="UX35" s="958"/>
      <c r="UY35" s="958"/>
      <c r="UZ35" s="958"/>
      <c r="VA35" s="958"/>
      <c r="VB35" s="958"/>
      <c r="VC35" s="958"/>
      <c r="VD35" s="958"/>
      <c r="VE35" s="958"/>
      <c r="VF35" s="958"/>
      <c r="VG35" s="958"/>
      <c r="VH35" s="958"/>
      <c r="VI35" s="958"/>
      <c r="VJ35" s="958"/>
      <c r="VK35" s="958"/>
      <c r="VL35" s="958"/>
      <c r="VM35" s="958"/>
      <c r="VN35" s="958"/>
      <c r="VO35" s="958"/>
      <c r="VP35" s="958"/>
      <c r="VQ35" s="958"/>
      <c r="VR35" s="958"/>
      <c r="VS35" s="958"/>
      <c r="VT35" s="958"/>
      <c r="VU35" s="958"/>
      <c r="VV35" s="958"/>
      <c r="VW35" s="958"/>
      <c r="VX35" s="958"/>
      <c r="VY35" s="958"/>
      <c r="VZ35" s="958"/>
      <c r="WA35" s="958"/>
      <c r="WB35" s="958"/>
      <c r="WC35" s="958"/>
      <c r="WD35" s="958"/>
      <c r="WE35" s="958"/>
      <c r="WF35" s="958"/>
      <c r="WG35" s="958"/>
      <c r="WH35" s="958"/>
      <c r="WI35" s="958"/>
      <c r="WJ35" s="958"/>
      <c r="WK35" s="958"/>
      <c r="WL35" s="958"/>
      <c r="WM35" s="958"/>
      <c r="WN35" s="958"/>
      <c r="WO35" s="958"/>
      <c r="WP35" s="958"/>
      <c r="WQ35" s="958"/>
      <c r="WR35" s="958"/>
      <c r="WS35" s="958"/>
      <c r="WT35" s="958"/>
      <c r="WU35" s="958"/>
      <c r="WV35" s="958"/>
      <c r="WW35" s="958"/>
      <c r="WX35" s="958"/>
      <c r="WY35" s="958"/>
      <c r="WZ35" s="958"/>
      <c r="XA35" s="958"/>
      <c r="XB35" s="958"/>
      <c r="XC35" s="958"/>
      <c r="XD35" s="958"/>
      <c r="XE35" s="958"/>
      <c r="XF35" s="958"/>
      <c r="XG35" s="958"/>
      <c r="XH35" s="958"/>
      <c r="XI35" s="958"/>
      <c r="XJ35" s="958"/>
      <c r="XK35" s="958"/>
      <c r="XL35" s="958"/>
      <c r="XM35" s="958"/>
      <c r="XN35" s="958"/>
      <c r="XO35" s="958"/>
      <c r="XP35" s="958"/>
      <c r="XQ35" s="958"/>
      <c r="XR35" s="958"/>
      <c r="XS35" s="958"/>
      <c r="XT35" s="958"/>
      <c r="XU35" s="958"/>
      <c r="XV35" s="958"/>
      <c r="XW35" s="958"/>
      <c r="XX35" s="958"/>
      <c r="XY35" s="958"/>
      <c r="XZ35" s="958"/>
      <c r="YA35" s="958"/>
      <c r="YB35" s="958"/>
      <c r="YC35" s="958"/>
      <c r="YD35" s="958"/>
      <c r="YE35" s="958"/>
      <c r="YF35" s="958"/>
      <c r="YG35" s="958"/>
      <c r="YH35" s="958"/>
      <c r="YI35" s="958"/>
      <c r="YJ35" s="958"/>
      <c r="YK35" s="958"/>
      <c r="YL35" s="958"/>
      <c r="YM35" s="958"/>
      <c r="YN35" s="958"/>
      <c r="YO35" s="958"/>
      <c r="YP35" s="958"/>
      <c r="YQ35" s="958"/>
      <c r="YR35" s="958"/>
      <c r="YS35" s="958"/>
      <c r="YT35" s="958"/>
      <c r="YU35" s="958"/>
      <c r="YV35" s="958"/>
      <c r="YW35" s="958"/>
      <c r="YX35" s="958"/>
      <c r="YY35" s="958"/>
      <c r="YZ35" s="958"/>
      <c r="ZA35" s="958"/>
      <c r="ZB35" s="958"/>
      <c r="ZC35" s="958"/>
      <c r="ZD35" s="958"/>
      <c r="ZE35" s="958"/>
      <c r="ZF35" s="958"/>
      <c r="ZG35" s="958"/>
      <c r="ZH35" s="958"/>
      <c r="ZI35" s="958"/>
      <c r="ZJ35" s="958"/>
      <c r="ZK35" s="958"/>
      <c r="ZL35" s="958"/>
      <c r="ZM35" s="958"/>
      <c r="ZN35" s="958"/>
      <c r="ZO35" s="958"/>
      <c r="ZP35" s="958"/>
      <c r="ZQ35" s="958"/>
      <c r="ZR35" s="958"/>
      <c r="ZS35" s="958"/>
      <c r="ZT35" s="958"/>
      <c r="ZU35" s="958"/>
      <c r="ZV35" s="958"/>
      <c r="ZW35" s="958"/>
      <c r="ZX35" s="958"/>
      <c r="ZY35" s="958"/>
      <c r="ZZ35" s="958"/>
      <c r="AAA35" s="958"/>
      <c r="AAB35" s="958"/>
      <c r="AAC35" s="958"/>
      <c r="AAD35" s="958"/>
      <c r="AAE35" s="958"/>
      <c r="AAF35" s="958"/>
      <c r="AAG35" s="958"/>
      <c r="AAH35" s="958"/>
      <c r="AAI35" s="958"/>
      <c r="AAJ35" s="958"/>
      <c r="AAK35" s="958"/>
      <c r="AAL35" s="958"/>
      <c r="AAM35" s="958"/>
      <c r="AAN35" s="958"/>
      <c r="AAO35" s="958"/>
      <c r="AAP35" s="958"/>
      <c r="AAQ35" s="958"/>
      <c r="AAR35" s="958"/>
      <c r="AAS35" s="958"/>
      <c r="AAT35" s="958"/>
      <c r="AAU35" s="958"/>
      <c r="AAV35" s="958"/>
      <c r="AAW35" s="958"/>
      <c r="AAX35" s="958"/>
      <c r="AAY35" s="958"/>
      <c r="AAZ35" s="958"/>
      <c r="ABA35" s="958"/>
      <c r="ABB35" s="958"/>
      <c r="ABC35" s="958"/>
      <c r="ABD35" s="958"/>
      <c r="ABE35" s="958"/>
      <c r="ABF35" s="958"/>
      <c r="ABG35" s="958"/>
      <c r="ABH35" s="958"/>
      <c r="ABI35" s="958"/>
      <c r="ABJ35" s="958"/>
      <c r="ABK35" s="958"/>
      <c r="ABL35" s="958"/>
      <c r="ABM35" s="958"/>
      <c r="ABN35" s="958"/>
      <c r="ABO35" s="958"/>
      <c r="ABP35" s="958"/>
      <c r="ABQ35" s="958"/>
      <c r="ABR35" s="958"/>
      <c r="ABS35" s="958"/>
      <c r="ABT35" s="958"/>
      <c r="ABU35" s="958"/>
      <c r="ABV35" s="958"/>
      <c r="ABW35" s="958"/>
      <c r="ABX35" s="958"/>
      <c r="ABY35" s="958"/>
      <c r="ABZ35" s="958"/>
      <c r="ACA35" s="958"/>
      <c r="ACB35" s="958"/>
      <c r="ACC35" s="958"/>
      <c r="ACD35" s="958"/>
      <c r="ACE35" s="958"/>
      <c r="ACF35" s="958"/>
      <c r="ACG35" s="958"/>
      <c r="ACH35" s="958"/>
      <c r="ACI35" s="958"/>
      <c r="ACJ35" s="958"/>
      <c r="ACK35" s="958"/>
      <c r="ACL35" s="958"/>
      <c r="ACM35" s="958"/>
      <c r="ACN35" s="958"/>
      <c r="ACO35" s="958"/>
      <c r="ACP35" s="958"/>
      <c r="ACQ35" s="958"/>
      <c r="ACR35" s="958"/>
      <c r="ACS35" s="958"/>
      <c r="ACT35" s="958"/>
      <c r="ACU35" s="958"/>
      <c r="ACV35" s="958"/>
      <c r="ACW35" s="958"/>
      <c r="ACX35" s="958"/>
      <c r="ACY35" s="958"/>
      <c r="ACZ35" s="958"/>
      <c r="ADA35" s="958"/>
      <c r="ADB35" s="958"/>
      <c r="ADC35" s="958"/>
      <c r="ADD35" s="958"/>
      <c r="ADE35" s="958"/>
      <c r="ADF35" s="958"/>
      <c r="ADG35" s="958"/>
      <c r="ADH35" s="958"/>
      <c r="ADI35" s="958"/>
      <c r="ADJ35" s="958"/>
      <c r="ADK35" s="958"/>
      <c r="ADL35" s="958"/>
      <c r="ADM35" s="958"/>
      <c r="ADN35" s="958"/>
      <c r="ADO35" s="958"/>
      <c r="ADP35" s="958"/>
      <c r="ADQ35" s="958"/>
      <c r="ADR35" s="958"/>
      <c r="ADS35" s="958"/>
      <c r="ADT35" s="958"/>
      <c r="ADU35" s="958"/>
      <c r="ADV35" s="958"/>
      <c r="ADW35" s="958"/>
      <c r="ADX35" s="958"/>
      <c r="ADY35" s="958"/>
      <c r="ADZ35" s="958"/>
      <c r="AEA35" s="958"/>
      <c r="AEB35" s="958"/>
      <c r="AEC35" s="958"/>
      <c r="AED35" s="958"/>
      <c r="AEE35" s="958"/>
      <c r="AEF35" s="958"/>
      <c r="AEG35" s="958"/>
      <c r="AEH35" s="958"/>
      <c r="AEI35" s="958"/>
      <c r="AEJ35" s="958"/>
      <c r="AEK35" s="958"/>
      <c r="AEL35" s="958"/>
      <c r="AEM35" s="958"/>
      <c r="AEN35" s="958"/>
      <c r="AEO35" s="958"/>
      <c r="AEP35" s="958"/>
      <c r="AEQ35" s="958"/>
      <c r="AER35" s="958"/>
      <c r="AES35" s="958"/>
      <c r="AET35" s="958"/>
      <c r="AEU35" s="958"/>
      <c r="AEV35" s="958"/>
      <c r="AEW35" s="958"/>
      <c r="AEX35" s="958"/>
      <c r="AEY35" s="958"/>
      <c r="AEZ35" s="958"/>
      <c r="AFA35" s="958"/>
      <c r="AFB35" s="958"/>
      <c r="AFC35" s="958"/>
      <c r="AFD35" s="958"/>
      <c r="AFE35" s="958"/>
      <c r="AFF35" s="958"/>
      <c r="AFG35" s="958"/>
      <c r="AFH35" s="958"/>
      <c r="AFI35" s="958"/>
      <c r="AFJ35" s="958"/>
      <c r="AFK35" s="958"/>
      <c r="AFL35" s="958"/>
      <c r="AFM35" s="958"/>
      <c r="AFN35" s="958"/>
      <c r="AFO35" s="958"/>
      <c r="AFP35" s="958"/>
      <c r="AFQ35" s="958"/>
      <c r="AFR35" s="958"/>
      <c r="AFS35" s="958"/>
      <c r="AFT35" s="958"/>
      <c r="AFU35" s="958"/>
      <c r="AFV35" s="958"/>
      <c r="AFW35" s="958"/>
      <c r="AFX35" s="958"/>
      <c r="AFY35" s="958"/>
      <c r="AFZ35" s="958"/>
      <c r="AGA35" s="958"/>
      <c r="AGB35" s="958"/>
      <c r="AGC35" s="958"/>
      <c r="AGD35" s="958"/>
      <c r="AGE35" s="958"/>
      <c r="AGF35" s="958"/>
      <c r="AGG35" s="958"/>
      <c r="AGH35" s="958"/>
      <c r="AGI35" s="958"/>
      <c r="AGJ35" s="958"/>
      <c r="AGK35" s="958"/>
      <c r="AGL35" s="958"/>
      <c r="AGM35" s="958"/>
      <c r="AGN35" s="958"/>
      <c r="AGO35" s="958"/>
      <c r="AGP35" s="958"/>
      <c r="AGQ35" s="958"/>
      <c r="AGR35" s="958"/>
      <c r="AGS35" s="958"/>
      <c r="AGT35" s="958"/>
      <c r="AGU35" s="958"/>
      <c r="AGV35" s="958"/>
      <c r="AGW35" s="958"/>
      <c r="AGX35" s="958"/>
      <c r="AGY35" s="958"/>
      <c r="AGZ35" s="958"/>
      <c r="AHA35" s="958"/>
      <c r="AHB35" s="958"/>
      <c r="AHC35" s="958"/>
      <c r="AHD35" s="958"/>
      <c r="AHE35" s="958"/>
      <c r="AHF35" s="958"/>
      <c r="AHG35" s="958"/>
      <c r="AHH35" s="958"/>
      <c r="AHI35" s="958"/>
      <c r="AHJ35" s="958"/>
      <c r="AHK35" s="958"/>
      <c r="AHL35" s="958"/>
      <c r="AHM35" s="958"/>
      <c r="AHN35" s="958"/>
      <c r="AHO35" s="958"/>
      <c r="AHP35" s="958"/>
      <c r="AHQ35" s="958"/>
      <c r="AHR35" s="958"/>
      <c r="AHS35" s="958"/>
      <c r="AHT35" s="958"/>
      <c r="AHU35" s="958"/>
      <c r="AHV35" s="958"/>
      <c r="AHW35" s="958"/>
      <c r="AHX35" s="958"/>
      <c r="AHY35" s="958"/>
      <c r="AHZ35" s="958"/>
      <c r="AIA35" s="958"/>
      <c r="AIB35" s="958"/>
      <c r="AIC35" s="958"/>
      <c r="AID35" s="958"/>
      <c r="AIE35" s="958"/>
      <c r="AIF35" s="958"/>
      <c r="AIG35" s="958"/>
      <c r="AIH35" s="958"/>
      <c r="AII35" s="958"/>
      <c r="AIJ35" s="958"/>
      <c r="AIK35" s="958"/>
      <c r="AIL35" s="958"/>
      <c r="AIM35" s="958"/>
      <c r="AIN35" s="958"/>
      <c r="AIO35" s="958"/>
      <c r="AIP35" s="958"/>
      <c r="AIQ35" s="958"/>
      <c r="AIR35" s="958"/>
      <c r="AIS35" s="958"/>
      <c r="AIT35" s="958"/>
      <c r="AIU35" s="958"/>
      <c r="AIV35" s="958"/>
      <c r="AIW35" s="958"/>
      <c r="AIX35" s="958"/>
      <c r="AIY35" s="958"/>
      <c r="AIZ35" s="958"/>
      <c r="AJA35" s="958"/>
      <c r="AJB35" s="958"/>
      <c r="AJC35" s="958"/>
      <c r="AJD35" s="958"/>
      <c r="AJE35" s="958"/>
      <c r="AJF35" s="958"/>
      <c r="AJG35" s="958"/>
      <c r="AJH35" s="958"/>
      <c r="AJI35" s="958"/>
      <c r="AJJ35" s="958"/>
      <c r="AJK35" s="958"/>
      <c r="AJL35" s="958"/>
      <c r="AJM35" s="958"/>
      <c r="AJN35" s="958"/>
      <c r="AJO35" s="958"/>
      <c r="AJP35" s="958"/>
      <c r="AJQ35" s="958"/>
      <c r="AJR35" s="958"/>
      <c r="AJS35" s="958"/>
      <c r="AJT35" s="958"/>
      <c r="AJU35" s="958"/>
      <c r="AJV35" s="958"/>
      <c r="AJW35" s="958"/>
      <c r="AJX35" s="958"/>
      <c r="AJY35" s="958"/>
      <c r="AJZ35" s="958"/>
      <c r="AKA35" s="958"/>
      <c r="AKB35" s="958"/>
      <c r="AKC35" s="958"/>
      <c r="AKD35" s="958"/>
      <c r="AKE35" s="958"/>
      <c r="AKF35" s="958"/>
      <c r="AKG35" s="958"/>
      <c r="AKH35" s="958"/>
      <c r="AKI35" s="958"/>
      <c r="AKJ35" s="958"/>
      <c r="AKK35" s="958"/>
      <c r="AKL35" s="958"/>
      <c r="AKM35" s="958"/>
      <c r="AKN35" s="958"/>
      <c r="AKO35" s="958"/>
      <c r="AKP35" s="958"/>
      <c r="AKQ35" s="958"/>
      <c r="AKR35" s="958"/>
      <c r="AKS35" s="958"/>
      <c r="AKT35" s="958"/>
      <c r="AKU35" s="958"/>
      <c r="AKV35" s="958"/>
      <c r="AKW35" s="958"/>
      <c r="AKX35" s="958"/>
      <c r="AKY35" s="958"/>
      <c r="AKZ35" s="958"/>
      <c r="ALA35" s="958"/>
      <c r="ALB35" s="958"/>
      <c r="ALC35" s="958"/>
      <c r="ALD35" s="958"/>
      <c r="ALE35" s="958"/>
      <c r="ALF35" s="958"/>
      <c r="ALG35" s="958"/>
      <c r="ALH35" s="958"/>
      <c r="ALI35" s="958"/>
      <c r="ALJ35" s="958"/>
      <c r="ALK35" s="958"/>
      <c r="ALL35" s="958"/>
      <c r="ALM35" s="958"/>
      <c r="ALN35" s="958"/>
      <c r="ALO35" s="958"/>
      <c r="ALP35" s="958"/>
      <c r="ALQ35" s="958"/>
      <c r="ALR35" s="958"/>
      <c r="ALS35" s="958"/>
      <c r="ALT35" s="958"/>
      <c r="ALU35" s="958"/>
      <c r="ALV35" s="958"/>
      <c r="ALW35" s="958"/>
      <c r="ALX35" s="958"/>
      <c r="ALY35" s="958"/>
      <c r="ALZ35" s="958"/>
      <c r="AMA35" s="958"/>
      <c r="AMB35" s="958"/>
      <c r="AMC35" s="958"/>
      <c r="AMD35" s="958"/>
      <c r="AME35" s="958"/>
      <c r="AMF35" s="958"/>
      <c r="AMG35" s="958"/>
      <c r="AMH35" s="958"/>
      <c r="AMI35" s="958"/>
      <c r="AMJ35" s="958"/>
      <c r="AMK35" s="958"/>
      <c r="AML35" s="958"/>
      <c r="AMM35" s="958"/>
      <c r="AMN35" s="958"/>
      <c r="AMO35" s="958"/>
      <c r="AMP35" s="958"/>
      <c r="AMQ35" s="958"/>
      <c r="AMR35" s="958"/>
      <c r="AMS35" s="958"/>
      <c r="AMT35" s="958"/>
      <c r="AMU35" s="958"/>
      <c r="AMV35" s="958"/>
      <c r="AMW35" s="958"/>
      <c r="AMX35" s="958"/>
      <c r="AMY35" s="958"/>
      <c r="AMZ35" s="958"/>
      <c r="ANA35" s="958"/>
      <c r="ANB35" s="958"/>
      <c r="ANC35" s="958"/>
      <c r="AND35" s="958"/>
      <c r="ANE35" s="958"/>
      <c r="ANF35" s="958"/>
      <c r="ANG35" s="958"/>
      <c r="ANH35" s="958"/>
      <c r="ANI35" s="958"/>
      <c r="ANJ35" s="958"/>
      <c r="ANK35" s="958"/>
      <c r="ANL35" s="958"/>
      <c r="ANM35" s="958"/>
      <c r="ANN35" s="958"/>
      <c r="ANO35" s="958"/>
      <c r="ANP35" s="958"/>
      <c r="ANQ35" s="958"/>
      <c r="ANR35" s="958"/>
      <c r="ANS35" s="958"/>
      <c r="ANT35" s="958"/>
      <c r="ANU35" s="958"/>
      <c r="ANV35" s="958"/>
      <c r="ANW35" s="958"/>
      <c r="ANX35" s="958"/>
      <c r="ANY35" s="958"/>
      <c r="ANZ35" s="958"/>
      <c r="AOA35" s="958"/>
      <c r="AOB35" s="958"/>
      <c r="AOC35" s="958"/>
      <c r="AOD35" s="958"/>
      <c r="AOE35" s="958"/>
      <c r="AOF35" s="958"/>
      <c r="AOG35" s="958"/>
      <c r="AOH35" s="958"/>
      <c r="AOI35" s="958"/>
      <c r="AOJ35" s="958"/>
      <c r="AOK35" s="958"/>
      <c r="AOL35" s="958"/>
      <c r="AOM35" s="958"/>
      <c r="AON35" s="958"/>
      <c r="AOO35" s="958"/>
      <c r="AOP35" s="958"/>
      <c r="AOQ35" s="958"/>
      <c r="AOR35" s="958"/>
      <c r="AOS35" s="958"/>
      <c r="AOT35" s="958"/>
      <c r="AOU35" s="958"/>
      <c r="AOV35" s="958"/>
      <c r="AOW35" s="958"/>
      <c r="AOX35" s="958"/>
      <c r="AOY35" s="958"/>
      <c r="AOZ35" s="958"/>
      <c r="APA35" s="958"/>
      <c r="APB35" s="958"/>
      <c r="APC35" s="958"/>
      <c r="APD35" s="958"/>
      <c r="APE35" s="958"/>
      <c r="APF35" s="958"/>
      <c r="APG35" s="958"/>
      <c r="APH35" s="958"/>
      <c r="API35" s="958"/>
      <c r="APJ35" s="958"/>
      <c r="APK35" s="958"/>
      <c r="APL35" s="958"/>
      <c r="APM35" s="958"/>
      <c r="APN35" s="958"/>
      <c r="APO35" s="958"/>
      <c r="APP35" s="958"/>
      <c r="APQ35" s="958"/>
      <c r="APR35" s="958"/>
      <c r="APS35" s="958"/>
      <c r="APT35" s="958"/>
      <c r="APU35" s="958"/>
      <c r="APV35" s="958"/>
      <c r="APW35" s="958"/>
      <c r="APX35" s="958"/>
      <c r="APY35" s="958"/>
      <c r="APZ35" s="958"/>
      <c r="AQA35" s="958"/>
      <c r="AQB35" s="958"/>
      <c r="AQC35" s="958"/>
      <c r="AQD35" s="958"/>
      <c r="AQE35" s="958"/>
      <c r="AQF35" s="958"/>
      <c r="AQG35" s="958"/>
      <c r="AQH35" s="958"/>
      <c r="AQI35" s="958"/>
      <c r="AQJ35" s="958"/>
      <c r="AQK35" s="958"/>
      <c r="AQL35" s="958"/>
      <c r="AQM35" s="958"/>
      <c r="AQN35" s="958"/>
      <c r="AQO35" s="958"/>
      <c r="AQP35" s="958"/>
      <c r="AQQ35" s="958"/>
      <c r="AQR35" s="958"/>
      <c r="AQS35" s="958"/>
      <c r="AQT35" s="958"/>
      <c r="AQU35" s="958"/>
      <c r="AQV35" s="958"/>
      <c r="AQW35" s="958"/>
      <c r="AQX35" s="958"/>
      <c r="AQY35" s="958"/>
      <c r="AQZ35" s="958"/>
      <c r="ARA35" s="958"/>
      <c r="ARB35" s="958"/>
      <c r="ARC35" s="958"/>
      <c r="ARD35" s="958"/>
      <c r="ARE35" s="958"/>
      <c r="ARF35" s="958"/>
      <c r="ARG35" s="958"/>
      <c r="ARH35" s="958"/>
      <c r="ARI35" s="958"/>
      <c r="ARJ35" s="958"/>
      <c r="ARK35" s="958"/>
      <c r="ARL35" s="958"/>
      <c r="ARM35" s="958"/>
      <c r="ARN35" s="958"/>
      <c r="ARO35" s="958"/>
      <c r="ARP35" s="958"/>
      <c r="ARQ35" s="958"/>
      <c r="ARR35" s="958"/>
      <c r="ARS35" s="958"/>
      <c r="ART35" s="958"/>
      <c r="ARU35" s="958"/>
      <c r="ARV35" s="958"/>
      <c r="ARW35" s="958"/>
      <c r="ARX35" s="958"/>
      <c r="ARY35" s="958"/>
      <c r="ARZ35" s="958"/>
      <c r="ASA35" s="958"/>
      <c r="ASB35" s="958"/>
      <c r="ASC35" s="958"/>
      <c r="ASD35" s="958"/>
      <c r="ASE35" s="958"/>
      <c r="ASF35" s="958"/>
      <c r="ASG35" s="958"/>
      <c r="ASH35" s="958"/>
      <c r="ASI35" s="958"/>
      <c r="ASJ35" s="958"/>
      <c r="ASK35" s="958"/>
      <c r="ASL35" s="958"/>
      <c r="ASM35" s="958"/>
      <c r="ASN35" s="958"/>
      <c r="ASO35" s="958"/>
      <c r="ASP35" s="958"/>
      <c r="ASQ35" s="958"/>
      <c r="ASR35" s="958"/>
      <c r="ASS35" s="958"/>
      <c r="AST35" s="958"/>
      <c r="ASU35" s="958"/>
      <c r="ASV35" s="958"/>
      <c r="ASW35" s="958"/>
      <c r="ASX35" s="958"/>
      <c r="ASY35" s="958"/>
      <c r="ASZ35" s="958"/>
    </row>
    <row r="36" spans="1:1196" s="22" customFormat="1" ht="77.25" customHeight="1" thickTop="1" thickBot="1">
      <c r="A36" s="2846"/>
      <c r="B36" s="2942"/>
      <c r="C36" s="3025"/>
      <c r="D36" s="2803" t="s">
        <v>240</v>
      </c>
      <c r="E36" s="177" t="s">
        <v>241</v>
      </c>
      <c r="F36" s="177" t="s">
        <v>10</v>
      </c>
      <c r="G36" s="888">
        <v>0.01</v>
      </c>
      <c r="H36" s="78"/>
      <c r="I36" s="77"/>
      <c r="J36" s="78"/>
      <c r="K36" s="179" t="s">
        <v>235</v>
      </c>
      <c r="L36" s="980">
        <v>0.01</v>
      </c>
      <c r="M36" s="981">
        <f>12/817</f>
        <v>1.4687882496940025E-2</v>
      </c>
      <c r="N36" s="73">
        <f t="shared" si="3"/>
        <v>1.4687882496940026</v>
      </c>
      <c r="O36" s="980">
        <v>0.01</v>
      </c>
      <c r="P36" s="981">
        <f>25/718</f>
        <v>3.4818941504178275E-2</v>
      </c>
      <c r="Q36" s="73">
        <f t="shared" si="4"/>
        <v>3.4818941504178276</v>
      </c>
      <c r="R36" s="980">
        <v>0.01</v>
      </c>
      <c r="S36" s="981">
        <f>9/421</f>
        <v>2.1377672209026127E-2</v>
      </c>
      <c r="T36" s="73">
        <f t="shared" si="5"/>
        <v>2.1377672209026124</v>
      </c>
      <c r="U36" s="980">
        <v>0.01</v>
      </c>
      <c r="V36" s="981">
        <v>0</v>
      </c>
      <c r="W36" s="73">
        <f t="shared" si="6"/>
        <v>0</v>
      </c>
      <c r="X36" s="980">
        <v>0.01</v>
      </c>
      <c r="Y36" s="981">
        <v>0</v>
      </c>
      <c r="Z36" s="73">
        <f t="shared" si="7"/>
        <v>0</v>
      </c>
      <c r="AA36" s="980">
        <v>0.01</v>
      </c>
      <c r="AB36" s="980">
        <v>0</v>
      </c>
      <c r="AC36" s="73">
        <f t="shared" si="8"/>
        <v>0</v>
      </c>
      <c r="AD36" s="982">
        <f>+(M36+P36+S36+AB36+Y36+V36)/6</f>
        <v>1.1814082701690737E-2</v>
      </c>
      <c r="AE36" s="956">
        <f t="shared" ref="AE36:AE37" si="25">+AD36/G36</f>
        <v>1.1814082701690736</v>
      </c>
      <c r="AF36" s="982">
        <v>0.01</v>
      </c>
      <c r="AG36" s="981">
        <v>0</v>
      </c>
      <c r="AH36" s="73">
        <f t="shared" si="11"/>
        <v>0</v>
      </c>
      <c r="AI36" s="980">
        <v>0.01</v>
      </c>
      <c r="AJ36" s="981">
        <v>0</v>
      </c>
      <c r="AK36" s="73">
        <f t="shared" si="24"/>
        <v>0</v>
      </c>
      <c r="AL36" s="980">
        <v>0.01</v>
      </c>
      <c r="AM36" s="981">
        <f>3/85</f>
        <v>3.5294117647058823E-2</v>
      </c>
      <c r="AN36" s="73">
        <f t="shared" si="13"/>
        <v>3.5294117647058822</v>
      </c>
      <c r="AO36" s="980">
        <v>0.01</v>
      </c>
      <c r="AP36" s="981">
        <f>17/226</f>
        <v>7.5221238938053103E-2</v>
      </c>
      <c r="AQ36" s="73">
        <f t="shared" si="14"/>
        <v>7.5221238938053103</v>
      </c>
      <c r="AR36" s="980">
        <v>0.01</v>
      </c>
      <c r="AS36" s="981">
        <f>77/341</f>
        <v>0.22580645161290322</v>
      </c>
      <c r="AT36" s="73">
        <f t="shared" si="15"/>
        <v>22.58064516129032</v>
      </c>
      <c r="AU36" s="869">
        <v>0.01</v>
      </c>
      <c r="AV36" s="978">
        <f>65/451</f>
        <v>0.14412416851441243</v>
      </c>
      <c r="AW36" s="73">
        <f t="shared" si="16"/>
        <v>14.412416851441243</v>
      </c>
      <c r="AX36" s="986">
        <f>+(M36+P36+S36+AV36+AS36+AP36+AM36+AJ36+AG36+AB36+Y36+V36)/12</f>
        <v>4.5944206076880996E-2</v>
      </c>
      <c r="AY36" s="956">
        <f>+AX36/G36</f>
        <v>4.5944206076880993</v>
      </c>
      <c r="AZ36" s="958"/>
      <c r="BA36" s="958"/>
      <c r="BB36" s="958"/>
      <c r="BC36" s="958"/>
      <c r="BD36" s="958"/>
      <c r="BE36" s="958"/>
      <c r="BF36" s="958"/>
      <c r="BG36" s="958"/>
      <c r="BH36" s="958"/>
      <c r="BI36" s="958"/>
      <c r="BJ36" s="958"/>
      <c r="BK36" s="958"/>
      <c r="BL36" s="958"/>
      <c r="BM36" s="958"/>
      <c r="BN36" s="958"/>
      <c r="BO36" s="958"/>
      <c r="BP36" s="958"/>
      <c r="BQ36" s="958"/>
      <c r="BR36" s="958"/>
      <c r="BS36" s="958"/>
      <c r="BT36" s="958"/>
      <c r="BU36" s="958"/>
      <c r="BV36" s="958"/>
      <c r="BW36" s="958"/>
      <c r="BX36" s="958"/>
      <c r="BY36" s="958"/>
      <c r="BZ36" s="958"/>
      <c r="CA36" s="958"/>
      <c r="CB36" s="958"/>
      <c r="CC36" s="958"/>
      <c r="CD36" s="958"/>
      <c r="CE36" s="958"/>
      <c r="CF36" s="958"/>
      <c r="CG36" s="958"/>
      <c r="CH36" s="958"/>
      <c r="CI36" s="958"/>
      <c r="CJ36" s="958"/>
      <c r="CK36" s="958"/>
      <c r="CL36" s="958"/>
      <c r="CM36" s="958"/>
      <c r="CN36" s="958"/>
      <c r="CO36" s="958"/>
      <c r="CP36" s="958"/>
      <c r="CQ36" s="958"/>
      <c r="CR36" s="958"/>
      <c r="CS36" s="958"/>
      <c r="CT36" s="958"/>
      <c r="CU36" s="958"/>
      <c r="CV36" s="958"/>
      <c r="CW36" s="958"/>
      <c r="CX36" s="958"/>
      <c r="CY36" s="958"/>
      <c r="CZ36" s="958"/>
      <c r="DA36" s="958"/>
      <c r="DB36" s="958"/>
      <c r="DC36" s="958"/>
      <c r="DD36" s="958"/>
      <c r="DE36" s="958"/>
      <c r="DF36" s="958"/>
      <c r="DG36" s="958"/>
      <c r="DH36" s="958"/>
      <c r="DI36" s="958"/>
      <c r="DJ36" s="958"/>
      <c r="DK36" s="958"/>
      <c r="DL36" s="958"/>
      <c r="DM36" s="958"/>
      <c r="DN36" s="958"/>
      <c r="DO36" s="958"/>
      <c r="DP36" s="958"/>
      <c r="DQ36" s="958"/>
      <c r="DR36" s="958"/>
      <c r="DS36" s="958"/>
      <c r="DT36" s="958"/>
      <c r="DU36" s="958"/>
      <c r="DV36" s="958"/>
      <c r="DW36" s="958"/>
      <c r="DX36" s="958"/>
      <c r="DY36" s="958"/>
      <c r="DZ36" s="958"/>
      <c r="EA36" s="958"/>
      <c r="EB36" s="958"/>
      <c r="EC36" s="958"/>
      <c r="ED36" s="958"/>
      <c r="EE36" s="958"/>
      <c r="EF36" s="958"/>
      <c r="EG36" s="958"/>
      <c r="EH36" s="958"/>
      <c r="EI36" s="958"/>
      <c r="EJ36" s="958"/>
      <c r="EK36" s="958"/>
      <c r="EL36" s="958"/>
      <c r="EM36" s="958"/>
      <c r="EN36" s="958"/>
      <c r="EO36" s="958"/>
      <c r="EP36" s="958"/>
      <c r="EQ36" s="958"/>
      <c r="ER36" s="958"/>
      <c r="ES36" s="958"/>
      <c r="ET36" s="958"/>
      <c r="EU36" s="958"/>
      <c r="EV36" s="958"/>
      <c r="EW36" s="958"/>
      <c r="EX36" s="958"/>
      <c r="EY36" s="958"/>
      <c r="EZ36" s="958"/>
      <c r="FA36" s="958"/>
      <c r="FB36" s="958"/>
      <c r="FC36" s="958"/>
      <c r="FD36" s="958"/>
      <c r="FE36" s="958"/>
      <c r="FF36" s="958"/>
      <c r="FG36" s="958"/>
      <c r="FH36" s="958"/>
      <c r="FI36" s="958"/>
      <c r="FJ36" s="958"/>
      <c r="FK36" s="958"/>
      <c r="FL36" s="958"/>
      <c r="FM36" s="958"/>
      <c r="FN36" s="958"/>
      <c r="FO36" s="958"/>
      <c r="FP36" s="958"/>
      <c r="FQ36" s="958"/>
      <c r="FR36" s="958"/>
      <c r="FS36" s="958"/>
      <c r="FT36" s="958"/>
      <c r="FU36" s="958"/>
      <c r="FV36" s="958"/>
      <c r="FW36" s="958"/>
      <c r="FX36" s="958"/>
      <c r="FY36" s="958"/>
      <c r="FZ36" s="958"/>
      <c r="GA36" s="958"/>
      <c r="GB36" s="958"/>
      <c r="GC36" s="958"/>
      <c r="GD36" s="958"/>
      <c r="GE36" s="958"/>
      <c r="GF36" s="958"/>
      <c r="GG36" s="958"/>
      <c r="GH36" s="958"/>
      <c r="GI36" s="958"/>
      <c r="GJ36" s="958"/>
      <c r="GK36" s="958"/>
      <c r="GL36" s="958"/>
      <c r="GM36" s="958"/>
      <c r="GN36" s="958"/>
      <c r="GO36" s="958"/>
      <c r="GP36" s="958"/>
      <c r="GQ36" s="958"/>
      <c r="GR36" s="958"/>
      <c r="GS36" s="958"/>
      <c r="GT36" s="958"/>
      <c r="GU36" s="958"/>
      <c r="GV36" s="958"/>
      <c r="GW36" s="958"/>
      <c r="GX36" s="958"/>
      <c r="GY36" s="958"/>
      <c r="GZ36" s="958"/>
      <c r="HA36" s="958"/>
      <c r="HB36" s="958"/>
      <c r="HC36" s="958"/>
      <c r="HD36" s="958"/>
      <c r="HE36" s="958"/>
      <c r="HF36" s="958"/>
      <c r="HG36" s="958"/>
      <c r="HH36" s="958"/>
      <c r="HI36" s="958"/>
      <c r="HJ36" s="958"/>
      <c r="HK36" s="958"/>
      <c r="HL36" s="958"/>
      <c r="HM36" s="958"/>
      <c r="HN36" s="958"/>
      <c r="HO36" s="958"/>
      <c r="HP36" s="958"/>
      <c r="HQ36" s="958"/>
      <c r="HR36" s="958"/>
      <c r="HS36" s="958"/>
      <c r="HT36" s="958"/>
      <c r="HU36" s="958"/>
      <c r="HV36" s="958"/>
      <c r="HW36" s="958"/>
      <c r="HX36" s="958"/>
      <c r="HY36" s="958"/>
      <c r="HZ36" s="958"/>
      <c r="IA36" s="958"/>
      <c r="IB36" s="958"/>
      <c r="IC36" s="958"/>
      <c r="ID36" s="958"/>
      <c r="IE36" s="958"/>
      <c r="IF36" s="958"/>
      <c r="IG36" s="958"/>
      <c r="IH36" s="958"/>
      <c r="II36" s="958"/>
      <c r="IJ36" s="958"/>
      <c r="IK36" s="958"/>
      <c r="IL36" s="958"/>
      <c r="IM36" s="958"/>
      <c r="IN36" s="958"/>
      <c r="IO36" s="958"/>
      <c r="IP36" s="958"/>
      <c r="IQ36" s="958"/>
      <c r="IR36" s="958"/>
      <c r="IS36" s="958"/>
      <c r="IT36" s="958"/>
      <c r="IU36" s="958"/>
      <c r="IV36" s="958"/>
      <c r="IW36" s="958"/>
      <c r="IX36" s="958"/>
      <c r="IY36" s="958"/>
      <c r="IZ36" s="958"/>
      <c r="JA36" s="958"/>
      <c r="JB36" s="958"/>
      <c r="JC36" s="958"/>
      <c r="JD36" s="958"/>
      <c r="JE36" s="958"/>
      <c r="JF36" s="958"/>
      <c r="JG36" s="958"/>
      <c r="JH36" s="958"/>
      <c r="JI36" s="958"/>
      <c r="JJ36" s="958"/>
      <c r="JK36" s="958"/>
      <c r="JL36" s="958"/>
      <c r="JM36" s="958"/>
      <c r="JN36" s="958"/>
      <c r="JO36" s="958"/>
      <c r="JP36" s="958"/>
      <c r="JQ36" s="958"/>
      <c r="JR36" s="958"/>
      <c r="JS36" s="958"/>
      <c r="JT36" s="958"/>
      <c r="JU36" s="958"/>
      <c r="JV36" s="958"/>
      <c r="JW36" s="958"/>
      <c r="JX36" s="958"/>
      <c r="JY36" s="958"/>
      <c r="JZ36" s="958"/>
      <c r="KA36" s="958"/>
      <c r="KB36" s="958"/>
      <c r="KC36" s="958"/>
      <c r="KD36" s="958"/>
      <c r="KE36" s="958"/>
      <c r="KF36" s="958"/>
      <c r="KG36" s="958"/>
      <c r="KH36" s="958"/>
      <c r="KI36" s="958"/>
      <c r="KJ36" s="958"/>
      <c r="KK36" s="958"/>
      <c r="KL36" s="958"/>
      <c r="KM36" s="958"/>
      <c r="KN36" s="958"/>
      <c r="KO36" s="958"/>
      <c r="KP36" s="958"/>
      <c r="KQ36" s="958"/>
      <c r="KR36" s="958"/>
      <c r="KS36" s="958"/>
      <c r="KT36" s="958"/>
      <c r="KU36" s="958"/>
      <c r="KV36" s="958"/>
      <c r="KW36" s="958"/>
      <c r="KX36" s="958"/>
      <c r="KY36" s="958"/>
      <c r="KZ36" s="958"/>
      <c r="LA36" s="958"/>
      <c r="LB36" s="958"/>
      <c r="LC36" s="958"/>
      <c r="LD36" s="958"/>
      <c r="LE36" s="958"/>
      <c r="LF36" s="958"/>
      <c r="LG36" s="958"/>
      <c r="LH36" s="958"/>
      <c r="LI36" s="958"/>
      <c r="LJ36" s="958"/>
      <c r="LK36" s="958"/>
      <c r="LL36" s="958"/>
      <c r="LM36" s="958"/>
      <c r="LN36" s="958"/>
      <c r="LO36" s="958"/>
      <c r="LP36" s="958"/>
      <c r="LQ36" s="958"/>
      <c r="LR36" s="958"/>
      <c r="LS36" s="958"/>
      <c r="LT36" s="958"/>
      <c r="LU36" s="958"/>
      <c r="LV36" s="958"/>
      <c r="LW36" s="958"/>
      <c r="LX36" s="958"/>
      <c r="LY36" s="958"/>
      <c r="LZ36" s="958"/>
      <c r="MA36" s="958"/>
      <c r="MB36" s="958"/>
      <c r="MC36" s="958"/>
      <c r="MD36" s="958"/>
      <c r="ME36" s="958"/>
      <c r="MF36" s="958"/>
      <c r="MG36" s="958"/>
      <c r="MH36" s="958"/>
      <c r="MI36" s="958"/>
      <c r="MJ36" s="958"/>
      <c r="MK36" s="958"/>
      <c r="ML36" s="958"/>
      <c r="MM36" s="958"/>
      <c r="MN36" s="958"/>
      <c r="MO36" s="958"/>
      <c r="MP36" s="958"/>
      <c r="MQ36" s="958"/>
      <c r="MR36" s="958"/>
      <c r="MS36" s="958"/>
      <c r="MT36" s="958"/>
      <c r="MU36" s="958"/>
      <c r="MV36" s="958"/>
      <c r="MW36" s="958"/>
      <c r="MX36" s="958"/>
      <c r="MY36" s="958"/>
      <c r="MZ36" s="958"/>
      <c r="NA36" s="958"/>
      <c r="NB36" s="958"/>
      <c r="NC36" s="958"/>
      <c r="ND36" s="958"/>
      <c r="NE36" s="958"/>
      <c r="NF36" s="958"/>
      <c r="NG36" s="958"/>
      <c r="NH36" s="958"/>
      <c r="NI36" s="958"/>
      <c r="NJ36" s="958"/>
      <c r="NK36" s="958"/>
      <c r="NL36" s="958"/>
      <c r="NM36" s="958"/>
      <c r="NN36" s="958"/>
      <c r="NO36" s="958"/>
      <c r="NP36" s="958"/>
      <c r="NQ36" s="958"/>
      <c r="NR36" s="958"/>
      <c r="NS36" s="958"/>
      <c r="NT36" s="958"/>
      <c r="NU36" s="958"/>
      <c r="NV36" s="958"/>
      <c r="NW36" s="958"/>
      <c r="NX36" s="958"/>
      <c r="NY36" s="958"/>
      <c r="NZ36" s="958"/>
      <c r="OA36" s="958"/>
      <c r="OB36" s="958"/>
      <c r="OC36" s="958"/>
      <c r="OD36" s="958"/>
      <c r="OE36" s="958"/>
      <c r="OF36" s="958"/>
      <c r="OG36" s="958"/>
      <c r="OH36" s="958"/>
      <c r="OI36" s="958"/>
      <c r="OJ36" s="958"/>
      <c r="OK36" s="958"/>
      <c r="OL36" s="958"/>
      <c r="OM36" s="958"/>
      <c r="ON36" s="958"/>
      <c r="OO36" s="958"/>
      <c r="OP36" s="958"/>
      <c r="OQ36" s="958"/>
      <c r="OR36" s="958"/>
      <c r="OS36" s="958"/>
      <c r="OT36" s="958"/>
      <c r="OU36" s="958"/>
      <c r="OV36" s="958"/>
      <c r="OW36" s="958"/>
      <c r="OX36" s="958"/>
      <c r="OY36" s="958"/>
      <c r="OZ36" s="958"/>
      <c r="PA36" s="958"/>
      <c r="PB36" s="958"/>
      <c r="PC36" s="958"/>
      <c r="PD36" s="958"/>
      <c r="PE36" s="958"/>
      <c r="PF36" s="958"/>
      <c r="PG36" s="958"/>
      <c r="PH36" s="958"/>
      <c r="PI36" s="958"/>
      <c r="PJ36" s="958"/>
      <c r="PK36" s="958"/>
      <c r="PL36" s="958"/>
      <c r="PM36" s="958"/>
      <c r="PN36" s="958"/>
      <c r="PO36" s="958"/>
      <c r="PP36" s="958"/>
      <c r="PQ36" s="958"/>
      <c r="PR36" s="958"/>
      <c r="PS36" s="958"/>
      <c r="PT36" s="958"/>
      <c r="PU36" s="958"/>
      <c r="PV36" s="958"/>
      <c r="PW36" s="958"/>
      <c r="PX36" s="958"/>
      <c r="PY36" s="958"/>
      <c r="PZ36" s="958"/>
      <c r="QA36" s="958"/>
      <c r="QB36" s="958"/>
      <c r="QC36" s="958"/>
      <c r="QD36" s="958"/>
      <c r="QE36" s="958"/>
      <c r="QF36" s="958"/>
      <c r="QG36" s="958"/>
      <c r="QH36" s="958"/>
      <c r="QI36" s="958"/>
      <c r="QJ36" s="958"/>
      <c r="QK36" s="958"/>
      <c r="QL36" s="958"/>
      <c r="QM36" s="958"/>
      <c r="QN36" s="958"/>
      <c r="QO36" s="958"/>
      <c r="QP36" s="958"/>
      <c r="QQ36" s="958"/>
      <c r="QR36" s="958"/>
      <c r="QS36" s="958"/>
      <c r="QT36" s="958"/>
      <c r="QU36" s="958"/>
      <c r="QV36" s="958"/>
      <c r="QW36" s="958"/>
      <c r="QX36" s="958"/>
      <c r="QY36" s="958"/>
      <c r="QZ36" s="958"/>
      <c r="RA36" s="958"/>
      <c r="RB36" s="958"/>
      <c r="RC36" s="958"/>
      <c r="RD36" s="958"/>
      <c r="RE36" s="958"/>
      <c r="RF36" s="958"/>
      <c r="RG36" s="958"/>
      <c r="RH36" s="958"/>
      <c r="RI36" s="958"/>
      <c r="RJ36" s="958"/>
      <c r="RK36" s="958"/>
      <c r="RL36" s="958"/>
      <c r="RM36" s="958"/>
      <c r="RN36" s="958"/>
      <c r="RO36" s="958"/>
      <c r="RP36" s="958"/>
      <c r="RQ36" s="958"/>
      <c r="RR36" s="958"/>
      <c r="RS36" s="958"/>
      <c r="RT36" s="958"/>
      <c r="RU36" s="958"/>
      <c r="RV36" s="958"/>
      <c r="RW36" s="958"/>
      <c r="RX36" s="958"/>
      <c r="RY36" s="958"/>
      <c r="RZ36" s="958"/>
      <c r="SA36" s="958"/>
      <c r="SB36" s="958"/>
      <c r="SC36" s="958"/>
      <c r="SD36" s="958"/>
      <c r="SE36" s="958"/>
      <c r="SF36" s="958"/>
      <c r="SG36" s="958"/>
      <c r="SH36" s="958"/>
      <c r="SI36" s="958"/>
      <c r="SJ36" s="958"/>
      <c r="SK36" s="958"/>
      <c r="SL36" s="958"/>
      <c r="SM36" s="958"/>
      <c r="SN36" s="958"/>
      <c r="SO36" s="958"/>
      <c r="SP36" s="958"/>
      <c r="SQ36" s="958"/>
      <c r="SR36" s="958"/>
      <c r="SS36" s="958"/>
      <c r="ST36" s="958"/>
      <c r="SU36" s="958"/>
      <c r="SV36" s="958"/>
      <c r="SW36" s="958"/>
      <c r="SX36" s="958"/>
      <c r="SY36" s="958"/>
      <c r="SZ36" s="958"/>
      <c r="TA36" s="958"/>
      <c r="TB36" s="958"/>
      <c r="TC36" s="958"/>
      <c r="TD36" s="958"/>
      <c r="TE36" s="958"/>
      <c r="TF36" s="958"/>
      <c r="TG36" s="958"/>
      <c r="TH36" s="958"/>
      <c r="TI36" s="958"/>
      <c r="TJ36" s="958"/>
      <c r="TK36" s="958"/>
      <c r="TL36" s="958"/>
      <c r="TM36" s="958"/>
      <c r="TN36" s="958"/>
      <c r="TO36" s="958"/>
      <c r="TP36" s="958"/>
      <c r="TQ36" s="958"/>
      <c r="TR36" s="958"/>
      <c r="TS36" s="958"/>
      <c r="TT36" s="958"/>
      <c r="TU36" s="958"/>
      <c r="TV36" s="958"/>
      <c r="TW36" s="958"/>
      <c r="TX36" s="958"/>
      <c r="TY36" s="958"/>
      <c r="TZ36" s="958"/>
      <c r="UA36" s="958"/>
      <c r="UB36" s="958"/>
      <c r="UC36" s="958"/>
      <c r="UD36" s="958"/>
      <c r="UE36" s="958"/>
      <c r="UF36" s="958"/>
      <c r="UG36" s="958"/>
      <c r="UH36" s="958"/>
      <c r="UI36" s="958"/>
      <c r="UJ36" s="958"/>
      <c r="UK36" s="958"/>
      <c r="UL36" s="958"/>
      <c r="UM36" s="958"/>
      <c r="UN36" s="958"/>
      <c r="UO36" s="958"/>
      <c r="UP36" s="958"/>
      <c r="UQ36" s="958"/>
      <c r="UR36" s="958"/>
      <c r="US36" s="958"/>
      <c r="UT36" s="958"/>
      <c r="UU36" s="958"/>
      <c r="UV36" s="958"/>
      <c r="UW36" s="958"/>
      <c r="UX36" s="958"/>
      <c r="UY36" s="958"/>
      <c r="UZ36" s="958"/>
      <c r="VA36" s="958"/>
      <c r="VB36" s="958"/>
      <c r="VC36" s="958"/>
      <c r="VD36" s="958"/>
      <c r="VE36" s="958"/>
      <c r="VF36" s="958"/>
      <c r="VG36" s="958"/>
      <c r="VH36" s="958"/>
      <c r="VI36" s="958"/>
      <c r="VJ36" s="958"/>
      <c r="VK36" s="958"/>
      <c r="VL36" s="958"/>
      <c r="VM36" s="958"/>
      <c r="VN36" s="958"/>
      <c r="VO36" s="958"/>
      <c r="VP36" s="958"/>
      <c r="VQ36" s="958"/>
      <c r="VR36" s="958"/>
      <c r="VS36" s="958"/>
      <c r="VT36" s="958"/>
      <c r="VU36" s="958"/>
      <c r="VV36" s="958"/>
      <c r="VW36" s="958"/>
      <c r="VX36" s="958"/>
      <c r="VY36" s="958"/>
      <c r="VZ36" s="958"/>
      <c r="WA36" s="958"/>
      <c r="WB36" s="958"/>
      <c r="WC36" s="958"/>
      <c r="WD36" s="958"/>
      <c r="WE36" s="958"/>
      <c r="WF36" s="958"/>
      <c r="WG36" s="958"/>
      <c r="WH36" s="958"/>
      <c r="WI36" s="958"/>
      <c r="WJ36" s="958"/>
      <c r="WK36" s="958"/>
      <c r="WL36" s="958"/>
      <c r="WM36" s="958"/>
      <c r="WN36" s="958"/>
      <c r="WO36" s="958"/>
      <c r="WP36" s="958"/>
      <c r="WQ36" s="958"/>
      <c r="WR36" s="958"/>
      <c r="WS36" s="958"/>
      <c r="WT36" s="958"/>
      <c r="WU36" s="958"/>
      <c r="WV36" s="958"/>
      <c r="WW36" s="958"/>
      <c r="WX36" s="958"/>
      <c r="WY36" s="958"/>
      <c r="WZ36" s="958"/>
      <c r="XA36" s="958"/>
      <c r="XB36" s="958"/>
      <c r="XC36" s="958"/>
      <c r="XD36" s="958"/>
      <c r="XE36" s="958"/>
      <c r="XF36" s="958"/>
      <c r="XG36" s="958"/>
      <c r="XH36" s="958"/>
      <c r="XI36" s="958"/>
      <c r="XJ36" s="958"/>
      <c r="XK36" s="958"/>
      <c r="XL36" s="958"/>
      <c r="XM36" s="958"/>
      <c r="XN36" s="958"/>
      <c r="XO36" s="958"/>
      <c r="XP36" s="958"/>
      <c r="XQ36" s="958"/>
      <c r="XR36" s="958"/>
      <c r="XS36" s="958"/>
      <c r="XT36" s="958"/>
      <c r="XU36" s="958"/>
      <c r="XV36" s="958"/>
      <c r="XW36" s="958"/>
      <c r="XX36" s="958"/>
      <c r="XY36" s="958"/>
      <c r="XZ36" s="958"/>
      <c r="YA36" s="958"/>
      <c r="YB36" s="958"/>
      <c r="YC36" s="958"/>
      <c r="YD36" s="958"/>
      <c r="YE36" s="958"/>
      <c r="YF36" s="958"/>
      <c r="YG36" s="958"/>
      <c r="YH36" s="958"/>
      <c r="YI36" s="958"/>
      <c r="YJ36" s="958"/>
      <c r="YK36" s="958"/>
      <c r="YL36" s="958"/>
      <c r="YM36" s="958"/>
      <c r="YN36" s="958"/>
      <c r="YO36" s="958"/>
      <c r="YP36" s="958"/>
      <c r="YQ36" s="958"/>
      <c r="YR36" s="958"/>
      <c r="YS36" s="958"/>
      <c r="YT36" s="958"/>
      <c r="YU36" s="958"/>
      <c r="YV36" s="958"/>
      <c r="YW36" s="958"/>
      <c r="YX36" s="958"/>
      <c r="YY36" s="958"/>
      <c r="YZ36" s="958"/>
      <c r="ZA36" s="958"/>
      <c r="ZB36" s="958"/>
      <c r="ZC36" s="958"/>
      <c r="ZD36" s="958"/>
      <c r="ZE36" s="958"/>
      <c r="ZF36" s="958"/>
      <c r="ZG36" s="958"/>
      <c r="ZH36" s="958"/>
      <c r="ZI36" s="958"/>
      <c r="ZJ36" s="958"/>
      <c r="ZK36" s="958"/>
      <c r="ZL36" s="958"/>
      <c r="ZM36" s="958"/>
      <c r="ZN36" s="958"/>
      <c r="ZO36" s="958"/>
      <c r="ZP36" s="958"/>
      <c r="ZQ36" s="958"/>
      <c r="ZR36" s="958"/>
      <c r="ZS36" s="958"/>
      <c r="ZT36" s="958"/>
      <c r="ZU36" s="958"/>
      <c r="ZV36" s="958"/>
      <c r="ZW36" s="958"/>
      <c r="ZX36" s="958"/>
      <c r="ZY36" s="958"/>
      <c r="ZZ36" s="958"/>
      <c r="AAA36" s="958"/>
      <c r="AAB36" s="958"/>
      <c r="AAC36" s="958"/>
      <c r="AAD36" s="958"/>
      <c r="AAE36" s="958"/>
      <c r="AAF36" s="958"/>
      <c r="AAG36" s="958"/>
      <c r="AAH36" s="958"/>
      <c r="AAI36" s="958"/>
      <c r="AAJ36" s="958"/>
      <c r="AAK36" s="958"/>
      <c r="AAL36" s="958"/>
      <c r="AAM36" s="958"/>
      <c r="AAN36" s="958"/>
      <c r="AAO36" s="958"/>
      <c r="AAP36" s="958"/>
      <c r="AAQ36" s="958"/>
      <c r="AAR36" s="958"/>
      <c r="AAS36" s="958"/>
      <c r="AAT36" s="958"/>
      <c r="AAU36" s="958"/>
      <c r="AAV36" s="958"/>
      <c r="AAW36" s="958"/>
      <c r="AAX36" s="958"/>
      <c r="AAY36" s="958"/>
      <c r="AAZ36" s="958"/>
      <c r="ABA36" s="958"/>
      <c r="ABB36" s="958"/>
      <c r="ABC36" s="958"/>
      <c r="ABD36" s="958"/>
      <c r="ABE36" s="958"/>
      <c r="ABF36" s="958"/>
      <c r="ABG36" s="958"/>
      <c r="ABH36" s="958"/>
      <c r="ABI36" s="958"/>
      <c r="ABJ36" s="958"/>
      <c r="ABK36" s="958"/>
      <c r="ABL36" s="958"/>
      <c r="ABM36" s="958"/>
      <c r="ABN36" s="958"/>
      <c r="ABO36" s="958"/>
      <c r="ABP36" s="958"/>
      <c r="ABQ36" s="958"/>
      <c r="ABR36" s="958"/>
      <c r="ABS36" s="958"/>
      <c r="ABT36" s="958"/>
      <c r="ABU36" s="958"/>
      <c r="ABV36" s="958"/>
      <c r="ABW36" s="958"/>
      <c r="ABX36" s="958"/>
      <c r="ABY36" s="958"/>
      <c r="ABZ36" s="958"/>
      <c r="ACA36" s="958"/>
      <c r="ACB36" s="958"/>
      <c r="ACC36" s="958"/>
      <c r="ACD36" s="958"/>
      <c r="ACE36" s="958"/>
      <c r="ACF36" s="958"/>
      <c r="ACG36" s="958"/>
      <c r="ACH36" s="958"/>
      <c r="ACI36" s="958"/>
      <c r="ACJ36" s="958"/>
      <c r="ACK36" s="958"/>
      <c r="ACL36" s="958"/>
      <c r="ACM36" s="958"/>
      <c r="ACN36" s="958"/>
      <c r="ACO36" s="958"/>
      <c r="ACP36" s="958"/>
      <c r="ACQ36" s="958"/>
      <c r="ACR36" s="958"/>
      <c r="ACS36" s="958"/>
      <c r="ACT36" s="958"/>
      <c r="ACU36" s="958"/>
      <c r="ACV36" s="958"/>
      <c r="ACW36" s="958"/>
      <c r="ACX36" s="958"/>
      <c r="ACY36" s="958"/>
      <c r="ACZ36" s="958"/>
      <c r="ADA36" s="958"/>
      <c r="ADB36" s="958"/>
      <c r="ADC36" s="958"/>
      <c r="ADD36" s="958"/>
      <c r="ADE36" s="958"/>
      <c r="ADF36" s="958"/>
      <c r="ADG36" s="958"/>
      <c r="ADH36" s="958"/>
      <c r="ADI36" s="958"/>
      <c r="ADJ36" s="958"/>
      <c r="ADK36" s="958"/>
      <c r="ADL36" s="958"/>
      <c r="ADM36" s="958"/>
      <c r="ADN36" s="958"/>
      <c r="ADO36" s="958"/>
      <c r="ADP36" s="958"/>
      <c r="ADQ36" s="958"/>
      <c r="ADR36" s="958"/>
      <c r="ADS36" s="958"/>
      <c r="ADT36" s="958"/>
      <c r="ADU36" s="958"/>
      <c r="ADV36" s="958"/>
      <c r="ADW36" s="958"/>
      <c r="ADX36" s="958"/>
      <c r="ADY36" s="958"/>
      <c r="ADZ36" s="958"/>
      <c r="AEA36" s="958"/>
      <c r="AEB36" s="958"/>
      <c r="AEC36" s="958"/>
      <c r="AED36" s="958"/>
      <c r="AEE36" s="958"/>
      <c r="AEF36" s="958"/>
      <c r="AEG36" s="958"/>
      <c r="AEH36" s="958"/>
      <c r="AEI36" s="958"/>
      <c r="AEJ36" s="958"/>
      <c r="AEK36" s="958"/>
      <c r="AEL36" s="958"/>
      <c r="AEM36" s="958"/>
      <c r="AEN36" s="958"/>
      <c r="AEO36" s="958"/>
      <c r="AEP36" s="958"/>
      <c r="AEQ36" s="958"/>
      <c r="AER36" s="958"/>
      <c r="AES36" s="958"/>
      <c r="AET36" s="958"/>
      <c r="AEU36" s="958"/>
      <c r="AEV36" s="958"/>
      <c r="AEW36" s="958"/>
      <c r="AEX36" s="958"/>
      <c r="AEY36" s="958"/>
      <c r="AEZ36" s="958"/>
      <c r="AFA36" s="958"/>
      <c r="AFB36" s="958"/>
      <c r="AFC36" s="958"/>
      <c r="AFD36" s="958"/>
      <c r="AFE36" s="958"/>
      <c r="AFF36" s="958"/>
      <c r="AFG36" s="958"/>
      <c r="AFH36" s="958"/>
      <c r="AFI36" s="958"/>
      <c r="AFJ36" s="958"/>
      <c r="AFK36" s="958"/>
      <c r="AFL36" s="958"/>
      <c r="AFM36" s="958"/>
      <c r="AFN36" s="958"/>
      <c r="AFO36" s="958"/>
      <c r="AFP36" s="958"/>
      <c r="AFQ36" s="958"/>
      <c r="AFR36" s="958"/>
      <c r="AFS36" s="958"/>
      <c r="AFT36" s="958"/>
      <c r="AFU36" s="958"/>
      <c r="AFV36" s="958"/>
      <c r="AFW36" s="958"/>
      <c r="AFX36" s="958"/>
      <c r="AFY36" s="958"/>
      <c r="AFZ36" s="958"/>
      <c r="AGA36" s="958"/>
      <c r="AGB36" s="958"/>
      <c r="AGC36" s="958"/>
      <c r="AGD36" s="958"/>
      <c r="AGE36" s="958"/>
      <c r="AGF36" s="958"/>
      <c r="AGG36" s="958"/>
      <c r="AGH36" s="958"/>
      <c r="AGI36" s="958"/>
      <c r="AGJ36" s="958"/>
      <c r="AGK36" s="958"/>
      <c r="AGL36" s="958"/>
      <c r="AGM36" s="958"/>
      <c r="AGN36" s="958"/>
      <c r="AGO36" s="958"/>
      <c r="AGP36" s="958"/>
      <c r="AGQ36" s="958"/>
      <c r="AGR36" s="958"/>
      <c r="AGS36" s="958"/>
      <c r="AGT36" s="958"/>
      <c r="AGU36" s="958"/>
      <c r="AGV36" s="958"/>
      <c r="AGW36" s="958"/>
      <c r="AGX36" s="958"/>
      <c r="AGY36" s="958"/>
      <c r="AGZ36" s="958"/>
      <c r="AHA36" s="958"/>
      <c r="AHB36" s="958"/>
      <c r="AHC36" s="958"/>
      <c r="AHD36" s="958"/>
      <c r="AHE36" s="958"/>
      <c r="AHF36" s="958"/>
      <c r="AHG36" s="958"/>
      <c r="AHH36" s="958"/>
      <c r="AHI36" s="958"/>
      <c r="AHJ36" s="958"/>
      <c r="AHK36" s="958"/>
      <c r="AHL36" s="958"/>
      <c r="AHM36" s="958"/>
      <c r="AHN36" s="958"/>
      <c r="AHO36" s="958"/>
      <c r="AHP36" s="958"/>
      <c r="AHQ36" s="958"/>
      <c r="AHR36" s="958"/>
      <c r="AHS36" s="958"/>
      <c r="AHT36" s="958"/>
      <c r="AHU36" s="958"/>
      <c r="AHV36" s="958"/>
      <c r="AHW36" s="958"/>
      <c r="AHX36" s="958"/>
      <c r="AHY36" s="958"/>
      <c r="AHZ36" s="958"/>
      <c r="AIA36" s="958"/>
      <c r="AIB36" s="958"/>
      <c r="AIC36" s="958"/>
      <c r="AID36" s="958"/>
      <c r="AIE36" s="958"/>
      <c r="AIF36" s="958"/>
      <c r="AIG36" s="958"/>
      <c r="AIH36" s="958"/>
      <c r="AII36" s="958"/>
      <c r="AIJ36" s="958"/>
      <c r="AIK36" s="958"/>
      <c r="AIL36" s="958"/>
      <c r="AIM36" s="958"/>
      <c r="AIN36" s="958"/>
      <c r="AIO36" s="958"/>
      <c r="AIP36" s="958"/>
      <c r="AIQ36" s="958"/>
      <c r="AIR36" s="958"/>
      <c r="AIS36" s="958"/>
      <c r="AIT36" s="958"/>
      <c r="AIU36" s="958"/>
      <c r="AIV36" s="958"/>
      <c r="AIW36" s="958"/>
      <c r="AIX36" s="958"/>
      <c r="AIY36" s="958"/>
      <c r="AIZ36" s="958"/>
      <c r="AJA36" s="958"/>
      <c r="AJB36" s="958"/>
      <c r="AJC36" s="958"/>
      <c r="AJD36" s="958"/>
      <c r="AJE36" s="958"/>
      <c r="AJF36" s="958"/>
      <c r="AJG36" s="958"/>
      <c r="AJH36" s="958"/>
      <c r="AJI36" s="958"/>
      <c r="AJJ36" s="958"/>
      <c r="AJK36" s="958"/>
      <c r="AJL36" s="958"/>
      <c r="AJM36" s="958"/>
      <c r="AJN36" s="958"/>
      <c r="AJO36" s="958"/>
      <c r="AJP36" s="958"/>
      <c r="AJQ36" s="958"/>
      <c r="AJR36" s="958"/>
      <c r="AJS36" s="958"/>
      <c r="AJT36" s="958"/>
      <c r="AJU36" s="958"/>
      <c r="AJV36" s="958"/>
      <c r="AJW36" s="958"/>
      <c r="AJX36" s="958"/>
      <c r="AJY36" s="958"/>
      <c r="AJZ36" s="958"/>
      <c r="AKA36" s="958"/>
      <c r="AKB36" s="958"/>
      <c r="AKC36" s="958"/>
      <c r="AKD36" s="958"/>
      <c r="AKE36" s="958"/>
      <c r="AKF36" s="958"/>
      <c r="AKG36" s="958"/>
      <c r="AKH36" s="958"/>
      <c r="AKI36" s="958"/>
      <c r="AKJ36" s="958"/>
      <c r="AKK36" s="958"/>
      <c r="AKL36" s="958"/>
      <c r="AKM36" s="958"/>
      <c r="AKN36" s="958"/>
      <c r="AKO36" s="958"/>
      <c r="AKP36" s="958"/>
      <c r="AKQ36" s="958"/>
      <c r="AKR36" s="958"/>
      <c r="AKS36" s="958"/>
      <c r="AKT36" s="958"/>
      <c r="AKU36" s="958"/>
      <c r="AKV36" s="958"/>
      <c r="AKW36" s="958"/>
      <c r="AKX36" s="958"/>
      <c r="AKY36" s="958"/>
      <c r="AKZ36" s="958"/>
      <c r="ALA36" s="958"/>
      <c r="ALB36" s="958"/>
      <c r="ALC36" s="958"/>
      <c r="ALD36" s="958"/>
      <c r="ALE36" s="958"/>
      <c r="ALF36" s="958"/>
      <c r="ALG36" s="958"/>
      <c r="ALH36" s="958"/>
      <c r="ALI36" s="958"/>
      <c r="ALJ36" s="958"/>
      <c r="ALK36" s="958"/>
      <c r="ALL36" s="958"/>
      <c r="ALM36" s="958"/>
      <c r="ALN36" s="958"/>
      <c r="ALO36" s="958"/>
      <c r="ALP36" s="958"/>
      <c r="ALQ36" s="958"/>
      <c r="ALR36" s="958"/>
      <c r="ALS36" s="958"/>
      <c r="ALT36" s="958"/>
      <c r="ALU36" s="958"/>
      <c r="ALV36" s="958"/>
      <c r="ALW36" s="958"/>
      <c r="ALX36" s="958"/>
      <c r="ALY36" s="958"/>
      <c r="ALZ36" s="958"/>
      <c r="AMA36" s="958"/>
      <c r="AMB36" s="958"/>
      <c r="AMC36" s="958"/>
      <c r="AMD36" s="958"/>
      <c r="AME36" s="958"/>
      <c r="AMF36" s="958"/>
      <c r="AMG36" s="958"/>
      <c r="AMH36" s="958"/>
      <c r="AMI36" s="958"/>
      <c r="AMJ36" s="958"/>
      <c r="AMK36" s="958"/>
      <c r="AML36" s="958"/>
      <c r="AMM36" s="958"/>
      <c r="AMN36" s="958"/>
      <c r="AMO36" s="958"/>
      <c r="AMP36" s="958"/>
      <c r="AMQ36" s="958"/>
      <c r="AMR36" s="958"/>
      <c r="AMS36" s="958"/>
      <c r="AMT36" s="958"/>
      <c r="AMU36" s="958"/>
      <c r="AMV36" s="958"/>
      <c r="AMW36" s="958"/>
      <c r="AMX36" s="958"/>
      <c r="AMY36" s="958"/>
      <c r="AMZ36" s="958"/>
      <c r="ANA36" s="958"/>
      <c r="ANB36" s="958"/>
      <c r="ANC36" s="958"/>
      <c r="AND36" s="958"/>
      <c r="ANE36" s="958"/>
      <c r="ANF36" s="958"/>
      <c r="ANG36" s="958"/>
      <c r="ANH36" s="958"/>
      <c r="ANI36" s="958"/>
      <c r="ANJ36" s="958"/>
      <c r="ANK36" s="958"/>
      <c r="ANL36" s="958"/>
      <c r="ANM36" s="958"/>
      <c r="ANN36" s="958"/>
      <c r="ANO36" s="958"/>
      <c r="ANP36" s="958"/>
      <c r="ANQ36" s="958"/>
      <c r="ANR36" s="958"/>
      <c r="ANS36" s="958"/>
      <c r="ANT36" s="958"/>
      <c r="ANU36" s="958"/>
      <c r="ANV36" s="958"/>
      <c r="ANW36" s="958"/>
      <c r="ANX36" s="958"/>
      <c r="ANY36" s="958"/>
      <c r="ANZ36" s="958"/>
      <c r="AOA36" s="958"/>
      <c r="AOB36" s="958"/>
      <c r="AOC36" s="958"/>
      <c r="AOD36" s="958"/>
      <c r="AOE36" s="958"/>
      <c r="AOF36" s="958"/>
      <c r="AOG36" s="958"/>
      <c r="AOH36" s="958"/>
      <c r="AOI36" s="958"/>
      <c r="AOJ36" s="958"/>
      <c r="AOK36" s="958"/>
      <c r="AOL36" s="958"/>
      <c r="AOM36" s="958"/>
      <c r="AON36" s="958"/>
      <c r="AOO36" s="958"/>
      <c r="AOP36" s="958"/>
      <c r="AOQ36" s="958"/>
      <c r="AOR36" s="958"/>
      <c r="AOS36" s="958"/>
      <c r="AOT36" s="958"/>
      <c r="AOU36" s="958"/>
      <c r="AOV36" s="958"/>
      <c r="AOW36" s="958"/>
      <c r="AOX36" s="958"/>
      <c r="AOY36" s="958"/>
      <c r="AOZ36" s="958"/>
      <c r="APA36" s="958"/>
      <c r="APB36" s="958"/>
      <c r="APC36" s="958"/>
      <c r="APD36" s="958"/>
      <c r="APE36" s="958"/>
      <c r="APF36" s="958"/>
      <c r="APG36" s="958"/>
      <c r="APH36" s="958"/>
      <c r="API36" s="958"/>
      <c r="APJ36" s="958"/>
      <c r="APK36" s="958"/>
      <c r="APL36" s="958"/>
      <c r="APM36" s="958"/>
      <c r="APN36" s="958"/>
      <c r="APO36" s="958"/>
      <c r="APP36" s="958"/>
      <c r="APQ36" s="958"/>
      <c r="APR36" s="958"/>
      <c r="APS36" s="958"/>
      <c r="APT36" s="958"/>
      <c r="APU36" s="958"/>
      <c r="APV36" s="958"/>
      <c r="APW36" s="958"/>
      <c r="APX36" s="958"/>
      <c r="APY36" s="958"/>
      <c r="APZ36" s="958"/>
      <c r="AQA36" s="958"/>
      <c r="AQB36" s="958"/>
      <c r="AQC36" s="958"/>
      <c r="AQD36" s="958"/>
      <c r="AQE36" s="958"/>
      <c r="AQF36" s="958"/>
      <c r="AQG36" s="958"/>
      <c r="AQH36" s="958"/>
      <c r="AQI36" s="958"/>
      <c r="AQJ36" s="958"/>
      <c r="AQK36" s="958"/>
      <c r="AQL36" s="958"/>
      <c r="AQM36" s="958"/>
      <c r="AQN36" s="958"/>
      <c r="AQO36" s="958"/>
      <c r="AQP36" s="958"/>
      <c r="AQQ36" s="958"/>
      <c r="AQR36" s="958"/>
      <c r="AQS36" s="958"/>
      <c r="AQT36" s="958"/>
      <c r="AQU36" s="958"/>
      <c r="AQV36" s="958"/>
      <c r="AQW36" s="958"/>
      <c r="AQX36" s="958"/>
      <c r="AQY36" s="958"/>
      <c r="AQZ36" s="958"/>
      <c r="ARA36" s="958"/>
      <c r="ARB36" s="958"/>
      <c r="ARC36" s="958"/>
      <c r="ARD36" s="958"/>
      <c r="ARE36" s="958"/>
      <c r="ARF36" s="958"/>
      <c r="ARG36" s="958"/>
      <c r="ARH36" s="958"/>
      <c r="ARI36" s="958"/>
      <c r="ARJ36" s="958"/>
      <c r="ARK36" s="958"/>
      <c r="ARL36" s="958"/>
      <c r="ARM36" s="958"/>
      <c r="ARN36" s="958"/>
      <c r="ARO36" s="958"/>
      <c r="ARP36" s="958"/>
      <c r="ARQ36" s="958"/>
      <c r="ARR36" s="958"/>
      <c r="ARS36" s="958"/>
      <c r="ART36" s="958"/>
      <c r="ARU36" s="958"/>
      <c r="ARV36" s="958"/>
      <c r="ARW36" s="958"/>
      <c r="ARX36" s="958"/>
      <c r="ARY36" s="958"/>
      <c r="ARZ36" s="958"/>
      <c r="ASA36" s="958"/>
      <c r="ASB36" s="958"/>
      <c r="ASC36" s="958"/>
      <c r="ASD36" s="958"/>
      <c r="ASE36" s="958"/>
      <c r="ASF36" s="958"/>
      <c r="ASG36" s="958"/>
      <c r="ASH36" s="958"/>
      <c r="ASI36" s="958"/>
      <c r="ASJ36" s="958"/>
      <c r="ASK36" s="958"/>
      <c r="ASL36" s="958"/>
      <c r="ASM36" s="958"/>
      <c r="ASN36" s="958"/>
      <c r="ASO36" s="958"/>
      <c r="ASP36" s="958"/>
      <c r="ASQ36" s="958"/>
      <c r="ASR36" s="958"/>
      <c r="ASS36" s="958"/>
      <c r="AST36" s="958"/>
      <c r="ASU36" s="958"/>
      <c r="ASV36" s="958"/>
      <c r="ASW36" s="958"/>
      <c r="ASX36" s="958"/>
      <c r="ASY36" s="958"/>
      <c r="ASZ36" s="958"/>
    </row>
    <row r="37" spans="1:1196" s="22" customFormat="1" ht="134.25" customHeight="1" thickTop="1" thickBot="1">
      <c r="A37" s="2846"/>
      <c r="B37" s="2942"/>
      <c r="C37" s="3025"/>
      <c r="D37" s="2803" t="s">
        <v>242</v>
      </c>
      <c r="E37" s="172" t="s">
        <v>243</v>
      </c>
      <c r="F37" s="172" t="s">
        <v>10</v>
      </c>
      <c r="G37" s="173">
        <v>0.3</v>
      </c>
      <c r="H37" s="88"/>
      <c r="I37" s="81"/>
      <c r="J37" s="81"/>
      <c r="K37" s="172" t="s">
        <v>244</v>
      </c>
      <c r="L37" s="987">
        <v>0</v>
      </c>
      <c r="M37" s="988"/>
      <c r="N37" s="73" t="e">
        <f t="shared" si="3"/>
        <v>#DIV/0!</v>
      </c>
      <c r="O37" s="987">
        <v>0</v>
      </c>
      <c r="P37" s="988"/>
      <c r="Q37" s="73" t="e">
        <f t="shared" si="4"/>
        <v>#DIV/0!</v>
      </c>
      <c r="R37" s="987">
        <v>0</v>
      </c>
      <c r="S37" s="988"/>
      <c r="T37" s="73" t="e">
        <f t="shared" si="5"/>
        <v>#DIV/0!</v>
      </c>
      <c r="U37" s="987">
        <v>0</v>
      </c>
      <c r="V37" s="988"/>
      <c r="W37" s="73" t="e">
        <f t="shared" si="6"/>
        <v>#DIV/0!</v>
      </c>
      <c r="X37" s="987">
        <v>0.3</v>
      </c>
      <c r="Y37" s="988">
        <v>0</v>
      </c>
      <c r="Z37" s="73">
        <f t="shared" si="7"/>
        <v>0</v>
      </c>
      <c r="AA37" s="987">
        <v>0</v>
      </c>
      <c r="AB37" s="987"/>
      <c r="AC37" s="73" t="e">
        <f t="shared" si="8"/>
        <v>#DIV/0!</v>
      </c>
      <c r="AD37" s="989">
        <f>+Y37</f>
        <v>0</v>
      </c>
      <c r="AE37" s="956">
        <f t="shared" si="25"/>
        <v>0</v>
      </c>
      <c r="AF37" s="987">
        <v>0</v>
      </c>
      <c r="AG37" s="988"/>
      <c r="AH37" s="73" t="e">
        <f t="shared" si="11"/>
        <v>#DIV/0!</v>
      </c>
      <c r="AI37" s="987">
        <v>0</v>
      </c>
      <c r="AJ37" s="988"/>
      <c r="AK37" s="73" t="e">
        <f t="shared" si="24"/>
        <v>#DIV/0!</v>
      </c>
      <c r="AL37" s="987">
        <v>0</v>
      </c>
      <c r="AM37" s="988"/>
      <c r="AN37" s="73" t="e">
        <f t="shared" si="13"/>
        <v>#DIV/0!</v>
      </c>
      <c r="AO37" s="987">
        <v>0.3</v>
      </c>
      <c r="AP37" s="988">
        <f>1/2</f>
        <v>0.5</v>
      </c>
      <c r="AQ37" s="73">
        <f t="shared" si="14"/>
        <v>1.6666666666666667</v>
      </c>
      <c r="AR37" s="987">
        <v>0</v>
      </c>
      <c r="AS37" s="988"/>
      <c r="AT37" s="73" t="e">
        <f t="shared" si="15"/>
        <v>#DIV/0!</v>
      </c>
      <c r="AU37" s="871">
        <v>0.3</v>
      </c>
      <c r="AV37" s="974">
        <f>4/6</f>
        <v>0.66666666666666663</v>
      </c>
      <c r="AW37" s="73">
        <f t="shared" si="16"/>
        <v>2.2222222222222223</v>
      </c>
      <c r="AX37" s="986">
        <f>+(AV37+AS37+AP37+AM37+AJ37+AG37+AB37+Y37+V37+S37+P37+M37)/3</f>
        <v>0.38888888888888884</v>
      </c>
      <c r="AY37" s="956">
        <f t="shared" si="18"/>
        <v>1.2962962962962963</v>
      </c>
      <c r="AZ37" s="958"/>
      <c r="BA37" s="958"/>
      <c r="BB37" s="958"/>
      <c r="BC37" s="958"/>
      <c r="BD37" s="958"/>
      <c r="BE37" s="958"/>
      <c r="BF37" s="958"/>
      <c r="BG37" s="958"/>
      <c r="BH37" s="958"/>
      <c r="BI37" s="958"/>
      <c r="BJ37" s="958"/>
      <c r="BK37" s="958"/>
      <c r="BL37" s="958"/>
      <c r="BM37" s="958"/>
      <c r="BN37" s="958"/>
      <c r="BO37" s="958"/>
      <c r="BP37" s="958"/>
      <c r="BQ37" s="958"/>
      <c r="BR37" s="958"/>
      <c r="BS37" s="958"/>
      <c r="BT37" s="958"/>
      <c r="BU37" s="958"/>
      <c r="BV37" s="958"/>
      <c r="BW37" s="958"/>
      <c r="BX37" s="958"/>
      <c r="BY37" s="958"/>
      <c r="BZ37" s="958"/>
      <c r="CA37" s="958"/>
      <c r="CB37" s="958"/>
      <c r="CC37" s="958"/>
      <c r="CD37" s="958"/>
      <c r="CE37" s="958"/>
      <c r="CF37" s="958"/>
      <c r="CG37" s="958"/>
      <c r="CH37" s="958"/>
      <c r="CI37" s="958"/>
      <c r="CJ37" s="958"/>
      <c r="CK37" s="958"/>
      <c r="CL37" s="958"/>
      <c r="CM37" s="958"/>
      <c r="CN37" s="958"/>
      <c r="CO37" s="958"/>
      <c r="CP37" s="958"/>
      <c r="CQ37" s="958"/>
      <c r="CR37" s="958"/>
      <c r="CS37" s="958"/>
      <c r="CT37" s="958"/>
      <c r="CU37" s="958"/>
      <c r="CV37" s="958"/>
      <c r="CW37" s="958"/>
      <c r="CX37" s="958"/>
      <c r="CY37" s="958"/>
      <c r="CZ37" s="958"/>
      <c r="DA37" s="958"/>
      <c r="DB37" s="958"/>
      <c r="DC37" s="958"/>
      <c r="DD37" s="958"/>
      <c r="DE37" s="958"/>
      <c r="DF37" s="958"/>
      <c r="DG37" s="958"/>
      <c r="DH37" s="958"/>
      <c r="DI37" s="958"/>
      <c r="DJ37" s="958"/>
      <c r="DK37" s="958"/>
      <c r="DL37" s="958"/>
      <c r="DM37" s="958"/>
      <c r="DN37" s="958"/>
      <c r="DO37" s="958"/>
      <c r="DP37" s="958"/>
      <c r="DQ37" s="958"/>
      <c r="DR37" s="958"/>
      <c r="DS37" s="958"/>
      <c r="DT37" s="958"/>
      <c r="DU37" s="958"/>
      <c r="DV37" s="958"/>
      <c r="DW37" s="958"/>
      <c r="DX37" s="958"/>
      <c r="DY37" s="958"/>
      <c r="DZ37" s="958"/>
      <c r="EA37" s="958"/>
      <c r="EB37" s="958"/>
      <c r="EC37" s="958"/>
      <c r="ED37" s="958"/>
      <c r="EE37" s="958"/>
      <c r="EF37" s="958"/>
      <c r="EG37" s="958"/>
      <c r="EH37" s="958"/>
      <c r="EI37" s="958"/>
      <c r="EJ37" s="958"/>
      <c r="EK37" s="958"/>
      <c r="EL37" s="958"/>
      <c r="EM37" s="958"/>
      <c r="EN37" s="958"/>
      <c r="EO37" s="958"/>
      <c r="EP37" s="958"/>
      <c r="EQ37" s="958"/>
      <c r="ER37" s="958"/>
      <c r="ES37" s="958"/>
      <c r="ET37" s="958"/>
      <c r="EU37" s="958"/>
      <c r="EV37" s="958"/>
      <c r="EW37" s="958"/>
      <c r="EX37" s="958"/>
      <c r="EY37" s="958"/>
      <c r="EZ37" s="958"/>
      <c r="FA37" s="958"/>
      <c r="FB37" s="958"/>
      <c r="FC37" s="958"/>
      <c r="FD37" s="958"/>
      <c r="FE37" s="958"/>
      <c r="FF37" s="958"/>
      <c r="FG37" s="958"/>
      <c r="FH37" s="958"/>
      <c r="FI37" s="958"/>
      <c r="FJ37" s="958"/>
      <c r="FK37" s="958"/>
      <c r="FL37" s="958"/>
      <c r="FM37" s="958"/>
      <c r="FN37" s="958"/>
      <c r="FO37" s="958"/>
      <c r="FP37" s="958"/>
      <c r="FQ37" s="958"/>
      <c r="FR37" s="958"/>
      <c r="FS37" s="958"/>
      <c r="FT37" s="958"/>
      <c r="FU37" s="958"/>
      <c r="FV37" s="958"/>
      <c r="FW37" s="958"/>
      <c r="FX37" s="958"/>
      <c r="FY37" s="958"/>
      <c r="FZ37" s="958"/>
      <c r="GA37" s="958"/>
      <c r="GB37" s="958"/>
      <c r="GC37" s="958"/>
      <c r="GD37" s="958"/>
      <c r="GE37" s="958"/>
      <c r="GF37" s="958"/>
      <c r="GG37" s="958"/>
      <c r="GH37" s="958"/>
      <c r="GI37" s="958"/>
      <c r="GJ37" s="958"/>
      <c r="GK37" s="958"/>
      <c r="GL37" s="958"/>
      <c r="GM37" s="958"/>
      <c r="GN37" s="958"/>
      <c r="GO37" s="958"/>
      <c r="GP37" s="958"/>
      <c r="GQ37" s="958"/>
      <c r="GR37" s="958"/>
      <c r="GS37" s="958"/>
      <c r="GT37" s="958"/>
      <c r="GU37" s="958"/>
      <c r="GV37" s="958"/>
      <c r="GW37" s="958"/>
      <c r="GX37" s="958"/>
      <c r="GY37" s="958"/>
      <c r="GZ37" s="958"/>
      <c r="HA37" s="958"/>
      <c r="HB37" s="958"/>
      <c r="HC37" s="958"/>
      <c r="HD37" s="958"/>
      <c r="HE37" s="958"/>
      <c r="HF37" s="958"/>
      <c r="HG37" s="958"/>
      <c r="HH37" s="958"/>
      <c r="HI37" s="958"/>
      <c r="HJ37" s="958"/>
      <c r="HK37" s="958"/>
      <c r="HL37" s="958"/>
      <c r="HM37" s="958"/>
      <c r="HN37" s="958"/>
      <c r="HO37" s="958"/>
      <c r="HP37" s="958"/>
      <c r="HQ37" s="958"/>
      <c r="HR37" s="958"/>
      <c r="HS37" s="958"/>
      <c r="HT37" s="958"/>
      <c r="HU37" s="958"/>
      <c r="HV37" s="958"/>
      <c r="HW37" s="958"/>
      <c r="HX37" s="958"/>
      <c r="HY37" s="958"/>
      <c r="HZ37" s="958"/>
      <c r="IA37" s="958"/>
      <c r="IB37" s="958"/>
      <c r="IC37" s="958"/>
      <c r="ID37" s="958"/>
      <c r="IE37" s="958"/>
      <c r="IF37" s="958"/>
      <c r="IG37" s="958"/>
      <c r="IH37" s="958"/>
      <c r="II37" s="958"/>
      <c r="IJ37" s="958"/>
      <c r="IK37" s="958"/>
      <c r="IL37" s="958"/>
      <c r="IM37" s="958"/>
      <c r="IN37" s="958"/>
      <c r="IO37" s="958"/>
      <c r="IP37" s="958"/>
      <c r="IQ37" s="958"/>
      <c r="IR37" s="958"/>
      <c r="IS37" s="958"/>
      <c r="IT37" s="958"/>
      <c r="IU37" s="958"/>
      <c r="IV37" s="958"/>
      <c r="IW37" s="958"/>
      <c r="IX37" s="958"/>
      <c r="IY37" s="958"/>
      <c r="IZ37" s="958"/>
      <c r="JA37" s="958"/>
      <c r="JB37" s="958"/>
      <c r="JC37" s="958"/>
      <c r="JD37" s="958"/>
      <c r="JE37" s="958"/>
      <c r="JF37" s="958"/>
      <c r="JG37" s="958"/>
      <c r="JH37" s="958"/>
      <c r="JI37" s="958"/>
      <c r="JJ37" s="958"/>
      <c r="JK37" s="958"/>
      <c r="JL37" s="958"/>
      <c r="JM37" s="958"/>
      <c r="JN37" s="958"/>
      <c r="JO37" s="958"/>
      <c r="JP37" s="958"/>
      <c r="JQ37" s="958"/>
      <c r="JR37" s="958"/>
      <c r="JS37" s="958"/>
      <c r="JT37" s="958"/>
      <c r="JU37" s="958"/>
      <c r="JV37" s="958"/>
      <c r="JW37" s="958"/>
      <c r="JX37" s="958"/>
      <c r="JY37" s="958"/>
      <c r="JZ37" s="958"/>
      <c r="KA37" s="958"/>
      <c r="KB37" s="958"/>
      <c r="KC37" s="958"/>
      <c r="KD37" s="958"/>
      <c r="KE37" s="958"/>
      <c r="KF37" s="958"/>
      <c r="KG37" s="958"/>
      <c r="KH37" s="958"/>
      <c r="KI37" s="958"/>
      <c r="KJ37" s="958"/>
      <c r="KK37" s="958"/>
      <c r="KL37" s="958"/>
      <c r="KM37" s="958"/>
      <c r="KN37" s="958"/>
      <c r="KO37" s="958"/>
      <c r="KP37" s="958"/>
      <c r="KQ37" s="958"/>
      <c r="KR37" s="958"/>
      <c r="KS37" s="958"/>
      <c r="KT37" s="958"/>
      <c r="KU37" s="958"/>
      <c r="KV37" s="958"/>
      <c r="KW37" s="958"/>
      <c r="KX37" s="958"/>
      <c r="KY37" s="958"/>
      <c r="KZ37" s="958"/>
      <c r="LA37" s="958"/>
      <c r="LB37" s="958"/>
      <c r="LC37" s="958"/>
      <c r="LD37" s="958"/>
      <c r="LE37" s="958"/>
      <c r="LF37" s="958"/>
      <c r="LG37" s="958"/>
      <c r="LH37" s="958"/>
      <c r="LI37" s="958"/>
      <c r="LJ37" s="958"/>
      <c r="LK37" s="958"/>
      <c r="LL37" s="958"/>
      <c r="LM37" s="958"/>
      <c r="LN37" s="958"/>
      <c r="LO37" s="958"/>
      <c r="LP37" s="958"/>
      <c r="LQ37" s="958"/>
      <c r="LR37" s="958"/>
      <c r="LS37" s="958"/>
      <c r="LT37" s="958"/>
      <c r="LU37" s="958"/>
      <c r="LV37" s="958"/>
      <c r="LW37" s="958"/>
      <c r="LX37" s="958"/>
      <c r="LY37" s="958"/>
      <c r="LZ37" s="958"/>
      <c r="MA37" s="958"/>
      <c r="MB37" s="958"/>
      <c r="MC37" s="958"/>
      <c r="MD37" s="958"/>
      <c r="ME37" s="958"/>
      <c r="MF37" s="958"/>
      <c r="MG37" s="958"/>
      <c r="MH37" s="958"/>
      <c r="MI37" s="958"/>
      <c r="MJ37" s="958"/>
      <c r="MK37" s="958"/>
      <c r="ML37" s="958"/>
      <c r="MM37" s="958"/>
      <c r="MN37" s="958"/>
      <c r="MO37" s="958"/>
      <c r="MP37" s="958"/>
      <c r="MQ37" s="958"/>
      <c r="MR37" s="958"/>
      <c r="MS37" s="958"/>
      <c r="MT37" s="958"/>
      <c r="MU37" s="958"/>
      <c r="MV37" s="958"/>
      <c r="MW37" s="958"/>
      <c r="MX37" s="958"/>
      <c r="MY37" s="958"/>
      <c r="MZ37" s="958"/>
      <c r="NA37" s="958"/>
      <c r="NB37" s="958"/>
      <c r="NC37" s="958"/>
      <c r="ND37" s="958"/>
      <c r="NE37" s="958"/>
      <c r="NF37" s="958"/>
      <c r="NG37" s="958"/>
      <c r="NH37" s="958"/>
      <c r="NI37" s="958"/>
      <c r="NJ37" s="958"/>
      <c r="NK37" s="958"/>
      <c r="NL37" s="958"/>
      <c r="NM37" s="958"/>
      <c r="NN37" s="958"/>
      <c r="NO37" s="958"/>
      <c r="NP37" s="958"/>
      <c r="NQ37" s="958"/>
      <c r="NR37" s="958"/>
      <c r="NS37" s="958"/>
      <c r="NT37" s="958"/>
      <c r="NU37" s="958"/>
      <c r="NV37" s="958"/>
      <c r="NW37" s="958"/>
      <c r="NX37" s="958"/>
      <c r="NY37" s="958"/>
      <c r="NZ37" s="958"/>
      <c r="OA37" s="958"/>
      <c r="OB37" s="958"/>
      <c r="OC37" s="958"/>
      <c r="OD37" s="958"/>
      <c r="OE37" s="958"/>
      <c r="OF37" s="958"/>
      <c r="OG37" s="958"/>
      <c r="OH37" s="958"/>
      <c r="OI37" s="958"/>
      <c r="OJ37" s="958"/>
      <c r="OK37" s="958"/>
      <c r="OL37" s="958"/>
      <c r="OM37" s="958"/>
      <c r="ON37" s="958"/>
      <c r="OO37" s="958"/>
      <c r="OP37" s="958"/>
      <c r="OQ37" s="958"/>
      <c r="OR37" s="958"/>
      <c r="OS37" s="958"/>
      <c r="OT37" s="958"/>
      <c r="OU37" s="958"/>
      <c r="OV37" s="958"/>
      <c r="OW37" s="958"/>
      <c r="OX37" s="958"/>
      <c r="OY37" s="958"/>
      <c r="OZ37" s="958"/>
      <c r="PA37" s="958"/>
      <c r="PB37" s="958"/>
      <c r="PC37" s="958"/>
      <c r="PD37" s="958"/>
      <c r="PE37" s="958"/>
      <c r="PF37" s="958"/>
      <c r="PG37" s="958"/>
      <c r="PH37" s="958"/>
      <c r="PI37" s="958"/>
      <c r="PJ37" s="958"/>
      <c r="PK37" s="958"/>
      <c r="PL37" s="958"/>
      <c r="PM37" s="958"/>
      <c r="PN37" s="958"/>
      <c r="PO37" s="958"/>
      <c r="PP37" s="958"/>
      <c r="PQ37" s="958"/>
      <c r="PR37" s="958"/>
      <c r="PS37" s="958"/>
      <c r="PT37" s="958"/>
      <c r="PU37" s="958"/>
      <c r="PV37" s="958"/>
      <c r="PW37" s="958"/>
      <c r="PX37" s="958"/>
      <c r="PY37" s="958"/>
      <c r="PZ37" s="958"/>
      <c r="QA37" s="958"/>
      <c r="QB37" s="958"/>
      <c r="QC37" s="958"/>
      <c r="QD37" s="958"/>
      <c r="QE37" s="958"/>
      <c r="QF37" s="958"/>
      <c r="QG37" s="958"/>
      <c r="QH37" s="958"/>
      <c r="QI37" s="958"/>
      <c r="QJ37" s="958"/>
      <c r="QK37" s="958"/>
      <c r="QL37" s="958"/>
      <c r="QM37" s="958"/>
      <c r="QN37" s="958"/>
      <c r="QO37" s="958"/>
      <c r="QP37" s="958"/>
      <c r="QQ37" s="958"/>
      <c r="QR37" s="958"/>
      <c r="QS37" s="958"/>
      <c r="QT37" s="958"/>
      <c r="QU37" s="958"/>
      <c r="QV37" s="958"/>
      <c r="QW37" s="958"/>
      <c r="QX37" s="958"/>
      <c r="QY37" s="958"/>
      <c r="QZ37" s="958"/>
      <c r="RA37" s="958"/>
      <c r="RB37" s="958"/>
      <c r="RC37" s="958"/>
      <c r="RD37" s="958"/>
      <c r="RE37" s="958"/>
      <c r="RF37" s="958"/>
      <c r="RG37" s="958"/>
      <c r="RH37" s="958"/>
      <c r="RI37" s="958"/>
      <c r="RJ37" s="958"/>
      <c r="RK37" s="958"/>
      <c r="RL37" s="958"/>
      <c r="RM37" s="958"/>
      <c r="RN37" s="958"/>
      <c r="RO37" s="958"/>
      <c r="RP37" s="958"/>
      <c r="RQ37" s="958"/>
      <c r="RR37" s="958"/>
      <c r="RS37" s="958"/>
      <c r="RT37" s="958"/>
      <c r="RU37" s="958"/>
      <c r="RV37" s="958"/>
      <c r="RW37" s="958"/>
      <c r="RX37" s="958"/>
      <c r="RY37" s="958"/>
      <c r="RZ37" s="958"/>
      <c r="SA37" s="958"/>
      <c r="SB37" s="958"/>
      <c r="SC37" s="958"/>
      <c r="SD37" s="958"/>
      <c r="SE37" s="958"/>
      <c r="SF37" s="958"/>
      <c r="SG37" s="958"/>
      <c r="SH37" s="958"/>
      <c r="SI37" s="958"/>
      <c r="SJ37" s="958"/>
      <c r="SK37" s="958"/>
      <c r="SL37" s="958"/>
      <c r="SM37" s="958"/>
      <c r="SN37" s="958"/>
      <c r="SO37" s="958"/>
      <c r="SP37" s="958"/>
      <c r="SQ37" s="958"/>
      <c r="SR37" s="958"/>
      <c r="SS37" s="958"/>
      <c r="ST37" s="958"/>
      <c r="SU37" s="958"/>
      <c r="SV37" s="958"/>
      <c r="SW37" s="958"/>
      <c r="SX37" s="958"/>
      <c r="SY37" s="958"/>
      <c r="SZ37" s="958"/>
      <c r="TA37" s="958"/>
      <c r="TB37" s="958"/>
      <c r="TC37" s="958"/>
      <c r="TD37" s="958"/>
      <c r="TE37" s="958"/>
      <c r="TF37" s="958"/>
      <c r="TG37" s="958"/>
      <c r="TH37" s="958"/>
      <c r="TI37" s="958"/>
      <c r="TJ37" s="958"/>
      <c r="TK37" s="958"/>
      <c r="TL37" s="958"/>
      <c r="TM37" s="958"/>
      <c r="TN37" s="958"/>
      <c r="TO37" s="958"/>
      <c r="TP37" s="958"/>
      <c r="TQ37" s="958"/>
      <c r="TR37" s="958"/>
      <c r="TS37" s="958"/>
      <c r="TT37" s="958"/>
      <c r="TU37" s="958"/>
      <c r="TV37" s="958"/>
      <c r="TW37" s="958"/>
      <c r="TX37" s="958"/>
      <c r="TY37" s="958"/>
      <c r="TZ37" s="958"/>
      <c r="UA37" s="958"/>
      <c r="UB37" s="958"/>
      <c r="UC37" s="958"/>
      <c r="UD37" s="958"/>
      <c r="UE37" s="958"/>
      <c r="UF37" s="958"/>
      <c r="UG37" s="958"/>
      <c r="UH37" s="958"/>
      <c r="UI37" s="958"/>
      <c r="UJ37" s="958"/>
      <c r="UK37" s="958"/>
      <c r="UL37" s="958"/>
      <c r="UM37" s="958"/>
      <c r="UN37" s="958"/>
      <c r="UO37" s="958"/>
      <c r="UP37" s="958"/>
      <c r="UQ37" s="958"/>
      <c r="UR37" s="958"/>
      <c r="US37" s="958"/>
      <c r="UT37" s="958"/>
      <c r="UU37" s="958"/>
      <c r="UV37" s="958"/>
      <c r="UW37" s="958"/>
      <c r="UX37" s="958"/>
      <c r="UY37" s="958"/>
      <c r="UZ37" s="958"/>
      <c r="VA37" s="958"/>
      <c r="VB37" s="958"/>
      <c r="VC37" s="958"/>
      <c r="VD37" s="958"/>
      <c r="VE37" s="958"/>
      <c r="VF37" s="958"/>
      <c r="VG37" s="958"/>
      <c r="VH37" s="958"/>
      <c r="VI37" s="958"/>
      <c r="VJ37" s="958"/>
      <c r="VK37" s="958"/>
      <c r="VL37" s="958"/>
      <c r="VM37" s="958"/>
      <c r="VN37" s="958"/>
      <c r="VO37" s="958"/>
      <c r="VP37" s="958"/>
      <c r="VQ37" s="958"/>
      <c r="VR37" s="958"/>
      <c r="VS37" s="958"/>
      <c r="VT37" s="958"/>
      <c r="VU37" s="958"/>
      <c r="VV37" s="958"/>
      <c r="VW37" s="958"/>
      <c r="VX37" s="958"/>
      <c r="VY37" s="958"/>
      <c r="VZ37" s="958"/>
      <c r="WA37" s="958"/>
      <c r="WB37" s="958"/>
      <c r="WC37" s="958"/>
      <c r="WD37" s="958"/>
      <c r="WE37" s="958"/>
      <c r="WF37" s="958"/>
      <c r="WG37" s="958"/>
      <c r="WH37" s="958"/>
      <c r="WI37" s="958"/>
      <c r="WJ37" s="958"/>
      <c r="WK37" s="958"/>
      <c r="WL37" s="958"/>
      <c r="WM37" s="958"/>
      <c r="WN37" s="958"/>
      <c r="WO37" s="958"/>
      <c r="WP37" s="958"/>
      <c r="WQ37" s="958"/>
      <c r="WR37" s="958"/>
      <c r="WS37" s="958"/>
      <c r="WT37" s="958"/>
      <c r="WU37" s="958"/>
      <c r="WV37" s="958"/>
      <c r="WW37" s="958"/>
      <c r="WX37" s="958"/>
      <c r="WY37" s="958"/>
      <c r="WZ37" s="958"/>
      <c r="XA37" s="958"/>
      <c r="XB37" s="958"/>
      <c r="XC37" s="958"/>
      <c r="XD37" s="958"/>
      <c r="XE37" s="958"/>
      <c r="XF37" s="958"/>
      <c r="XG37" s="958"/>
      <c r="XH37" s="958"/>
      <c r="XI37" s="958"/>
      <c r="XJ37" s="958"/>
      <c r="XK37" s="958"/>
      <c r="XL37" s="958"/>
      <c r="XM37" s="958"/>
      <c r="XN37" s="958"/>
      <c r="XO37" s="958"/>
      <c r="XP37" s="958"/>
      <c r="XQ37" s="958"/>
      <c r="XR37" s="958"/>
      <c r="XS37" s="958"/>
      <c r="XT37" s="958"/>
      <c r="XU37" s="958"/>
      <c r="XV37" s="958"/>
      <c r="XW37" s="958"/>
      <c r="XX37" s="958"/>
      <c r="XY37" s="958"/>
      <c r="XZ37" s="958"/>
      <c r="YA37" s="958"/>
      <c r="YB37" s="958"/>
      <c r="YC37" s="958"/>
      <c r="YD37" s="958"/>
      <c r="YE37" s="958"/>
      <c r="YF37" s="958"/>
      <c r="YG37" s="958"/>
      <c r="YH37" s="958"/>
      <c r="YI37" s="958"/>
      <c r="YJ37" s="958"/>
      <c r="YK37" s="958"/>
      <c r="YL37" s="958"/>
      <c r="YM37" s="958"/>
      <c r="YN37" s="958"/>
      <c r="YO37" s="958"/>
      <c r="YP37" s="958"/>
      <c r="YQ37" s="958"/>
      <c r="YR37" s="958"/>
      <c r="YS37" s="958"/>
      <c r="YT37" s="958"/>
      <c r="YU37" s="958"/>
      <c r="YV37" s="958"/>
      <c r="YW37" s="958"/>
      <c r="YX37" s="958"/>
      <c r="YY37" s="958"/>
      <c r="YZ37" s="958"/>
      <c r="ZA37" s="958"/>
      <c r="ZB37" s="958"/>
      <c r="ZC37" s="958"/>
      <c r="ZD37" s="958"/>
      <c r="ZE37" s="958"/>
      <c r="ZF37" s="958"/>
      <c r="ZG37" s="958"/>
      <c r="ZH37" s="958"/>
      <c r="ZI37" s="958"/>
      <c r="ZJ37" s="958"/>
      <c r="ZK37" s="958"/>
      <c r="ZL37" s="958"/>
      <c r="ZM37" s="958"/>
      <c r="ZN37" s="958"/>
      <c r="ZO37" s="958"/>
      <c r="ZP37" s="958"/>
      <c r="ZQ37" s="958"/>
      <c r="ZR37" s="958"/>
      <c r="ZS37" s="958"/>
      <c r="ZT37" s="958"/>
      <c r="ZU37" s="958"/>
      <c r="ZV37" s="958"/>
      <c r="ZW37" s="958"/>
      <c r="ZX37" s="958"/>
      <c r="ZY37" s="958"/>
      <c r="ZZ37" s="958"/>
      <c r="AAA37" s="958"/>
      <c r="AAB37" s="958"/>
      <c r="AAC37" s="958"/>
      <c r="AAD37" s="958"/>
      <c r="AAE37" s="958"/>
      <c r="AAF37" s="958"/>
      <c r="AAG37" s="958"/>
      <c r="AAH37" s="958"/>
      <c r="AAI37" s="958"/>
      <c r="AAJ37" s="958"/>
      <c r="AAK37" s="958"/>
      <c r="AAL37" s="958"/>
      <c r="AAM37" s="958"/>
      <c r="AAN37" s="958"/>
      <c r="AAO37" s="958"/>
      <c r="AAP37" s="958"/>
      <c r="AAQ37" s="958"/>
      <c r="AAR37" s="958"/>
      <c r="AAS37" s="958"/>
      <c r="AAT37" s="958"/>
      <c r="AAU37" s="958"/>
      <c r="AAV37" s="958"/>
      <c r="AAW37" s="958"/>
      <c r="AAX37" s="958"/>
      <c r="AAY37" s="958"/>
      <c r="AAZ37" s="958"/>
      <c r="ABA37" s="958"/>
      <c r="ABB37" s="958"/>
      <c r="ABC37" s="958"/>
      <c r="ABD37" s="958"/>
      <c r="ABE37" s="958"/>
      <c r="ABF37" s="958"/>
      <c r="ABG37" s="958"/>
      <c r="ABH37" s="958"/>
      <c r="ABI37" s="958"/>
      <c r="ABJ37" s="958"/>
      <c r="ABK37" s="958"/>
      <c r="ABL37" s="958"/>
      <c r="ABM37" s="958"/>
      <c r="ABN37" s="958"/>
      <c r="ABO37" s="958"/>
      <c r="ABP37" s="958"/>
      <c r="ABQ37" s="958"/>
      <c r="ABR37" s="958"/>
      <c r="ABS37" s="958"/>
      <c r="ABT37" s="958"/>
      <c r="ABU37" s="958"/>
      <c r="ABV37" s="958"/>
      <c r="ABW37" s="958"/>
      <c r="ABX37" s="958"/>
      <c r="ABY37" s="958"/>
      <c r="ABZ37" s="958"/>
      <c r="ACA37" s="958"/>
      <c r="ACB37" s="958"/>
      <c r="ACC37" s="958"/>
      <c r="ACD37" s="958"/>
      <c r="ACE37" s="958"/>
      <c r="ACF37" s="958"/>
      <c r="ACG37" s="958"/>
      <c r="ACH37" s="958"/>
      <c r="ACI37" s="958"/>
      <c r="ACJ37" s="958"/>
      <c r="ACK37" s="958"/>
      <c r="ACL37" s="958"/>
      <c r="ACM37" s="958"/>
      <c r="ACN37" s="958"/>
      <c r="ACO37" s="958"/>
      <c r="ACP37" s="958"/>
      <c r="ACQ37" s="958"/>
      <c r="ACR37" s="958"/>
      <c r="ACS37" s="958"/>
      <c r="ACT37" s="958"/>
      <c r="ACU37" s="958"/>
      <c r="ACV37" s="958"/>
      <c r="ACW37" s="958"/>
      <c r="ACX37" s="958"/>
      <c r="ACY37" s="958"/>
      <c r="ACZ37" s="958"/>
      <c r="ADA37" s="958"/>
      <c r="ADB37" s="958"/>
      <c r="ADC37" s="958"/>
      <c r="ADD37" s="958"/>
      <c r="ADE37" s="958"/>
      <c r="ADF37" s="958"/>
      <c r="ADG37" s="958"/>
      <c r="ADH37" s="958"/>
      <c r="ADI37" s="958"/>
      <c r="ADJ37" s="958"/>
      <c r="ADK37" s="958"/>
      <c r="ADL37" s="958"/>
      <c r="ADM37" s="958"/>
      <c r="ADN37" s="958"/>
      <c r="ADO37" s="958"/>
      <c r="ADP37" s="958"/>
      <c r="ADQ37" s="958"/>
      <c r="ADR37" s="958"/>
      <c r="ADS37" s="958"/>
      <c r="ADT37" s="958"/>
      <c r="ADU37" s="958"/>
      <c r="ADV37" s="958"/>
      <c r="ADW37" s="958"/>
      <c r="ADX37" s="958"/>
      <c r="ADY37" s="958"/>
      <c r="ADZ37" s="958"/>
      <c r="AEA37" s="958"/>
      <c r="AEB37" s="958"/>
      <c r="AEC37" s="958"/>
      <c r="AED37" s="958"/>
      <c r="AEE37" s="958"/>
      <c r="AEF37" s="958"/>
      <c r="AEG37" s="958"/>
      <c r="AEH37" s="958"/>
      <c r="AEI37" s="958"/>
      <c r="AEJ37" s="958"/>
      <c r="AEK37" s="958"/>
      <c r="AEL37" s="958"/>
      <c r="AEM37" s="958"/>
      <c r="AEN37" s="958"/>
      <c r="AEO37" s="958"/>
      <c r="AEP37" s="958"/>
      <c r="AEQ37" s="958"/>
      <c r="AER37" s="958"/>
      <c r="AES37" s="958"/>
      <c r="AET37" s="958"/>
      <c r="AEU37" s="958"/>
      <c r="AEV37" s="958"/>
      <c r="AEW37" s="958"/>
      <c r="AEX37" s="958"/>
      <c r="AEY37" s="958"/>
      <c r="AEZ37" s="958"/>
      <c r="AFA37" s="958"/>
      <c r="AFB37" s="958"/>
      <c r="AFC37" s="958"/>
      <c r="AFD37" s="958"/>
      <c r="AFE37" s="958"/>
      <c r="AFF37" s="958"/>
      <c r="AFG37" s="958"/>
      <c r="AFH37" s="958"/>
      <c r="AFI37" s="958"/>
      <c r="AFJ37" s="958"/>
      <c r="AFK37" s="958"/>
      <c r="AFL37" s="958"/>
      <c r="AFM37" s="958"/>
      <c r="AFN37" s="958"/>
      <c r="AFO37" s="958"/>
      <c r="AFP37" s="958"/>
      <c r="AFQ37" s="958"/>
      <c r="AFR37" s="958"/>
      <c r="AFS37" s="958"/>
      <c r="AFT37" s="958"/>
      <c r="AFU37" s="958"/>
      <c r="AFV37" s="958"/>
      <c r="AFW37" s="958"/>
      <c r="AFX37" s="958"/>
      <c r="AFY37" s="958"/>
      <c r="AFZ37" s="958"/>
      <c r="AGA37" s="958"/>
      <c r="AGB37" s="958"/>
      <c r="AGC37" s="958"/>
      <c r="AGD37" s="958"/>
      <c r="AGE37" s="958"/>
      <c r="AGF37" s="958"/>
      <c r="AGG37" s="958"/>
      <c r="AGH37" s="958"/>
      <c r="AGI37" s="958"/>
      <c r="AGJ37" s="958"/>
      <c r="AGK37" s="958"/>
      <c r="AGL37" s="958"/>
      <c r="AGM37" s="958"/>
      <c r="AGN37" s="958"/>
      <c r="AGO37" s="958"/>
      <c r="AGP37" s="958"/>
      <c r="AGQ37" s="958"/>
      <c r="AGR37" s="958"/>
      <c r="AGS37" s="958"/>
      <c r="AGT37" s="958"/>
      <c r="AGU37" s="958"/>
      <c r="AGV37" s="958"/>
      <c r="AGW37" s="958"/>
      <c r="AGX37" s="958"/>
      <c r="AGY37" s="958"/>
      <c r="AGZ37" s="958"/>
      <c r="AHA37" s="958"/>
      <c r="AHB37" s="958"/>
      <c r="AHC37" s="958"/>
      <c r="AHD37" s="958"/>
      <c r="AHE37" s="958"/>
      <c r="AHF37" s="958"/>
      <c r="AHG37" s="958"/>
      <c r="AHH37" s="958"/>
      <c r="AHI37" s="958"/>
      <c r="AHJ37" s="958"/>
      <c r="AHK37" s="958"/>
      <c r="AHL37" s="958"/>
      <c r="AHM37" s="958"/>
      <c r="AHN37" s="958"/>
      <c r="AHO37" s="958"/>
      <c r="AHP37" s="958"/>
      <c r="AHQ37" s="958"/>
      <c r="AHR37" s="958"/>
      <c r="AHS37" s="958"/>
      <c r="AHT37" s="958"/>
      <c r="AHU37" s="958"/>
      <c r="AHV37" s="958"/>
      <c r="AHW37" s="958"/>
      <c r="AHX37" s="958"/>
      <c r="AHY37" s="958"/>
      <c r="AHZ37" s="958"/>
      <c r="AIA37" s="958"/>
      <c r="AIB37" s="958"/>
      <c r="AIC37" s="958"/>
      <c r="AID37" s="958"/>
      <c r="AIE37" s="958"/>
      <c r="AIF37" s="958"/>
      <c r="AIG37" s="958"/>
      <c r="AIH37" s="958"/>
      <c r="AII37" s="958"/>
      <c r="AIJ37" s="958"/>
      <c r="AIK37" s="958"/>
      <c r="AIL37" s="958"/>
      <c r="AIM37" s="958"/>
      <c r="AIN37" s="958"/>
      <c r="AIO37" s="958"/>
      <c r="AIP37" s="958"/>
      <c r="AIQ37" s="958"/>
      <c r="AIR37" s="958"/>
      <c r="AIS37" s="958"/>
      <c r="AIT37" s="958"/>
      <c r="AIU37" s="958"/>
      <c r="AIV37" s="958"/>
      <c r="AIW37" s="958"/>
      <c r="AIX37" s="958"/>
      <c r="AIY37" s="958"/>
      <c r="AIZ37" s="958"/>
      <c r="AJA37" s="958"/>
      <c r="AJB37" s="958"/>
      <c r="AJC37" s="958"/>
      <c r="AJD37" s="958"/>
      <c r="AJE37" s="958"/>
      <c r="AJF37" s="958"/>
      <c r="AJG37" s="958"/>
      <c r="AJH37" s="958"/>
      <c r="AJI37" s="958"/>
      <c r="AJJ37" s="958"/>
      <c r="AJK37" s="958"/>
      <c r="AJL37" s="958"/>
      <c r="AJM37" s="958"/>
      <c r="AJN37" s="958"/>
      <c r="AJO37" s="958"/>
      <c r="AJP37" s="958"/>
      <c r="AJQ37" s="958"/>
      <c r="AJR37" s="958"/>
      <c r="AJS37" s="958"/>
      <c r="AJT37" s="958"/>
      <c r="AJU37" s="958"/>
      <c r="AJV37" s="958"/>
      <c r="AJW37" s="958"/>
      <c r="AJX37" s="958"/>
      <c r="AJY37" s="958"/>
      <c r="AJZ37" s="958"/>
      <c r="AKA37" s="958"/>
      <c r="AKB37" s="958"/>
      <c r="AKC37" s="958"/>
      <c r="AKD37" s="958"/>
      <c r="AKE37" s="958"/>
      <c r="AKF37" s="958"/>
      <c r="AKG37" s="958"/>
      <c r="AKH37" s="958"/>
      <c r="AKI37" s="958"/>
      <c r="AKJ37" s="958"/>
      <c r="AKK37" s="958"/>
      <c r="AKL37" s="958"/>
      <c r="AKM37" s="958"/>
      <c r="AKN37" s="958"/>
      <c r="AKO37" s="958"/>
      <c r="AKP37" s="958"/>
      <c r="AKQ37" s="958"/>
      <c r="AKR37" s="958"/>
      <c r="AKS37" s="958"/>
      <c r="AKT37" s="958"/>
      <c r="AKU37" s="958"/>
      <c r="AKV37" s="958"/>
      <c r="AKW37" s="958"/>
      <c r="AKX37" s="958"/>
      <c r="AKY37" s="958"/>
      <c r="AKZ37" s="958"/>
      <c r="ALA37" s="958"/>
      <c r="ALB37" s="958"/>
      <c r="ALC37" s="958"/>
      <c r="ALD37" s="958"/>
      <c r="ALE37" s="958"/>
      <c r="ALF37" s="958"/>
      <c r="ALG37" s="958"/>
      <c r="ALH37" s="958"/>
      <c r="ALI37" s="958"/>
      <c r="ALJ37" s="958"/>
      <c r="ALK37" s="958"/>
      <c r="ALL37" s="958"/>
      <c r="ALM37" s="958"/>
      <c r="ALN37" s="958"/>
      <c r="ALO37" s="958"/>
      <c r="ALP37" s="958"/>
      <c r="ALQ37" s="958"/>
      <c r="ALR37" s="958"/>
      <c r="ALS37" s="958"/>
      <c r="ALT37" s="958"/>
      <c r="ALU37" s="958"/>
      <c r="ALV37" s="958"/>
      <c r="ALW37" s="958"/>
      <c r="ALX37" s="958"/>
      <c r="ALY37" s="958"/>
      <c r="ALZ37" s="958"/>
      <c r="AMA37" s="958"/>
      <c r="AMB37" s="958"/>
      <c r="AMC37" s="958"/>
      <c r="AMD37" s="958"/>
      <c r="AME37" s="958"/>
      <c r="AMF37" s="958"/>
      <c r="AMG37" s="958"/>
      <c r="AMH37" s="958"/>
      <c r="AMI37" s="958"/>
      <c r="AMJ37" s="958"/>
      <c r="AMK37" s="958"/>
      <c r="AML37" s="958"/>
      <c r="AMM37" s="958"/>
      <c r="AMN37" s="958"/>
      <c r="AMO37" s="958"/>
      <c r="AMP37" s="958"/>
      <c r="AMQ37" s="958"/>
      <c r="AMR37" s="958"/>
      <c r="AMS37" s="958"/>
      <c r="AMT37" s="958"/>
      <c r="AMU37" s="958"/>
      <c r="AMV37" s="958"/>
      <c r="AMW37" s="958"/>
      <c r="AMX37" s="958"/>
      <c r="AMY37" s="958"/>
      <c r="AMZ37" s="958"/>
      <c r="ANA37" s="958"/>
      <c r="ANB37" s="958"/>
      <c r="ANC37" s="958"/>
      <c r="AND37" s="958"/>
      <c r="ANE37" s="958"/>
      <c r="ANF37" s="958"/>
      <c r="ANG37" s="958"/>
      <c r="ANH37" s="958"/>
      <c r="ANI37" s="958"/>
      <c r="ANJ37" s="958"/>
      <c r="ANK37" s="958"/>
      <c r="ANL37" s="958"/>
      <c r="ANM37" s="958"/>
      <c r="ANN37" s="958"/>
      <c r="ANO37" s="958"/>
      <c r="ANP37" s="958"/>
      <c r="ANQ37" s="958"/>
      <c r="ANR37" s="958"/>
      <c r="ANS37" s="958"/>
      <c r="ANT37" s="958"/>
      <c r="ANU37" s="958"/>
      <c r="ANV37" s="958"/>
      <c r="ANW37" s="958"/>
      <c r="ANX37" s="958"/>
      <c r="ANY37" s="958"/>
      <c r="ANZ37" s="958"/>
      <c r="AOA37" s="958"/>
      <c r="AOB37" s="958"/>
      <c r="AOC37" s="958"/>
      <c r="AOD37" s="958"/>
      <c r="AOE37" s="958"/>
      <c r="AOF37" s="958"/>
      <c r="AOG37" s="958"/>
      <c r="AOH37" s="958"/>
      <c r="AOI37" s="958"/>
      <c r="AOJ37" s="958"/>
      <c r="AOK37" s="958"/>
      <c r="AOL37" s="958"/>
      <c r="AOM37" s="958"/>
      <c r="AON37" s="958"/>
      <c r="AOO37" s="958"/>
      <c r="AOP37" s="958"/>
      <c r="AOQ37" s="958"/>
      <c r="AOR37" s="958"/>
      <c r="AOS37" s="958"/>
      <c r="AOT37" s="958"/>
      <c r="AOU37" s="958"/>
      <c r="AOV37" s="958"/>
      <c r="AOW37" s="958"/>
      <c r="AOX37" s="958"/>
      <c r="AOY37" s="958"/>
      <c r="AOZ37" s="958"/>
      <c r="APA37" s="958"/>
      <c r="APB37" s="958"/>
      <c r="APC37" s="958"/>
      <c r="APD37" s="958"/>
      <c r="APE37" s="958"/>
      <c r="APF37" s="958"/>
      <c r="APG37" s="958"/>
      <c r="APH37" s="958"/>
      <c r="API37" s="958"/>
      <c r="APJ37" s="958"/>
      <c r="APK37" s="958"/>
      <c r="APL37" s="958"/>
      <c r="APM37" s="958"/>
      <c r="APN37" s="958"/>
      <c r="APO37" s="958"/>
      <c r="APP37" s="958"/>
      <c r="APQ37" s="958"/>
      <c r="APR37" s="958"/>
      <c r="APS37" s="958"/>
      <c r="APT37" s="958"/>
      <c r="APU37" s="958"/>
      <c r="APV37" s="958"/>
      <c r="APW37" s="958"/>
      <c r="APX37" s="958"/>
      <c r="APY37" s="958"/>
      <c r="APZ37" s="958"/>
      <c r="AQA37" s="958"/>
      <c r="AQB37" s="958"/>
      <c r="AQC37" s="958"/>
      <c r="AQD37" s="958"/>
      <c r="AQE37" s="958"/>
      <c r="AQF37" s="958"/>
      <c r="AQG37" s="958"/>
      <c r="AQH37" s="958"/>
      <c r="AQI37" s="958"/>
      <c r="AQJ37" s="958"/>
      <c r="AQK37" s="958"/>
      <c r="AQL37" s="958"/>
      <c r="AQM37" s="958"/>
      <c r="AQN37" s="958"/>
      <c r="AQO37" s="958"/>
      <c r="AQP37" s="958"/>
      <c r="AQQ37" s="958"/>
      <c r="AQR37" s="958"/>
      <c r="AQS37" s="958"/>
      <c r="AQT37" s="958"/>
      <c r="AQU37" s="958"/>
      <c r="AQV37" s="958"/>
      <c r="AQW37" s="958"/>
      <c r="AQX37" s="958"/>
      <c r="AQY37" s="958"/>
      <c r="AQZ37" s="958"/>
      <c r="ARA37" s="958"/>
      <c r="ARB37" s="958"/>
      <c r="ARC37" s="958"/>
      <c r="ARD37" s="958"/>
      <c r="ARE37" s="958"/>
      <c r="ARF37" s="958"/>
      <c r="ARG37" s="958"/>
      <c r="ARH37" s="958"/>
      <c r="ARI37" s="958"/>
      <c r="ARJ37" s="958"/>
      <c r="ARK37" s="958"/>
      <c r="ARL37" s="958"/>
      <c r="ARM37" s="958"/>
      <c r="ARN37" s="958"/>
      <c r="ARO37" s="958"/>
      <c r="ARP37" s="958"/>
      <c r="ARQ37" s="958"/>
      <c r="ARR37" s="958"/>
      <c r="ARS37" s="958"/>
      <c r="ART37" s="958"/>
      <c r="ARU37" s="958"/>
      <c r="ARV37" s="958"/>
      <c r="ARW37" s="958"/>
      <c r="ARX37" s="958"/>
      <c r="ARY37" s="958"/>
      <c r="ARZ37" s="958"/>
      <c r="ASA37" s="958"/>
      <c r="ASB37" s="958"/>
      <c r="ASC37" s="958"/>
      <c r="ASD37" s="958"/>
      <c r="ASE37" s="958"/>
      <c r="ASF37" s="958"/>
      <c r="ASG37" s="958"/>
      <c r="ASH37" s="958"/>
      <c r="ASI37" s="958"/>
      <c r="ASJ37" s="958"/>
      <c r="ASK37" s="958"/>
      <c r="ASL37" s="958"/>
      <c r="ASM37" s="958"/>
      <c r="ASN37" s="958"/>
      <c r="ASO37" s="958"/>
      <c r="ASP37" s="958"/>
      <c r="ASQ37" s="958"/>
      <c r="ASR37" s="958"/>
      <c r="ASS37" s="958"/>
      <c r="AST37" s="958"/>
      <c r="ASU37" s="958"/>
      <c r="ASV37" s="958"/>
      <c r="ASW37" s="958"/>
      <c r="ASX37" s="958"/>
      <c r="ASY37" s="958"/>
      <c r="ASZ37" s="958"/>
    </row>
    <row r="38" spans="1:1196" s="22" customFormat="1" ht="134.25" customHeight="1" thickTop="1" thickBot="1">
      <c r="A38" s="2846"/>
      <c r="B38" s="2942"/>
      <c r="C38" s="3025"/>
      <c r="D38" s="111" t="s">
        <v>245</v>
      </c>
      <c r="E38" s="177" t="s">
        <v>246</v>
      </c>
      <c r="F38" s="177" t="s">
        <v>10</v>
      </c>
      <c r="G38" s="888">
        <v>0.1</v>
      </c>
      <c r="H38" s="88"/>
      <c r="I38" s="81"/>
      <c r="J38" s="81"/>
      <c r="K38" s="179" t="s">
        <v>244</v>
      </c>
      <c r="L38" s="980">
        <v>0</v>
      </c>
      <c r="M38" s="981"/>
      <c r="N38" s="73" t="e">
        <f t="shared" si="3"/>
        <v>#DIV/0!</v>
      </c>
      <c r="O38" s="980">
        <v>0</v>
      </c>
      <c r="P38" s="981"/>
      <c r="Q38" s="73" t="e">
        <f t="shared" si="4"/>
        <v>#DIV/0!</v>
      </c>
      <c r="R38" s="980">
        <v>0</v>
      </c>
      <c r="S38" s="981"/>
      <c r="T38" s="73" t="e">
        <f t="shared" si="5"/>
        <v>#DIV/0!</v>
      </c>
      <c r="U38" s="980">
        <v>0</v>
      </c>
      <c r="V38" s="981"/>
      <c r="W38" s="73" t="e">
        <f t="shared" si="6"/>
        <v>#DIV/0!</v>
      </c>
      <c r="X38" s="980">
        <v>0</v>
      </c>
      <c r="Y38" s="981"/>
      <c r="Z38" s="73" t="e">
        <f t="shared" si="7"/>
        <v>#DIV/0!</v>
      </c>
      <c r="AA38" s="980">
        <v>0</v>
      </c>
      <c r="AB38" s="980"/>
      <c r="AC38" s="73" t="e">
        <f t="shared" si="8"/>
        <v>#DIV/0!</v>
      </c>
      <c r="AD38" s="982">
        <f>+V38</f>
        <v>0</v>
      </c>
      <c r="AE38" s="956">
        <f>+AD38/50%</f>
        <v>0</v>
      </c>
      <c r="AF38" s="980">
        <v>0</v>
      </c>
      <c r="AG38" s="981"/>
      <c r="AH38" s="73" t="e">
        <f t="shared" si="11"/>
        <v>#DIV/0!</v>
      </c>
      <c r="AI38" s="980">
        <v>0</v>
      </c>
      <c r="AJ38" s="981"/>
      <c r="AK38" s="73" t="e">
        <f>+AJ38/AI38</f>
        <v>#DIV/0!</v>
      </c>
      <c r="AL38" s="980">
        <v>0</v>
      </c>
      <c r="AM38" s="981"/>
      <c r="AN38" s="73" t="e">
        <f t="shared" si="13"/>
        <v>#DIV/0!</v>
      </c>
      <c r="AO38" s="980">
        <v>0.1</v>
      </c>
      <c r="AP38" s="981">
        <f>3/7</f>
        <v>0.42857142857142855</v>
      </c>
      <c r="AQ38" s="73">
        <f t="shared" si="14"/>
        <v>4.2857142857142856</v>
      </c>
      <c r="AR38" s="980">
        <v>0</v>
      </c>
      <c r="AS38" s="981"/>
      <c r="AT38" s="73" t="e">
        <f t="shared" si="15"/>
        <v>#DIV/0!</v>
      </c>
      <c r="AU38" s="869">
        <v>0.1</v>
      </c>
      <c r="AV38" s="978">
        <v>0</v>
      </c>
      <c r="AW38" s="73">
        <f t="shared" si="16"/>
        <v>0</v>
      </c>
      <c r="AX38" s="979">
        <f>+(AP38+AV38)/2</f>
        <v>0.21428571428571427</v>
      </c>
      <c r="AY38" s="956">
        <f t="shared" si="18"/>
        <v>2.1428571428571428</v>
      </c>
      <c r="AZ38" s="958"/>
      <c r="BA38" s="958"/>
      <c r="BB38" s="958"/>
      <c r="BC38" s="958"/>
      <c r="BD38" s="958"/>
      <c r="BE38" s="958"/>
      <c r="BF38" s="958"/>
      <c r="BG38" s="958"/>
      <c r="BH38" s="958"/>
      <c r="BI38" s="958"/>
      <c r="BJ38" s="958"/>
      <c r="BK38" s="958"/>
      <c r="BL38" s="958"/>
      <c r="BM38" s="958"/>
      <c r="BN38" s="958"/>
      <c r="BO38" s="958"/>
      <c r="BP38" s="958"/>
      <c r="BQ38" s="958"/>
      <c r="BR38" s="958"/>
      <c r="BS38" s="958"/>
      <c r="BT38" s="958"/>
      <c r="BU38" s="958"/>
      <c r="BV38" s="958"/>
      <c r="BW38" s="958"/>
      <c r="BX38" s="958"/>
      <c r="BY38" s="958"/>
      <c r="BZ38" s="958"/>
      <c r="CA38" s="958"/>
      <c r="CB38" s="958"/>
      <c r="CC38" s="958"/>
      <c r="CD38" s="958"/>
      <c r="CE38" s="958"/>
      <c r="CF38" s="958"/>
      <c r="CG38" s="958"/>
      <c r="CH38" s="958"/>
      <c r="CI38" s="958"/>
      <c r="CJ38" s="958"/>
      <c r="CK38" s="958"/>
      <c r="CL38" s="958"/>
      <c r="CM38" s="958"/>
      <c r="CN38" s="958"/>
      <c r="CO38" s="958"/>
      <c r="CP38" s="958"/>
      <c r="CQ38" s="958"/>
      <c r="CR38" s="958"/>
      <c r="CS38" s="958"/>
      <c r="CT38" s="958"/>
      <c r="CU38" s="958"/>
      <c r="CV38" s="958"/>
      <c r="CW38" s="958"/>
      <c r="CX38" s="958"/>
      <c r="CY38" s="958"/>
      <c r="CZ38" s="958"/>
      <c r="DA38" s="958"/>
      <c r="DB38" s="958"/>
      <c r="DC38" s="958"/>
      <c r="DD38" s="958"/>
      <c r="DE38" s="958"/>
      <c r="DF38" s="958"/>
      <c r="DG38" s="958"/>
      <c r="DH38" s="958"/>
      <c r="DI38" s="958"/>
      <c r="DJ38" s="958"/>
      <c r="DK38" s="958"/>
      <c r="DL38" s="958"/>
      <c r="DM38" s="958"/>
      <c r="DN38" s="958"/>
      <c r="DO38" s="958"/>
      <c r="DP38" s="958"/>
      <c r="DQ38" s="958"/>
      <c r="DR38" s="958"/>
      <c r="DS38" s="958"/>
      <c r="DT38" s="958"/>
      <c r="DU38" s="958"/>
      <c r="DV38" s="958"/>
      <c r="DW38" s="958"/>
      <c r="DX38" s="958"/>
      <c r="DY38" s="958"/>
      <c r="DZ38" s="958"/>
      <c r="EA38" s="958"/>
      <c r="EB38" s="958"/>
      <c r="EC38" s="958"/>
      <c r="ED38" s="958"/>
      <c r="EE38" s="958"/>
      <c r="EF38" s="958"/>
      <c r="EG38" s="958"/>
      <c r="EH38" s="958"/>
      <c r="EI38" s="958"/>
      <c r="EJ38" s="958"/>
      <c r="EK38" s="958"/>
      <c r="EL38" s="958"/>
      <c r="EM38" s="958"/>
      <c r="EN38" s="958"/>
      <c r="EO38" s="958"/>
      <c r="EP38" s="958"/>
      <c r="EQ38" s="958"/>
      <c r="ER38" s="958"/>
      <c r="ES38" s="958"/>
      <c r="ET38" s="958"/>
      <c r="EU38" s="958"/>
      <c r="EV38" s="958"/>
      <c r="EW38" s="958"/>
      <c r="EX38" s="958"/>
      <c r="EY38" s="958"/>
      <c r="EZ38" s="958"/>
      <c r="FA38" s="958"/>
      <c r="FB38" s="958"/>
      <c r="FC38" s="958"/>
      <c r="FD38" s="958"/>
      <c r="FE38" s="958"/>
      <c r="FF38" s="958"/>
      <c r="FG38" s="958"/>
      <c r="FH38" s="958"/>
      <c r="FI38" s="958"/>
      <c r="FJ38" s="958"/>
      <c r="FK38" s="958"/>
      <c r="FL38" s="958"/>
      <c r="FM38" s="958"/>
      <c r="FN38" s="958"/>
      <c r="FO38" s="958"/>
      <c r="FP38" s="958"/>
      <c r="FQ38" s="958"/>
      <c r="FR38" s="958"/>
      <c r="FS38" s="958"/>
      <c r="FT38" s="958"/>
      <c r="FU38" s="958"/>
      <c r="FV38" s="958"/>
      <c r="FW38" s="958"/>
      <c r="FX38" s="958"/>
      <c r="FY38" s="958"/>
      <c r="FZ38" s="958"/>
      <c r="GA38" s="958"/>
      <c r="GB38" s="958"/>
      <c r="GC38" s="958"/>
      <c r="GD38" s="958"/>
      <c r="GE38" s="958"/>
      <c r="GF38" s="958"/>
      <c r="GG38" s="958"/>
      <c r="GH38" s="958"/>
      <c r="GI38" s="958"/>
      <c r="GJ38" s="958"/>
      <c r="GK38" s="958"/>
      <c r="GL38" s="958"/>
      <c r="GM38" s="958"/>
      <c r="GN38" s="958"/>
      <c r="GO38" s="958"/>
      <c r="GP38" s="958"/>
      <c r="GQ38" s="958"/>
      <c r="GR38" s="958"/>
      <c r="GS38" s="958"/>
      <c r="GT38" s="958"/>
      <c r="GU38" s="958"/>
      <c r="GV38" s="958"/>
      <c r="GW38" s="958"/>
      <c r="GX38" s="958"/>
      <c r="GY38" s="958"/>
      <c r="GZ38" s="958"/>
      <c r="HA38" s="958"/>
      <c r="HB38" s="958"/>
      <c r="HC38" s="958"/>
      <c r="HD38" s="958"/>
      <c r="HE38" s="958"/>
      <c r="HF38" s="958"/>
      <c r="HG38" s="958"/>
      <c r="HH38" s="958"/>
      <c r="HI38" s="958"/>
      <c r="HJ38" s="958"/>
      <c r="HK38" s="958"/>
      <c r="HL38" s="958"/>
      <c r="HM38" s="958"/>
      <c r="HN38" s="958"/>
      <c r="HO38" s="958"/>
      <c r="HP38" s="958"/>
      <c r="HQ38" s="958"/>
      <c r="HR38" s="958"/>
      <c r="HS38" s="958"/>
      <c r="HT38" s="958"/>
      <c r="HU38" s="958"/>
      <c r="HV38" s="958"/>
      <c r="HW38" s="958"/>
      <c r="HX38" s="958"/>
      <c r="HY38" s="958"/>
      <c r="HZ38" s="958"/>
      <c r="IA38" s="958"/>
      <c r="IB38" s="958"/>
      <c r="IC38" s="958"/>
      <c r="ID38" s="958"/>
      <c r="IE38" s="958"/>
      <c r="IF38" s="958"/>
      <c r="IG38" s="958"/>
      <c r="IH38" s="958"/>
      <c r="II38" s="958"/>
      <c r="IJ38" s="958"/>
      <c r="IK38" s="958"/>
      <c r="IL38" s="958"/>
      <c r="IM38" s="958"/>
      <c r="IN38" s="958"/>
      <c r="IO38" s="958"/>
      <c r="IP38" s="958"/>
      <c r="IQ38" s="958"/>
      <c r="IR38" s="958"/>
      <c r="IS38" s="958"/>
      <c r="IT38" s="958"/>
      <c r="IU38" s="958"/>
      <c r="IV38" s="958"/>
      <c r="IW38" s="958"/>
      <c r="IX38" s="958"/>
      <c r="IY38" s="958"/>
      <c r="IZ38" s="958"/>
      <c r="JA38" s="958"/>
      <c r="JB38" s="958"/>
      <c r="JC38" s="958"/>
      <c r="JD38" s="958"/>
      <c r="JE38" s="958"/>
      <c r="JF38" s="958"/>
      <c r="JG38" s="958"/>
      <c r="JH38" s="958"/>
      <c r="JI38" s="958"/>
      <c r="JJ38" s="958"/>
      <c r="JK38" s="958"/>
      <c r="JL38" s="958"/>
      <c r="JM38" s="958"/>
      <c r="JN38" s="958"/>
      <c r="JO38" s="958"/>
      <c r="JP38" s="958"/>
      <c r="JQ38" s="958"/>
      <c r="JR38" s="958"/>
      <c r="JS38" s="958"/>
      <c r="JT38" s="958"/>
      <c r="JU38" s="958"/>
      <c r="JV38" s="958"/>
      <c r="JW38" s="958"/>
      <c r="JX38" s="958"/>
      <c r="JY38" s="958"/>
      <c r="JZ38" s="958"/>
      <c r="KA38" s="958"/>
      <c r="KB38" s="958"/>
      <c r="KC38" s="958"/>
      <c r="KD38" s="958"/>
      <c r="KE38" s="958"/>
      <c r="KF38" s="958"/>
      <c r="KG38" s="958"/>
      <c r="KH38" s="958"/>
      <c r="KI38" s="958"/>
      <c r="KJ38" s="958"/>
      <c r="KK38" s="958"/>
      <c r="KL38" s="958"/>
      <c r="KM38" s="958"/>
      <c r="KN38" s="958"/>
      <c r="KO38" s="958"/>
      <c r="KP38" s="958"/>
      <c r="KQ38" s="958"/>
      <c r="KR38" s="958"/>
      <c r="KS38" s="958"/>
      <c r="KT38" s="958"/>
      <c r="KU38" s="958"/>
      <c r="KV38" s="958"/>
      <c r="KW38" s="958"/>
      <c r="KX38" s="958"/>
      <c r="KY38" s="958"/>
      <c r="KZ38" s="958"/>
      <c r="LA38" s="958"/>
      <c r="LB38" s="958"/>
      <c r="LC38" s="958"/>
      <c r="LD38" s="958"/>
      <c r="LE38" s="958"/>
      <c r="LF38" s="958"/>
      <c r="LG38" s="958"/>
      <c r="LH38" s="958"/>
      <c r="LI38" s="958"/>
      <c r="LJ38" s="958"/>
      <c r="LK38" s="958"/>
      <c r="LL38" s="958"/>
      <c r="LM38" s="958"/>
      <c r="LN38" s="958"/>
      <c r="LO38" s="958"/>
      <c r="LP38" s="958"/>
      <c r="LQ38" s="958"/>
      <c r="LR38" s="958"/>
      <c r="LS38" s="958"/>
      <c r="LT38" s="958"/>
      <c r="LU38" s="958"/>
      <c r="LV38" s="958"/>
      <c r="LW38" s="958"/>
      <c r="LX38" s="958"/>
      <c r="LY38" s="958"/>
      <c r="LZ38" s="958"/>
      <c r="MA38" s="958"/>
      <c r="MB38" s="958"/>
      <c r="MC38" s="958"/>
      <c r="MD38" s="958"/>
      <c r="ME38" s="958"/>
      <c r="MF38" s="958"/>
      <c r="MG38" s="958"/>
      <c r="MH38" s="958"/>
      <c r="MI38" s="958"/>
      <c r="MJ38" s="958"/>
      <c r="MK38" s="958"/>
      <c r="ML38" s="958"/>
      <c r="MM38" s="958"/>
      <c r="MN38" s="958"/>
      <c r="MO38" s="958"/>
      <c r="MP38" s="958"/>
      <c r="MQ38" s="958"/>
      <c r="MR38" s="958"/>
      <c r="MS38" s="958"/>
      <c r="MT38" s="958"/>
      <c r="MU38" s="958"/>
      <c r="MV38" s="958"/>
      <c r="MW38" s="958"/>
      <c r="MX38" s="958"/>
      <c r="MY38" s="958"/>
      <c r="MZ38" s="958"/>
      <c r="NA38" s="958"/>
      <c r="NB38" s="958"/>
      <c r="NC38" s="958"/>
      <c r="ND38" s="958"/>
      <c r="NE38" s="958"/>
      <c r="NF38" s="958"/>
      <c r="NG38" s="958"/>
      <c r="NH38" s="958"/>
      <c r="NI38" s="958"/>
      <c r="NJ38" s="958"/>
      <c r="NK38" s="958"/>
      <c r="NL38" s="958"/>
      <c r="NM38" s="958"/>
      <c r="NN38" s="958"/>
      <c r="NO38" s="958"/>
      <c r="NP38" s="958"/>
      <c r="NQ38" s="958"/>
      <c r="NR38" s="958"/>
      <c r="NS38" s="958"/>
      <c r="NT38" s="958"/>
      <c r="NU38" s="958"/>
      <c r="NV38" s="958"/>
      <c r="NW38" s="958"/>
      <c r="NX38" s="958"/>
      <c r="NY38" s="958"/>
      <c r="NZ38" s="958"/>
      <c r="OA38" s="958"/>
      <c r="OB38" s="958"/>
      <c r="OC38" s="958"/>
      <c r="OD38" s="958"/>
      <c r="OE38" s="958"/>
      <c r="OF38" s="958"/>
      <c r="OG38" s="958"/>
      <c r="OH38" s="958"/>
      <c r="OI38" s="958"/>
      <c r="OJ38" s="958"/>
      <c r="OK38" s="958"/>
      <c r="OL38" s="958"/>
      <c r="OM38" s="958"/>
      <c r="ON38" s="958"/>
      <c r="OO38" s="958"/>
      <c r="OP38" s="958"/>
      <c r="OQ38" s="958"/>
      <c r="OR38" s="958"/>
      <c r="OS38" s="958"/>
      <c r="OT38" s="958"/>
      <c r="OU38" s="958"/>
      <c r="OV38" s="958"/>
      <c r="OW38" s="958"/>
      <c r="OX38" s="958"/>
      <c r="OY38" s="958"/>
      <c r="OZ38" s="958"/>
      <c r="PA38" s="958"/>
      <c r="PB38" s="958"/>
      <c r="PC38" s="958"/>
      <c r="PD38" s="958"/>
      <c r="PE38" s="958"/>
      <c r="PF38" s="958"/>
      <c r="PG38" s="958"/>
      <c r="PH38" s="958"/>
      <c r="PI38" s="958"/>
      <c r="PJ38" s="958"/>
      <c r="PK38" s="958"/>
      <c r="PL38" s="958"/>
      <c r="PM38" s="958"/>
      <c r="PN38" s="958"/>
      <c r="PO38" s="958"/>
      <c r="PP38" s="958"/>
      <c r="PQ38" s="958"/>
      <c r="PR38" s="958"/>
      <c r="PS38" s="958"/>
      <c r="PT38" s="958"/>
      <c r="PU38" s="958"/>
      <c r="PV38" s="958"/>
      <c r="PW38" s="958"/>
      <c r="PX38" s="958"/>
      <c r="PY38" s="958"/>
      <c r="PZ38" s="958"/>
      <c r="QA38" s="958"/>
      <c r="QB38" s="958"/>
      <c r="QC38" s="958"/>
      <c r="QD38" s="958"/>
      <c r="QE38" s="958"/>
      <c r="QF38" s="958"/>
      <c r="QG38" s="958"/>
      <c r="QH38" s="958"/>
      <c r="QI38" s="958"/>
      <c r="QJ38" s="958"/>
      <c r="QK38" s="958"/>
      <c r="QL38" s="958"/>
      <c r="QM38" s="958"/>
      <c r="QN38" s="958"/>
      <c r="QO38" s="958"/>
      <c r="QP38" s="958"/>
      <c r="QQ38" s="958"/>
      <c r="QR38" s="958"/>
      <c r="QS38" s="958"/>
      <c r="QT38" s="958"/>
      <c r="QU38" s="958"/>
      <c r="QV38" s="958"/>
      <c r="QW38" s="958"/>
      <c r="QX38" s="958"/>
      <c r="QY38" s="958"/>
      <c r="QZ38" s="958"/>
      <c r="RA38" s="958"/>
      <c r="RB38" s="958"/>
      <c r="RC38" s="958"/>
      <c r="RD38" s="958"/>
      <c r="RE38" s="958"/>
      <c r="RF38" s="958"/>
      <c r="RG38" s="958"/>
      <c r="RH38" s="958"/>
      <c r="RI38" s="958"/>
      <c r="RJ38" s="958"/>
      <c r="RK38" s="958"/>
      <c r="RL38" s="958"/>
      <c r="RM38" s="958"/>
      <c r="RN38" s="958"/>
      <c r="RO38" s="958"/>
      <c r="RP38" s="958"/>
      <c r="RQ38" s="958"/>
      <c r="RR38" s="958"/>
      <c r="RS38" s="958"/>
      <c r="RT38" s="958"/>
      <c r="RU38" s="958"/>
      <c r="RV38" s="958"/>
      <c r="RW38" s="958"/>
      <c r="RX38" s="958"/>
      <c r="RY38" s="958"/>
      <c r="RZ38" s="958"/>
      <c r="SA38" s="958"/>
      <c r="SB38" s="958"/>
      <c r="SC38" s="958"/>
      <c r="SD38" s="958"/>
      <c r="SE38" s="958"/>
      <c r="SF38" s="958"/>
      <c r="SG38" s="958"/>
      <c r="SH38" s="958"/>
      <c r="SI38" s="958"/>
      <c r="SJ38" s="958"/>
      <c r="SK38" s="958"/>
      <c r="SL38" s="958"/>
      <c r="SM38" s="958"/>
      <c r="SN38" s="958"/>
      <c r="SO38" s="958"/>
      <c r="SP38" s="958"/>
      <c r="SQ38" s="958"/>
      <c r="SR38" s="958"/>
      <c r="SS38" s="958"/>
      <c r="ST38" s="958"/>
      <c r="SU38" s="958"/>
      <c r="SV38" s="958"/>
      <c r="SW38" s="958"/>
      <c r="SX38" s="958"/>
      <c r="SY38" s="958"/>
      <c r="SZ38" s="958"/>
      <c r="TA38" s="958"/>
      <c r="TB38" s="958"/>
      <c r="TC38" s="958"/>
      <c r="TD38" s="958"/>
      <c r="TE38" s="958"/>
      <c r="TF38" s="958"/>
      <c r="TG38" s="958"/>
      <c r="TH38" s="958"/>
      <c r="TI38" s="958"/>
      <c r="TJ38" s="958"/>
      <c r="TK38" s="958"/>
      <c r="TL38" s="958"/>
      <c r="TM38" s="958"/>
      <c r="TN38" s="958"/>
      <c r="TO38" s="958"/>
      <c r="TP38" s="958"/>
      <c r="TQ38" s="958"/>
      <c r="TR38" s="958"/>
      <c r="TS38" s="958"/>
      <c r="TT38" s="958"/>
      <c r="TU38" s="958"/>
      <c r="TV38" s="958"/>
      <c r="TW38" s="958"/>
      <c r="TX38" s="958"/>
      <c r="TY38" s="958"/>
      <c r="TZ38" s="958"/>
      <c r="UA38" s="958"/>
      <c r="UB38" s="958"/>
      <c r="UC38" s="958"/>
      <c r="UD38" s="958"/>
      <c r="UE38" s="958"/>
      <c r="UF38" s="958"/>
      <c r="UG38" s="958"/>
      <c r="UH38" s="958"/>
      <c r="UI38" s="958"/>
      <c r="UJ38" s="958"/>
      <c r="UK38" s="958"/>
      <c r="UL38" s="958"/>
      <c r="UM38" s="958"/>
      <c r="UN38" s="958"/>
      <c r="UO38" s="958"/>
      <c r="UP38" s="958"/>
      <c r="UQ38" s="958"/>
      <c r="UR38" s="958"/>
      <c r="US38" s="958"/>
      <c r="UT38" s="958"/>
      <c r="UU38" s="958"/>
      <c r="UV38" s="958"/>
      <c r="UW38" s="958"/>
      <c r="UX38" s="958"/>
      <c r="UY38" s="958"/>
      <c r="UZ38" s="958"/>
      <c r="VA38" s="958"/>
      <c r="VB38" s="958"/>
      <c r="VC38" s="958"/>
      <c r="VD38" s="958"/>
      <c r="VE38" s="958"/>
      <c r="VF38" s="958"/>
      <c r="VG38" s="958"/>
      <c r="VH38" s="958"/>
      <c r="VI38" s="958"/>
      <c r="VJ38" s="958"/>
      <c r="VK38" s="958"/>
      <c r="VL38" s="958"/>
      <c r="VM38" s="958"/>
      <c r="VN38" s="958"/>
      <c r="VO38" s="958"/>
      <c r="VP38" s="958"/>
      <c r="VQ38" s="958"/>
      <c r="VR38" s="958"/>
      <c r="VS38" s="958"/>
      <c r="VT38" s="958"/>
      <c r="VU38" s="958"/>
      <c r="VV38" s="958"/>
      <c r="VW38" s="958"/>
      <c r="VX38" s="958"/>
      <c r="VY38" s="958"/>
      <c r="VZ38" s="958"/>
      <c r="WA38" s="958"/>
      <c r="WB38" s="958"/>
      <c r="WC38" s="958"/>
      <c r="WD38" s="958"/>
      <c r="WE38" s="958"/>
      <c r="WF38" s="958"/>
      <c r="WG38" s="958"/>
      <c r="WH38" s="958"/>
      <c r="WI38" s="958"/>
      <c r="WJ38" s="958"/>
      <c r="WK38" s="958"/>
      <c r="WL38" s="958"/>
      <c r="WM38" s="958"/>
      <c r="WN38" s="958"/>
      <c r="WO38" s="958"/>
      <c r="WP38" s="958"/>
      <c r="WQ38" s="958"/>
      <c r="WR38" s="958"/>
      <c r="WS38" s="958"/>
      <c r="WT38" s="958"/>
      <c r="WU38" s="958"/>
      <c r="WV38" s="958"/>
      <c r="WW38" s="958"/>
      <c r="WX38" s="958"/>
      <c r="WY38" s="958"/>
      <c r="WZ38" s="958"/>
      <c r="XA38" s="958"/>
      <c r="XB38" s="958"/>
      <c r="XC38" s="958"/>
      <c r="XD38" s="958"/>
      <c r="XE38" s="958"/>
      <c r="XF38" s="958"/>
      <c r="XG38" s="958"/>
      <c r="XH38" s="958"/>
      <c r="XI38" s="958"/>
      <c r="XJ38" s="958"/>
      <c r="XK38" s="958"/>
      <c r="XL38" s="958"/>
      <c r="XM38" s="958"/>
      <c r="XN38" s="958"/>
      <c r="XO38" s="958"/>
      <c r="XP38" s="958"/>
      <c r="XQ38" s="958"/>
      <c r="XR38" s="958"/>
      <c r="XS38" s="958"/>
      <c r="XT38" s="958"/>
      <c r="XU38" s="958"/>
      <c r="XV38" s="958"/>
      <c r="XW38" s="958"/>
      <c r="XX38" s="958"/>
      <c r="XY38" s="958"/>
      <c r="XZ38" s="958"/>
      <c r="YA38" s="958"/>
      <c r="YB38" s="958"/>
      <c r="YC38" s="958"/>
      <c r="YD38" s="958"/>
      <c r="YE38" s="958"/>
      <c r="YF38" s="958"/>
      <c r="YG38" s="958"/>
      <c r="YH38" s="958"/>
      <c r="YI38" s="958"/>
      <c r="YJ38" s="958"/>
      <c r="YK38" s="958"/>
      <c r="YL38" s="958"/>
      <c r="YM38" s="958"/>
      <c r="YN38" s="958"/>
      <c r="YO38" s="958"/>
      <c r="YP38" s="958"/>
      <c r="YQ38" s="958"/>
      <c r="YR38" s="958"/>
      <c r="YS38" s="958"/>
      <c r="YT38" s="958"/>
      <c r="YU38" s="958"/>
      <c r="YV38" s="958"/>
      <c r="YW38" s="958"/>
      <c r="YX38" s="958"/>
      <c r="YY38" s="958"/>
      <c r="YZ38" s="958"/>
      <c r="ZA38" s="958"/>
      <c r="ZB38" s="958"/>
      <c r="ZC38" s="958"/>
      <c r="ZD38" s="958"/>
      <c r="ZE38" s="958"/>
      <c r="ZF38" s="958"/>
      <c r="ZG38" s="958"/>
      <c r="ZH38" s="958"/>
      <c r="ZI38" s="958"/>
      <c r="ZJ38" s="958"/>
      <c r="ZK38" s="958"/>
      <c r="ZL38" s="958"/>
      <c r="ZM38" s="958"/>
      <c r="ZN38" s="958"/>
      <c r="ZO38" s="958"/>
      <c r="ZP38" s="958"/>
      <c r="ZQ38" s="958"/>
      <c r="ZR38" s="958"/>
      <c r="ZS38" s="958"/>
      <c r="ZT38" s="958"/>
      <c r="ZU38" s="958"/>
      <c r="ZV38" s="958"/>
      <c r="ZW38" s="958"/>
      <c r="ZX38" s="958"/>
      <c r="ZY38" s="958"/>
      <c r="ZZ38" s="958"/>
      <c r="AAA38" s="958"/>
      <c r="AAB38" s="958"/>
      <c r="AAC38" s="958"/>
      <c r="AAD38" s="958"/>
      <c r="AAE38" s="958"/>
      <c r="AAF38" s="958"/>
      <c r="AAG38" s="958"/>
      <c r="AAH38" s="958"/>
      <c r="AAI38" s="958"/>
      <c r="AAJ38" s="958"/>
      <c r="AAK38" s="958"/>
      <c r="AAL38" s="958"/>
      <c r="AAM38" s="958"/>
      <c r="AAN38" s="958"/>
      <c r="AAO38" s="958"/>
      <c r="AAP38" s="958"/>
      <c r="AAQ38" s="958"/>
      <c r="AAR38" s="958"/>
      <c r="AAS38" s="958"/>
      <c r="AAT38" s="958"/>
      <c r="AAU38" s="958"/>
      <c r="AAV38" s="958"/>
      <c r="AAW38" s="958"/>
      <c r="AAX38" s="958"/>
      <c r="AAY38" s="958"/>
      <c r="AAZ38" s="958"/>
      <c r="ABA38" s="958"/>
      <c r="ABB38" s="958"/>
      <c r="ABC38" s="958"/>
      <c r="ABD38" s="958"/>
      <c r="ABE38" s="958"/>
      <c r="ABF38" s="958"/>
      <c r="ABG38" s="958"/>
      <c r="ABH38" s="958"/>
      <c r="ABI38" s="958"/>
      <c r="ABJ38" s="958"/>
      <c r="ABK38" s="958"/>
      <c r="ABL38" s="958"/>
      <c r="ABM38" s="958"/>
      <c r="ABN38" s="958"/>
      <c r="ABO38" s="958"/>
      <c r="ABP38" s="958"/>
      <c r="ABQ38" s="958"/>
      <c r="ABR38" s="958"/>
      <c r="ABS38" s="958"/>
      <c r="ABT38" s="958"/>
      <c r="ABU38" s="958"/>
      <c r="ABV38" s="958"/>
      <c r="ABW38" s="958"/>
      <c r="ABX38" s="958"/>
      <c r="ABY38" s="958"/>
      <c r="ABZ38" s="958"/>
      <c r="ACA38" s="958"/>
      <c r="ACB38" s="958"/>
      <c r="ACC38" s="958"/>
      <c r="ACD38" s="958"/>
      <c r="ACE38" s="958"/>
      <c r="ACF38" s="958"/>
      <c r="ACG38" s="958"/>
      <c r="ACH38" s="958"/>
      <c r="ACI38" s="958"/>
      <c r="ACJ38" s="958"/>
      <c r="ACK38" s="958"/>
      <c r="ACL38" s="958"/>
      <c r="ACM38" s="958"/>
      <c r="ACN38" s="958"/>
      <c r="ACO38" s="958"/>
      <c r="ACP38" s="958"/>
      <c r="ACQ38" s="958"/>
      <c r="ACR38" s="958"/>
      <c r="ACS38" s="958"/>
      <c r="ACT38" s="958"/>
      <c r="ACU38" s="958"/>
      <c r="ACV38" s="958"/>
      <c r="ACW38" s="958"/>
      <c r="ACX38" s="958"/>
      <c r="ACY38" s="958"/>
      <c r="ACZ38" s="958"/>
      <c r="ADA38" s="958"/>
      <c r="ADB38" s="958"/>
      <c r="ADC38" s="958"/>
      <c r="ADD38" s="958"/>
      <c r="ADE38" s="958"/>
      <c r="ADF38" s="958"/>
      <c r="ADG38" s="958"/>
      <c r="ADH38" s="958"/>
      <c r="ADI38" s="958"/>
      <c r="ADJ38" s="958"/>
      <c r="ADK38" s="958"/>
      <c r="ADL38" s="958"/>
      <c r="ADM38" s="958"/>
      <c r="ADN38" s="958"/>
      <c r="ADO38" s="958"/>
      <c r="ADP38" s="958"/>
      <c r="ADQ38" s="958"/>
      <c r="ADR38" s="958"/>
      <c r="ADS38" s="958"/>
      <c r="ADT38" s="958"/>
      <c r="ADU38" s="958"/>
      <c r="ADV38" s="958"/>
      <c r="ADW38" s="958"/>
      <c r="ADX38" s="958"/>
      <c r="ADY38" s="958"/>
      <c r="ADZ38" s="958"/>
      <c r="AEA38" s="958"/>
      <c r="AEB38" s="958"/>
      <c r="AEC38" s="958"/>
      <c r="AED38" s="958"/>
      <c r="AEE38" s="958"/>
      <c r="AEF38" s="958"/>
      <c r="AEG38" s="958"/>
      <c r="AEH38" s="958"/>
      <c r="AEI38" s="958"/>
      <c r="AEJ38" s="958"/>
      <c r="AEK38" s="958"/>
      <c r="AEL38" s="958"/>
      <c r="AEM38" s="958"/>
      <c r="AEN38" s="958"/>
      <c r="AEO38" s="958"/>
      <c r="AEP38" s="958"/>
      <c r="AEQ38" s="958"/>
      <c r="AER38" s="958"/>
      <c r="AES38" s="958"/>
      <c r="AET38" s="958"/>
      <c r="AEU38" s="958"/>
      <c r="AEV38" s="958"/>
      <c r="AEW38" s="958"/>
      <c r="AEX38" s="958"/>
      <c r="AEY38" s="958"/>
      <c r="AEZ38" s="958"/>
      <c r="AFA38" s="958"/>
      <c r="AFB38" s="958"/>
      <c r="AFC38" s="958"/>
      <c r="AFD38" s="958"/>
      <c r="AFE38" s="958"/>
      <c r="AFF38" s="958"/>
      <c r="AFG38" s="958"/>
      <c r="AFH38" s="958"/>
      <c r="AFI38" s="958"/>
      <c r="AFJ38" s="958"/>
      <c r="AFK38" s="958"/>
      <c r="AFL38" s="958"/>
      <c r="AFM38" s="958"/>
      <c r="AFN38" s="958"/>
      <c r="AFO38" s="958"/>
      <c r="AFP38" s="958"/>
      <c r="AFQ38" s="958"/>
      <c r="AFR38" s="958"/>
      <c r="AFS38" s="958"/>
      <c r="AFT38" s="958"/>
      <c r="AFU38" s="958"/>
      <c r="AFV38" s="958"/>
      <c r="AFW38" s="958"/>
      <c r="AFX38" s="958"/>
      <c r="AFY38" s="958"/>
      <c r="AFZ38" s="958"/>
      <c r="AGA38" s="958"/>
      <c r="AGB38" s="958"/>
      <c r="AGC38" s="958"/>
      <c r="AGD38" s="958"/>
      <c r="AGE38" s="958"/>
      <c r="AGF38" s="958"/>
      <c r="AGG38" s="958"/>
      <c r="AGH38" s="958"/>
      <c r="AGI38" s="958"/>
      <c r="AGJ38" s="958"/>
      <c r="AGK38" s="958"/>
      <c r="AGL38" s="958"/>
      <c r="AGM38" s="958"/>
      <c r="AGN38" s="958"/>
      <c r="AGO38" s="958"/>
      <c r="AGP38" s="958"/>
      <c r="AGQ38" s="958"/>
      <c r="AGR38" s="958"/>
      <c r="AGS38" s="958"/>
      <c r="AGT38" s="958"/>
      <c r="AGU38" s="958"/>
      <c r="AGV38" s="958"/>
      <c r="AGW38" s="958"/>
      <c r="AGX38" s="958"/>
      <c r="AGY38" s="958"/>
      <c r="AGZ38" s="958"/>
      <c r="AHA38" s="958"/>
      <c r="AHB38" s="958"/>
      <c r="AHC38" s="958"/>
      <c r="AHD38" s="958"/>
      <c r="AHE38" s="958"/>
      <c r="AHF38" s="958"/>
      <c r="AHG38" s="958"/>
      <c r="AHH38" s="958"/>
      <c r="AHI38" s="958"/>
      <c r="AHJ38" s="958"/>
      <c r="AHK38" s="958"/>
      <c r="AHL38" s="958"/>
      <c r="AHM38" s="958"/>
      <c r="AHN38" s="958"/>
      <c r="AHO38" s="958"/>
      <c r="AHP38" s="958"/>
      <c r="AHQ38" s="958"/>
      <c r="AHR38" s="958"/>
      <c r="AHS38" s="958"/>
      <c r="AHT38" s="958"/>
      <c r="AHU38" s="958"/>
      <c r="AHV38" s="958"/>
      <c r="AHW38" s="958"/>
      <c r="AHX38" s="958"/>
      <c r="AHY38" s="958"/>
      <c r="AHZ38" s="958"/>
      <c r="AIA38" s="958"/>
      <c r="AIB38" s="958"/>
      <c r="AIC38" s="958"/>
      <c r="AID38" s="958"/>
      <c r="AIE38" s="958"/>
      <c r="AIF38" s="958"/>
      <c r="AIG38" s="958"/>
      <c r="AIH38" s="958"/>
      <c r="AII38" s="958"/>
      <c r="AIJ38" s="958"/>
      <c r="AIK38" s="958"/>
      <c r="AIL38" s="958"/>
      <c r="AIM38" s="958"/>
      <c r="AIN38" s="958"/>
      <c r="AIO38" s="958"/>
      <c r="AIP38" s="958"/>
      <c r="AIQ38" s="958"/>
      <c r="AIR38" s="958"/>
      <c r="AIS38" s="958"/>
      <c r="AIT38" s="958"/>
      <c r="AIU38" s="958"/>
      <c r="AIV38" s="958"/>
      <c r="AIW38" s="958"/>
      <c r="AIX38" s="958"/>
      <c r="AIY38" s="958"/>
      <c r="AIZ38" s="958"/>
      <c r="AJA38" s="958"/>
      <c r="AJB38" s="958"/>
      <c r="AJC38" s="958"/>
      <c r="AJD38" s="958"/>
      <c r="AJE38" s="958"/>
      <c r="AJF38" s="958"/>
      <c r="AJG38" s="958"/>
      <c r="AJH38" s="958"/>
      <c r="AJI38" s="958"/>
      <c r="AJJ38" s="958"/>
      <c r="AJK38" s="958"/>
      <c r="AJL38" s="958"/>
      <c r="AJM38" s="958"/>
      <c r="AJN38" s="958"/>
      <c r="AJO38" s="958"/>
      <c r="AJP38" s="958"/>
      <c r="AJQ38" s="958"/>
      <c r="AJR38" s="958"/>
      <c r="AJS38" s="958"/>
      <c r="AJT38" s="958"/>
      <c r="AJU38" s="958"/>
      <c r="AJV38" s="958"/>
      <c r="AJW38" s="958"/>
      <c r="AJX38" s="958"/>
      <c r="AJY38" s="958"/>
      <c r="AJZ38" s="958"/>
      <c r="AKA38" s="958"/>
      <c r="AKB38" s="958"/>
      <c r="AKC38" s="958"/>
      <c r="AKD38" s="958"/>
      <c r="AKE38" s="958"/>
      <c r="AKF38" s="958"/>
      <c r="AKG38" s="958"/>
      <c r="AKH38" s="958"/>
      <c r="AKI38" s="958"/>
      <c r="AKJ38" s="958"/>
      <c r="AKK38" s="958"/>
      <c r="AKL38" s="958"/>
      <c r="AKM38" s="958"/>
      <c r="AKN38" s="958"/>
      <c r="AKO38" s="958"/>
      <c r="AKP38" s="958"/>
      <c r="AKQ38" s="958"/>
      <c r="AKR38" s="958"/>
      <c r="AKS38" s="958"/>
      <c r="AKT38" s="958"/>
      <c r="AKU38" s="958"/>
      <c r="AKV38" s="958"/>
      <c r="AKW38" s="958"/>
      <c r="AKX38" s="958"/>
      <c r="AKY38" s="958"/>
      <c r="AKZ38" s="958"/>
      <c r="ALA38" s="958"/>
      <c r="ALB38" s="958"/>
      <c r="ALC38" s="958"/>
      <c r="ALD38" s="958"/>
      <c r="ALE38" s="958"/>
      <c r="ALF38" s="958"/>
      <c r="ALG38" s="958"/>
      <c r="ALH38" s="958"/>
      <c r="ALI38" s="958"/>
      <c r="ALJ38" s="958"/>
      <c r="ALK38" s="958"/>
      <c r="ALL38" s="958"/>
      <c r="ALM38" s="958"/>
      <c r="ALN38" s="958"/>
      <c r="ALO38" s="958"/>
      <c r="ALP38" s="958"/>
      <c r="ALQ38" s="958"/>
      <c r="ALR38" s="958"/>
      <c r="ALS38" s="958"/>
      <c r="ALT38" s="958"/>
      <c r="ALU38" s="958"/>
      <c r="ALV38" s="958"/>
      <c r="ALW38" s="958"/>
      <c r="ALX38" s="958"/>
      <c r="ALY38" s="958"/>
      <c r="ALZ38" s="958"/>
      <c r="AMA38" s="958"/>
      <c r="AMB38" s="958"/>
      <c r="AMC38" s="958"/>
      <c r="AMD38" s="958"/>
      <c r="AME38" s="958"/>
      <c r="AMF38" s="958"/>
      <c r="AMG38" s="958"/>
      <c r="AMH38" s="958"/>
      <c r="AMI38" s="958"/>
      <c r="AMJ38" s="958"/>
      <c r="AMK38" s="958"/>
      <c r="AML38" s="958"/>
      <c r="AMM38" s="958"/>
      <c r="AMN38" s="958"/>
      <c r="AMO38" s="958"/>
      <c r="AMP38" s="958"/>
      <c r="AMQ38" s="958"/>
      <c r="AMR38" s="958"/>
      <c r="AMS38" s="958"/>
      <c r="AMT38" s="958"/>
      <c r="AMU38" s="958"/>
      <c r="AMV38" s="958"/>
      <c r="AMW38" s="958"/>
      <c r="AMX38" s="958"/>
      <c r="AMY38" s="958"/>
      <c r="AMZ38" s="958"/>
      <c r="ANA38" s="958"/>
      <c r="ANB38" s="958"/>
      <c r="ANC38" s="958"/>
      <c r="AND38" s="958"/>
      <c r="ANE38" s="958"/>
      <c r="ANF38" s="958"/>
      <c r="ANG38" s="958"/>
      <c r="ANH38" s="958"/>
      <c r="ANI38" s="958"/>
      <c r="ANJ38" s="958"/>
      <c r="ANK38" s="958"/>
      <c r="ANL38" s="958"/>
      <c r="ANM38" s="958"/>
      <c r="ANN38" s="958"/>
      <c r="ANO38" s="958"/>
      <c r="ANP38" s="958"/>
      <c r="ANQ38" s="958"/>
      <c r="ANR38" s="958"/>
      <c r="ANS38" s="958"/>
      <c r="ANT38" s="958"/>
      <c r="ANU38" s="958"/>
      <c r="ANV38" s="958"/>
      <c r="ANW38" s="958"/>
      <c r="ANX38" s="958"/>
      <c r="ANY38" s="958"/>
      <c r="ANZ38" s="958"/>
      <c r="AOA38" s="958"/>
      <c r="AOB38" s="958"/>
      <c r="AOC38" s="958"/>
      <c r="AOD38" s="958"/>
      <c r="AOE38" s="958"/>
      <c r="AOF38" s="958"/>
      <c r="AOG38" s="958"/>
      <c r="AOH38" s="958"/>
      <c r="AOI38" s="958"/>
      <c r="AOJ38" s="958"/>
      <c r="AOK38" s="958"/>
      <c r="AOL38" s="958"/>
      <c r="AOM38" s="958"/>
      <c r="AON38" s="958"/>
      <c r="AOO38" s="958"/>
      <c r="AOP38" s="958"/>
      <c r="AOQ38" s="958"/>
      <c r="AOR38" s="958"/>
      <c r="AOS38" s="958"/>
      <c r="AOT38" s="958"/>
      <c r="AOU38" s="958"/>
      <c r="AOV38" s="958"/>
      <c r="AOW38" s="958"/>
      <c r="AOX38" s="958"/>
      <c r="AOY38" s="958"/>
      <c r="AOZ38" s="958"/>
      <c r="APA38" s="958"/>
      <c r="APB38" s="958"/>
      <c r="APC38" s="958"/>
      <c r="APD38" s="958"/>
      <c r="APE38" s="958"/>
      <c r="APF38" s="958"/>
      <c r="APG38" s="958"/>
      <c r="APH38" s="958"/>
      <c r="API38" s="958"/>
      <c r="APJ38" s="958"/>
      <c r="APK38" s="958"/>
      <c r="APL38" s="958"/>
      <c r="APM38" s="958"/>
      <c r="APN38" s="958"/>
      <c r="APO38" s="958"/>
      <c r="APP38" s="958"/>
      <c r="APQ38" s="958"/>
      <c r="APR38" s="958"/>
      <c r="APS38" s="958"/>
      <c r="APT38" s="958"/>
      <c r="APU38" s="958"/>
      <c r="APV38" s="958"/>
      <c r="APW38" s="958"/>
      <c r="APX38" s="958"/>
      <c r="APY38" s="958"/>
      <c r="APZ38" s="958"/>
      <c r="AQA38" s="958"/>
      <c r="AQB38" s="958"/>
      <c r="AQC38" s="958"/>
      <c r="AQD38" s="958"/>
      <c r="AQE38" s="958"/>
      <c r="AQF38" s="958"/>
      <c r="AQG38" s="958"/>
      <c r="AQH38" s="958"/>
      <c r="AQI38" s="958"/>
      <c r="AQJ38" s="958"/>
      <c r="AQK38" s="958"/>
      <c r="AQL38" s="958"/>
      <c r="AQM38" s="958"/>
      <c r="AQN38" s="958"/>
      <c r="AQO38" s="958"/>
      <c r="AQP38" s="958"/>
      <c r="AQQ38" s="958"/>
      <c r="AQR38" s="958"/>
      <c r="AQS38" s="958"/>
      <c r="AQT38" s="958"/>
      <c r="AQU38" s="958"/>
      <c r="AQV38" s="958"/>
      <c r="AQW38" s="958"/>
      <c r="AQX38" s="958"/>
      <c r="AQY38" s="958"/>
      <c r="AQZ38" s="958"/>
      <c r="ARA38" s="958"/>
      <c r="ARB38" s="958"/>
      <c r="ARC38" s="958"/>
      <c r="ARD38" s="958"/>
      <c r="ARE38" s="958"/>
      <c r="ARF38" s="958"/>
      <c r="ARG38" s="958"/>
      <c r="ARH38" s="958"/>
      <c r="ARI38" s="958"/>
      <c r="ARJ38" s="958"/>
      <c r="ARK38" s="958"/>
      <c r="ARL38" s="958"/>
      <c r="ARM38" s="958"/>
      <c r="ARN38" s="958"/>
      <c r="ARO38" s="958"/>
      <c r="ARP38" s="958"/>
      <c r="ARQ38" s="958"/>
      <c r="ARR38" s="958"/>
      <c r="ARS38" s="958"/>
      <c r="ART38" s="958"/>
      <c r="ARU38" s="958"/>
      <c r="ARV38" s="958"/>
      <c r="ARW38" s="958"/>
      <c r="ARX38" s="958"/>
      <c r="ARY38" s="958"/>
      <c r="ARZ38" s="958"/>
      <c r="ASA38" s="958"/>
      <c r="ASB38" s="958"/>
      <c r="ASC38" s="958"/>
      <c r="ASD38" s="958"/>
      <c r="ASE38" s="958"/>
      <c r="ASF38" s="958"/>
      <c r="ASG38" s="958"/>
      <c r="ASH38" s="958"/>
      <c r="ASI38" s="958"/>
      <c r="ASJ38" s="958"/>
      <c r="ASK38" s="958"/>
      <c r="ASL38" s="958"/>
      <c r="ASM38" s="958"/>
      <c r="ASN38" s="958"/>
      <c r="ASO38" s="958"/>
      <c r="ASP38" s="958"/>
      <c r="ASQ38" s="958"/>
      <c r="ASR38" s="958"/>
      <c r="ASS38" s="958"/>
      <c r="AST38" s="958"/>
      <c r="ASU38" s="958"/>
      <c r="ASV38" s="958"/>
      <c r="ASW38" s="958"/>
      <c r="ASX38" s="958"/>
      <c r="ASY38" s="958"/>
      <c r="ASZ38" s="958"/>
    </row>
    <row r="39" spans="1:1196" s="22" customFormat="1" ht="179.25" customHeight="1" thickTop="1" thickBot="1">
      <c r="A39" s="2846"/>
      <c r="B39" s="2942"/>
      <c r="C39" s="3025"/>
      <c r="D39" s="171" t="s">
        <v>247</v>
      </c>
      <c r="E39" s="172" t="s">
        <v>248</v>
      </c>
      <c r="F39" s="172" t="s">
        <v>24</v>
      </c>
      <c r="G39" s="180">
        <v>510</v>
      </c>
      <c r="H39" s="180"/>
      <c r="I39" s="180"/>
      <c r="J39" s="180"/>
      <c r="K39" s="172" t="s">
        <v>249</v>
      </c>
      <c r="L39" s="497">
        <v>0</v>
      </c>
      <c r="M39" s="499"/>
      <c r="N39" s="73" t="e">
        <f t="shared" si="3"/>
        <v>#DIV/0!</v>
      </c>
      <c r="O39" s="497">
        <v>0</v>
      </c>
      <c r="P39" s="499"/>
      <c r="Q39" s="73" t="e">
        <f t="shared" si="4"/>
        <v>#DIV/0!</v>
      </c>
      <c r="R39" s="497">
        <v>0</v>
      </c>
      <c r="S39" s="499"/>
      <c r="T39" s="73" t="e">
        <f t="shared" si="5"/>
        <v>#DIV/0!</v>
      </c>
      <c r="U39" s="497">
        <v>0</v>
      </c>
      <c r="V39" s="499"/>
      <c r="W39" s="73" t="e">
        <f t="shared" si="6"/>
        <v>#DIV/0!</v>
      </c>
      <c r="X39" s="497">
        <v>50</v>
      </c>
      <c r="Y39" s="499">
        <v>38</v>
      </c>
      <c r="Z39" s="73">
        <f t="shared" si="7"/>
        <v>0.76</v>
      </c>
      <c r="AA39" s="497">
        <v>50</v>
      </c>
      <c r="AB39" s="497">
        <v>128</v>
      </c>
      <c r="AC39" s="73">
        <f t="shared" si="8"/>
        <v>2.56</v>
      </c>
      <c r="AD39" s="990">
        <f>+(Y39+AB39)/2</f>
        <v>83</v>
      </c>
      <c r="AE39" s="956">
        <f t="shared" ref="AE39:AE42" si="26">+AD39/G39</f>
        <v>0.16274509803921569</v>
      </c>
      <c r="AF39" s="990">
        <v>70</v>
      </c>
      <c r="AG39" s="499">
        <v>21</v>
      </c>
      <c r="AH39" s="73">
        <f t="shared" si="11"/>
        <v>0.3</v>
      </c>
      <c r="AI39" s="497">
        <v>70</v>
      </c>
      <c r="AJ39" s="499">
        <v>65</v>
      </c>
      <c r="AK39" s="73">
        <f t="shared" ref="AK39:AK42" si="27">+AJ39/AI39</f>
        <v>0.9285714285714286</v>
      </c>
      <c r="AL39" s="497">
        <v>70</v>
      </c>
      <c r="AM39" s="499">
        <v>80</v>
      </c>
      <c r="AN39" s="73">
        <f t="shared" si="13"/>
        <v>1.1428571428571428</v>
      </c>
      <c r="AO39" s="497">
        <v>70</v>
      </c>
      <c r="AP39" s="499">
        <v>175</v>
      </c>
      <c r="AQ39" s="73">
        <f t="shared" si="14"/>
        <v>2.5</v>
      </c>
      <c r="AR39" s="497">
        <v>70</v>
      </c>
      <c r="AS39" s="499">
        <v>7</v>
      </c>
      <c r="AT39" s="73">
        <f t="shared" si="15"/>
        <v>0.1</v>
      </c>
      <c r="AU39" s="497">
        <v>60</v>
      </c>
      <c r="AV39" s="499">
        <v>53</v>
      </c>
      <c r="AW39" s="73">
        <f t="shared" si="16"/>
        <v>0.8833333333333333</v>
      </c>
      <c r="AX39" s="990">
        <f>+AV39+AS39+AP39+AJ39+AM39+AG39+AB39+Y39</f>
        <v>567</v>
      </c>
      <c r="AY39" s="956">
        <f t="shared" si="18"/>
        <v>1.111764705882353</v>
      </c>
      <c r="AZ39" s="958"/>
      <c r="BA39" s="958"/>
      <c r="BB39" s="958"/>
      <c r="BC39" s="958"/>
      <c r="BD39" s="958"/>
      <c r="BE39" s="958"/>
      <c r="BF39" s="958"/>
      <c r="BG39" s="958"/>
      <c r="BH39" s="958"/>
      <c r="BI39" s="958"/>
      <c r="BJ39" s="958"/>
      <c r="BK39" s="958"/>
      <c r="BL39" s="958"/>
      <c r="BM39" s="958"/>
      <c r="BN39" s="958"/>
      <c r="BO39" s="958"/>
      <c r="BP39" s="958"/>
      <c r="BQ39" s="958"/>
      <c r="BR39" s="958"/>
      <c r="BS39" s="958"/>
      <c r="BT39" s="958"/>
      <c r="BU39" s="958"/>
      <c r="BV39" s="958"/>
      <c r="BW39" s="958"/>
      <c r="BX39" s="958"/>
      <c r="BY39" s="958"/>
      <c r="BZ39" s="958"/>
      <c r="CA39" s="958"/>
      <c r="CB39" s="958"/>
      <c r="CC39" s="958"/>
      <c r="CD39" s="958"/>
      <c r="CE39" s="958"/>
      <c r="CF39" s="958"/>
      <c r="CG39" s="958"/>
      <c r="CH39" s="958"/>
      <c r="CI39" s="958"/>
      <c r="CJ39" s="958"/>
      <c r="CK39" s="958"/>
      <c r="CL39" s="958"/>
      <c r="CM39" s="958"/>
      <c r="CN39" s="958"/>
      <c r="CO39" s="958"/>
      <c r="CP39" s="958"/>
      <c r="CQ39" s="958"/>
      <c r="CR39" s="958"/>
      <c r="CS39" s="958"/>
      <c r="CT39" s="958"/>
      <c r="CU39" s="958"/>
      <c r="CV39" s="958"/>
      <c r="CW39" s="958"/>
      <c r="CX39" s="958"/>
      <c r="CY39" s="958"/>
      <c r="CZ39" s="958"/>
      <c r="DA39" s="958"/>
      <c r="DB39" s="958"/>
      <c r="DC39" s="958"/>
      <c r="DD39" s="958"/>
      <c r="DE39" s="958"/>
      <c r="DF39" s="958"/>
      <c r="DG39" s="958"/>
      <c r="DH39" s="958"/>
      <c r="DI39" s="958"/>
      <c r="DJ39" s="958"/>
      <c r="DK39" s="958"/>
      <c r="DL39" s="958"/>
      <c r="DM39" s="958"/>
      <c r="DN39" s="958"/>
      <c r="DO39" s="958"/>
      <c r="DP39" s="958"/>
      <c r="DQ39" s="958"/>
      <c r="DR39" s="958"/>
      <c r="DS39" s="958"/>
      <c r="DT39" s="958"/>
      <c r="DU39" s="958"/>
      <c r="DV39" s="958"/>
      <c r="DW39" s="958"/>
      <c r="DX39" s="958"/>
      <c r="DY39" s="958"/>
      <c r="DZ39" s="958"/>
      <c r="EA39" s="958"/>
      <c r="EB39" s="958"/>
      <c r="EC39" s="958"/>
      <c r="ED39" s="958"/>
      <c r="EE39" s="958"/>
      <c r="EF39" s="958"/>
      <c r="EG39" s="958"/>
      <c r="EH39" s="958"/>
      <c r="EI39" s="958"/>
      <c r="EJ39" s="958"/>
      <c r="EK39" s="958"/>
      <c r="EL39" s="958"/>
      <c r="EM39" s="958"/>
      <c r="EN39" s="958"/>
      <c r="EO39" s="958"/>
      <c r="EP39" s="958"/>
      <c r="EQ39" s="958"/>
      <c r="ER39" s="958"/>
      <c r="ES39" s="958"/>
      <c r="ET39" s="958"/>
      <c r="EU39" s="958"/>
      <c r="EV39" s="958"/>
      <c r="EW39" s="958"/>
      <c r="EX39" s="958"/>
      <c r="EY39" s="958"/>
      <c r="EZ39" s="958"/>
      <c r="FA39" s="958"/>
      <c r="FB39" s="958"/>
      <c r="FC39" s="958"/>
      <c r="FD39" s="958"/>
      <c r="FE39" s="958"/>
      <c r="FF39" s="958"/>
      <c r="FG39" s="958"/>
      <c r="FH39" s="958"/>
      <c r="FI39" s="958"/>
      <c r="FJ39" s="958"/>
      <c r="FK39" s="958"/>
      <c r="FL39" s="958"/>
      <c r="FM39" s="958"/>
      <c r="FN39" s="958"/>
      <c r="FO39" s="958"/>
      <c r="FP39" s="958"/>
      <c r="FQ39" s="958"/>
      <c r="FR39" s="958"/>
      <c r="FS39" s="958"/>
      <c r="FT39" s="958"/>
      <c r="FU39" s="958"/>
      <c r="FV39" s="958"/>
      <c r="FW39" s="958"/>
      <c r="FX39" s="958"/>
      <c r="FY39" s="958"/>
      <c r="FZ39" s="958"/>
      <c r="GA39" s="958"/>
      <c r="GB39" s="958"/>
      <c r="GC39" s="958"/>
      <c r="GD39" s="958"/>
      <c r="GE39" s="958"/>
      <c r="GF39" s="958"/>
      <c r="GG39" s="958"/>
      <c r="GH39" s="958"/>
      <c r="GI39" s="958"/>
      <c r="GJ39" s="958"/>
      <c r="GK39" s="958"/>
      <c r="GL39" s="958"/>
      <c r="GM39" s="958"/>
      <c r="GN39" s="958"/>
      <c r="GO39" s="958"/>
      <c r="GP39" s="958"/>
      <c r="GQ39" s="958"/>
      <c r="GR39" s="958"/>
      <c r="GS39" s="958"/>
      <c r="GT39" s="958"/>
      <c r="GU39" s="958"/>
      <c r="GV39" s="958"/>
      <c r="GW39" s="958"/>
      <c r="GX39" s="958"/>
      <c r="GY39" s="958"/>
      <c r="GZ39" s="958"/>
      <c r="HA39" s="958"/>
      <c r="HB39" s="958"/>
      <c r="HC39" s="958"/>
      <c r="HD39" s="958"/>
      <c r="HE39" s="958"/>
      <c r="HF39" s="958"/>
      <c r="HG39" s="958"/>
      <c r="HH39" s="958"/>
      <c r="HI39" s="958"/>
      <c r="HJ39" s="958"/>
      <c r="HK39" s="958"/>
      <c r="HL39" s="958"/>
      <c r="HM39" s="958"/>
      <c r="HN39" s="958"/>
      <c r="HO39" s="958"/>
      <c r="HP39" s="958"/>
      <c r="HQ39" s="958"/>
      <c r="HR39" s="958"/>
      <c r="HS39" s="958"/>
      <c r="HT39" s="958"/>
      <c r="HU39" s="958"/>
      <c r="HV39" s="958"/>
      <c r="HW39" s="958"/>
      <c r="HX39" s="958"/>
      <c r="HY39" s="958"/>
      <c r="HZ39" s="958"/>
      <c r="IA39" s="958"/>
      <c r="IB39" s="958"/>
      <c r="IC39" s="958"/>
      <c r="ID39" s="958"/>
      <c r="IE39" s="958"/>
      <c r="IF39" s="958"/>
      <c r="IG39" s="958"/>
      <c r="IH39" s="958"/>
      <c r="II39" s="958"/>
      <c r="IJ39" s="958"/>
      <c r="IK39" s="958"/>
      <c r="IL39" s="958"/>
      <c r="IM39" s="958"/>
      <c r="IN39" s="958"/>
      <c r="IO39" s="958"/>
      <c r="IP39" s="958"/>
      <c r="IQ39" s="958"/>
      <c r="IR39" s="958"/>
      <c r="IS39" s="958"/>
      <c r="IT39" s="958"/>
      <c r="IU39" s="958"/>
      <c r="IV39" s="958"/>
      <c r="IW39" s="958"/>
      <c r="IX39" s="958"/>
      <c r="IY39" s="958"/>
      <c r="IZ39" s="958"/>
      <c r="JA39" s="958"/>
      <c r="JB39" s="958"/>
      <c r="JC39" s="958"/>
      <c r="JD39" s="958"/>
      <c r="JE39" s="958"/>
      <c r="JF39" s="958"/>
      <c r="JG39" s="958"/>
      <c r="JH39" s="958"/>
      <c r="JI39" s="958"/>
      <c r="JJ39" s="958"/>
      <c r="JK39" s="958"/>
      <c r="JL39" s="958"/>
      <c r="JM39" s="958"/>
      <c r="JN39" s="958"/>
      <c r="JO39" s="958"/>
      <c r="JP39" s="958"/>
      <c r="JQ39" s="958"/>
      <c r="JR39" s="958"/>
      <c r="JS39" s="958"/>
      <c r="JT39" s="958"/>
      <c r="JU39" s="958"/>
      <c r="JV39" s="958"/>
      <c r="JW39" s="958"/>
      <c r="JX39" s="958"/>
      <c r="JY39" s="958"/>
      <c r="JZ39" s="958"/>
      <c r="KA39" s="958"/>
      <c r="KB39" s="958"/>
      <c r="KC39" s="958"/>
      <c r="KD39" s="958"/>
      <c r="KE39" s="958"/>
      <c r="KF39" s="958"/>
      <c r="KG39" s="958"/>
      <c r="KH39" s="958"/>
      <c r="KI39" s="958"/>
      <c r="KJ39" s="958"/>
      <c r="KK39" s="958"/>
      <c r="KL39" s="958"/>
      <c r="KM39" s="958"/>
      <c r="KN39" s="958"/>
      <c r="KO39" s="958"/>
      <c r="KP39" s="958"/>
      <c r="KQ39" s="958"/>
      <c r="KR39" s="958"/>
      <c r="KS39" s="958"/>
      <c r="KT39" s="958"/>
      <c r="KU39" s="958"/>
      <c r="KV39" s="958"/>
      <c r="KW39" s="958"/>
      <c r="KX39" s="958"/>
      <c r="KY39" s="958"/>
      <c r="KZ39" s="958"/>
      <c r="LA39" s="958"/>
      <c r="LB39" s="958"/>
      <c r="LC39" s="958"/>
      <c r="LD39" s="958"/>
      <c r="LE39" s="958"/>
      <c r="LF39" s="958"/>
      <c r="LG39" s="958"/>
      <c r="LH39" s="958"/>
      <c r="LI39" s="958"/>
      <c r="LJ39" s="958"/>
      <c r="LK39" s="958"/>
      <c r="LL39" s="958"/>
      <c r="LM39" s="958"/>
      <c r="LN39" s="958"/>
      <c r="LO39" s="958"/>
      <c r="LP39" s="958"/>
      <c r="LQ39" s="958"/>
      <c r="LR39" s="958"/>
      <c r="LS39" s="958"/>
      <c r="LT39" s="958"/>
      <c r="LU39" s="958"/>
      <c r="LV39" s="958"/>
      <c r="LW39" s="958"/>
      <c r="LX39" s="958"/>
      <c r="LY39" s="958"/>
      <c r="LZ39" s="958"/>
      <c r="MA39" s="958"/>
      <c r="MB39" s="958"/>
      <c r="MC39" s="958"/>
      <c r="MD39" s="958"/>
      <c r="ME39" s="958"/>
      <c r="MF39" s="958"/>
      <c r="MG39" s="958"/>
      <c r="MH39" s="958"/>
      <c r="MI39" s="958"/>
      <c r="MJ39" s="958"/>
      <c r="MK39" s="958"/>
      <c r="ML39" s="958"/>
      <c r="MM39" s="958"/>
      <c r="MN39" s="958"/>
      <c r="MO39" s="958"/>
      <c r="MP39" s="958"/>
      <c r="MQ39" s="958"/>
      <c r="MR39" s="958"/>
      <c r="MS39" s="958"/>
      <c r="MT39" s="958"/>
      <c r="MU39" s="958"/>
      <c r="MV39" s="958"/>
      <c r="MW39" s="958"/>
      <c r="MX39" s="958"/>
      <c r="MY39" s="958"/>
      <c r="MZ39" s="958"/>
      <c r="NA39" s="958"/>
      <c r="NB39" s="958"/>
      <c r="NC39" s="958"/>
      <c r="ND39" s="958"/>
      <c r="NE39" s="958"/>
      <c r="NF39" s="958"/>
      <c r="NG39" s="958"/>
      <c r="NH39" s="958"/>
      <c r="NI39" s="958"/>
      <c r="NJ39" s="958"/>
      <c r="NK39" s="958"/>
      <c r="NL39" s="958"/>
      <c r="NM39" s="958"/>
      <c r="NN39" s="958"/>
      <c r="NO39" s="958"/>
      <c r="NP39" s="958"/>
      <c r="NQ39" s="958"/>
      <c r="NR39" s="958"/>
      <c r="NS39" s="958"/>
      <c r="NT39" s="958"/>
      <c r="NU39" s="958"/>
      <c r="NV39" s="958"/>
      <c r="NW39" s="958"/>
      <c r="NX39" s="958"/>
      <c r="NY39" s="958"/>
      <c r="NZ39" s="958"/>
      <c r="OA39" s="958"/>
      <c r="OB39" s="958"/>
      <c r="OC39" s="958"/>
      <c r="OD39" s="958"/>
      <c r="OE39" s="958"/>
      <c r="OF39" s="958"/>
      <c r="OG39" s="958"/>
      <c r="OH39" s="958"/>
      <c r="OI39" s="958"/>
      <c r="OJ39" s="958"/>
      <c r="OK39" s="958"/>
      <c r="OL39" s="958"/>
      <c r="OM39" s="958"/>
      <c r="ON39" s="958"/>
      <c r="OO39" s="958"/>
      <c r="OP39" s="958"/>
      <c r="OQ39" s="958"/>
      <c r="OR39" s="958"/>
      <c r="OS39" s="958"/>
      <c r="OT39" s="958"/>
      <c r="OU39" s="958"/>
      <c r="OV39" s="958"/>
      <c r="OW39" s="958"/>
      <c r="OX39" s="958"/>
      <c r="OY39" s="958"/>
      <c r="OZ39" s="958"/>
      <c r="PA39" s="958"/>
      <c r="PB39" s="958"/>
      <c r="PC39" s="958"/>
      <c r="PD39" s="958"/>
      <c r="PE39" s="958"/>
      <c r="PF39" s="958"/>
      <c r="PG39" s="958"/>
      <c r="PH39" s="958"/>
      <c r="PI39" s="958"/>
      <c r="PJ39" s="958"/>
      <c r="PK39" s="958"/>
      <c r="PL39" s="958"/>
      <c r="PM39" s="958"/>
      <c r="PN39" s="958"/>
      <c r="PO39" s="958"/>
      <c r="PP39" s="958"/>
      <c r="PQ39" s="958"/>
      <c r="PR39" s="958"/>
      <c r="PS39" s="958"/>
      <c r="PT39" s="958"/>
      <c r="PU39" s="958"/>
      <c r="PV39" s="958"/>
      <c r="PW39" s="958"/>
      <c r="PX39" s="958"/>
      <c r="PY39" s="958"/>
      <c r="PZ39" s="958"/>
      <c r="QA39" s="958"/>
      <c r="QB39" s="958"/>
      <c r="QC39" s="958"/>
      <c r="QD39" s="958"/>
      <c r="QE39" s="958"/>
      <c r="QF39" s="958"/>
      <c r="QG39" s="958"/>
      <c r="QH39" s="958"/>
      <c r="QI39" s="958"/>
      <c r="QJ39" s="958"/>
      <c r="QK39" s="958"/>
      <c r="QL39" s="958"/>
      <c r="QM39" s="958"/>
      <c r="QN39" s="958"/>
      <c r="QO39" s="958"/>
      <c r="QP39" s="958"/>
      <c r="QQ39" s="958"/>
      <c r="QR39" s="958"/>
      <c r="QS39" s="958"/>
      <c r="QT39" s="958"/>
      <c r="QU39" s="958"/>
      <c r="QV39" s="958"/>
      <c r="QW39" s="958"/>
      <c r="QX39" s="958"/>
      <c r="QY39" s="958"/>
      <c r="QZ39" s="958"/>
      <c r="RA39" s="958"/>
      <c r="RB39" s="958"/>
      <c r="RC39" s="958"/>
      <c r="RD39" s="958"/>
      <c r="RE39" s="958"/>
      <c r="RF39" s="958"/>
      <c r="RG39" s="958"/>
      <c r="RH39" s="958"/>
      <c r="RI39" s="958"/>
      <c r="RJ39" s="958"/>
      <c r="RK39" s="958"/>
      <c r="RL39" s="958"/>
      <c r="RM39" s="958"/>
      <c r="RN39" s="958"/>
      <c r="RO39" s="958"/>
      <c r="RP39" s="958"/>
      <c r="RQ39" s="958"/>
      <c r="RR39" s="958"/>
      <c r="RS39" s="958"/>
      <c r="RT39" s="958"/>
      <c r="RU39" s="958"/>
      <c r="RV39" s="958"/>
      <c r="RW39" s="958"/>
      <c r="RX39" s="958"/>
      <c r="RY39" s="958"/>
      <c r="RZ39" s="958"/>
      <c r="SA39" s="958"/>
      <c r="SB39" s="958"/>
      <c r="SC39" s="958"/>
      <c r="SD39" s="958"/>
      <c r="SE39" s="958"/>
      <c r="SF39" s="958"/>
      <c r="SG39" s="958"/>
      <c r="SH39" s="958"/>
      <c r="SI39" s="958"/>
      <c r="SJ39" s="958"/>
      <c r="SK39" s="958"/>
      <c r="SL39" s="958"/>
      <c r="SM39" s="958"/>
      <c r="SN39" s="958"/>
      <c r="SO39" s="958"/>
      <c r="SP39" s="958"/>
      <c r="SQ39" s="958"/>
      <c r="SR39" s="958"/>
      <c r="SS39" s="958"/>
      <c r="ST39" s="958"/>
      <c r="SU39" s="958"/>
      <c r="SV39" s="958"/>
      <c r="SW39" s="958"/>
      <c r="SX39" s="958"/>
      <c r="SY39" s="958"/>
      <c r="SZ39" s="958"/>
      <c r="TA39" s="958"/>
      <c r="TB39" s="958"/>
      <c r="TC39" s="958"/>
      <c r="TD39" s="958"/>
      <c r="TE39" s="958"/>
      <c r="TF39" s="958"/>
      <c r="TG39" s="958"/>
      <c r="TH39" s="958"/>
      <c r="TI39" s="958"/>
      <c r="TJ39" s="958"/>
      <c r="TK39" s="958"/>
      <c r="TL39" s="958"/>
      <c r="TM39" s="958"/>
      <c r="TN39" s="958"/>
      <c r="TO39" s="958"/>
      <c r="TP39" s="958"/>
      <c r="TQ39" s="958"/>
      <c r="TR39" s="958"/>
      <c r="TS39" s="958"/>
      <c r="TT39" s="958"/>
      <c r="TU39" s="958"/>
      <c r="TV39" s="958"/>
      <c r="TW39" s="958"/>
      <c r="TX39" s="958"/>
      <c r="TY39" s="958"/>
      <c r="TZ39" s="958"/>
      <c r="UA39" s="958"/>
      <c r="UB39" s="958"/>
      <c r="UC39" s="958"/>
      <c r="UD39" s="958"/>
      <c r="UE39" s="958"/>
      <c r="UF39" s="958"/>
      <c r="UG39" s="958"/>
      <c r="UH39" s="958"/>
      <c r="UI39" s="958"/>
      <c r="UJ39" s="958"/>
      <c r="UK39" s="958"/>
      <c r="UL39" s="958"/>
      <c r="UM39" s="958"/>
      <c r="UN39" s="958"/>
      <c r="UO39" s="958"/>
      <c r="UP39" s="958"/>
      <c r="UQ39" s="958"/>
      <c r="UR39" s="958"/>
      <c r="US39" s="958"/>
      <c r="UT39" s="958"/>
      <c r="UU39" s="958"/>
      <c r="UV39" s="958"/>
      <c r="UW39" s="958"/>
      <c r="UX39" s="958"/>
      <c r="UY39" s="958"/>
      <c r="UZ39" s="958"/>
      <c r="VA39" s="958"/>
      <c r="VB39" s="958"/>
      <c r="VC39" s="958"/>
      <c r="VD39" s="958"/>
      <c r="VE39" s="958"/>
      <c r="VF39" s="958"/>
      <c r="VG39" s="958"/>
      <c r="VH39" s="958"/>
      <c r="VI39" s="958"/>
      <c r="VJ39" s="958"/>
      <c r="VK39" s="958"/>
      <c r="VL39" s="958"/>
      <c r="VM39" s="958"/>
      <c r="VN39" s="958"/>
      <c r="VO39" s="958"/>
      <c r="VP39" s="958"/>
      <c r="VQ39" s="958"/>
      <c r="VR39" s="958"/>
      <c r="VS39" s="958"/>
      <c r="VT39" s="958"/>
      <c r="VU39" s="958"/>
      <c r="VV39" s="958"/>
      <c r="VW39" s="958"/>
      <c r="VX39" s="958"/>
      <c r="VY39" s="958"/>
      <c r="VZ39" s="958"/>
      <c r="WA39" s="958"/>
      <c r="WB39" s="958"/>
      <c r="WC39" s="958"/>
      <c r="WD39" s="958"/>
      <c r="WE39" s="958"/>
      <c r="WF39" s="958"/>
      <c r="WG39" s="958"/>
      <c r="WH39" s="958"/>
      <c r="WI39" s="958"/>
      <c r="WJ39" s="958"/>
      <c r="WK39" s="958"/>
      <c r="WL39" s="958"/>
      <c r="WM39" s="958"/>
      <c r="WN39" s="958"/>
      <c r="WO39" s="958"/>
      <c r="WP39" s="958"/>
      <c r="WQ39" s="958"/>
      <c r="WR39" s="958"/>
      <c r="WS39" s="958"/>
      <c r="WT39" s="958"/>
      <c r="WU39" s="958"/>
      <c r="WV39" s="958"/>
      <c r="WW39" s="958"/>
      <c r="WX39" s="958"/>
      <c r="WY39" s="958"/>
      <c r="WZ39" s="958"/>
      <c r="XA39" s="958"/>
      <c r="XB39" s="958"/>
      <c r="XC39" s="958"/>
      <c r="XD39" s="958"/>
      <c r="XE39" s="958"/>
      <c r="XF39" s="958"/>
      <c r="XG39" s="958"/>
      <c r="XH39" s="958"/>
      <c r="XI39" s="958"/>
      <c r="XJ39" s="958"/>
      <c r="XK39" s="958"/>
      <c r="XL39" s="958"/>
      <c r="XM39" s="958"/>
      <c r="XN39" s="958"/>
      <c r="XO39" s="958"/>
      <c r="XP39" s="958"/>
      <c r="XQ39" s="958"/>
      <c r="XR39" s="958"/>
      <c r="XS39" s="958"/>
      <c r="XT39" s="958"/>
      <c r="XU39" s="958"/>
      <c r="XV39" s="958"/>
      <c r="XW39" s="958"/>
      <c r="XX39" s="958"/>
      <c r="XY39" s="958"/>
      <c r="XZ39" s="958"/>
      <c r="YA39" s="958"/>
      <c r="YB39" s="958"/>
      <c r="YC39" s="958"/>
      <c r="YD39" s="958"/>
      <c r="YE39" s="958"/>
      <c r="YF39" s="958"/>
      <c r="YG39" s="958"/>
      <c r="YH39" s="958"/>
      <c r="YI39" s="958"/>
      <c r="YJ39" s="958"/>
      <c r="YK39" s="958"/>
      <c r="YL39" s="958"/>
      <c r="YM39" s="958"/>
      <c r="YN39" s="958"/>
      <c r="YO39" s="958"/>
      <c r="YP39" s="958"/>
      <c r="YQ39" s="958"/>
      <c r="YR39" s="958"/>
      <c r="YS39" s="958"/>
      <c r="YT39" s="958"/>
      <c r="YU39" s="958"/>
      <c r="YV39" s="958"/>
      <c r="YW39" s="958"/>
      <c r="YX39" s="958"/>
      <c r="YY39" s="958"/>
      <c r="YZ39" s="958"/>
      <c r="ZA39" s="958"/>
      <c r="ZB39" s="958"/>
      <c r="ZC39" s="958"/>
      <c r="ZD39" s="958"/>
      <c r="ZE39" s="958"/>
      <c r="ZF39" s="958"/>
      <c r="ZG39" s="958"/>
      <c r="ZH39" s="958"/>
      <c r="ZI39" s="958"/>
      <c r="ZJ39" s="958"/>
      <c r="ZK39" s="958"/>
      <c r="ZL39" s="958"/>
      <c r="ZM39" s="958"/>
      <c r="ZN39" s="958"/>
      <c r="ZO39" s="958"/>
      <c r="ZP39" s="958"/>
      <c r="ZQ39" s="958"/>
      <c r="ZR39" s="958"/>
      <c r="ZS39" s="958"/>
      <c r="ZT39" s="958"/>
      <c r="ZU39" s="958"/>
      <c r="ZV39" s="958"/>
      <c r="ZW39" s="958"/>
      <c r="ZX39" s="958"/>
      <c r="ZY39" s="958"/>
      <c r="ZZ39" s="958"/>
      <c r="AAA39" s="958"/>
      <c r="AAB39" s="958"/>
      <c r="AAC39" s="958"/>
      <c r="AAD39" s="958"/>
      <c r="AAE39" s="958"/>
      <c r="AAF39" s="958"/>
      <c r="AAG39" s="958"/>
      <c r="AAH39" s="958"/>
      <c r="AAI39" s="958"/>
      <c r="AAJ39" s="958"/>
      <c r="AAK39" s="958"/>
      <c r="AAL39" s="958"/>
      <c r="AAM39" s="958"/>
      <c r="AAN39" s="958"/>
      <c r="AAO39" s="958"/>
      <c r="AAP39" s="958"/>
      <c r="AAQ39" s="958"/>
      <c r="AAR39" s="958"/>
      <c r="AAS39" s="958"/>
      <c r="AAT39" s="958"/>
      <c r="AAU39" s="958"/>
      <c r="AAV39" s="958"/>
      <c r="AAW39" s="958"/>
      <c r="AAX39" s="958"/>
      <c r="AAY39" s="958"/>
      <c r="AAZ39" s="958"/>
      <c r="ABA39" s="958"/>
      <c r="ABB39" s="958"/>
      <c r="ABC39" s="958"/>
      <c r="ABD39" s="958"/>
      <c r="ABE39" s="958"/>
      <c r="ABF39" s="958"/>
      <c r="ABG39" s="958"/>
      <c r="ABH39" s="958"/>
      <c r="ABI39" s="958"/>
      <c r="ABJ39" s="958"/>
      <c r="ABK39" s="958"/>
      <c r="ABL39" s="958"/>
      <c r="ABM39" s="958"/>
      <c r="ABN39" s="958"/>
      <c r="ABO39" s="958"/>
      <c r="ABP39" s="958"/>
      <c r="ABQ39" s="958"/>
      <c r="ABR39" s="958"/>
      <c r="ABS39" s="958"/>
      <c r="ABT39" s="958"/>
      <c r="ABU39" s="958"/>
      <c r="ABV39" s="958"/>
      <c r="ABW39" s="958"/>
      <c r="ABX39" s="958"/>
      <c r="ABY39" s="958"/>
      <c r="ABZ39" s="958"/>
      <c r="ACA39" s="958"/>
      <c r="ACB39" s="958"/>
      <c r="ACC39" s="958"/>
      <c r="ACD39" s="958"/>
      <c r="ACE39" s="958"/>
      <c r="ACF39" s="958"/>
      <c r="ACG39" s="958"/>
      <c r="ACH39" s="958"/>
      <c r="ACI39" s="958"/>
      <c r="ACJ39" s="958"/>
      <c r="ACK39" s="958"/>
      <c r="ACL39" s="958"/>
      <c r="ACM39" s="958"/>
      <c r="ACN39" s="958"/>
      <c r="ACO39" s="958"/>
      <c r="ACP39" s="958"/>
      <c r="ACQ39" s="958"/>
      <c r="ACR39" s="958"/>
      <c r="ACS39" s="958"/>
      <c r="ACT39" s="958"/>
      <c r="ACU39" s="958"/>
      <c r="ACV39" s="958"/>
      <c r="ACW39" s="958"/>
      <c r="ACX39" s="958"/>
      <c r="ACY39" s="958"/>
      <c r="ACZ39" s="958"/>
      <c r="ADA39" s="958"/>
      <c r="ADB39" s="958"/>
      <c r="ADC39" s="958"/>
      <c r="ADD39" s="958"/>
      <c r="ADE39" s="958"/>
      <c r="ADF39" s="958"/>
      <c r="ADG39" s="958"/>
      <c r="ADH39" s="958"/>
      <c r="ADI39" s="958"/>
      <c r="ADJ39" s="958"/>
      <c r="ADK39" s="958"/>
      <c r="ADL39" s="958"/>
      <c r="ADM39" s="958"/>
      <c r="ADN39" s="958"/>
      <c r="ADO39" s="958"/>
      <c r="ADP39" s="958"/>
      <c r="ADQ39" s="958"/>
      <c r="ADR39" s="958"/>
      <c r="ADS39" s="958"/>
      <c r="ADT39" s="958"/>
      <c r="ADU39" s="958"/>
      <c r="ADV39" s="958"/>
      <c r="ADW39" s="958"/>
      <c r="ADX39" s="958"/>
      <c r="ADY39" s="958"/>
      <c r="ADZ39" s="958"/>
      <c r="AEA39" s="958"/>
      <c r="AEB39" s="958"/>
      <c r="AEC39" s="958"/>
      <c r="AED39" s="958"/>
      <c r="AEE39" s="958"/>
      <c r="AEF39" s="958"/>
      <c r="AEG39" s="958"/>
      <c r="AEH39" s="958"/>
      <c r="AEI39" s="958"/>
      <c r="AEJ39" s="958"/>
      <c r="AEK39" s="958"/>
      <c r="AEL39" s="958"/>
      <c r="AEM39" s="958"/>
      <c r="AEN39" s="958"/>
      <c r="AEO39" s="958"/>
      <c r="AEP39" s="958"/>
      <c r="AEQ39" s="958"/>
      <c r="AER39" s="958"/>
      <c r="AES39" s="958"/>
      <c r="AET39" s="958"/>
      <c r="AEU39" s="958"/>
      <c r="AEV39" s="958"/>
      <c r="AEW39" s="958"/>
      <c r="AEX39" s="958"/>
      <c r="AEY39" s="958"/>
      <c r="AEZ39" s="958"/>
      <c r="AFA39" s="958"/>
      <c r="AFB39" s="958"/>
      <c r="AFC39" s="958"/>
      <c r="AFD39" s="958"/>
      <c r="AFE39" s="958"/>
      <c r="AFF39" s="958"/>
      <c r="AFG39" s="958"/>
      <c r="AFH39" s="958"/>
      <c r="AFI39" s="958"/>
      <c r="AFJ39" s="958"/>
      <c r="AFK39" s="958"/>
      <c r="AFL39" s="958"/>
      <c r="AFM39" s="958"/>
      <c r="AFN39" s="958"/>
      <c r="AFO39" s="958"/>
      <c r="AFP39" s="958"/>
      <c r="AFQ39" s="958"/>
      <c r="AFR39" s="958"/>
      <c r="AFS39" s="958"/>
      <c r="AFT39" s="958"/>
      <c r="AFU39" s="958"/>
      <c r="AFV39" s="958"/>
      <c r="AFW39" s="958"/>
      <c r="AFX39" s="958"/>
      <c r="AFY39" s="958"/>
      <c r="AFZ39" s="958"/>
      <c r="AGA39" s="958"/>
      <c r="AGB39" s="958"/>
      <c r="AGC39" s="958"/>
      <c r="AGD39" s="958"/>
      <c r="AGE39" s="958"/>
      <c r="AGF39" s="958"/>
      <c r="AGG39" s="958"/>
      <c r="AGH39" s="958"/>
      <c r="AGI39" s="958"/>
      <c r="AGJ39" s="958"/>
      <c r="AGK39" s="958"/>
      <c r="AGL39" s="958"/>
      <c r="AGM39" s="958"/>
      <c r="AGN39" s="958"/>
      <c r="AGO39" s="958"/>
      <c r="AGP39" s="958"/>
      <c r="AGQ39" s="958"/>
      <c r="AGR39" s="958"/>
      <c r="AGS39" s="958"/>
      <c r="AGT39" s="958"/>
      <c r="AGU39" s="958"/>
      <c r="AGV39" s="958"/>
      <c r="AGW39" s="958"/>
      <c r="AGX39" s="958"/>
      <c r="AGY39" s="958"/>
      <c r="AGZ39" s="958"/>
      <c r="AHA39" s="958"/>
      <c r="AHB39" s="958"/>
      <c r="AHC39" s="958"/>
      <c r="AHD39" s="958"/>
      <c r="AHE39" s="958"/>
      <c r="AHF39" s="958"/>
      <c r="AHG39" s="958"/>
      <c r="AHH39" s="958"/>
      <c r="AHI39" s="958"/>
      <c r="AHJ39" s="958"/>
      <c r="AHK39" s="958"/>
      <c r="AHL39" s="958"/>
      <c r="AHM39" s="958"/>
      <c r="AHN39" s="958"/>
      <c r="AHO39" s="958"/>
      <c r="AHP39" s="958"/>
      <c r="AHQ39" s="958"/>
      <c r="AHR39" s="958"/>
      <c r="AHS39" s="958"/>
      <c r="AHT39" s="958"/>
      <c r="AHU39" s="958"/>
      <c r="AHV39" s="958"/>
      <c r="AHW39" s="958"/>
      <c r="AHX39" s="958"/>
      <c r="AHY39" s="958"/>
      <c r="AHZ39" s="958"/>
      <c r="AIA39" s="958"/>
      <c r="AIB39" s="958"/>
      <c r="AIC39" s="958"/>
      <c r="AID39" s="958"/>
      <c r="AIE39" s="958"/>
      <c r="AIF39" s="958"/>
      <c r="AIG39" s="958"/>
      <c r="AIH39" s="958"/>
      <c r="AII39" s="958"/>
      <c r="AIJ39" s="958"/>
      <c r="AIK39" s="958"/>
      <c r="AIL39" s="958"/>
      <c r="AIM39" s="958"/>
      <c r="AIN39" s="958"/>
      <c r="AIO39" s="958"/>
      <c r="AIP39" s="958"/>
      <c r="AIQ39" s="958"/>
      <c r="AIR39" s="958"/>
      <c r="AIS39" s="958"/>
      <c r="AIT39" s="958"/>
      <c r="AIU39" s="958"/>
      <c r="AIV39" s="958"/>
      <c r="AIW39" s="958"/>
      <c r="AIX39" s="958"/>
      <c r="AIY39" s="958"/>
      <c r="AIZ39" s="958"/>
      <c r="AJA39" s="958"/>
      <c r="AJB39" s="958"/>
      <c r="AJC39" s="958"/>
      <c r="AJD39" s="958"/>
      <c r="AJE39" s="958"/>
      <c r="AJF39" s="958"/>
      <c r="AJG39" s="958"/>
      <c r="AJH39" s="958"/>
      <c r="AJI39" s="958"/>
      <c r="AJJ39" s="958"/>
      <c r="AJK39" s="958"/>
      <c r="AJL39" s="958"/>
      <c r="AJM39" s="958"/>
      <c r="AJN39" s="958"/>
      <c r="AJO39" s="958"/>
      <c r="AJP39" s="958"/>
      <c r="AJQ39" s="958"/>
      <c r="AJR39" s="958"/>
      <c r="AJS39" s="958"/>
      <c r="AJT39" s="958"/>
      <c r="AJU39" s="958"/>
      <c r="AJV39" s="958"/>
      <c r="AJW39" s="958"/>
      <c r="AJX39" s="958"/>
      <c r="AJY39" s="958"/>
      <c r="AJZ39" s="958"/>
      <c r="AKA39" s="958"/>
      <c r="AKB39" s="958"/>
      <c r="AKC39" s="958"/>
      <c r="AKD39" s="958"/>
      <c r="AKE39" s="958"/>
      <c r="AKF39" s="958"/>
      <c r="AKG39" s="958"/>
      <c r="AKH39" s="958"/>
      <c r="AKI39" s="958"/>
      <c r="AKJ39" s="958"/>
      <c r="AKK39" s="958"/>
      <c r="AKL39" s="958"/>
      <c r="AKM39" s="958"/>
      <c r="AKN39" s="958"/>
      <c r="AKO39" s="958"/>
      <c r="AKP39" s="958"/>
      <c r="AKQ39" s="958"/>
      <c r="AKR39" s="958"/>
      <c r="AKS39" s="958"/>
      <c r="AKT39" s="958"/>
      <c r="AKU39" s="958"/>
      <c r="AKV39" s="958"/>
      <c r="AKW39" s="958"/>
      <c r="AKX39" s="958"/>
      <c r="AKY39" s="958"/>
      <c r="AKZ39" s="958"/>
      <c r="ALA39" s="958"/>
      <c r="ALB39" s="958"/>
      <c r="ALC39" s="958"/>
      <c r="ALD39" s="958"/>
      <c r="ALE39" s="958"/>
      <c r="ALF39" s="958"/>
      <c r="ALG39" s="958"/>
      <c r="ALH39" s="958"/>
      <c r="ALI39" s="958"/>
      <c r="ALJ39" s="958"/>
      <c r="ALK39" s="958"/>
      <c r="ALL39" s="958"/>
      <c r="ALM39" s="958"/>
      <c r="ALN39" s="958"/>
      <c r="ALO39" s="958"/>
      <c r="ALP39" s="958"/>
      <c r="ALQ39" s="958"/>
      <c r="ALR39" s="958"/>
      <c r="ALS39" s="958"/>
      <c r="ALT39" s="958"/>
      <c r="ALU39" s="958"/>
      <c r="ALV39" s="958"/>
      <c r="ALW39" s="958"/>
      <c r="ALX39" s="958"/>
      <c r="ALY39" s="958"/>
      <c r="ALZ39" s="958"/>
      <c r="AMA39" s="958"/>
      <c r="AMB39" s="958"/>
      <c r="AMC39" s="958"/>
      <c r="AMD39" s="958"/>
      <c r="AME39" s="958"/>
      <c r="AMF39" s="958"/>
      <c r="AMG39" s="958"/>
      <c r="AMH39" s="958"/>
      <c r="AMI39" s="958"/>
      <c r="AMJ39" s="958"/>
      <c r="AMK39" s="958"/>
      <c r="AML39" s="958"/>
      <c r="AMM39" s="958"/>
      <c r="AMN39" s="958"/>
      <c r="AMO39" s="958"/>
      <c r="AMP39" s="958"/>
      <c r="AMQ39" s="958"/>
      <c r="AMR39" s="958"/>
      <c r="AMS39" s="958"/>
      <c r="AMT39" s="958"/>
      <c r="AMU39" s="958"/>
      <c r="AMV39" s="958"/>
      <c r="AMW39" s="958"/>
      <c r="AMX39" s="958"/>
      <c r="AMY39" s="958"/>
      <c r="AMZ39" s="958"/>
      <c r="ANA39" s="958"/>
      <c r="ANB39" s="958"/>
      <c r="ANC39" s="958"/>
      <c r="AND39" s="958"/>
      <c r="ANE39" s="958"/>
      <c r="ANF39" s="958"/>
      <c r="ANG39" s="958"/>
      <c r="ANH39" s="958"/>
      <c r="ANI39" s="958"/>
      <c r="ANJ39" s="958"/>
      <c r="ANK39" s="958"/>
      <c r="ANL39" s="958"/>
      <c r="ANM39" s="958"/>
      <c r="ANN39" s="958"/>
      <c r="ANO39" s="958"/>
      <c r="ANP39" s="958"/>
      <c r="ANQ39" s="958"/>
      <c r="ANR39" s="958"/>
      <c r="ANS39" s="958"/>
      <c r="ANT39" s="958"/>
      <c r="ANU39" s="958"/>
      <c r="ANV39" s="958"/>
      <c r="ANW39" s="958"/>
      <c r="ANX39" s="958"/>
      <c r="ANY39" s="958"/>
      <c r="ANZ39" s="958"/>
      <c r="AOA39" s="958"/>
      <c r="AOB39" s="958"/>
      <c r="AOC39" s="958"/>
      <c r="AOD39" s="958"/>
      <c r="AOE39" s="958"/>
      <c r="AOF39" s="958"/>
      <c r="AOG39" s="958"/>
      <c r="AOH39" s="958"/>
      <c r="AOI39" s="958"/>
      <c r="AOJ39" s="958"/>
      <c r="AOK39" s="958"/>
      <c r="AOL39" s="958"/>
      <c r="AOM39" s="958"/>
      <c r="AON39" s="958"/>
      <c r="AOO39" s="958"/>
      <c r="AOP39" s="958"/>
      <c r="AOQ39" s="958"/>
      <c r="AOR39" s="958"/>
      <c r="AOS39" s="958"/>
      <c r="AOT39" s="958"/>
      <c r="AOU39" s="958"/>
      <c r="AOV39" s="958"/>
      <c r="AOW39" s="958"/>
      <c r="AOX39" s="958"/>
      <c r="AOY39" s="958"/>
      <c r="AOZ39" s="958"/>
      <c r="APA39" s="958"/>
      <c r="APB39" s="958"/>
      <c r="APC39" s="958"/>
      <c r="APD39" s="958"/>
      <c r="APE39" s="958"/>
      <c r="APF39" s="958"/>
      <c r="APG39" s="958"/>
      <c r="APH39" s="958"/>
      <c r="API39" s="958"/>
      <c r="APJ39" s="958"/>
      <c r="APK39" s="958"/>
      <c r="APL39" s="958"/>
      <c r="APM39" s="958"/>
      <c r="APN39" s="958"/>
      <c r="APO39" s="958"/>
      <c r="APP39" s="958"/>
      <c r="APQ39" s="958"/>
      <c r="APR39" s="958"/>
      <c r="APS39" s="958"/>
      <c r="APT39" s="958"/>
      <c r="APU39" s="958"/>
      <c r="APV39" s="958"/>
      <c r="APW39" s="958"/>
      <c r="APX39" s="958"/>
      <c r="APY39" s="958"/>
      <c r="APZ39" s="958"/>
      <c r="AQA39" s="958"/>
      <c r="AQB39" s="958"/>
      <c r="AQC39" s="958"/>
      <c r="AQD39" s="958"/>
      <c r="AQE39" s="958"/>
      <c r="AQF39" s="958"/>
      <c r="AQG39" s="958"/>
      <c r="AQH39" s="958"/>
      <c r="AQI39" s="958"/>
      <c r="AQJ39" s="958"/>
      <c r="AQK39" s="958"/>
      <c r="AQL39" s="958"/>
      <c r="AQM39" s="958"/>
      <c r="AQN39" s="958"/>
      <c r="AQO39" s="958"/>
      <c r="AQP39" s="958"/>
      <c r="AQQ39" s="958"/>
      <c r="AQR39" s="958"/>
      <c r="AQS39" s="958"/>
      <c r="AQT39" s="958"/>
      <c r="AQU39" s="958"/>
      <c r="AQV39" s="958"/>
      <c r="AQW39" s="958"/>
      <c r="AQX39" s="958"/>
      <c r="AQY39" s="958"/>
      <c r="AQZ39" s="958"/>
      <c r="ARA39" s="958"/>
      <c r="ARB39" s="958"/>
      <c r="ARC39" s="958"/>
      <c r="ARD39" s="958"/>
      <c r="ARE39" s="958"/>
      <c r="ARF39" s="958"/>
      <c r="ARG39" s="958"/>
      <c r="ARH39" s="958"/>
      <c r="ARI39" s="958"/>
      <c r="ARJ39" s="958"/>
      <c r="ARK39" s="958"/>
      <c r="ARL39" s="958"/>
      <c r="ARM39" s="958"/>
      <c r="ARN39" s="958"/>
      <c r="ARO39" s="958"/>
      <c r="ARP39" s="958"/>
      <c r="ARQ39" s="958"/>
      <c r="ARR39" s="958"/>
      <c r="ARS39" s="958"/>
      <c r="ART39" s="958"/>
      <c r="ARU39" s="958"/>
      <c r="ARV39" s="958"/>
      <c r="ARW39" s="958"/>
      <c r="ARX39" s="958"/>
      <c r="ARY39" s="958"/>
      <c r="ARZ39" s="958"/>
      <c r="ASA39" s="958"/>
      <c r="ASB39" s="958"/>
      <c r="ASC39" s="958"/>
      <c r="ASD39" s="958"/>
      <c r="ASE39" s="958"/>
      <c r="ASF39" s="958"/>
      <c r="ASG39" s="958"/>
      <c r="ASH39" s="958"/>
      <c r="ASI39" s="958"/>
      <c r="ASJ39" s="958"/>
      <c r="ASK39" s="958"/>
      <c r="ASL39" s="958"/>
      <c r="ASM39" s="958"/>
      <c r="ASN39" s="958"/>
      <c r="ASO39" s="958"/>
      <c r="ASP39" s="958"/>
      <c r="ASQ39" s="958"/>
      <c r="ASR39" s="958"/>
      <c r="ASS39" s="958"/>
      <c r="AST39" s="958"/>
      <c r="ASU39" s="958"/>
      <c r="ASV39" s="958"/>
      <c r="ASW39" s="958"/>
      <c r="ASX39" s="958"/>
      <c r="ASY39" s="958"/>
      <c r="ASZ39" s="958"/>
    </row>
    <row r="40" spans="1:1196" s="22" customFormat="1" ht="134.25" customHeight="1" thickTop="1" thickBot="1">
      <c r="A40" s="2846"/>
      <c r="B40" s="2942"/>
      <c r="C40" s="3025"/>
      <c r="D40" s="111" t="s">
        <v>250</v>
      </c>
      <c r="E40" s="177" t="s">
        <v>251</v>
      </c>
      <c r="F40" s="177" t="s">
        <v>24</v>
      </c>
      <c r="G40" s="183">
        <v>25</v>
      </c>
      <c r="H40" s="90"/>
      <c r="I40" s="90"/>
      <c r="J40" s="90"/>
      <c r="K40" s="177" t="s">
        <v>249</v>
      </c>
      <c r="L40" s="497">
        <v>0</v>
      </c>
      <c r="M40" s="499"/>
      <c r="N40" s="73" t="e">
        <f t="shared" si="3"/>
        <v>#DIV/0!</v>
      </c>
      <c r="O40" s="497">
        <v>0</v>
      </c>
      <c r="P40" s="499"/>
      <c r="Q40" s="73" t="e">
        <f t="shared" si="4"/>
        <v>#DIV/0!</v>
      </c>
      <c r="R40" s="497">
        <v>0</v>
      </c>
      <c r="S40" s="499"/>
      <c r="T40" s="73" t="e">
        <f t="shared" si="5"/>
        <v>#DIV/0!</v>
      </c>
      <c r="U40" s="497">
        <v>0</v>
      </c>
      <c r="V40" s="499"/>
      <c r="W40" s="73" t="e">
        <f t="shared" si="6"/>
        <v>#DIV/0!</v>
      </c>
      <c r="X40" s="497">
        <v>3</v>
      </c>
      <c r="Y40" s="499">
        <v>2</v>
      </c>
      <c r="Z40" s="73">
        <f t="shared" si="7"/>
        <v>0.66666666666666663</v>
      </c>
      <c r="AA40" s="497">
        <v>3</v>
      </c>
      <c r="AB40" s="497">
        <v>0</v>
      </c>
      <c r="AC40" s="73">
        <f t="shared" si="8"/>
        <v>0</v>
      </c>
      <c r="AD40" s="990">
        <f>Y40+AB40</f>
        <v>2</v>
      </c>
      <c r="AE40" s="956">
        <f t="shared" si="26"/>
        <v>0.08</v>
      </c>
      <c r="AF40" s="990">
        <v>3</v>
      </c>
      <c r="AG40" s="499">
        <v>0</v>
      </c>
      <c r="AH40" s="73">
        <f t="shared" si="11"/>
        <v>0</v>
      </c>
      <c r="AI40" s="497">
        <v>3</v>
      </c>
      <c r="AJ40" s="499">
        <v>0</v>
      </c>
      <c r="AK40" s="73">
        <f t="shared" si="27"/>
        <v>0</v>
      </c>
      <c r="AL40" s="497">
        <v>3</v>
      </c>
      <c r="AM40" s="499">
        <v>2</v>
      </c>
      <c r="AN40" s="73">
        <f t="shared" si="13"/>
        <v>0.66666666666666663</v>
      </c>
      <c r="AO40" s="497">
        <v>4</v>
      </c>
      <c r="AP40" s="499">
        <v>4</v>
      </c>
      <c r="AQ40" s="73">
        <f t="shared" si="14"/>
        <v>1</v>
      </c>
      <c r="AR40" s="497">
        <v>3</v>
      </c>
      <c r="AS40" s="499">
        <v>2</v>
      </c>
      <c r="AT40" s="73">
        <f t="shared" si="15"/>
        <v>0.66666666666666663</v>
      </c>
      <c r="AU40" s="497">
        <v>3</v>
      </c>
      <c r="AV40" s="499">
        <v>1</v>
      </c>
      <c r="AW40" s="73">
        <f t="shared" si="16"/>
        <v>0.33333333333333331</v>
      </c>
      <c r="AX40" s="990">
        <f>Y40+AG40+AJ40+AM40+AP40+AS40+AV40+AB40</f>
        <v>11</v>
      </c>
      <c r="AY40" s="956">
        <f t="shared" si="18"/>
        <v>0.44</v>
      </c>
      <c r="AZ40" s="958"/>
      <c r="BA40" s="958"/>
      <c r="BB40" s="958"/>
      <c r="BC40" s="958"/>
      <c r="BD40" s="958"/>
      <c r="BE40" s="958"/>
      <c r="BF40" s="958"/>
      <c r="BG40" s="958"/>
      <c r="BH40" s="958"/>
      <c r="BI40" s="958"/>
      <c r="BJ40" s="958"/>
      <c r="BK40" s="958"/>
      <c r="BL40" s="958"/>
      <c r="BM40" s="958"/>
      <c r="BN40" s="958"/>
      <c r="BO40" s="958"/>
      <c r="BP40" s="958"/>
      <c r="BQ40" s="958"/>
      <c r="BR40" s="958"/>
      <c r="BS40" s="958"/>
      <c r="BT40" s="958"/>
      <c r="BU40" s="958"/>
      <c r="BV40" s="958"/>
      <c r="BW40" s="958"/>
      <c r="BX40" s="958"/>
      <c r="BY40" s="958"/>
      <c r="BZ40" s="958"/>
      <c r="CA40" s="958"/>
      <c r="CB40" s="958"/>
      <c r="CC40" s="958"/>
      <c r="CD40" s="958"/>
      <c r="CE40" s="958"/>
      <c r="CF40" s="958"/>
      <c r="CG40" s="958"/>
      <c r="CH40" s="958"/>
      <c r="CI40" s="958"/>
      <c r="CJ40" s="958"/>
      <c r="CK40" s="958"/>
      <c r="CL40" s="958"/>
      <c r="CM40" s="958"/>
      <c r="CN40" s="958"/>
      <c r="CO40" s="958"/>
      <c r="CP40" s="958"/>
      <c r="CQ40" s="958"/>
      <c r="CR40" s="958"/>
      <c r="CS40" s="958"/>
      <c r="CT40" s="958"/>
      <c r="CU40" s="958"/>
      <c r="CV40" s="958"/>
      <c r="CW40" s="958"/>
      <c r="CX40" s="958"/>
      <c r="CY40" s="958"/>
      <c r="CZ40" s="958"/>
      <c r="DA40" s="958"/>
      <c r="DB40" s="958"/>
      <c r="DC40" s="958"/>
      <c r="DD40" s="958"/>
      <c r="DE40" s="958"/>
      <c r="DF40" s="958"/>
      <c r="DG40" s="958"/>
      <c r="DH40" s="958"/>
      <c r="DI40" s="958"/>
      <c r="DJ40" s="958"/>
      <c r="DK40" s="958"/>
      <c r="DL40" s="958"/>
      <c r="DM40" s="958"/>
      <c r="DN40" s="958"/>
      <c r="DO40" s="958"/>
      <c r="DP40" s="958"/>
      <c r="DQ40" s="958"/>
      <c r="DR40" s="958"/>
      <c r="DS40" s="958"/>
      <c r="DT40" s="958"/>
      <c r="DU40" s="958"/>
      <c r="DV40" s="958"/>
      <c r="DW40" s="958"/>
      <c r="DX40" s="958"/>
      <c r="DY40" s="958"/>
      <c r="DZ40" s="958"/>
      <c r="EA40" s="958"/>
      <c r="EB40" s="958"/>
      <c r="EC40" s="958"/>
      <c r="ED40" s="958"/>
      <c r="EE40" s="958"/>
      <c r="EF40" s="958"/>
      <c r="EG40" s="958"/>
      <c r="EH40" s="958"/>
      <c r="EI40" s="958"/>
      <c r="EJ40" s="958"/>
      <c r="EK40" s="958"/>
      <c r="EL40" s="958"/>
      <c r="EM40" s="958"/>
      <c r="EN40" s="958"/>
      <c r="EO40" s="958"/>
      <c r="EP40" s="958"/>
      <c r="EQ40" s="958"/>
      <c r="ER40" s="958"/>
      <c r="ES40" s="958"/>
      <c r="ET40" s="958"/>
      <c r="EU40" s="958"/>
      <c r="EV40" s="958"/>
      <c r="EW40" s="958"/>
      <c r="EX40" s="958"/>
      <c r="EY40" s="958"/>
      <c r="EZ40" s="958"/>
      <c r="FA40" s="958"/>
      <c r="FB40" s="958"/>
      <c r="FC40" s="958"/>
      <c r="FD40" s="958"/>
      <c r="FE40" s="958"/>
      <c r="FF40" s="958"/>
      <c r="FG40" s="958"/>
      <c r="FH40" s="958"/>
      <c r="FI40" s="958"/>
      <c r="FJ40" s="958"/>
      <c r="FK40" s="958"/>
      <c r="FL40" s="958"/>
      <c r="FM40" s="958"/>
      <c r="FN40" s="958"/>
      <c r="FO40" s="958"/>
      <c r="FP40" s="958"/>
      <c r="FQ40" s="958"/>
      <c r="FR40" s="958"/>
      <c r="FS40" s="958"/>
      <c r="FT40" s="958"/>
      <c r="FU40" s="958"/>
      <c r="FV40" s="958"/>
      <c r="FW40" s="958"/>
      <c r="FX40" s="958"/>
      <c r="FY40" s="958"/>
      <c r="FZ40" s="958"/>
      <c r="GA40" s="958"/>
      <c r="GB40" s="958"/>
      <c r="GC40" s="958"/>
      <c r="GD40" s="958"/>
      <c r="GE40" s="958"/>
      <c r="GF40" s="958"/>
      <c r="GG40" s="958"/>
      <c r="GH40" s="958"/>
      <c r="GI40" s="958"/>
      <c r="GJ40" s="958"/>
      <c r="GK40" s="958"/>
      <c r="GL40" s="958"/>
      <c r="GM40" s="958"/>
      <c r="GN40" s="958"/>
      <c r="GO40" s="958"/>
      <c r="GP40" s="958"/>
      <c r="GQ40" s="958"/>
      <c r="GR40" s="958"/>
      <c r="GS40" s="958"/>
      <c r="GT40" s="958"/>
      <c r="GU40" s="958"/>
      <c r="GV40" s="958"/>
      <c r="GW40" s="958"/>
      <c r="GX40" s="958"/>
      <c r="GY40" s="958"/>
      <c r="GZ40" s="958"/>
      <c r="HA40" s="958"/>
      <c r="HB40" s="958"/>
      <c r="HC40" s="958"/>
      <c r="HD40" s="958"/>
      <c r="HE40" s="958"/>
      <c r="HF40" s="958"/>
      <c r="HG40" s="958"/>
      <c r="HH40" s="958"/>
      <c r="HI40" s="958"/>
      <c r="HJ40" s="958"/>
      <c r="HK40" s="958"/>
      <c r="HL40" s="958"/>
      <c r="HM40" s="958"/>
      <c r="HN40" s="958"/>
      <c r="HO40" s="958"/>
      <c r="HP40" s="958"/>
      <c r="HQ40" s="958"/>
      <c r="HR40" s="958"/>
      <c r="HS40" s="958"/>
      <c r="HT40" s="958"/>
      <c r="HU40" s="958"/>
      <c r="HV40" s="958"/>
      <c r="HW40" s="958"/>
      <c r="HX40" s="958"/>
      <c r="HY40" s="958"/>
      <c r="HZ40" s="958"/>
      <c r="IA40" s="958"/>
      <c r="IB40" s="958"/>
      <c r="IC40" s="958"/>
      <c r="ID40" s="958"/>
      <c r="IE40" s="958"/>
      <c r="IF40" s="958"/>
      <c r="IG40" s="958"/>
      <c r="IH40" s="958"/>
      <c r="II40" s="958"/>
      <c r="IJ40" s="958"/>
      <c r="IK40" s="958"/>
      <c r="IL40" s="958"/>
      <c r="IM40" s="958"/>
      <c r="IN40" s="958"/>
      <c r="IO40" s="958"/>
      <c r="IP40" s="958"/>
      <c r="IQ40" s="958"/>
      <c r="IR40" s="958"/>
      <c r="IS40" s="958"/>
      <c r="IT40" s="958"/>
      <c r="IU40" s="958"/>
      <c r="IV40" s="958"/>
      <c r="IW40" s="958"/>
      <c r="IX40" s="958"/>
      <c r="IY40" s="958"/>
      <c r="IZ40" s="958"/>
      <c r="JA40" s="958"/>
      <c r="JB40" s="958"/>
      <c r="JC40" s="958"/>
      <c r="JD40" s="958"/>
      <c r="JE40" s="958"/>
      <c r="JF40" s="958"/>
      <c r="JG40" s="958"/>
      <c r="JH40" s="958"/>
      <c r="JI40" s="958"/>
      <c r="JJ40" s="958"/>
      <c r="JK40" s="958"/>
      <c r="JL40" s="958"/>
      <c r="JM40" s="958"/>
      <c r="JN40" s="958"/>
      <c r="JO40" s="958"/>
      <c r="JP40" s="958"/>
      <c r="JQ40" s="958"/>
      <c r="JR40" s="958"/>
      <c r="JS40" s="958"/>
      <c r="JT40" s="958"/>
      <c r="JU40" s="958"/>
      <c r="JV40" s="958"/>
      <c r="JW40" s="958"/>
      <c r="JX40" s="958"/>
      <c r="JY40" s="958"/>
      <c r="JZ40" s="958"/>
      <c r="KA40" s="958"/>
      <c r="KB40" s="958"/>
      <c r="KC40" s="958"/>
      <c r="KD40" s="958"/>
      <c r="KE40" s="958"/>
      <c r="KF40" s="958"/>
      <c r="KG40" s="958"/>
      <c r="KH40" s="958"/>
      <c r="KI40" s="958"/>
      <c r="KJ40" s="958"/>
      <c r="KK40" s="958"/>
      <c r="KL40" s="958"/>
      <c r="KM40" s="958"/>
      <c r="KN40" s="958"/>
      <c r="KO40" s="958"/>
      <c r="KP40" s="958"/>
      <c r="KQ40" s="958"/>
      <c r="KR40" s="958"/>
      <c r="KS40" s="958"/>
      <c r="KT40" s="958"/>
      <c r="KU40" s="958"/>
      <c r="KV40" s="958"/>
      <c r="KW40" s="958"/>
      <c r="KX40" s="958"/>
      <c r="KY40" s="958"/>
      <c r="KZ40" s="958"/>
      <c r="LA40" s="958"/>
      <c r="LB40" s="958"/>
      <c r="LC40" s="958"/>
      <c r="LD40" s="958"/>
      <c r="LE40" s="958"/>
      <c r="LF40" s="958"/>
      <c r="LG40" s="958"/>
      <c r="LH40" s="958"/>
      <c r="LI40" s="958"/>
      <c r="LJ40" s="958"/>
      <c r="LK40" s="958"/>
      <c r="LL40" s="958"/>
      <c r="LM40" s="958"/>
      <c r="LN40" s="958"/>
      <c r="LO40" s="958"/>
      <c r="LP40" s="958"/>
      <c r="LQ40" s="958"/>
      <c r="LR40" s="958"/>
      <c r="LS40" s="958"/>
      <c r="LT40" s="958"/>
      <c r="LU40" s="958"/>
      <c r="LV40" s="958"/>
      <c r="LW40" s="958"/>
      <c r="LX40" s="958"/>
      <c r="LY40" s="958"/>
      <c r="LZ40" s="958"/>
      <c r="MA40" s="958"/>
      <c r="MB40" s="958"/>
      <c r="MC40" s="958"/>
      <c r="MD40" s="958"/>
      <c r="ME40" s="958"/>
      <c r="MF40" s="958"/>
      <c r="MG40" s="958"/>
      <c r="MH40" s="958"/>
      <c r="MI40" s="958"/>
      <c r="MJ40" s="958"/>
      <c r="MK40" s="958"/>
      <c r="ML40" s="958"/>
      <c r="MM40" s="958"/>
      <c r="MN40" s="958"/>
      <c r="MO40" s="958"/>
      <c r="MP40" s="958"/>
      <c r="MQ40" s="958"/>
      <c r="MR40" s="958"/>
      <c r="MS40" s="958"/>
      <c r="MT40" s="958"/>
      <c r="MU40" s="958"/>
      <c r="MV40" s="958"/>
      <c r="MW40" s="958"/>
      <c r="MX40" s="958"/>
      <c r="MY40" s="958"/>
      <c r="MZ40" s="958"/>
      <c r="NA40" s="958"/>
      <c r="NB40" s="958"/>
      <c r="NC40" s="958"/>
      <c r="ND40" s="958"/>
      <c r="NE40" s="958"/>
      <c r="NF40" s="958"/>
      <c r="NG40" s="958"/>
      <c r="NH40" s="958"/>
      <c r="NI40" s="958"/>
      <c r="NJ40" s="958"/>
      <c r="NK40" s="958"/>
      <c r="NL40" s="958"/>
      <c r="NM40" s="958"/>
      <c r="NN40" s="958"/>
      <c r="NO40" s="958"/>
      <c r="NP40" s="958"/>
      <c r="NQ40" s="958"/>
      <c r="NR40" s="958"/>
      <c r="NS40" s="958"/>
      <c r="NT40" s="958"/>
      <c r="NU40" s="958"/>
      <c r="NV40" s="958"/>
      <c r="NW40" s="958"/>
      <c r="NX40" s="958"/>
      <c r="NY40" s="958"/>
      <c r="NZ40" s="958"/>
      <c r="OA40" s="958"/>
      <c r="OB40" s="958"/>
      <c r="OC40" s="958"/>
      <c r="OD40" s="958"/>
      <c r="OE40" s="958"/>
      <c r="OF40" s="958"/>
      <c r="OG40" s="958"/>
      <c r="OH40" s="958"/>
      <c r="OI40" s="958"/>
      <c r="OJ40" s="958"/>
      <c r="OK40" s="958"/>
      <c r="OL40" s="958"/>
      <c r="OM40" s="958"/>
      <c r="ON40" s="958"/>
      <c r="OO40" s="958"/>
      <c r="OP40" s="958"/>
      <c r="OQ40" s="958"/>
      <c r="OR40" s="958"/>
      <c r="OS40" s="958"/>
      <c r="OT40" s="958"/>
      <c r="OU40" s="958"/>
      <c r="OV40" s="958"/>
      <c r="OW40" s="958"/>
      <c r="OX40" s="958"/>
      <c r="OY40" s="958"/>
      <c r="OZ40" s="958"/>
      <c r="PA40" s="958"/>
      <c r="PB40" s="958"/>
      <c r="PC40" s="958"/>
      <c r="PD40" s="958"/>
      <c r="PE40" s="958"/>
      <c r="PF40" s="958"/>
      <c r="PG40" s="958"/>
      <c r="PH40" s="958"/>
      <c r="PI40" s="958"/>
      <c r="PJ40" s="958"/>
      <c r="PK40" s="958"/>
      <c r="PL40" s="958"/>
      <c r="PM40" s="958"/>
      <c r="PN40" s="958"/>
      <c r="PO40" s="958"/>
      <c r="PP40" s="958"/>
      <c r="PQ40" s="958"/>
      <c r="PR40" s="958"/>
      <c r="PS40" s="958"/>
      <c r="PT40" s="958"/>
      <c r="PU40" s="958"/>
      <c r="PV40" s="958"/>
      <c r="PW40" s="958"/>
      <c r="PX40" s="958"/>
      <c r="PY40" s="958"/>
      <c r="PZ40" s="958"/>
      <c r="QA40" s="958"/>
      <c r="QB40" s="958"/>
      <c r="QC40" s="958"/>
      <c r="QD40" s="958"/>
      <c r="QE40" s="958"/>
      <c r="QF40" s="958"/>
      <c r="QG40" s="958"/>
      <c r="QH40" s="958"/>
      <c r="QI40" s="958"/>
      <c r="QJ40" s="958"/>
      <c r="QK40" s="958"/>
      <c r="QL40" s="958"/>
      <c r="QM40" s="958"/>
      <c r="QN40" s="958"/>
      <c r="QO40" s="958"/>
      <c r="QP40" s="958"/>
      <c r="QQ40" s="958"/>
      <c r="QR40" s="958"/>
      <c r="QS40" s="958"/>
      <c r="QT40" s="958"/>
      <c r="QU40" s="958"/>
      <c r="QV40" s="958"/>
      <c r="QW40" s="958"/>
      <c r="QX40" s="958"/>
      <c r="QY40" s="958"/>
      <c r="QZ40" s="958"/>
      <c r="RA40" s="958"/>
      <c r="RB40" s="958"/>
      <c r="RC40" s="958"/>
      <c r="RD40" s="958"/>
      <c r="RE40" s="958"/>
      <c r="RF40" s="958"/>
      <c r="RG40" s="958"/>
      <c r="RH40" s="958"/>
      <c r="RI40" s="958"/>
      <c r="RJ40" s="958"/>
      <c r="RK40" s="958"/>
      <c r="RL40" s="958"/>
      <c r="RM40" s="958"/>
      <c r="RN40" s="958"/>
      <c r="RO40" s="958"/>
      <c r="RP40" s="958"/>
      <c r="RQ40" s="958"/>
      <c r="RR40" s="958"/>
      <c r="RS40" s="958"/>
      <c r="RT40" s="958"/>
      <c r="RU40" s="958"/>
      <c r="RV40" s="958"/>
      <c r="RW40" s="958"/>
      <c r="RX40" s="958"/>
      <c r="RY40" s="958"/>
      <c r="RZ40" s="958"/>
      <c r="SA40" s="958"/>
      <c r="SB40" s="958"/>
      <c r="SC40" s="958"/>
      <c r="SD40" s="958"/>
      <c r="SE40" s="958"/>
      <c r="SF40" s="958"/>
      <c r="SG40" s="958"/>
      <c r="SH40" s="958"/>
      <c r="SI40" s="958"/>
      <c r="SJ40" s="958"/>
      <c r="SK40" s="958"/>
      <c r="SL40" s="958"/>
      <c r="SM40" s="958"/>
      <c r="SN40" s="958"/>
      <c r="SO40" s="958"/>
      <c r="SP40" s="958"/>
      <c r="SQ40" s="958"/>
      <c r="SR40" s="958"/>
      <c r="SS40" s="958"/>
      <c r="ST40" s="958"/>
      <c r="SU40" s="958"/>
      <c r="SV40" s="958"/>
      <c r="SW40" s="958"/>
      <c r="SX40" s="958"/>
      <c r="SY40" s="958"/>
      <c r="SZ40" s="958"/>
      <c r="TA40" s="958"/>
      <c r="TB40" s="958"/>
      <c r="TC40" s="958"/>
      <c r="TD40" s="958"/>
      <c r="TE40" s="958"/>
      <c r="TF40" s="958"/>
      <c r="TG40" s="958"/>
      <c r="TH40" s="958"/>
      <c r="TI40" s="958"/>
      <c r="TJ40" s="958"/>
      <c r="TK40" s="958"/>
      <c r="TL40" s="958"/>
      <c r="TM40" s="958"/>
      <c r="TN40" s="958"/>
      <c r="TO40" s="958"/>
      <c r="TP40" s="958"/>
      <c r="TQ40" s="958"/>
      <c r="TR40" s="958"/>
      <c r="TS40" s="958"/>
      <c r="TT40" s="958"/>
      <c r="TU40" s="958"/>
      <c r="TV40" s="958"/>
      <c r="TW40" s="958"/>
      <c r="TX40" s="958"/>
      <c r="TY40" s="958"/>
      <c r="TZ40" s="958"/>
      <c r="UA40" s="958"/>
      <c r="UB40" s="958"/>
      <c r="UC40" s="958"/>
      <c r="UD40" s="958"/>
      <c r="UE40" s="958"/>
      <c r="UF40" s="958"/>
      <c r="UG40" s="958"/>
      <c r="UH40" s="958"/>
      <c r="UI40" s="958"/>
      <c r="UJ40" s="958"/>
      <c r="UK40" s="958"/>
      <c r="UL40" s="958"/>
      <c r="UM40" s="958"/>
      <c r="UN40" s="958"/>
      <c r="UO40" s="958"/>
      <c r="UP40" s="958"/>
      <c r="UQ40" s="958"/>
      <c r="UR40" s="958"/>
      <c r="US40" s="958"/>
      <c r="UT40" s="958"/>
      <c r="UU40" s="958"/>
      <c r="UV40" s="958"/>
      <c r="UW40" s="958"/>
      <c r="UX40" s="958"/>
      <c r="UY40" s="958"/>
      <c r="UZ40" s="958"/>
      <c r="VA40" s="958"/>
      <c r="VB40" s="958"/>
      <c r="VC40" s="958"/>
      <c r="VD40" s="958"/>
      <c r="VE40" s="958"/>
      <c r="VF40" s="958"/>
      <c r="VG40" s="958"/>
      <c r="VH40" s="958"/>
      <c r="VI40" s="958"/>
      <c r="VJ40" s="958"/>
      <c r="VK40" s="958"/>
      <c r="VL40" s="958"/>
      <c r="VM40" s="958"/>
      <c r="VN40" s="958"/>
      <c r="VO40" s="958"/>
      <c r="VP40" s="958"/>
      <c r="VQ40" s="958"/>
      <c r="VR40" s="958"/>
      <c r="VS40" s="958"/>
      <c r="VT40" s="958"/>
      <c r="VU40" s="958"/>
      <c r="VV40" s="958"/>
      <c r="VW40" s="958"/>
      <c r="VX40" s="958"/>
      <c r="VY40" s="958"/>
      <c r="VZ40" s="958"/>
      <c r="WA40" s="958"/>
      <c r="WB40" s="958"/>
      <c r="WC40" s="958"/>
      <c r="WD40" s="958"/>
      <c r="WE40" s="958"/>
      <c r="WF40" s="958"/>
      <c r="WG40" s="958"/>
      <c r="WH40" s="958"/>
      <c r="WI40" s="958"/>
      <c r="WJ40" s="958"/>
      <c r="WK40" s="958"/>
      <c r="WL40" s="958"/>
      <c r="WM40" s="958"/>
      <c r="WN40" s="958"/>
      <c r="WO40" s="958"/>
      <c r="WP40" s="958"/>
      <c r="WQ40" s="958"/>
      <c r="WR40" s="958"/>
      <c r="WS40" s="958"/>
      <c r="WT40" s="958"/>
      <c r="WU40" s="958"/>
      <c r="WV40" s="958"/>
      <c r="WW40" s="958"/>
      <c r="WX40" s="958"/>
      <c r="WY40" s="958"/>
      <c r="WZ40" s="958"/>
      <c r="XA40" s="958"/>
      <c r="XB40" s="958"/>
      <c r="XC40" s="958"/>
      <c r="XD40" s="958"/>
      <c r="XE40" s="958"/>
      <c r="XF40" s="958"/>
      <c r="XG40" s="958"/>
      <c r="XH40" s="958"/>
      <c r="XI40" s="958"/>
      <c r="XJ40" s="958"/>
      <c r="XK40" s="958"/>
      <c r="XL40" s="958"/>
      <c r="XM40" s="958"/>
      <c r="XN40" s="958"/>
      <c r="XO40" s="958"/>
      <c r="XP40" s="958"/>
      <c r="XQ40" s="958"/>
      <c r="XR40" s="958"/>
      <c r="XS40" s="958"/>
      <c r="XT40" s="958"/>
      <c r="XU40" s="958"/>
      <c r="XV40" s="958"/>
      <c r="XW40" s="958"/>
      <c r="XX40" s="958"/>
      <c r="XY40" s="958"/>
      <c r="XZ40" s="958"/>
      <c r="YA40" s="958"/>
      <c r="YB40" s="958"/>
      <c r="YC40" s="958"/>
      <c r="YD40" s="958"/>
      <c r="YE40" s="958"/>
      <c r="YF40" s="958"/>
      <c r="YG40" s="958"/>
      <c r="YH40" s="958"/>
      <c r="YI40" s="958"/>
      <c r="YJ40" s="958"/>
      <c r="YK40" s="958"/>
      <c r="YL40" s="958"/>
      <c r="YM40" s="958"/>
      <c r="YN40" s="958"/>
      <c r="YO40" s="958"/>
      <c r="YP40" s="958"/>
      <c r="YQ40" s="958"/>
      <c r="YR40" s="958"/>
      <c r="YS40" s="958"/>
      <c r="YT40" s="958"/>
      <c r="YU40" s="958"/>
      <c r="YV40" s="958"/>
      <c r="YW40" s="958"/>
      <c r="YX40" s="958"/>
      <c r="YY40" s="958"/>
      <c r="YZ40" s="958"/>
      <c r="ZA40" s="958"/>
      <c r="ZB40" s="958"/>
      <c r="ZC40" s="958"/>
      <c r="ZD40" s="958"/>
      <c r="ZE40" s="958"/>
      <c r="ZF40" s="958"/>
      <c r="ZG40" s="958"/>
      <c r="ZH40" s="958"/>
      <c r="ZI40" s="958"/>
      <c r="ZJ40" s="958"/>
      <c r="ZK40" s="958"/>
      <c r="ZL40" s="958"/>
      <c r="ZM40" s="958"/>
      <c r="ZN40" s="958"/>
      <c r="ZO40" s="958"/>
      <c r="ZP40" s="958"/>
      <c r="ZQ40" s="958"/>
      <c r="ZR40" s="958"/>
      <c r="ZS40" s="958"/>
      <c r="ZT40" s="958"/>
      <c r="ZU40" s="958"/>
      <c r="ZV40" s="958"/>
      <c r="ZW40" s="958"/>
      <c r="ZX40" s="958"/>
      <c r="ZY40" s="958"/>
      <c r="ZZ40" s="958"/>
      <c r="AAA40" s="958"/>
      <c r="AAB40" s="958"/>
      <c r="AAC40" s="958"/>
      <c r="AAD40" s="958"/>
      <c r="AAE40" s="958"/>
      <c r="AAF40" s="958"/>
      <c r="AAG40" s="958"/>
      <c r="AAH40" s="958"/>
      <c r="AAI40" s="958"/>
      <c r="AAJ40" s="958"/>
      <c r="AAK40" s="958"/>
      <c r="AAL40" s="958"/>
      <c r="AAM40" s="958"/>
      <c r="AAN40" s="958"/>
      <c r="AAO40" s="958"/>
      <c r="AAP40" s="958"/>
      <c r="AAQ40" s="958"/>
      <c r="AAR40" s="958"/>
      <c r="AAS40" s="958"/>
      <c r="AAT40" s="958"/>
      <c r="AAU40" s="958"/>
      <c r="AAV40" s="958"/>
      <c r="AAW40" s="958"/>
      <c r="AAX40" s="958"/>
      <c r="AAY40" s="958"/>
      <c r="AAZ40" s="958"/>
      <c r="ABA40" s="958"/>
      <c r="ABB40" s="958"/>
      <c r="ABC40" s="958"/>
      <c r="ABD40" s="958"/>
      <c r="ABE40" s="958"/>
      <c r="ABF40" s="958"/>
      <c r="ABG40" s="958"/>
      <c r="ABH40" s="958"/>
      <c r="ABI40" s="958"/>
      <c r="ABJ40" s="958"/>
      <c r="ABK40" s="958"/>
      <c r="ABL40" s="958"/>
      <c r="ABM40" s="958"/>
      <c r="ABN40" s="958"/>
      <c r="ABO40" s="958"/>
      <c r="ABP40" s="958"/>
      <c r="ABQ40" s="958"/>
      <c r="ABR40" s="958"/>
      <c r="ABS40" s="958"/>
      <c r="ABT40" s="958"/>
      <c r="ABU40" s="958"/>
      <c r="ABV40" s="958"/>
      <c r="ABW40" s="958"/>
      <c r="ABX40" s="958"/>
      <c r="ABY40" s="958"/>
      <c r="ABZ40" s="958"/>
      <c r="ACA40" s="958"/>
      <c r="ACB40" s="958"/>
      <c r="ACC40" s="958"/>
      <c r="ACD40" s="958"/>
      <c r="ACE40" s="958"/>
      <c r="ACF40" s="958"/>
      <c r="ACG40" s="958"/>
      <c r="ACH40" s="958"/>
      <c r="ACI40" s="958"/>
      <c r="ACJ40" s="958"/>
      <c r="ACK40" s="958"/>
      <c r="ACL40" s="958"/>
      <c r="ACM40" s="958"/>
      <c r="ACN40" s="958"/>
      <c r="ACO40" s="958"/>
      <c r="ACP40" s="958"/>
      <c r="ACQ40" s="958"/>
      <c r="ACR40" s="958"/>
      <c r="ACS40" s="958"/>
      <c r="ACT40" s="958"/>
      <c r="ACU40" s="958"/>
      <c r="ACV40" s="958"/>
      <c r="ACW40" s="958"/>
      <c r="ACX40" s="958"/>
      <c r="ACY40" s="958"/>
      <c r="ACZ40" s="958"/>
      <c r="ADA40" s="958"/>
      <c r="ADB40" s="958"/>
      <c r="ADC40" s="958"/>
      <c r="ADD40" s="958"/>
      <c r="ADE40" s="958"/>
      <c r="ADF40" s="958"/>
      <c r="ADG40" s="958"/>
      <c r="ADH40" s="958"/>
      <c r="ADI40" s="958"/>
      <c r="ADJ40" s="958"/>
      <c r="ADK40" s="958"/>
      <c r="ADL40" s="958"/>
      <c r="ADM40" s="958"/>
      <c r="ADN40" s="958"/>
      <c r="ADO40" s="958"/>
      <c r="ADP40" s="958"/>
      <c r="ADQ40" s="958"/>
      <c r="ADR40" s="958"/>
      <c r="ADS40" s="958"/>
      <c r="ADT40" s="958"/>
      <c r="ADU40" s="958"/>
      <c r="ADV40" s="958"/>
      <c r="ADW40" s="958"/>
      <c r="ADX40" s="958"/>
      <c r="ADY40" s="958"/>
      <c r="ADZ40" s="958"/>
      <c r="AEA40" s="958"/>
      <c r="AEB40" s="958"/>
      <c r="AEC40" s="958"/>
      <c r="AED40" s="958"/>
      <c r="AEE40" s="958"/>
      <c r="AEF40" s="958"/>
      <c r="AEG40" s="958"/>
      <c r="AEH40" s="958"/>
      <c r="AEI40" s="958"/>
      <c r="AEJ40" s="958"/>
      <c r="AEK40" s="958"/>
      <c r="AEL40" s="958"/>
      <c r="AEM40" s="958"/>
      <c r="AEN40" s="958"/>
      <c r="AEO40" s="958"/>
      <c r="AEP40" s="958"/>
      <c r="AEQ40" s="958"/>
      <c r="AER40" s="958"/>
      <c r="AES40" s="958"/>
      <c r="AET40" s="958"/>
      <c r="AEU40" s="958"/>
      <c r="AEV40" s="958"/>
      <c r="AEW40" s="958"/>
      <c r="AEX40" s="958"/>
      <c r="AEY40" s="958"/>
      <c r="AEZ40" s="958"/>
      <c r="AFA40" s="958"/>
      <c r="AFB40" s="958"/>
      <c r="AFC40" s="958"/>
      <c r="AFD40" s="958"/>
      <c r="AFE40" s="958"/>
      <c r="AFF40" s="958"/>
      <c r="AFG40" s="958"/>
      <c r="AFH40" s="958"/>
      <c r="AFI40" s="958"/>
      <c r="AFJ40" s="958"/>
      <c r="AFK40" s="958"/>
      <c r="AFL40" s="958"/>
      <c r="AFM40" s="958"/>
      <c r="AFN40" s="958"/>
      <c r="AFO40" s="958"/>
      <c r="AFP40" s="958"/>
      <c r="AFQ40" s="958"/>
      <c r="AFR40" s="958"/>
      <c r="AFS40" s="958"/>
      <c r="AFT40" s="958"/>
      <c r="AFU40" s="958"/>
      <c r="AFV40" s="958"/>
      <c r="AFW40" s="958"/>
      <c r="AFX40" s="958"/>
      <c r="AFY40" s="958"/>
      <c r="AFZ40" s="958"/>
      <c r="AGA40" s="958"/>
      <c r="AGB40" s="958"/>
      <c r="AGC40" s="958"/>
      <c r="AGD40" s="958"/>
      <c r="AGE40" s="958"/>
      <c r="AGF40" s="958"/>
      <c r="AGG40" s="958"/>
      <c r="AGH40" s="958"/>
      <c r="AGI40" s="958"/>
      <c r="AGJ40" s="958"/>
      <c r="AGK40" s="958"/>
      <c r="AGL40" s="958"/>
      <c r="AGM40" s="958"/>
      <c r="AGN40" s="958"/>
      <c r="AGO40" s="958"/>
      <c r="AGP40" s="958"/>
      <c r="AGQ40" s="958"/>
      <c r="AGR40" s="958"/>
      <c r="AGS40" s="958"/>
      <c r="AGT40" s="958"/>
      <c r="AGU40" s="958"/>
      <c r="AGV40" s="958"/>
      <c r="AGW40" s="958"/>
      <c r="AGX40" s="958"/>
      <c r="AGY40" s="958"/>
      <c r="AGZ40" s="958"/>
      <c r="AHA40" s="958"/>
      <c r="AHB40" s="958"/>
      <c r="AHC40" s="958"/>
      <c r="AHD40" s="958"/>
      <c r="AHE40" s="958"/>
      <c r="AHF40" s="958"/>
      <c r="AHG40" s="958"/>
      <c r="AHH40" s="958"/>
      <c r="AHI40" s="958"/>
      <c r="AHJ40" s="958"/>
      <c r="AHK40" s="958"/>
      <c r="AHL40" s="958"/>
      <c r="AHM40" s="958"/>
      <c r="AHN40" s="958"/>
      <c r="AHO40" s="958"/>
      <c r="AHP40" s="958"/>
      <c r="AHQ40" s="958"/>
      <c r="AHR40" s="958"/>
      <c r="AHS40" s="958"/>
      <c r="AHT40" s="958"/>
      <c r="AHU40" s="958"/>
      <c r="AHV40" s="958"/>
      <c r="AHW40" s="958"/>
      <c r="AHX40" s="958"/>
      <c r="AHY40" s="958"/>
      <c r="AHZ40" s="958"/>
      <c r="AIA40" s="958"/>
      <c r="AIB40" s="958"/>
      <c r="AIC40" s="958"/>
      <c r="AID40" s="958"/>
      <c r="AIE40" s="958"/>
      <c r="AIF40" s="958"/>
      <c r="AIG40" s="958"/>
      <c r="AIH40" s="958"/>
      <c r="AII40" s="958"/>
      <c r="AIJ40" s="958"/>
      <c r="AIK40" s="958"/>
      <c r="AIL40" s="958"/>
      <c r="AIM40" s="958"/>
      <c r="AIN40" s="958"/>
      <c r="AIO40" s="958"/>
      <c r="AIP40" s="958"/>
      <c r="AIQ40" s="958"/>
      <c r="AIR40" s="958"/>
      <c r="AIS40" s="958"/>
      <c r="AIT40" s="958"/>
      <c r="AIU40" s="958"/>
      <c r="AIV40" s="958"/>
      <c r="AIW40" s="958"/>
      <c r="AIX40" s="958"/>
      <c r="AIY40" s="958"/>
      <c r="AIZ40" s="958"/>
      <c r="AJA40" s="958"/>
      <c r="AJB40" s="958"/>
      <c r="AJC40" s="958"/>
      <c r="AJD40" s="958"/>
      <c r="AJE40" s="958"/>
      <c r="AJF40" s="958"/>
      <c r="AJG40" s="958"/>
      <c r="AJH40" s="958"/>
      <c r="AJI40" s="958"/>
      <c r="AJJ40" s="958"/>
      <c r="AJK40" s="958"/>
      <c r="AJL40" s="958"/>
      <c r="AJM40" s="958"/>
      <c r="AJN40" s="958"/>
      <c r="AJO40" s="958"/>
      <c r="AJP40" s="958"/>
      <c r="AJQ40" s="958"/>
      <c r="AJR40" s="958"/>
      <c r="AJS40" s="958"/>
      <c r="AJT40" s="958"/>
      <c r="AJU40" s="958"/>
      <c r="AJV40" s="958"/>
      <c r="AJW40" s="958"/>
      <c r="AJX40" s="958"/>
      <c r="AJY40" s="958"/>
      <c r="AJZ40" s="958"/>
      <c r="AKA40" s="958"/>
      <c r="AKB40" s="958"/>
      <c r="AKC40" s="958"/>
      <c r="AKD40" s="958"/>
      <c r="AKE40" s="958"/>
      <c r="AKF40" s="958"/>
      <c r="AKG40" s="958"/>
      <c r="AKH40" s="958"/>
      <c r="AKI40" s="958"/>
      <c r="AKJ40" s="958"/>
      <c r="AKK40" s="958"/>
      <c r="AKL40" s="958"/>
      <c r="AKM40" s="958"/>
      <c r="AKN40" s="958"/>
      <c r="AKO40" s="958"/>
      <c r="AKP40" s="958"/>
      <c r="AKQ40" s="958"/>
      <c r="AKR40" s="958"/>
      <c r="AKS40" s="958"/>
      <c r="AKT40" s="958"/>
      <c r="AKU40" s="958"/>
      <c r="AKV40" s="958"/>
      <c r="AKW40" s="958"/>
      <c r="AKX40" s="958"/>
      <c r="AKY40" s="958"/>
      <c r="AKZ40" s="958"/>
      <c r="ALA40" s="958"/>
      <c r="ALB40" s="958"/>
      <c r="ALC40" s="958"/>
      <c r="ALD40" s="958"/>
      <c r="ALE40" s="958"/>
      <c r="ALF40" s="958"/>
      <c r="ALG40" s="958"/>
      <c r="ALH40" s="958"/>
      <c r="ALI40" s="958"/>
      <c r="ALJ40" s="958"/>
      <c r="ALK40" s="958"/>
      <c r="ALL40" s="958"/>
      <c r="ALM40" s="958"/>
      <c r="ALN40" s="958"/>
      <c r="ALO40" s="958"/>
      <c r="ALP40" s="958"/>
      <c r="ALQ40" s="958"/>
      <c r="ALR40" s="958"/>
      <c r="ALS40" s="958"/>
      <c r="ALT40" s="958"/>
      <c r="ALU40" s="958"/>
      <c r="ALV40" s="958"/>
      <c r="ALW40" s="958"/>
      <c r="ALX40" s="958"/>
      <c r="ALY40" s="958"/>
      <c r="ALZ40" s="958"/>
      <c r="AMA40" s="958"/>
      <c r="AMB40" s="958"/>
      <c r="AMC40" s="958"/>
      <c r="AMD40" s="958"/>
      <c r="AME40" s="958"/>
      <c r="AMF40" s="958"/>
      <c r="AMG40" s="958"/>
      <c r="AMH40" s="958"/>
      <c r="AMI40" s="958"/>
      <c r="AMJ40" s="958"/>
      <c r="AMK40" s="958"/>
      <c r="AML40" s="958"/>
      <c r="AMM40" s="958"/>
      <c r="AMN40" s="958"/>
      <c r="AMO40" s="958"/>
      <c r="AMP40" s="958"/>
      <c r="AMQ40" s="958"/>
      <c r="AMR40" s="958"/>
      <c r="AMS40" s="958"/>
      <c r="AMT40" s="958"/>
      <c r="AMU40" s="958"/>
      <c r="AMV40" s="958"/>
      <c r="AMW40" s="958"/>
      <c r="AMX40" s="958"/>
      <c r="AMY40" s="958"/>
      <c r="AMZ40" s="958"/>
      <c r="ANA40" s="958"/>
      <c r="ANB40" s="958"/>
      <c r="ANC40" s="958"/>
      <c r="AND40" s="958"/>
      <c r="ANE40" s="958"/>
      <c r="ANF40" s="958"/>
      <c r="ANG40" s="958"/>
      <c r="ANH40" s="958"/>
      <c r="ANI40" s="958"/>
      <c r="ANJ40" s="958"/>
      <c r="ANK40" s="958"/>
      <c r="ANL40" s="958"/>
      <c r="ANM40" s="958"/>
      <c r="ANN40" s="958"/>
      <c r="ANO40" s="958"/>
      <c r="ANP40" s="958"/>
      <c r="ANQ40" s="958"/>
      <c r="ANR40" s="958"/>
      <c r="ANS40" s="958"/>
      <c r="ANT40" s="958"/>
      <c r="ANU40" s="958"/>
      <c r="ANV40" s="958"/>
      <c r="ANW40" s="958"/>
      <c r="ANX40" s="958"/>
      <c r="ANY40" s="958"/>
      <c r="ANZ40" s="958"/>
      <c r="AOA40" s="958"/>
      <c r="AOB40" s="958"/>
      <c r="AOC40" s="958"/>
      <c r="AOD40" s="958"/>
      <c r="AOE40" s="958"/>
      <c r="AOF40" s="958"/>
      <c r="AOG40" s="958"/>
      <c r="AOH40" s="958"/>
      <c r="AOI40" s="958"/>
      <c r="AOJ40" s="958"/>
      <c r="AOK40" s="958"/>
      <c r="AOL40" s="958"/>
      <c r="AOM40" s="958"/>
      <c r="AON40" s="958"/>
      <c r="AOO40" s="958"/>
      <c r="AOP40" s="958"/>
      <c r="AOQ40" s="958"/>
      <c r="AOR40" s="958"/>
      <c r="AOS40" s="958"/>
      <c r="AOT40" s="958"/>
      <c r="AOU40" s="958"/>
      <c r="AOV40" s="958"/>
      <c r="AOW40" s="958"/>
      <c r="AOX40" s="958"/>
      <c r="AOY40" s="958"/>
      <c r="AOZ40" s="958"/>
      <c r="APA40" s="958"/>
      <c r="APB40" s="958"/>
      <c r="APC40" s="958"/>
      <c r="APD40" s="958"/>
      <c r="APE40" s="958"/>
      <c r="APF40" s="958"/>
      <c r="APG40" s="958"/>
      <c r="APH40" s="958"/>
      <c r="API40" s="958"/>
      <c r="APJ40" s="958"/>
      <c r="APK40" s="958"/>
      <c r="APL40" s="958"/>
      <c r="APM40" s="958"/>
      <c r="APN40" s="958"/>
      <c r="APO40" s="958"/>
      <c r="APP40" s="958"/>
      <c r="APQ40" s="958"/>
      <c r="APR40" s="958"/>
      <c r="APS40" s="958"/>
      <c r="APT40" s="958"/>
      <c r="APU40" s="958"/>
      <c r="APV40" s="958"/>
      <c r="APW40" s="958"/>
      <c r="APX40" s="958"/>
      <c r="APY40" s="958"/>
      <c r="APZ40" s="958"/>
      <c r="AQA40" s="958"/>
      <c r="AQB40" s="958"/>
      <c r="AQC40" s="958"/>
      <c r="AQD40" s="958"/>
      <c r="AQE40" s="958"/>
      <c r="AQF40" s="958"/>
      <c r="AQG40" s="958"/>
      <c r="AQH40" s="958"/>
      <c r="AQI40" s="958"/>
      <c r="AQJ40" s="958"/>
      <c r="AQK40" s="958"/>
      <c r="AQL40" s="958"/>
      <c r="AQM40" s="958"/>
      <c r="AQN40" s="958"/>
      <c r="AQO40" s="958"/>
      <c r="AQP40" s="958"/>
      <c r="AQQ40" s="958"/>
      <c r="AQR40" s="958"/>
      <c r="AQS40" s="958"/>
      <c r="AQT40" s="958"/>
      <c r="AQU40" s="958"/>
      <c r="AQV40" s="958"/>
      <c r="AQW40" s="958"/>
      <c r="AQX40" s="958"/>
      <c r="AQY40" s="958"/>
      <c r="AQZ40" s="958"/>
      <c r="ARA40" s="958"/>
      <c r="ARB40" s="958"/>
      <c r="ARC40" s="958"/>
      <c r="ARD40" s="958"/>
      <c r="ARE40" s="958"/>
      <c r="ARF40" s="958"/>
      <c r="ARG40" s="958"/>
      <c r="ARH40" s="958"/>
      <c r="ARI40" s="958"/>
      <c r="ARJ40" s="958"/>
      <c r="ARK40" s="958"/>
      <c r="ARL40" s="958"/>
      <c r="ARM40" s="958"/>
      <c r="ARN40" s="958"/>
      <c r="ARO40" s="958"/>
      <c r="ARP40" s="958"/>
      <c r="ARQ40" s="958"/>
      <c r="ARR40" s="958"/>
      <c r="ARS40" s="958"/>
      <c r="ART40" s="958"/>
      <c r="ARU40" s="958"/>
      <c r="ARV40" s="958"/>
      <c r="ARW40" s="958"/>
      <c r="ARX40" s="958"/>
      <c r="ARY40" s="958"/>
      <c r="ARZ40" s="958"/>
      <c r="ASA40" s="958"/>
      <c r="ASB40" s="958"/>
      <c r="ASC40" s="958"/>
      <c r="ASD40" s="958"/>
      <c r="ASE40" s="958"/>
      <c r="ASF40" s="958"/>
      <c r="ASG40" s="958"/>
      <c r="ASH40" s="958"/>
      <c r="ASI40" s="958"/>
      <c r="ASJ40" s="958"/>
      <c r="ASK40" s="958"/>
      <c r="ASL40" s="958"/>
      <c r="ASM40" s="958"/>
      <c r="ASN40" s="958"/>
      <c r="ASO40" s="958"/>
      <c r="ASP40" s="958"/>
      <c r="ASQ40" s="958"/>
      <c r="ASR40" s="958"/>
      <c r="ASS40" s="958"/>
      <c r="AST40" s="958"/>
      <c r="ASU40" s="958"/>
      <c r="ASV40" s="958"/>
      <c r="ASW40" s="958"/>
      <c r="ASX40" s="958"/>
      <c r="ASY40" s="958"/>
      <c r="ASZ40" s="958"/>
    </row>
    <row r="41" spans="1:1196" s="22" customFormat="1" ht="134.25" customHeight="1" thickTop="1" thickBot="1">
      <c r="A41" s="2846"/>
      <c r="B41" s="2942"/>
      <c r="C41" s="3025"/>
      <c r="D41" s="171" t="s">
        <v>252</v>
      </c>
      <c r="E41" s="172" t="s">
        <v>253</v>
      </c>
      <c r="F41" s="172" t="s">
        <v>24</v>
      </c>
      <c r="G41" s="180">
        <v>272</v>
      </c>
      <c r="H41" s="81"/>
      <c r="I41" s="81"/>
      <c r="J41" s="81"/>
      <c r="K41" s="172" t="s">
        <v>249</v>
      </c>
      <c r="L41" s="497">
        <v>0</v>
      </c>
      <c r="M41" s="499"/>
      <c r="N41" s="73" t="e">
        <f t="shared" si="3"/>
        <v>#DIV/0!</v>
      </c>
      <c r="O41" s="497">
        <v>0</v>
      </c>
      <c r="P41" s="499"/>
      <c r="Q41" s="73" t="e">
        <f t="shared" si="4"/>
        <v>#DIV/0!</v>
      </c>
      <c r="R41" s="497">
        <v>0</v>
      </c>
      <c r="S41" s="499"/>
      <c r="T41" s="73" t="e">
        <f t="shared" si="5"/>
        <v>#DIV/0!</v>
      </c>
      <c r="U41" s="497">
        <v>0</v>
      </c>
      <c r="V41" s="499"/>
      <c r="W41" s="73" t="e">
        <f t="shared" si="6"/>
        <v>#DIV/0!</v>
      </c>
      <c r="X41" s="497">
        <v>34</v>
      </c>
      <c r="Y41" s="499">
        <v>34</v>
      </c>
      <c r="Z41" s="73">
        <f t="shared" si="7"/>
        <v>1</v>
      </c>
      <c r="AA41" s="497">
        <v>34</v>
      </c>
      <c r="AB41" s="497">
        <v>34</v>
      </c>
      <c r="AC41" s="73">
        <f t="shared" si="8"/>
        <v>1</v>
      </c>
      <c r="AD41" s="990">
        <f>Y41+AB41</f>
        <v>68</v>
      </c>
      <c r="AE41" s="956">
        <f t="shared" si="26"/>
        <v>0.25</v>
      </c>
      <c r="AF41" s="990">
        <v>34</v>
      </c>
      <c r="AG41" s="499">
        <v>34</v>
      </c>
      <c r="AH41" s="73">
        <f t="shared" si="11"/>
        <v>1</v>
      </c>
      <c r="AI41" s="497">
        <v>34</v>
      </c>
      <c r="AJ41" s="499">
        <v>34</v>
      </c>
      <c r="AK41" s="73">
        <f t="shared" si="27"/>
        <v>1</v>
      </c>
      <c r="AL41" s="497">
        <v>34</v>
      </c>
      <c r="AM41" s="499">
        <v>34</v>
      </c>
      <c r="AN41" s="73">
        <f t="shared" si="13"/>
        <v>1</v>
      </c>
      <c r="AO41" s="497">
        <v>34</v>
      </c>
      <c r="AP41" s="499">
        <v>34</v>
      </c>
      <c r="AQ41" s="73">
        <f t="shared" si="14"/>
        <v>1</v>
      </c>
      <c r="AR41" s="497">
        <v>34</v>
      </c>
      <c r="AS41" s="499">
        <v>34</v>
      </c>
      <c r="AT41" s="73">
        <f t="shared" si="15"/>
        <v>1</v>
      </c>
      <c r="AU41" s="497">
        <v>34</v>
      </c>
      <c r="AV41" s="499">
        <v>34</v>
      </c>
      <c r="AW41" s="73">
        <f t="shared" si="16"/>
        <v>1</v>
      </c>
      <c r="AX41" s="990">
        <f>Y41++AG41+AJ41+AM41+AP41+AS41+AV41+AB41</f>
        <v>272</v>
      </c>
      <c r="AY41" s="2815">
        <f t="shared" si="18"/>
        <v>1</v>
      </c>
      <c r="AZ41" s="958"/>
      <c r="BA41" s="958"/>
      <c r="BB41" s="958"/>
      <c r="BC41" s="958"/>
      <c r="BD41" s="958"/>
      <c r="BE41" s="958"/>
      <c r="BF41" s="958"/>
      <c r="BG41" s="958"/>
      <c r="BH41" s="958"/>
      <c r="BI41" s="958"/>
      <c r="BJ41" s="958"/>
      <c r="BK41" s="958"/>
      <c r="BL41" s="958"/>
      <c r="BM41" s="958"/>
      <c r="BN41" s="958"/>
      <c r="BO41" s="958"/>
      <c r="BP41" s="958"/>
      <c r="BQ41" s="958"/>
      <c r="BR41" s="958"/>
      <c r="BS41" s="958"/>
      <c r="BT41" s="958"/>
      <c r="BU41" s="958"/>
      <c r="BV41" s="958"/>
      <c r="BW41" s="958"/>
      <c r="BX41" s="958"/>
      <c r="BY41" s="958"/>
      <c r="BZ41" s="958"/>
      <c r="CA41" s="958"/>
      <c r="CB41" s="958"/>
      <c r="CC41" s="958"/>
      <c r="CD41" s="958"/>
      <c r="CE41" s="958"/>
      <c r="CF41" s="958"/>
      <c r="CG41" s="958"/>
      <c r="CH41" s="958"/>
      <c r="CI41" s="958"/>
      <c r="CJ41" s="958"/>
      <c r="CK41" s="958"/>
      <c r="CL41" s="958"/>
      <c r="CM41" s="958"/>
      <c r="CN41" s="958"/>
      <c r="CO41" s="958"/>
      <c r="CP41" s="958"/>
      <c r="CQ41" s="958"/>
      <c r="CR41" s="958"/>
      <c r="CS41" s="958"/>
      <c r="CT41" s="958"/>
      <c r="CU41" s="958"/>
      <c r="CV41" s="958"/>
      <c r="CW41" s="958"/>
      <c r="CX41" s="958"/>
      <c r="CY41" s="958"/>
      <c r="CZ41" s="958"/>
      <c r="DA41" s="958"/>
      <c r="DB41" s="958"/>
      <c r="DC41" s="958"/>
      <c r="DD41" s="958"/>
      <c r="DE41" s="958"/>
      <c r="DF41" s="958"/>
      <c r="DG41" s="958"/>
      <c r="DH41" s="958"/>
      <c r="DI41" s="958"/>
      <c r="DJ41" s="958"/>
      <c r="DK41" s="958"/>
      <c r="DL41" s="958"/>
      <c r="DM41" s="958"/>
      <c r="DN41" s="958"/>
      <c r="DO41" s="958"/>
      <c r="DP41" s="958"/>
      <c r="DQ41" s="958"/>
      <c r="DR41" s="958"/>
      <c r="DS41" s="958"/>
      <c r="DT41" s="958"/>
      <c r="DU41" s="958"/>
      <c r="DV41" s="958"/>
      <c r="DW41" s="958"/>
      <c r="DX41" s="958"/>
      <c r="DY41" s="958"/>
      <c r="DZ41" s="958"/>
      <c r="EA41" s="958"/>
      <c r="EB41" s="958"/>
      <c r="EC41" s="958"/>
      <c r="ED41" s="958"/>
      <c r="EE41" s="958"/>
      <c r="EF41" s="958"/>
      <c r="EG41" s="958"/>
      <c r="EH41" s="958"/>
      <c r="EI41" s="958"/>
      <c r="EJ41" s="958"/>
      <c r="EK41" s="958"/>
      <c r="EL41" s="958"/>
      <c r="EM41" s="958"/>
      <c r="EN41" s="958"/>
      <c r="EO41" s="958"/>
      <c r="EP41" s="958"/>
      <c r="EQ41" s="958"/>
      <c r="ER41" s="958"/>
      <c r="ES41" s="958"/>
      <c r="ET41" s="958"/>
      <c r="EU41" s="958"/>
      <c r="EV41" s="958"/>
      <c r="EW41" s="958"/>
      <c r="EX41" s="958"/>
      <c r="EY41" s="958"/>
      <c r="EZ41" s="958"/>
      <c r="FA41" s="958"/>
      <c r="FB41" s="958"/>
      <c r="FC41" s="958"/>
      <c r="FD41" s="958"/>
      <c r="FE41" s="958"/>
      <c r="FF41" s="958"/>
      <c r="FG41" s="958"/>
      <c r="FH41" s="958"/>
      <c r="FI41" s="958"/>
      <c r="FJ41" s="958"/>
      <c r="FK41" s="958"/>
      <c r="FL41" s="958"/>
      <c r="FM41" s="958"/>
      <c r="FN41" s="958"/>
      <c r="FO41" s="958"/>
      <c r="FP41" s="958"/>
      <c r="FQ41" s="958"/>
      <c r="FR41" s="958"/>
      <c r="FS41" s="958"/>
      <c r="FT41" s="958"/>
      <c r="FU41" s="958"/>
      <c r="FV41" s="958"/>
      <c r="FW41" s="958"/>
      <c r="FX41" s="958"/>
      <c r="FY41" s="958"/>
      <c r="FZ41" s="958"/>
      <c r="GA41" s="958"/>
      <c r="GB41" s="958"/>
      <c r="GC41" s="958"/>
      <c r="GD41" s="958"/>
      <c r="GE41" s="958"/>
      <c r="GF41" s="958"/>
      <c r="GG41" s="958"/>
      <c r="GH41" s="958"/>
      <c r="GI41" s="958"/>
      <c r="GJ41" s="958"/>
      <c r="GK41" s="958"/>
      <c r="GL41" s="958"/>
      <c r="GM41" s="958"/>
      <c r="GN41" s="958"/>
      <c r="GO41" s="958"/>
      <c r="GP41" s="958"/>
      <c r="GQ41" s="958"/>
      <c r="GR41" s="958"/>
      <c r="GS41" s="958"/>
      <c r="GT41" s="958"/>
      <c r="GU41" s="958"/>
      <c r="GV41" s="958"/>
      <c r="GW41" s="958"/>
      <c r="GX41" s="958"/>
      <c r="GY41" s="958"/>
      <c r="GZ41" s="958"/>
      <c r="HA41" s="958"/>
      <c r="HB41" s="958"/>
      <c r="HC41" s="958"/>
      <c r="HD41" s="958"/>
      <c r="HE41" s="958"/>
      <c r="HF41" s="958"/>
      <c r="HG41" s="958"/>
      <c r="HH41" s="958"/>
      <c r="HI41" s="958"/>
      <c r="HJ41" s="958"/>
      <c r="HK41" s="958"/>
      <c r="HL41" s="958"/>
      <c r="HM41" s="958"/>
      <c r="HN41" s="958"/>
      <c r="HO41" s="958"/>
      <c r="HP41" s="958"/>
      <c r="HQ41" s="958"/>
      <c r="HR41" s="958"/>
      <c r="HS41" s="958"/>
      <c r="HT41" s="958"/>
      <c r="HU41" s="958"/>
      <c r="HV41" s="958"/>
      <c r="HW41" s="958"/>
      <c r="HX41" s="958"/>
      <c r="HY41" s="958"/>
      <c r="HZ41" s="958"/>
      <c r="IA41" s="958"/>
      <c r="IB41" s="958"/>
      <c r="IC41" s="958"/>
      <c r="ID41" s="958"/>
      <c r="IE41" s="958"/>
      <c r="IF41" s="958"/>
      <c r="IG41" s="958"/>
      <c r="IH41" s="958"/>
      <c r="II41" s="958"/>
      <c r="IJ41" s="958"/>
      <c r="IK41" s="958"/>
      <c r="IL41" s="958"/>
      <c r="IM41" s="958"/>
      <c r="IN41" s="958"/>
      <c r="IO41" s="958"/>
      <c r="IP41" s="958"/>
      <c r="IQ41" s="958"/>
      <c r="IR41" s="958"/>
      <c r="IS41" s="958"/>
      <c r="IT41" s="958"/>
      <c r="IU41" s="958"/>
      <c r="IV41" s="958"/>
      <c r="IW41" s="958"/>
      <c r="IX41" s="958"/>
      <c r="IY41" s="958"/>
      <c r="IZ41" s="958"/>
      <c r="JA41" s="958"/>
      <c r="JB41" s="958"/>
      <c r="JC41" s="958"/>
      <c r="JD41" s="958"/>
      <c r="JE41" s="958"/>
      <c r="JF41" s="958"/>
      <c r="JG41" s="958"/>
      <c r="JH41" s="958"/>
      <c r="JI41" s="958"/>
      <c r="JJ41" s="958"/>
      <c r="JK41" s="958"/>
      <c r="JL41" s="958"/>
      <c r="JM41" s="958"/>
      <c r="JN41" s="958"/>
      <c r="JO41" s="958"/>
      <c r="JP41" s="958"/>
      <c r="JQ41" s="958"/>
      <c r="JR41" s="958"/>
      <c r="JS41" s="958"/>
      <c r="JT41" s="958"/>
      <c r="JU41" s="958"/>
      <c r="JV41" s="958"/>
      <c r="JW41" s="958"/>
      <c r="JX41" s="958"/>
      <c r="JY41" s="958"/>
      <c r="JZ41" s="958"/>
      <c r="KA41" s="958"/>
      <c r="KB41" s="958"/>
      <c r="KC41" s="958"/>
      <c r="KD41" s="958"/>
      <c r="KE41" s="958"/>
      <c r="KF41" s="958"/>
      <c r="KG41" s="958"/>
      <c r="KH41" s="958"/>
      <c r="KI41" s="958"/>
      <c r="KJ41" s="958"/>
      <c r="KK41" s="958"/>
      <c r="KL41" s="958"/>
      <c r="KM41" s="958"/>
      <c r="KN41" s="958"/>
      <c r="KO41" s="958"/>
      <c r="KP41" s="958"/>
      <c r="KQ41" s="958"/>
      <c r="KR41" s="958"/>
      <c r="KS41" s="958"/>
      <c r="KT41" s="958"/>
      <c r="KU41" s="958"/>
      <c r="KV41" s="958"/>
      <c r="KW41" s="958"/>
      <c r="KX41" s="958"/>
      <c r="KY41" s="958"/>
      <c r="KZ41" s="958"/>
      <c r="LA41" s="958"/>
      <c r="LB41" s="958"/>
      <c r="LC41" s="958"/>
      <c r="LD41" s="958"/>
      <c r="LE41" s="958"/>
      <c r="LF41" s="958"/>
      <c r="LG41" s="958"/>
      <c r="LH41" s="958"/>
      <c r="LI41" s="958"/>
      <c r="LJ41" s="958"/>
      <c r="LK41" s="958"/>
      <c r="LL41" s="958"/>
      <c r="LM41" s="958"/>
      <c r="LN41" s="958"/>
      <c r="LO41" s="958"/>
      <c r="LP41" s="958"/>
      <c r="LQ41" s="958"/>
      <c r="LR41" s="958"/>
      <c r="LS41" s="958"/>
      <c r="LT41" s="958"/>
      <c r="LU41" s="958"/>
      <c r="LV41" s="958"/>
      <c r="LW41" s="958"/>
      <c r="LX41" s="958"/>
      <c r="LY41" s="958"/>
      <c r="LZ41" s="958"/>
      <c r="MA41" s="958"/>
      <c r="MB41" s="958"/>
      <c r="MC41" s="958"/>
      <c r="MD41" s="958"/>
      <c r="ME41" s="958"/>
      <c r="MF41" s="958"/>
      <c r="MG41" s="958"/>
      <c r="MH41" s="958"/>
      <c r="MI41" s="958"/>
      <c r="MJ41" s="958"/>
      <c r="MK41" s="958"/>
      <c r="ML41" s="958"/>
      <c r="MM41" s="958"/>
      <c r="MN41" s="958"/>
      <c r="MO41" s="958"/>
      <c r="MP41" s="958"/>
      <c r="MQ41" s="958"/>
      <c r="MR41" s="958"/>
      <c r="MS41" s="958"/>
      <c r="MT41" s="958"/>
      <c r="MU41" s="958"/>
      <c r="MV41" s="958"/>
      <c r="MW41" s="958"/>
      <c r="MX41" s="958"/>
      <c r="MY41" s="958"/>
      <c r="MZ41" s="958"/>
      <c r="NA41" s="958"/>
      <c r="NB41" s="958"/>
      <c r="NC41" s="958"/>
      <c r="ND41" s="958"/>
      <c r="NE41" s="958"/>
      <c r="NF41" s="958"/>
      <c r="NG41" s="958"/>
      <c r="NH41" s="958"/>
      <c r="NI41" s="958"/>
      <c r="NJ41" s="958"/>
      <c r="NK41" s="958"/>
      <c r="NL41" s="958"/>
      <c r="NM41" s="958"/>
      <c r="NN41" s="958"/>
      <c r="NO41" s="958"/>
      <c r="NP41" s="958"/>
      <c r="NQ41" s="958"/>
      <c r="NR41" s="958"/>
      <c r="NS41" s="958"/>
      <c r="NT41" s="958"/>
      <c r="NU41" s="958"/>
      <c r="NV41" s="958"/>
      <c r="NW41" s="958"/>
      <c r="NX41" s="958"/>
      <c r="NY41" s="958"/>
      <c r="NZ41" s="958"/>
      <c r="OA41" s="958"/>
      <c r="OB41" s="958"/>
      <c r="OC41" s="958"/>
      <c r="OD41" s="958"/>
      <c r="OE41" s="958"/>
      <c r="OF41" s="958"/>
      <c r="OG41" s="958"/>
      <c r="OH41" s="958"/>
      <c r="OI41" s="958"/>
      <c r="OJ41" s="958"/>
      <c r="OK41" s="958"/>
      <c r="OL41" s="958"/>
      <c r="OM41" s="958"/>
      <c r="ON41" s="958"/>
      <c r="OO41" s="958"/>
      <c r="OP41" s="958"/>
      <c r="OQ41" s="958"/>
      <c r="OR41" s="958"/>
      <c r="OS41" s="958"/>
      <c r="OT41" s="958"/>
      <c r="OU41" s="958"/>
      <c r="OV41" s="958"/>
      <c r="OW41" s="958"/>
      <c r="OX41" s="958"/>
      <c r="OY41" s="958"/>
      <c r="OZ41" s="958"/>
      <c r="PA41" s="958"/>
      <c r="PB41" s="958"/>
      <c r="PC41" s="958"/>
      <c r="PD41" s="958"/>
      <c r="PE41" s="958"/>
      <c r="PF41" s="958"/>
      <c r="PG41" s="958"/>
      <c r="PH41" s="958"/>
      <c r="PI41" s="958"/>
      <c r="PJ41" s="958"/>
      <c r="PK41" s="958"/>
      <c r="PL41" s="958"/>
      <c r="PM41" s="958"/>
      <c r="PN41" s="958"/>
      <c r="PO41" s="958"/>
      <c r="PP41" s="958"/>
      <c r="PQ41" s="958"/>
      <c r="PR41" s="958"/>
      <c r="PS41" s="958"/>
      <c r="PT41" s="958"/>
      <c r="PU41" s="958"/>
      <c r="PV41" s="958"/>
      <c r="PW41" s="958"/>
      <c r="PX41" s="958"/>
      <c r="PY41" s="958"/>
      <c r="PZ41" s="958"/>
      <c r="QA41" s="958"/>
      <c r="QB41" s="958"/>
      <c r="QC41" s="958"/>
      <c r="QD41" s="958"/>
      <c r="QE41" s="958"/>
      <c r="QF41" s="958"/>
      <c r="QG41" s="958"/>
      <c r="QH41" s="958"/>
      <c r="QI41" s="958"/>
      <c r="QJ41" s="958"/>
      <c r="QK41" s="958"/>
      <c r="QL41" s="958"/>
      <c r="QM41" s="958"/>
      <c r="QN41" s="958"/>
      <c r="QO41" s="958"/>
      <c r="QP41" s="958"/>
      <c r="QQ41" s="958"/>
      <c r="QR41" s="958"/>
      <c r="QS41" s="958"/>
      <c r="QT41" s="958"/>
      <c r="QU41" s="958"/>
      <c r="QV41" s="958"/>
      <c r="QW41" s="958"/>
      <c r="QX41" s="958"/>
      <c r="QY41" s="958"/>
      <c r="QZ41" s="958"/>
      <c r="RA41" s="958"/>
      <c r="RB41" s="958"/>
      <c r="RC41" s="958"/>
      <c r="RD41" s="958"/>
      <c r="RE41" s="958"/>
      <c r="RF41" s="958"/>
      <c r="RG41" s="958"/>
      <c r="RH41" s="958"/>
      <c r="RI41" s="958"/>
      <c r="RJ41" s="958"/>
      <c r="RK41" s="958"/>
      <c r="RL41" s="958"/>
      <c r="RM41" s="958"/>
      <c r="RN41" s="958"/>
      <c r="RO41" s="958"/>
      <c r="RP41" s="958"/>
      <c r="RQ41" s="958"/>
      <c r="RR41" s="958"/>
      <c r="RS41" s="958"/>
      <c r="RT41" s="958"/>
      <c r="RU41" s="958"/>
      <c r="RV41" s="958"/>
      <c r="RW41" s="958"/>
      <c r="RX41" s="958"/>
      <c r="RY41" s="958"/>
      <c r="RZ41" s="958"/>
      <c r="SA41" s="958"/>
      <c r="SB41" s="958"/>
      <c r="SC41" s="958"/>
      <c r="SD41" s="958"/>
      <c r="SE41" s="958"/>
      <c r="SF41" s="958"/>
      <c r="SG41" s="958"/>
      <c r="SH41" s="958"/>
      <c r="SI41" s="958"/>
      <c r="SJ41" s="958"/>
      <c r="SK41" s="958"/>
      <c r="SL41" s="958"/>
      <c r="SM41" s="958"/>
      <c r="SN41" s="958"/>
      <c r="SO41" s="958"/>
      <c r="SP41" s="958"/>
      <c r="SQ41" s="958"/>
      <c r="SR41" s="958"/>
      <c r="SS41" s="958"/>
      <c r="ST41" s="958"/>
      <c r="SU41" s="958"/>
      <c r="SV41" s="958"/>
      <c r="SW41" s="958"/>
      <c r="SX41" s="958"/>
      <c r="SY41" s="958"/>
      <c r="SZ41" s="958"/>
      <c r="TA41" s="958"/>
      <c r="TB41" s="958"/>
      <c r="TC41" s="958"/>
      <c r="TD41" s="958"/>
      <c r="TE41" s="958"/>
      <c r="TF41" s="958"/>
      <c r="TG41" s="958"/>
      <c r="TH41" s="958"/>
      <c r="TI41" s="958"/>
      <c r="TJ41" s="958"/>
      <c r="TK41" s="958"/>
      <c r="TL41" s="958"/>
      <c r="TM41" s="958"/>
      <c r="TN41" s="958"/>
      <c r="TO41" s="958"/>
      <c r="TP41" s="958"/>
      <c r="TQ41" s="958"/>
      <c r="TR41" s="958"/>
      <c r="TS41" s="958"/>
      <c r="TT41" s="958"/>
      <c r="TU41" s="958"/>
      <c r="TV41" s="958"/>
      <c r="TW41" s="958"/>
      <c r="TX41" s="958"/>
      <c r="TY41" s="958"/>
      <c r="TZ41" s="958"/>
      <c r="UA41" s="958"/>
      <c r="UB41" s="958"/>
      <c r="UC41" s="958"/>
      <c r="UD41" s="958"/>
      <c r="UE41" s="958"/>
      <c r="UF41" s="958"/>
      <c r="UG41" s="958"/>
      <c r="UH41" s="958"/>
      <c r="UI41" s="958"/>
      <c r="UJ41" s="958"/>
      <c r="UK41" s="958"/>
      <c r="UL41" s="958"/>
      <c r="UM41" s="958"/>
      <c r="UN41" s="958"/>
      <c r="UO41" s="958"/>
      <c r="UP41" s="958"/>
      <c r="UQ41" s="958"/>
      <c r="UR41" s="958"/>
      <c r="US41" s="958"/>
      <c r="UT41" s="958"/>
      <c r="UU41" s="958"/>
      <c r="UV41" s="958"/>
      <c r="UW41" s="958"/>
      <c r="UX41" s="958"/>
      <c r="UY41" s="958"/>
      <c r="UZ41" s="958"/>
      <c r="VA41" s="958"/>
      <c r="VB41" s="958"/>
      <c r="VC41" s="958"/>
      <c r="VD41" s="958"/>
      <c r="VE41" s="958"/>
      <c r="VF41" s="958"/>
      <c r="VG41" s="958"/>
      <c r="VH41" s="958"/>
      <c r="VI41" s="958"/>
      <c r="VJ41" s="958"/>
      <c r="VK41" s="958"/>
      <c r="VL41" s="958"/>
      <c r="VM41" s="958"/>
      <c r="VN41" s="958"/>
      <c r="VO41" s="958"/>
      <c r="VP41" s="958"/>
      <c r="VQ41" s="958"/>
      <c r="VR41" s="958"/>
      <c r="VS41" s="958"/>
      <c r="VT41" s="958"/>
      <c r="VU41" s="958"/>
      <c r="VV41" s="958"/>
      <c r="VW41" s="958"/>
      <c r="VX41" s="958"/>
      <c r="VY41" s="958"/>
      <c r="VZ41" s="958"/>
      <c r="WA41" s="958"/>
      <c r="WB41" s="958"/>
      <c r="WC41" s="958"/>
      <c r="WD41" s="958"/>
      <c r="WE41" s="958"/>
      <c r="WF41" s="958"/>
      <c r="WG41" s="958"/>
      <c r="WH41" s="958"/>
      <c r="WI41" s="958"/>
      <c r="WJ41" s="958"/>
      <c r="WK41" s="958"/>
      <c r="WL41" s="958"/>
      <c r="WM41" s="958"/>
      <c r="WN41" s="958"/>
      <c r="WO41" s="958"/>
      <c r="WP41" s="958"/>
      <c r="WQ41" s="958"/>
      <c r="WR41" s="958"/>
      <c r="WS41" s="958"/>
      <c r="WT41" s="958"/>
      <c r="WU41" s="958"/>
      <c r="WV41" s="958"/>
      <c r="WW41" s="958"/>
      <c r="WX41" s="958"/>
      <c r="WY41" s="958"/>
      <c r="WZ41" s="958"/>
      <c r="XA41" s="958"/>
      <c r="XB41" s="958"/>
      <c r="XC41" s="958"/>
      <c r="XD41" s="958"/>
      <c r="XE41" s="958"/>
      <c r="XF41" s="958"/>
      <c r="XG41" s="958"/>
      <c r="XH41" s="958"/>
      <c r="XI41" s="958"/>
      <c r="XJ41" s="958"/>
      <c r="XK41" s="958"/>
      <c r="XL41" s="958"/>
      <c r="XM41" s="958"/>
      <c r="XN41" s="958"/>
      <c r="XO41" s="958"/>
      <c r="XP41" s="958"/>
      <c r="XQ41" s="958"/>
      <c r="XR41" s="958"/>
      <c r="XS41" s="958"/>
      <c r="XT41" s="958"/>
      <c r="XU41" s="958"/>
      <c r="XV41" s="958"/>
      <c r="XW41" s="958"/>
      <c r="XX41" s="958"/>
      <c r="XY41" s="958"/>
      <c r="XZ41" s="958"/>
      <c r="YA41" s="958"/>
      <c r="YB41" s="958"/>
      <c r="YC41" s="958"/>
      <c r="YD41" s="958"/>
      <c r="YE41" s="958"/>
      <c r="YF41" s="958"/>
      <c r="YG41" s="958"/>
      <c r="YH41" s="958"/>
      <c r="YI41" s="958"/>
      <c r="YJ41" s="958"/>
      <c r="YK41" s="958"/>
      <c r="YL41" s="958"/>
      <c r="YM41" s="958"/>
      <c r="YN41" s="958"/>
      <c r="YO41" s="958"/>
      <c r="YP41" s="958"/>
      <c r="YQ41" s="958"/>
      <c r="YR41" s="958"/>
      <c r="YS41" s="958"/>
      <c r="YT41" s="958"/>
      <c r="YU41" s="958"/>
      <c r="YV41" s="958"/>
      <c r="YW41" s="958"/>
      <c r="YX41" s="958"/>
      <c r="YY41" s="958"/>
      <c r="YZ41" s="958"/>
      <c r="ZA41" s="958"/>
      <c r="ZB41" s="958"/>
      <c r="ZC41" s="958"/>
      <c r="ZD41" s="958"/>
      <c r="ZE41" s="958"/>
      <c r="ZF41" s="958"/>
      <c r="ZG41" s="958"/>
      <c r="ZH41" s="958"/>
      <c r="ZI41" s="958"/>
      <c r="ZJ41" s="958"/>
      <c r="ZK41" s="958"/>
      <c r="ZL41" s="958"/>
      <c r="ZM41" s="958"/>
      <c r="ZN41" s="958"/>
      <c r="ZO41" s="958"/>
      <c r="ZP41" s="958"/>
      <c r="ZQ41" s="958"/>
      <c r="ZR41" s="958"/>
      <c r="ZS41" s="958"/>
      <c r="ZT41" s="958"/>
      <c r="ZU41" s="958"/>
      <c r="ZV41" s="958"/>
      <c r="ZW41" s="958"/>
      <c r="ZX41" s="958"/>
      <c r="ZY41" s="958"/>
      <c r="ZZ41" s="958"/>
      <c r="AAA41" s="958"/>
      <c r="AAB41" s="958"/>
      <c r="AAC41" s="958"/>
      <c r="AAD41" s="958"/>
      <c r="AAE41" s="958"/>
      <c r="AAF41" s="958"/>
      <c r="AAG41" s="958"/>
      <c r="AAH41" s="958"/>
      <c r="AAI41" s="958"/>
      <c r="AAJ41" s="958"/>
      <c r="AAK41" s="958"/>
      <c r="AAL41" s="958"/>
      <c r="AAM41" s="958"/>
      <c r="AAN41" s="958"/>
      <c r="AAO41" s="958"/>
      <c r="AAP41" s="958"/>
      <c r="AAQ41" s="958"/>
      <c r="AAR41" s="958"/>
      <c r="AAS41" s="958"/>
      <c r="AAT41" s="958"/>
      <c r="AAU41" s="958"/>
      <c r="AAV41" s="958"/>
      <c r="AAW41" s="958"/>
      <c r="AAX41" s="958"/>
      <c r="AAY41" s="958"/>
      <c r="AAZ41" s="958"/>
      <c r="ABA41" s="958"/>
      <c r="ABB41" s="958"/>
      <c r="ABC41" s="958"/>
      <c r="ABD41" s="958"/>
      <c r="ABE41" s="958"/>
      <c r="ABF41" s="958"/>
      <c r="ABG41" s="958"/>
      <c r="ABH41" s="958"/>
      <c r="ABI41" s="958"/>
      <c r="ABJ41" s="958"/>
      <c r="ABK41" s="958"/>
      <c r="ABL41" s="958"/>
      <c r="ABM41" s="958"/>
      <c r="ABN41" s="958"/>
      <c r="ABO41" s="958"/>
      <c r="ABP41" s="958"/>
      <c r="ABQ41" s="958"/>
      <c r="ABR41" s="958"/>
      <c r="ABS41" s="958"/>
      <c r="ABT41" s="958"/>
      <c r="ABU41" s="958"/>
      <c r="ABV41" s="958"/>
      <c r="ABW41" s="958"/>
      <c r="ABX41" s="958"/>
      <c r="ABY41" s="958"/>
      <c r="ABZ41" s="958"/>
      <c r="ACA41" s="958"/>
      <c r="ACB41" s="958"/>
      <c r="ACC41" s="958"/>
      <c r="ACD41" s="958"/>
      <c r="ACE41" s="958"/>
      <c r="ACF41" s="958"/>
      <c r="ACG41" s="958"/>
      <c r="ACH41" s="958"/>
      <c r="ACI41" s="958"/>
      <c r="ACJ41" s="958"/>
      <c r="ACK41" s="958"/>
      <c r="ACL41" s="958"/>
      <c r="ACM41" s="958"/>
      <c r="ACN41" s="958"/>
      <c r="ACO41" s="958"/>
      <c r="ACP41" s="958"/>
      <c r="ACQ41" s="958"/>
      <c r="ACR41" s="958"/>
      <c r="ACS41" s="958"/>
      <c r="ACT41" s="958"/>
      <c r="ACU41" s="958"/>
      <c r="ACV41" s="958"/>
      <c r="ACW41" s="958"/>
      <c r="ACX41" s="958"/>
      <c r="ACY41" s="958"/>
      <c r="ACZ41" s="958"/>
      <c r="ADA41" s="958"/>
      <c r="ADB41" s="958"/>
      <c r="ADC41" s="958"/>
      <c r="ADD41" s="958"/>
      <c r="ADE41" s="958"/>
      <c r="ADF41" s="958"/>
      <c r="ADG41" s="958"/>
      <c r="ADH41" s="958"/>
      <c r="ADI41" s="958"/>
      <c r="ADJ41" s="958"/>
      <c r="ADK41" s="958"/>
      <c r="ADL41" s="958"/>
      <c r="ADM41" s="958"/>
      <c r="ADN41" s="958"/>
      <c r="ADO41" s="958"/>
      <c r="ADP41" s="958"/>
      <c r="ADQ41" s="958"/>
      <c r="ADR41" s="958"/>
      <c r="ADS41" s="958"/>
      <c r="ADT41" s="958"/>
      <c r="ADU41" s="958"/>
      <c r="ADV41" s="958"/>
      <c r="ADW41" s="958"/>
      <c r="ADX41" s="958"/>
      <c r="ADY41" s="958"/>
      <c r="ADZ41" s="958"/>
      <c r="AEA41" s="958"/>
      <c r="AEB41" s="958"/>
      <c r="AEC41" s="958"/>
      <c r="AED41" s="958"/>
      <c r="AEE41" s="958"/>
      <c r="AEF41" s="958"/>
      <c r="AEG41" s="958"/>
      <c r="AEH41" s="958"/>
      <c r="AEI41" s="958"/>
      <c r="AEJ41" s="958"/>
      <c r="AEK41" s="958"/>
      <c r="AEL41" s="958"/>
      <c r="AEM41" s="958"/>
      <c r="AEN41" s="958"/>
      <c r="AEO41" s="958"/>
      <c r="AEP41" s="958"/>
      <c r="AEQ41" s="958"/>
      <c r="AER41" s="958"/>
      <c r="AES41" s="958"/>
      <c r="AET41" s="958"/>
      <c r="AEU41" s="958"/>
      <c r="AEV41" s="958"/>
      <c r="AEW41" s="958"/>
      <c r="AEX41" s="958"/>
      <c r="AEY41" s="958"/>
      <c r="AEZ41" s="958"/>
      <c r="AFA41" s="958"/>
      <c r="AFB41" s="958"/>
      <c r="AFC41" s="958"/>
      <c r="AFD41" s="958"/>
      <c r="AFE41" s="958"/>
      <c r="AFF41" s="958"/>
      <c r="AFG41" s="958"/>
      <c r="AFH41" s="958"/>
      <c r="AFI41" s="958"/>
      <c r="AFJ41" s="958"/>
      <c r="AFK41" s="958"/>
      <c r="AFL41" s="958"/>
      <c r="AFM41" s="958"/>
      <c r="AFN41" s="958"/>
      <c r="AFO41" s="958"/>
      <c r="AFP41" s="958"/>
      <c r="AFQ41" s="958"/>
      <c r="AFR41" s="958"/>
      <c r="AFS41" s="958"/>
      <c r="AFT41" s="958"/>
      <c r="AFU41" s="958"/>
      <c r="AFV41" s="958"/>
      <c r="AFW41" s="958"/>
      <c r="AFX41" s="958"/>
      <c r="AFY41" s="958"/>
      <c r="AFZ41" s="958"/>
      <c r="AGA41" s="958"/>
      <c r="AGB41" s="958"/>
      <c r="AGC41" s="958"/>
      <c r="AGD41" s="958"/>
      <c r="AGE41" s="958"/>
      <c r="AGF41" s="958"/>
      <c r="AGG41" s="958"/>
      <c r="AGH41" s="958"/>
      <c r="AGI41" s="958"/>
      <c r="AGJ41" s="958"/>
      <c r="AGK41" s="958"/>
      <c r="AGL41" s="958"/>
      <c r="AGM41" s="958"/>
      <c r="AGN41" s="958"/>
      <c r="AGO41" s="958"/>
      <c r="AGP41" s="958"/>
      <c r="AGQ41" s="958"/>
      <c r="AGR41" s="958"/>
      <c r="AGS41" s="958"/>
      <c r="AGT41" s="958"/>
      <c r="AGU41" s="958"/>
      <c r="AGV41" s="958"/>
      <c r="AGW41" s="958"/>
      <c r="AGX41" s="958"/>
      <c r="AGY41" s="958"/>
      <c r="AGZ41" s="958"/>
      <c r="AHA41" s="958"/>
      <c r="AHB41" s="958"/>
      <c r="AHC41" s="958"/>
      <c r="AHD41" s="958"/>
      <c r="AHE41" s="958"/>
      <c r="AHF41" s="958"/>
      <c r="AHG41" s="958"/>
      <c r="AHH41" s="958"/>
      <c r="AHI41" s="958"/>
      <c r="AHJ41" s="958"/>
      <c r="AHK41" s="958"/>
      <c r="AHL41" s="958"/>
      <c r="AHM41" s="958"/>
      <c r="AHN41" s="958"/>
      <c r="AHO41" s="958"/>
      <c r="AHP41" s="958"/>
      <c r="AHQ41" s="958"/>
      <c r="AHR41" s="958"/>
      <c r="AHS41" s="958"/>
      <c r="AHT41" s="958"/>
      <c r="AHU41" s="958"/>
      <c r="AHV41" s="958"/>
      <c r="AHW41" s="958"/>
      <c r="AHX41" s="958"/>
      <c r="AHY41" s="958"/>
      <c r="AHZ41" s="958"/>
      <c r="AIA41" s="958"/>
      <c r="AIB41" s="958"/>
      <c r="AIC41" s="958"/>
      <c r="AID41" s="958"/>
      <c r="AIE41" s="958"/>
      <c r="AIF41" s="958"/>
      <c r="AIG41" s="958"/>
      <c r="AIH41" s="958"/>
      <c r="AII41" s="958"/>
      <c r="AIJ41" s="958"/>
      <c r="AIK41" s="958"/>
      <c r="AIL41" s="958"/>
      <c r="AIM41" s="958"/>
      <c r="AIN41" s="958"/>
      <c r="AIO41" s="958"/>
      <c r="AIP41" s="958"/>
      <c r="AIQ41" s="958"/>
      <c r="AIR41" s="958"/>
      <c r="AIS41" s="958"/>
      <c r="AIT41" s="958"/>
      <c r="AIU41" s="958"/>
      <c r="AIV41" s="958"/>
      <c r="AIW41" s="958"/>
      <c r="AIX41" s="958"/>
      <c r="AIY41" s="958"/>
      <c r="AIZ41" s="958"/>
      <c r="AJA41" s="958"/>
      <c r="AJB41" s="958"/>
      <c r="AJC41" s="958"/>
      <c r="AJD41" s="958"/>
      <c r="AJE41" s="958"/>
      <c r="AJF41" s="958"/>
      <c r="AJG41" s="958"/>
      <c r="AJH41" s="958"/>
      <c r="AJI41" s="958"/>
      <c r="AJJ41" s="958"/>
      <c r="AJK41" s="958"/>
      <c r="AJL41" s="958"/>
      <c r="AJM41" s="958"/>
      <c r="AJN41" s="958"/>
      <c r="AJO41" s="958"/>
      <c r="AJP41" s="958"/>
      <c r="AJQ41" s="958"/>
      <c r="AJR41" s="958"/>
      <c r="AJS41" s="958"/>
      <c r="AJT41" s="958"/>
      <c r="AJU41" s="958"/>
      <c r="AJV41" s="958"/>
      <c r="AJW41" s="958"/>
      <c r="AJX41" s="958"/>
      <c r="AJY41" s="958"/>
      <c r="AJZ41" s="958"/>
      <c r="AKA41" s="958"/>
      <c r="AKB41" s="958"/>
      <c r="AKC41" s="958"/>
      <c r="AKD41" s="958"/>
      <c r="AKE41" s="958"/>
      <c r="AKF41" s="958"/>
      <c r="AKG41" s="958"/>
      <c r="AKH41" s="958"/>
      <c r="AKI41" s="958"/>
      <c r="AKJ41" s="958"/>
      <c r="AKK41" s="958"/>
      <c r="AKL41" s="958"/>
      <c r="AKM41" s="958"/>
      <c r="AKN41" s="958"/>
      <c r="AKO41" s="958"/>
      <c r="AKP41" s="958"/>
      <c r="AKQ41" s="958"/>
      <c r="AKR41" s="958"/>
      <c r="AKS41" s="958"/>
      <c r="AKT41" s="958"/>
      <c r="AKU41" s="958"/>
      <c r="AKV41" s="958"/>
      <c r="AKW41" s="958"/>
      <c r="AKX41" s="958"/>
      <c r="AKY41" s="958"/>
      <c r="AKZ41" s="958"/>
      <c r="ALA41" s="958"/>
      <c r="ALB41" s="958"/>
      <c r="ALC41" s="958"/>
      <c r="ALD41" s="958"/>
      <c r="ALE41" s="958"/>
      <c r="ALF41" s="958"/>
      <c r="ALG41" s="958"/>
      <c r="ALH41" s="958"/>
      <c r="ALI41" s="958"/>
      <c r="ALJ41" s="958"/>
      <c r="ALK41" s="958"/>
      <c r="ALL41" s="958"/>
      <c r="ALM41" s="958"/>
      <c r="ALN41" s="958"/>
      <c r="ALO41" s="958"/>
      <c r="ALP41" s="958"/>
      <c r="ALQ41" s="958"/>
      <c r="ALR41" s="958"/>
      <c r="ALS41" s="958"/>
      <c r="ALT41" s="958"/>
      <c r="ALU41" s="958"/>
      <c r="ALV41" s="958"/>
      <c r="ALW41" s="958"/>
      <c r="ALX41" s="958"/>
      <c r="ALY41" s="958"/>
      <c r="ALZ41" s="958"/>
      <c r="AMA41" s="958"/>
      <c r="AMB41" s="958"/>
      <c r="AMC41" s="958"/>
      <c r="AMD41" s="958"/>
      <c r="AME41" s="958"/>
      <c r="AMF41" s="958"/>
      <c r="AMG41" s="958"/>
      <c r="AMH41" s="958"/>
      <c r="AMI41" s="958"/>
      <c r="AMJ41" s="958"/>
      <c r="AMK41" s="958"/>
      <c r="AML41" s="958"/>
      <c r="AMM41" s="958"/>
      <c r="AMN41" s="958"/>
      <c r="AMO41" s="958"/>
      <c r="AMP41" s="958"/>
      <c r="AMQ41" s="958"/>
      <c r="AMR41" s="958"/>
      <c r="AMS41" s="958"/>
      <c r="AMT41" s="958"/>
      <c r="AMU41" s="958"/>
      <c r="AMV41" s="958"/>
      <c r="AMW41" s="958"/>
      <c r="AMX41" s="958"/>
      <c r="AMY41" s="958"/>
      <c r="AMZ41" s="958"/>
      <c r="ANA41" s="958"/>
      <c r="ANB41" s="958"/>
      <c r="ANC41" s="958"/>
      <c r="AND41" s="958"/>
      <c r="ANE41" s="958"/>
      <c r="ANF41" s="958"/>
      <c r="ANG41" s="958"/>
      <c r="ANH41" s="958"/>
      <c r="ANI41" s="958"/>
      <c r="ANJ41" s="958"/>
      <c r="ANK41" s="958"/>
      <c r="ANL41" s="958"/>
      <c r="ANM41" s="958"/>
      <c r="ANN41" s="958"/>
      <c r="ANO41" s="958"/>
      <c r="ANP41" s="958"/>
      <c r="ANQ41" s="958"/>
      <c r="ANR41" s="958"/>
      <c r="ANS41" s="958"/>
      <c r="ANT41" s="958"/>
      <c r="ANU41" s="958"/>
      <c r="ANV41" s="958"/>
      <c r="ANW41" s="958"/>
      <c r="ANX41" s="958"/>
      <c r="ANY41" s="958"/>
      <c r="ANZ41" s="958"/>
      <c r="AOA41" s="958"/>
      <c r="AOB41" s="958"/>
      <c r="AOC41" s="958"/>
      <c r="AOD41" s="958"/>
      <c r="AOE41" s="958"/>
      <c r="AOF41" s="958"/>
      <c r="AOG41" s="958"/>
      <c r="AOH41" s="958"/>
      <c r="AOI41" s="958"/>
      <c r="AOJ41" s="958"/>
      <c r="AOK41" s="958"/>
      <c r="AOL41" s="958"/>
      <c r="AOM41" s="958"/>
      <c r="AON41" s="958"/>
      <c r="AOO41" s="958"/>
      <c r="AOP41" s="958"/>
      <c r="AOQ41" s="958"/>
      <c r="AOR41" s="958"/>
      <c r="AOS41" s="958"/>
      <c r="AOT41" s="958"/>
      <c r="AOU41" s="958"/>
      <c r="AOV41" s="958"/>
      <c r="AOW41" s="958"/>
      <c r="AOX41" s="958"/>
      <c r="AOY41" s="958"/>
      <c r="AOZ41" s="958"/>
      <c r="APA41" s="958"/>
      <c r="APB41" s="958"/>
      <c r="APC41" s="958"/>
      <c r="APD41" s="958"/>
      <c r="APE41" s="958"/>
      <c r="APF41" s="958"/>
      <c r="APG41" s="958"/>
      <c r="APH41" s="958"/>
      <c r="API41" s="958"/>
      <c r="APJ41" s="958"/>
      <c r="APK41" s="958"/>
      <c r="APL41" s="958"/>
      <c r="APM41" s="958"/>
      <c r="APN41" s="958"/>
      <c r="APO41" s="958"/>
      <c r="APP41" s="958"/>
      <c r="APQ41" s="958"/>
      <c r="APR41" s="958"/>
      <c r="APS41" s="958"/>
      <c r="APT41" s="958"/>
      <c r="APU41" s="958"/>
      <c r="APV41" s="958"/>
      <c r="APW41" s="958"/>
      <c r="APX41" s="958"/>
      <c r="APY41" s="958"/>
      <c r="APZ41" s="958"/>
      <c r="AQA41" s="958"/>
      <c r="AQB41" s="958"/>
      <c r="AQC41" s="958"/>
      <c r="AQD41" s="958"/>
      <c r="AQE41" s="958"/>
      <c r="AQF41" s="958"/>
      <c r="AQG41" s="958"/>
      <c r="AQH41" s="958"/>
      <c r="AQI41" s="958"/>
      <c r="AQJ41" s="958"/>
      <c r="AQK41" s="958"/>
      <c r="AQL41" s="958"/>
      <c r="AQM41" s="958"/>
      <c r="AQN41" s="958"/>
      <c r="AQO41" s="958"/>
      <c r="AQP41" s="958"/>
      <c r="AQQ41" s="958"/>
      <c r="AQR41" s="958"/>
      <c r="AQS41" s="958"/>
      <c r="AQT41" s="958"/>
      <c r="AQU41" s="958"/>
      <c r="AQV41" s="958"/>
      <c r="AQW41" s="958"/>
      <c r="AQX41" s="958"/>
      <c r="AQY41" s="958"/>
      <c r="AQZ41" s="958"/>
      <c r="ARA41" s="958"/>
      <c r="ARB41" s="958"/>
      <c r="ARC41" s="958"/>
      <c r="ARD41" s="958"/>
      <c r="ARE41" s="958"/>
      <c r="ARF41" s="958"/>
      <c r="ARG41" s="958"/>
      <c r="ARH41" s="958"/>
      <c r="ARI41" s="958"/>
      <c r="ARJ41" s="958"/>
      <c r="ARK41" s="958"/>
      <c r="ARL41" s="958"/>
      <c r="ARM41" s="958"/>
      <c r="ARN41" s="958"/>
      <c r="ARO41" s="958"/>
      <c r="ARP41" s="958"/>
      <c r="ARQ41" s="958"/>
      <c r="ARR41" s="958"/>
      <c r="ARS41" s="958"/>
      <c r="ART41" s="958"/>
      <c r="ARU41" s="958"/>
      <c r="ARV41" s="958"/>
      <c r="ARW41" s="958"/>
      <c r="ARX41" s="958"/>
      <c r="ARY41" s="958"/>
      <c r="ARZ41" s="958"/>
      <c r="ASA41" s="958"/>
      <c r="ASB41" s="958"/>
      <c r="ASC41" s="958"/>
      <c r="ASD41" s="958"/>
      <c r="ASE41" s="958"/>
      <c r="ASF41" s="958"/>
      <c r="ASG41" s="958"/>
      <c r="ASH41" s="958"/>
      <c r="ASI41" s="958"/>
      <c r="ASJ41" s="958"/>
      <c r="ASK41" s="958"/>
      <c r="ASL41" s="958"/>
      <c r="ASM41" s="958"/>
      <c r="ASN41" s="958"/>
      <c r="ASO41" s="958"/>
      <c r="ASP41" s="958"/>
      <c r="ASQ41" s="958"/>
      <c r="ASR41" s="958"/>
      <c r="ASS41" s="958"/>
      <c r="AST41" s="958"/>
      <c r="ASU41" s="958"/>
      <c r="ASV41" s="958"/>
      <c r="ASW41" s="958"/>
      <c r="ASX41" s="958"/>
      <c r="ASY41" s="958"/>
      <c r="ASZ41" s="958"/>
    </row>
    <row r="42" spans="1:1196" s="22" customFormat="1" ht="134.25" customHeight="1" thickTop="1" thickBot="1">
      <c r="A42" s="2847"/>
      <c r="B42" s="2942"/>
      <c r="C42" s="3025"/>
      <c r="D42" s="111" t="s">
        <v>254</v>
      </c>
      <c r="E42" s="177" t="s">
        <v>255</v>
      </c>
      <c r="F42" s="177" t="s">
        <v>10</v>
      </c>
      <c r="G42" s="184">
        <v>1</v>
      </c>
      <c r="H42" s="90"/>
      <c r="I42" s="185"/>
      <c r="J42" s="90"/>
      <c r="K42" s="177" t="s">
        <v>249</v>
      </c>
      <c r="L42" s="987">
        <v>1</v>
      </c>
      <c r="M42" s="988">
        <f>94/94</f>
        <v>1</v>
      </c>
      <c r="N42" s="73">
        <f t="shared" si="3"/>
        <v>1</v>
      </c>
      <c r="O42" s="987">
        <v>1</v>
      </c>
      <c r="P42" s="988">
        <f>17/17</f>
        <v>1</v>
      </c>
      <c r="Q42" s="73">
        <f t="shared" si="4"/>
        <v>1</v>
      </c>
      <c r="R42" s="987">
        <v>1</v>
      </c>
      <c r="S42" s="988">
        <f>4/5</f>
        <v>0.8</v>
      </c>
      <c r="T42" s="73">
        <f t="shared" si="5"/>
        <v>0.8</v>
      </c>
      <c r="U42" s="987">
        <v>1</v>
      </c>
      <c r="V42" s="988">
        <v>0</v>
      </c>
      <c r="W42" s="73">
        <f t="shared" si="6"/>
        <v>0</v>
      </c>
      <c r="X42" s="987">
        <v>1</v>
      </c>
      <c r="Y42" s="988">
        <f>44/44</f>
        <v>1</v>
      </c>
      <c r="Z42" s="73">
        <f t="shared" si="7"/>
        <v>1</v>
      </c>
      <c r="AA42" s="987">
        <v>1</v>
      </c>
      <c r="AB42" s="987">
        <f>15/23</f>
        <v>0.65217391304347827</v>
      </c>
      <c r="AC42" s="73">
        <f t="shared" si="8"/>
        <v>0.65217391304347827</v>
      </c>
      <c r="AD42" s="989">
        <f>(M42+P42+S42+V42+Y42+AB42)/6</f>
        <v>0.74202898550724639</v>
      </c>
      <c r="AE42" s="956">
        <f t="shared" si="26"/>
        <v>0.74202898550724639</v>
      </c>
      <c r="AF42" s="989">
        <v>1</v>
      </c>
      <c r="AG42" s="988">
        <f>22/46</f>
        <v>0.47826086956521741</v>
      </c>
      <c r="AH42" s="73">
        <f t="shared" si="11"/>
        <v>0.47826086956521741</v>
      </c>
      <c r="AI42" s="987">
        <v>1</v>
      </c>
      <c r="AJ42" s="988">
        <f>22/26</f>
        <v>0.84615384615384615</v>
      </c>
      <c r="AK42" s="73">
        <f t="shared" si="27"/>
        <v>0.84615384615384615</v>
      </c>
      <c r="AL42" s="987">
        <v>1</v>
      </c>
      <c r="AM42" s="988">
        <f>32/40</f>
        <v>0.8</v>
      </c>
      <c r="AN42" s="73">
        <f t="shared" si="13"/>
        <v>0.8</v>
      </c>
      <c r="AO42" s="987">
        <v>1</v>
      </c>
      <c r="AP42" s="988">
        <f>190/202</f>
        <v>0.94059405940594054</v>
      </c>
      <c r="AQ42" s="73">
        <f t="shared" si="14"/>
        <v>0.94059405940594054</v>
      </c>
      <c r="AR42" s="987">
        <v>1</v>
      </c>
      <c r="AS42" s="988">
        <f>7/7</f>
        <v>1</v>
      </c>
      <c r="AT42" s="73">
        <f t="shared" si="15"/>
        <v>1</v>
      </c>
      <c r="AU42" s="987">
        <v>1</v>
      </c>
      <c r="AV42" s="988">
        <f>53/53</f>
        <v>1</v>
      </c>
      <c r="AW42" s="73">
        <f t="shared" si="16"/>
        <v>1</v>
      </c>
      <c r="AX42" s="989">
        <f>(M42+P42+S42+V42+Y42++AG42+AJ42+AM42+AP42+AS42+AV42+AB42)/12</f>
        <v>0.79309855734737356</v>
      </c>
      <c r="AY42" s="956">
        <f t="shared" si="18"/>
        <v>0.79309855734737356</v>
      </c>
      <c r="AZ42" s="958"/>
      <c r="BA42" s="958"/>
      <c r="BB42" s="958"/>
      <c r="BC42" s="958"/>
      <c r="BD42" s="958"/>
      <c r="BE42" s="958"/>
      <c r="BF42" s="958"/>
      <c r="BG42" s="958"/>
      <c r="BH42" s="958"/>
      <c r="BI42" s="958"/>
      <c r="BJ42" s="958"/>
      <c r="BK42" s="958"/>
      <c r="BL42" s="958"/>
      <c r="BM42" s="958"/>
      <c r="BN42" s="958"/>
      <c r="BO42" s="958"/>
      <c r="BP42" s="958"/>
      <c r="BQ42" s="958"/>
      <c r="BR42" s="958"/>
      <c r="BS42" s="958"/>
      <c r="BT42" s="958"/>
      <c r="BU42" s="958"/>
      <c r="BV42" s="958"/>
      <c r="BW42" s="958"/>
      <c r="BX42" s="958"/>
      <c r="BY42" s="958"/>
      <c r="BZ42" s="958"/>
      <c r="CA42" s="958"/>
      <c r="CB42" s="958"/>
      <c r="CC42" s="958"/>
      <c r="CD42" s="958"/>
      <c r="CE42" s="958"/>
      <c r="CF42" s="958"/>
      <c r="CG42" s="958"/>
      <c r="CH42" s="958"/>
      <c r="CI42" s="958"/>
      <c r="CJ42" s="958"/>
      <c r="CK42" s="958"/>
      <c r="CL42" s="958"/>
      <c r="CM42" s="958"/>
      <c r="CN42" s="958"/>
      <c r="CO42" s="958"/>
      <c r="CP42" s="958"/>
      <c r="CQ42" s="958"/>
      <c r="CR42" s="958"/>
      <c r="CS42" s="958"/>
      <c r="CT42" s="958"/>
      <c r="CU42" s="958"/>
      <c r="CV42" s="958"/>
      <c r="CW42" s="958"/>
      <c r="CX42" s="958"/>
      <c r="CY42" s="958"/>
      <c r="CZ42" s="958"/>
      <c r="DA42" s="958"/>
      <c r="DB42" s="958"/>
      <c r="DC42" s="958"/>
      <c r="DD42" s="958"/>
      <c r="DE42" s="958"/>
      <c r="DF42" s="958"/>
      <c r="DG42" s="958"/>
      <c r="DH42" s="958"/>
      <c r="DI42" s="958"/>
      <c r="DJ42" s="958"/>
      <c r="DK42" s="958"/>
      <c r="DL42" s="958"/>
      <c r="DM42" s="958"/>
      <c r="DN42" s="958"/>
      <c r="DO42" s="958"/>
      <c r="DP42" s="958"/>
      <c r="DQ42" s="958"/>
      <c r="DR42" s="958"/>
      <c r="DS42" s="958"/>
      <c r="DT42" s="958"/>
      <c r="DU42" s="958"/>
      <c r="DV42" s="958"/>
      <c r="DW42" s="958"/>
      <c r="DX42" s="958"/>
      <c r="DY42" s="958"/>
      <c r="DZ42" s="958"/>
      <c r="EA42" s="958"/>
      <c r="EB42" s="958"/>
      <c r="EC42" s="958"/>
      <c r="ED42" s="958"/>
      <c r="EE42" s="958"/>
      <c r="EF42" s="958"/>
      <c r="EG42" s="958"/>
      <c r="EH42" s="958"/>
      <c r="EI42" s="958"/>
      <c r="EJ42" s="958"/>
      <c r="EK42" s="958"/>
      <c r="EL42" s="958"/>
      <c r="EM42" s="958"/>
      <c r="EN42" s="958"/>
      <c r="EO42" s="958"/>
      <c r="EP42" s="958"/>
      <c r="EQ42" s="958"/>
      <c r="ER42" s="958"/>
      <c r="ES42" s="958"/>
      <c r="ET42" s="958"/>
      <c r="EU42" s="958"/>
      <c r="EV42" s="958"/>
      <c r="EW42" s="958"/>
      <c r="EX42" s="958"/>
      <c r="EY42" s="958"/>
      <c r="EZ42" s="958"/>
      <c r="FA42" s="958"/>
      <c r="FB42" s="958"/>
      <c r="FC42" s="958"/>
      <c r="FD42" s="958"/>
      <c r="FE42" s="958"/>
      <c r="FF42" s="958"/>
      <c r="FG42" s="958"/>
      <c r="FH42" s="958"/>
      <c r="FI42" s="958"/>
      <c r="FJ42" s="958"/>
      <c r="FK42" s="958"/>
      <c r="FL42" s="958"/>
      <c r="FM42" s="958"/>
      <c r="FN42" s="958"/>
      <c r="FO42" s="958"/>
      <c r="FP42" s="958"/>
      <c r="FQ42" s="958"/>
      <c r="FR42" s="958"/>
      <c r="FS42" s="958"/>
      <c r="FT42" s="958"/>
      <c r="FU42" s="958"/>
      <c r="FV42" s="958"/>
      <c r="FW42" s="958"/>
      <c r="FX42" s="958"/>
      <c r="FY42" s="958"/>
      <c r="FZ42" s="958"/>
      <c r="GA42" s="958"/>
      <c r="GB42" s="958"/>
      <c r="GC42" s="958"/>
      <c r="GD42" s="958"/>
      <c r="GE42" s="958"/>
      <c r="GF42" s="958"/>
      <c r="GG42" s="958"/>
      <c r="GH42" s="958"/>
      <c r="GI42" s="958"/>
      <c r="GJ42" s="958"/>
      <c r="GK42" s="958"/>
      <c r="GL42" s="958"/>
      <c r="GM42" s="958"/>
      <c r="GN42" s="958"/>
      <c r="GO42" s="958"/>
      <c r="GP42" s="958"/>
      <c r="GQ42" s="958"/>
      <c r="GR42" s="958"/>
      <c r="GS42" s="958"/>
      <c r="GT42" s="958"/>
      <c r="GU42" s="958"/>
      <c r="GV42" s="958"/>
      <c r="GW42" s="958"/>
      <c r="GX42" s="958"/>
      <c r="GY42" s="958"/>
      <c r="GZ42" s="958"/>
      <c r="HA42" s="958"/>
      <c r="HB42" s="958"/>
      <c r="HC42" s="958"/>
      <c r="HD42" s="958"/>
      <c r="HE42" s="958"/>
      <c r="HF42" s="958"/>
      <c r="HG42" s="958"/>
      <c r="HH42" s="958"/>
      <c r="HI42" s="958"/>
      <c r="HJ42" s="958"/>
      <c r="HK42" s="958"/>
      <c r="HL42" s="958"/>
      <c r="HM42" s="958"/>
      <c r="HN42" s="958"/>
      <c r="HO42" s="958"/>
      <c r="HP42" s="958"/>
      <c r="HQ42" s="958"/>
      <c r="HR42" s="958"/>
      <c r="HS42" s="958"/>
      <c r="HT42" s="958"/>
      <c r="HU42" s="958"/>
      <c r="HV42" s="958"/>
      <c r="HW42" s="958"/>
      <c r="HX42" s="958"/>
      <c r="HY42" s="958"/>
      <c r="HZ42" s="958"/>
      <c r="IA42" s="958"/>
      <c r="IB42" s="958"/>
      <c r="IC42" s="958"/>
      <c r="ID42" s="958"/>
      <c r="IE42" s="958"/>
      <c r="IF42" s="958"/>
      <c r="IG42" s="958"/>
      <c r="IH42" s="958"/>
      <c r="II42" s="958"/>
      <c r="IJ42" s="958"/>
      <c r="IK42" s="958"/>
      <c r="IL42" s="958"/>
      <c r="IM42" s="958"/>
      <c r="IN42" s="958"/>
      <c r="IO42" s="958"/>
      <c r="IP42" s="958"/>
      <c r="IQ42" s="958"/>
      <c r="IR42" s="958"/>
      <c r="IS42" s="958"/>
      <c r="IT42" s="958"/>
      <c r="IU42" s="958"/>
      <c r="IV42" s="958"/>
      <c r="IW42" s="958"/>
      <c r="IX42" s="958"/>
      <c r="IY42" s="958"/>
      <c r="IZ42" s="958"/>
      <c r="JA42" s="958"/>
      <c r="JB42" s="958"/>
      <c r="JC42" s="958"/>
      <c r="JD42" s="958"/>
      <c r="JE42" s="958"/>
      <c r="JF42" s="958"/>
      <c r="JG42" s="958"/>
      <c r="JH42" s="958"/>
      <c r="JI42" s="958"/>
      <c r="JJ42" s="958"/>
      <c r="JK42" s="958"/>
      <c r="JL42" s="958"/>
      <c r="JM42" s="958"/>
      <c r="JN42" s="958"/>
      <c r="JO42" s="958"/>
      <c r="JP42" s="958"/>
      <c r="JQ42" s="958"/>
      <c r="JR42" s="958"/>
      <c r="JS42" s="958"/>
      <c r="JT42" s="958"/>
      <c r="JU42" s="958"/>
      <c r="JV42" s="958"/>
      <c r="JW42" s="958"/>
      <c r="JX42" s="958"/>
      <c r="JY42" s="958"/>
      <c r="JZ42" s="958"/>
      <c r="KA42" s="958"/>
      <c r="KB42" s="958"/>
      <c r="KC42" s="958"/>
      <c r="KD42" s="958"/>
      <c r="KE42" s="958"/>
      <c r="KF42" s="958"/>
      <c r="KG42" s="958"/>
      <c r="KH42" s="958"/>
      <c r="KI42" s="958"/>
      <c r="KJ42" s="958"/>
      <c r="KK42" s="958"/>
      <c r="KL42" s="958"/>
      <c r="KM42" s="958"/>
      <c r="KN42" s="958"/>
      <c r="KO42" s="958"/>
      <c r="KP42" s="958"/>
      <c r="KQ42" s="958"/>
      <c r="KR42" s="958"/>
      <c r="KS42" s="958"/>
      <c r="KT42" s="958"/>
      <c r="KU42" s="958"/>
      <c r="KV42" s="958"/>
      <c r="KW42" s="958"/>
      <c r="KX42" s="958"/>
      <c r="KY42" s="958"/>
      <c r="KZ42" s="958"/>
      <c r="LA42" s="958"/>
      <c r="LB42" s="958"/>
      <c r="LC42" s="958"/>
      <c r="LD42" s="958"/>
      <c r="LE42" s="958"/>
      <c r="LF42" s="958"/>
      <c r="LG42" s="958"/>
      <c r="LH42" s="958"/>
      <c r="LI42" s="958"/>
      <c r="LJ42" s="958"/>
      <c r="LK42" s="958"/>
      <c r="LL42" s="958"/>
      <c r="LM42" s="958"/>
      <c r="LN42" s="958"/>
      <c r="LO42" s="958"/>
      <c r="LP42" s="958"/>
      <c r="LQ42" s="958"/>
      <c r="LR42" s="958"/>
      <c r="LS42" s="958"/>
      <c r="LT42" s="958"/>
      <c r="LU42" s="958"/>
      <c r="LV42" s="958"/>
      <c r="LW42" s="958"/>
      <c r="LX42" s="958"/>
      <c r="LY42" s="958"/>
      <c r="LZ42" s="958"/>
      <c r="MA42" s="958"/>
      <c r="MB42" s="958"/>
      <c r="MC42" s="958"/>
      <c r="MD42" s="958"/>
      <c r="ME42" s="958"/>
      <c r="MF42" s="958"/>
      <c r="MG42" s="958"/>
      <c r="MH42" s="958"/>
      <c r="MI42" s="958"/>
      <c r="MJ42" s="958"/>
      <c r="MK42" s="958"/>
      <c r="ML42" s="958"/>
      <c r="MM42" s="958"/>
      <c r="MN42" s="958"/>
      <c r="MO42" s="958"/>
      <c r="MP42" s="958"/>
      <c r="MQ42" s="958"/>
      <c r="MR42" s="958"/>
      <c r="MS42" s="958"/>
      <c r="MT42" s="958"/>
      <c r="MU42" s="958"/>
      <c r="MV42" s="958"/>
      <c r="MW42" s="958"/>
      <c r="MX42" s="958"/>
      <c r="MY42" s="958"/>
      <c r="MZ42" s="958"/>
      <c r="NA42" s="958"/>
      <c r="NB42" s="958"/>
      <c r="NC42" s="958"/>
      <c r="ND42" s="958"/>
      <c r="NE42" s="958"/>
      <c r="NF42" s="958"/>
      <c r="NG42" s="958"/>
      <c r="NH42" s="958"/>
      <c r="NI42" s="958"/>
      <c r="NJ42" s="958"/>
      <c r="NK42" s="958"/>
      <c r="NL42" s="958"/>
      <c r="NM42" s="958"/>
      <c r="NN42" s="958"/>
      <c r="NO42" s="958"/>
      <c r="NP42" s="958"/>
      <c r="NQ42" s="958"/>
      <c r="NR42" s="958"/>
      <c r="NS42" s="958"/>
      <c r="NT42" s="958"/>
      <c r="NU42" s="958"/>
      <c r="NV42" s="958"/>
      <c r="NW42" s="958"/>
      <c r="NX42" s="958"/>
      <c r="NY42" s="958"/>
      <c r="NZ42" s="958"/>
      <c r="OA42" s="958"/>
      <c r="OB42" s="958"/>
      <c r="OC42" s="958"/>
      <c r="OD42" s="958"/>
      <c r="OE42" s="958"/>
      <c r="OF42" s="958"/>
      <c r="OG42" s="958"/>
      <c r="OH42" s="958"/>
      <c r="OI42" s="958"/>
      <c r="OJ42" s="958"/>
      <c r="OK42" s="958"/>
      <c r="OL42" s="958"/>
      <c r="OM42" s="958"/>
      <c r="ON42" s="958"/>
      <c r="OO42" s="958"/>
      <c r="OP42" s="958"/>
      <c r="OQ42" s="958"/>
      <c r="OR42" s="958"/>
      <c r="OS42" s="958"/>
      <c r="OT42" s="958"/>
      <c r="OU42" s="958"/>
      <c r="OV42" s="958"/>
      <c r="OW42" s="958"/>
      <c r="OX42" s="958"/>
      <c r="OY42" s="958"/>
      <c r="OZ42" s="958"/>
      <c r="PA42" s="958"/>
      <c r="PB42" s="958"/>
      <c r="PC42" s="958"/>
      <c r="PD42" s="958"/>
      <c r="PE42" s="958"/>
      <c r="PF42" s="958"/>
      <c r="PG42" s="958"/>
      <c r="PH42" s="958"/>
      <c r="PI42" s="958"/>
      <c r="PJ42" s="958"/>
      <c r="PK42" s="958"/>
      <c r="PL42" s="958"/>
      <c r="PM42" s="958"/>
      <c r="PN42" s="958"/>
      <c r="PO42" s="958"/>
      <c r="PP42" s="958"/>
      <c r="PQ42" s="958"/>
      <c r="PR42" s="958"/>
      <c r="PS42" s="958"/>
      <c r="PT42" s="958"/>
      <c r="PU42" s="958"/>
      <c r="PV42" s="958"/>
      <c r="PW42" s="958"/>
      <c r="PX42" s="958"/>
      <c r="PY42" s="958"/>
      <c r="PZ42" s="958"/>
      <c r="QA42" s="958"/>
      <c r="QB42" s="958"/>
      <c r="QC42" s="958"/>
      <c r="QD42" s="958"/>
      <c r="QE42" s="958"/>
      <c r="QF42" s="958"/>
      <c r="QG42" s="958"/>
      <c r="QH42" s="958"/>
      <c r="QI42" s="958"/>
      <c r="QJ42" s="958"/>
      <c r="QK42" s="958"/>
      <c r="QL42" s="958"/>
      <c r="QM42" s="958"/>
      <c r="QN42" s="958"/>
      <c r="QO42" s="958"/>
      <c r="QP42" s="958"/>
      <c r="QQ42" s="958"/>
      <c r="QR42" s="958"/>
      <c r="QS42" s="958"/>
      <c r="QT42" s="958"/>
      <c r="QU42" s="958"/>
      <c r="QV42" s="958"/>
      <c r="QW42" s="958"/>
      <c r="QX42" s="958"/>
      <c r="QY42" s="958"/>
      <c r="QZ42" s="958"/>
      <c r="RA42" s="958"/>
      <c r="RB42" s="958"/>
      <c r="RC42" s="958"/>
      <c r="RD42" s="958"/>
      <c r="RE42" s="958"/>
      <c r="RF42" s="958"/>
      <c r="RG42" s="958"/>
      <c r="RH42" s="958"/>
      <c r="RI42" s="958"/>
      <c r="RJ42" s="958"/>
      <c r="RK42" s="958"/>
      <c r="RL42" s="958"/>
      <c r="RM42" s="958"/>
      <c r="RN42" s="958"/>
      <c r="RO42" s="958"/>
      <c r="RP42" s="958"/>
      <c r="RQ42" s="958"/>
      <c r="RR42" s="958"/>
      <c r="RS42" s="958"/>
      <c r="RT42" s="958"/>
      <c r="RU42" s="958"/>
      <c r="RV42" s="958"/>
      <c r="RW42" s="958"/>
      <c r="RX42" s="958"/>
      <c r="RY42" s="958"/>
      <c r="RZ42" s="958"/>
      <c r="SA42" s="958"/>
      <c r="SB42" s="958"/>
      <c r="SC42" s="958"/>
      <c r="SD42" s="958"/>
      <c r="SE42" s="958"/>
      <c r="SF42" s="958"/>
      <c r="SG42" s="958"/>
      <c r="SH42" s="958"/>
      <c r="SI42" s="958"/>
      <c r="SJ42" s="958"/>
      <c r="SK42" s="958"/>
      <c r="SL42" s="958"/>
      <c r="SM42" s="958"/>
      <c r="SN42" s="958"/>
      <c r="SO42" s="958"/>
      <c r="SP42" s="958"/>
      <c r="SQ42" s="958"/>
      <c r="SR42" s="958"/>
      <c r="SS42" s="958"/>
      <c r="ST42" s="958"/>
      <c r="SU42" s="958"/>
      <c r="SV42" s="958"/>
      <c r="SW42" s="958"/>
      <c r="SX42" s="958"/>
      <c r="SY42" s="958"/>
      <c r="SZ42" s="958"/>
      <c r="TA42" s="958"/>
      <c r="TB42" s="958"/>
      <c r="TC42" s="958"/>
      <c r="TD42" s="958"/>
      <c r="TE42" s="958"/>
      <c r="TF42" s="958"/>
      <c r="TG42" s="958"/>
      <c r="TH42" s="958"/>
      <c r="TI42" s="958"/>
      <c r="TJ42" s="958"/>
      <c r="TK42" s="958"/>
      <c r="TL42" s="958"/>
      <c r="TM42" s="958"/>
      <c r="TN42" s="958"/>
      <c r="TO42" s="958"/>
      <c r="TP42" s="958"/>
      <c r="TQ42" s="958"/>
      <c r="TR42" s="958"/>
      <c r="TS42" s="958"/>
      <c r="TT42" s="958"/>
      <c r="TU42" s="958"/>
      <c r="TV42" s="958"/>
      <c r="TW42" s="958"/>
      <c r="TX42" s="958"/>
      <c r="TY42" s="958"/>
      <c r="TZ42" s="958"/>
      <c r="UA42" s="958"/>
      <c r="UB42" s="958"/>
      <c r="UC42" s="958"/>
      <c r="UD42" s="958"/>
      <c r="UE42" s="958"/>
      <c r="UF42" s="958"/>
      <c r="UG42" s="958"/>
      <c r="UH42" s="958"/>
      <c r="UI42" s="958"/>
      <c r="UJ42" s="958"/>
      <c r="UK42" s="958"/>
      <c r="UL42" s="958"/>
      <c r="UM42" s="958"/>
      <c r="UN42" s="958"/>
      <c r="UO42" s="958"/>
      <c r="UP42" s="958"/>
      <c r="UQ42" s="958"/>
      <c r="UR42" s="958"/>
      <c r="US42" s="958"/>
      <c r="UT42" s="958"/>
      <c r="UU42" s="958"/>
      <c r="UV42" s="958"/>
      <c r="UW42" s="958"/>
      <c r="UX42" s="958"/>
      <c r="UY42" s="958"/>
      <c r="UZ42" s="958"/>
      <c r="VA42" s="958"/>
      <c r="VB42" s="958"/>
      <c r="VC42" s="958"/>
      <c r="VD42" s="958"/>
      <c r="VE42" s="958"/>
      <c r="VF42" s="958"/>
      <c r="VG42" s="958"/>
      <c r="VH42" s="958"/>
      <c r="VI42" s="958"/>
      <c r="VJ42" s="958"/>
      <c r="VK42" s="958"/>
      <c r="VL42" s="958"/>
      <c r="VM42" s="958"/>
      <c r="VN42" s="958"/>
      <c r="VO42" s="958"/>
      <c r="VP42" s="958"/>
      <c r="VQ42" s="958"/>
      <c r="VR42" s="958"/>
      <c r="VS42" s="958"/>
      <c r="VT42" s="958"/>
      <c r="VU42" s="958"/>
      <c r="VV42" s="958"/>
      <c r="VW42" s="958"/>
      <c r="VX42" s="958"/>
      <c r="VY42" s="958"/>
      <c r="VZ42" s="958"/>
      <c r="WA42" s="958"/>
      <c r="WB42" s="958"/>
      <c r="WC42" s="958"/>
      <c r="WD42" s="958"/>
      <c r="WE42" s="958"/>
      <c r="WF42" s="958"/>
      <c r="WG42" s="958"/>
      <c r="WH42" s="958"/>
      <c r="WI42" s="958"/>
      <c r="WJ42" s="958"/>
      <c r="WK42" s="958"/>
      <c r="WL42" s="958"/>
      <c r="WM42" s="958"/>
      <c r="WN42" s="958"/>
      <c r="WO42" s="958"/>
      <c r="WP42" s="958"/>
      <c r="WQ42" s="958"/>
      <c r="WR42" s="958"/>
      <c r="WS42" s="958"/>
      <c r="WT42" s="958"/>
      <c r="WU42" s="958"/>
      <c r="WV42" s="958"/>
      <c r="WW42" s="958"/>
      <c r="WX42" s="958"/>
      <c r="WY42" s="958"/>
      <c r="WZ42" s="958"/>
      <c r="XA42" s="958"/>
      <c r="XB42" s="958"/>
      <c r="XC42" s="958"/>
      <c r="XD42" s="958"/>
      <c r="XE42" s="958"/>
      <c r="XF42" s="958"/>
      <c r="XG42" s="958"/>
      <c r="XH42" s="958"/>
      <c r="XI42" s="958"/>
      <c r="XJ42" s="958"/>
      <c r="XK42" s="958"/>
      <c r="XL42" s="958"/>
      <c r="XM42" s="958"/>
      <c r="XN42" s="958"/>
      <c r="XO42" s="958"/>
      <c r="XP42" s="958"/>
      <c r="XQ42" s="958"/>
      <c r="XR42" s="958"/>
      <c r="XS42" s="958"/>
      <c r="XT42" s="958"/>
      <c r="XU42" s="958"/>
      <c r="XV42" s="958"/>
      <c r="XW42" s="958"/>
      <c r="XX42" s="958"/>
      <c r="XY42" s="958"/>
      <c r="XZ42" s="958"/>
      <c r="YA42" s="958"/>
      <c r="YB42" s="958"/>
      <c r="YC42" s="958"/>
      <c r="YD42" s="958"/>
      <c r="YE42" s="958"/>
      <c r="YF42" s="958"/>
      <c r="YG42" s="958"/>
      <c r="YH42" s="958"/>
      <c r="YI42" s="958"/>
      <c r="YJ42" s="958"/>
      <c r="YK42" s="958"/>
      <c r="YL42" s="958"/>
      <c r="YM42" s="958"/>
      <c r="YN42" s="958"/>
      <c r="YO42" s="958"/>
      <c r="YP42" s="958"/>
      <c r="YQ42" s="958"/>
      <c r="YR42" s="958"/>
      <c r="YS42" s="958"/>
      <c r="YT42" s="958"/>
      <c r="YU42" s="958"/>
      <c r="YV42" s="958"/>
      <c r="YW42" s="958"/>
      <c r="YX42" s="958"/>
      <c r="YY42" s="958"/>
      <c r="YZ42" s="958"/>
      <c r="ZA42" s="958"/>
      <c r="ZB42" s="958"/>
      <c r="ZC42" s="958"/>
      <c r="ZD42" s="958"/>
      <c r="ZE42" s="958"/>
      <c r="ZF42" s="958"/>
      <c r="ZG42" s="958"/>
      <c r="ZH42" s="958"/>
      <c r="ZI42" s="958"/>
      <c r="ZJ42" s="958"/>
      <c r="ZK42" s="958"/>
      <c r="ZL42" s="958"/>
      <c r="ZM42" s="958"/>
      <c r="ZN42" s="958"/>
      <c r="ZO42" s="958"/>
      <c r="ZP42" s="958"/>
      <c r="ZQ42" s="958"/>
      <c r="ZR42" s="958"/>
      <c r="ZS42" s="958"/>
      <c r="ZT42" s="958"/>
      <c r="ZU42" s="958"/>
      <c r="ZV42" s="958"/>
      <c r="ZW42" s="958"/>
      <c r="ZX42" s="958"/>
      <c r="ZY42" s="958"/>
      <c r="ZZ42" s="958"/>
      <c r="AAA42" s="958"/>
      <c r="AAB42" s="958"/>
      <c r="AAC42" s="958"/>
      <c r="AAD42" s="958"/>
      <c r="AAE42" s="958"/>
      <c r="AAF42" s="958"/>
      <c r="AAG42" s="958"/>
      <c r="AAH42" s="958"/>
      <c r="AAI42" s="958"/>
      <c r="AAJ42" s="958"/>
      <c r="AAK42" s="958"/>
      <c r="AAL42" s="958"/>
      <c r="AAM42" s="958"/>
      <c r="AAN42" s="958"/>
      <c r="AAO42" s="958"/>
      <c r="AAP42" s="958"/>
      <c r="AAQ42" s="958"/>
      <c r="AAR42" s="958"/>
      <c r="AAS42" s="958"/>
      <c r="AAT42" s="958"/>
      <c r="AAU42" s="958"/>
      <c r="AAV42" s="958"/>
      <c r="AAW42" s="958"/>
      <c r="AAX42" s="958"/>
      <c r="AAY42" s="958"/>
      <c r="AAZ42" s="958"/>
      <c r="ABA42" s="958"/>
      <c r="ABB42" s="958"/>
      <c r="ABC42" s="958"/>
      <c r="ABD42" s="958"/>
      <c r="ABE42" s="958"/>
      <c r="ABF42" s="958"/>
      <c r="ABG42" s="958"/>
      <c r="ABH42" s="958"/>
      <c r="ABI42" s="958"/>
      <c r="ABJ42" s="958"/>
      <c r="ABK42" s="958"/>
      <c r="ABL42" s="958"/>
      <c r="ABM42" s="958"/>
      <c r="ABN42" s="958"/>
      <c r="ABO42" s="958"/>
      <c r="ABP42" s="958"/>
      <c r="ABQ42" s="958"/>
      <c r="ABR42" s="958"/>
      <c r="ABS42" s="958"/>
      <c r="ABT42" s="958"/>
      <c r="ABU42" s="958"/>
      <c r="ABV42" s="958"/>
      <c r="ABW42" s="958"/>
      <c r="ABX42" s="958"/>
      <c r="ABY42" s="958"/>
      <c r="ABZ42" s="958"/>
      <c r="ACA42" s="958"/>
      <c r="ACB42" s="958"/>
      <c r="ACC42" s="958"/>
      <c r="ACD42" s="958"/>
      <c r="ACE42" s="958"/>
      <c r="ACF42" s="958"/>
      <c r="ACG42" s="958"/>
      <c r="ACH42" s="958"/>
      <c r="ACI42" s="958"/>
      <c r="ACJ42" s="958"/>
      <c r="ACK42" s="958"/>
      <c r="ACL42" s="958"/>
      <c r="ACM42" s="958"/>
      <c r="ACN42" s="958"/>
      <c r="ACO42" s="958"/>
      <c r="ACP42" s="958"/>
      <c r="ACQ42" s="958"/>
      <c r="ACR42" s="958"/>
      <c r="ACS42" s="958"/>
      <c r="ACT42" s="958"/>
      <c r="ACU42" s="958"/>
      <c r="ACV42" s="958"/>
      <c r="ACW42" s="958"/>
      <c r="ACX42" s="958"/>
      <c r="ACY42" s="958"/>
      <c r="ACZ42" s="958"/>
      <c r="ADA42" s="958"/>
      <c r="ADB42" s="958"/>
      <c r="ADC42" s="958"/>
      <c r="ADD42" s="958"/>
      <c r="ADE42" s="958"/>
      <c r="ADF42" s="958"/>
      <c r="ADG42" s="958"/>
      <c r="ADH42" s="958"/>
      <c r="ADI42" s="958"/>
      <c r="ADJ42" s="958"/>
      <c r="ADK42" s="958"/>
      <c r="ADL42" s="958"/>
      <c r="ADM42" s="958"/>
      <c r="ADN42" s="958"/>
      <c r="ADO42" s="958"/>
      <c r="ADP42" s="958"/>
      <c r="ADQ42" s="958"/>
      <c r="ADR42" s="958"/>
      <c r="ADS42" s="958"/>
      <c r="ADT42" s="958"/>
      <c r="ADU42" s="958"/>
      <c r="ADV42" s="958"/>
      <c r="ADW42" s="958"/>
      <c r="ADX42" s="958"/>
      <c r="ADY42" s="958"/>
      <c r="ADZ42" s="958"/>
      <c r="AEA42" s="958"/>
      <c r="AEB42" s="958"/>
      <c r="AEC42" s="958"/>
      <c r="AED42" s="958"/>
      <c r="AEE42" s="958"/>
      <c r="AEF42" s="958"/>
      <c r="AEG42" s="958"/>
      <c r="AEH42" s="958"/>
      <c r="AEI42" s="958"/>
      <c r="AEJ42" s="958"/>
      <c r="AEK42" s="958"/>
      <c r="AEL42" s="958"/>
      <c r="AEM42" s="958"/>
      <c r="AEN42" s="958"/>
      <c r="AEO42" s="958"/>
      <c r="AEP42" s="958"/>
      <c r="AEQ42" s="958"/>
      <c r="AER42" s="958"/>
      <c r="AES42" s="958"/>
      <c r="AET42" s="958"/>
      <c r="AEU42" s="958"/>
      <c r="AEV42" s="958"/>
      <c r="AEW42" s="958"/>
      <c r="AEX42" s="958"/>
      <c r="AEY42" s="958"/>
      <c r="AEZ42" s="958"/>
      <c r="AFA42" s="958"/>
      <c r="AFB42" s="958"/>
      <c r="AFC42" s="958"/>
      <c r="AFD42" s="958"/>
      <c r="AFE42" s="958"/>
      <c r="AFF42" s="958"/>
      <c r="AFG42" s="958"/>
      <c r="AFH42" s="958"/>
      <c r="AFI42" s="958"/>
      <c r="AFJ42" s="958"/>
      <c r="AFK42" s="958"/>
      <c r="AFL42" s="958"/>
      <c r="AFM42" s="958"/>
      <c r="AFN42" s="958"/>
      <c r="AFO42" s="958"/>
      <c r="AFP42" s="958"/>
      <c r="AFQ42" s="958"/>
      <c r="AFR42" s="958"/>
      <c r="AFS42" s="958"/>
      <c r="AFT42" s="958"/>
      <c r="AFU42" s="958"/>
      <c r="AFV42" s="958"/>
      <c r="AFW42" s="958"/>
      <c r="AFX42" s="958"/>
      <c r="AFY42" s="958"/>
      <c r="AFZ42" s="958"/>
      <c r="AGA42" s="958"/>
      <c r="AGB42" s="958"/>
      <c r="AGC42" s="958"/>
      <c r="AGD42" s="958"/>
      <c r="AGE42" s="958"/>
      <c r="AGF42" s="958"/>
      <c r="AGG42" s="958"/>
      <c r="AGH42" s="958"/>
      <c r="AGI42" s="958"/>
      <c r="AGJ42" s="958"/>
      <c r="AGK42" s="958"/>
      <c r="AGL42" s="958"/>
      <c r="AGM42" s="958"/>
      <c r="AGN42" s="958"/>
      <c r="AGO42" s="958"/>
      <c r="AGP42" s="958"/>
      <c r="AGQ42" s="958"/>
      <c r="AGR42" s="958"/>
      <c r="AGS42" s="958"/>
      <c r="AGT42" s="958"/>
      <c r="AGU42" s="958"/>
      <c r="AGV42" s="958"/>
      <c r="AGW42" s="958"/>
      <c r="AGX42" s="958"/>
      <c r="AGY42" s="958"/>
      <c r="AGZ42" s="958"/>
      <c r="AHA42" s="958"/>
      <c r="AHB42" s="958"/>
      <c r="AHC42" s="958"/>
      <c r="AHD42" s="958"/>
      <c r="AHE42" s="958"/>
      <c r="AHF42" s="958"/>
      <c r="AHG42" s="958"/>
      <c r="AHH42" s="958"/>
      <c r="AHI42" s="958"/>
      <c r="AHJ42" s="958"/>
      <c r="AHK42" s="958"/>
      <c r="AHL42" s="958"/>
      <c r="AHM42" s="958"/>
      <c r="AHN42" s="958"/>
      <c r="AHO42" s="958"/>
      <c r="AHP42" s="958"/>
      <c r="AHQ42" s="958"/>
      <c r="AHR42" s="958"/>
      <c r="AHS42" s="958"/>
      <c r="AHT42" s="958"/>
      <c r="AHU42" s="958"/>
      <c r="AHV42" s="958"/>
      <c r="AHW42" s="958"/>
      <c r="AHX42" s="958"/>
      <c r="AHY42" s="958"/>
      <c r="AHZ42" s="958"/>
      <c r="AIA42" s="958"/>
      <c r="AIB42" s="958"/>
      <c r="AIC42" s="958"/>
      <c r="AID42" s="958"/>
      <c r="AIE42" s="958"/>
      <c r="AIF42" s="958"/>
      <c r="AIG42" s="958"/>
      <c r="AIH42" s="958"/>
      <c r="AII42" s="958"/>
      <c r="AIJ42" s="958"/>
      <c r="AIK42" s="958"/>
      <c r="AIL42" s="958"/>
      <c r="AIM42" s="958"/>
      <c r="AIN42" s="958"/>
      <c r="AIO42" s="958"/>
      <c r="AIP42" s="958"/>
      <c r="AIQ42" s="958"/>
      <c r="AIR42" s="958"/>
      <c r="AIS42" s="958"/>
      <c r="AIT42" s="958"/>
      <c r="AIU42" s="958"/>
      <c r="AIV42" s="958"/>
      <c r="AIW42" s="958"/>
      <c r="AIX42" s="958"/>
      <c r="AIY42" s="958"/>
      <c r="AIZ42" s="958"/>
      <c r="AJA42" s="958"/>
      <c r="AJB42" s="958"/>
      <c r="AJC42" s="958"/>
      <c r="AJD42" s="958"/>
      <c r="AJE42" s="958"/>
      <c r="AJF42" s="958"/>
      <c r="AJG42" s="958"/>
      <c r="AJH42" s="958"/>
      <c r="AJI42" s="958"/>
      <c r="AJJ42" s="958"/>
      <c r="AJK42" s="958"/>
      <c r="AJL42" s="958"/>
      <c r="AJM42" s="958"/>
      <c r="AJN42" s="958"/>
      <c r="AJO42" s="958"/>
      <c r="AJP42" s="958"/>
      <c r="AJQ42" s="958"/>
      <c r="AJR42" s="958"/>
      <c r="AJS42" s="958"/>
      <c r="AJT42" s="958"/>
      <c r="AJU42" s="958"/>
      <c r="AJV42" s="958"/>
      <c r="AJW42" s="958"/>
      <c r="AJX42" s="958"/>
      <c r="AJY42" s="958"/>
      <c r="AJZ42" s="958"/>
      <c r="AKA42" s="958"/>
      <c r="AKB42" s="958"/>
      <c r="AKC42" s="958"/>
      <c r="AKD42" s="958"/>
      <c r="AKE42" s="958"/>
      <c r="AKF42" s="958"/>
      <c r="AKG42" s="958"/>
      <c r="AKH42" s="958"/>
      <c r="AKI42" s="958"/>
      <c r="AKJ42" s="958"/>
      <c r="AKK42" s="958"/>
      <c r="AKL42" s="958"/>
      <c r="AKM42" s="958"/>
      <c r="AKN42" s="958"/>
      <c r="AKO42" s="958"/>
      <c r="AKP42" s="958"/>
      <c r="AKQ42" s="958"/>
      <c r="AKR42" s="958"/>
      <c r="AKS42" s="958"/>
      <c r="AKT42" s="958"/>
      <c r="AKU42" s="958"/>
      <c r="AKV42" s="958"/>
      <c r="AKW42" s="958"/>
      <c r="AKX42" s="958"/>
      <c r="AKY42" s="958"/>
      <c r="AKZ42" s="958"/>
      <c r="ALA42" s="958"/>
      <c r="ALB42" s="958"/>
      <c r="ALC42" s="958"/>
      <c r="ALD42" s="958"/>
      <c r="ALE42" s="958"/>
      <c r="ALF42" s="958"/>
      <c r="ALG42" s="958"/>
      <c r="ALH42" s="958"/>
      <c r="ALI42" s="958"/>
      <c r="ALJ42" s="958"/>
      <c r="ALK42" s="958"/>
      <c r="ALL42" s="958"/>
      <c r="ALM42" s="958"/>
      <c r="ALN42" s="958"/>
      <c r="ALO42" s="958"/>
      <c r="ALP42" s="958"/>
      <c r="ALQ42" s="958"/>
      <c r="ALR42" s="958"/>
      <c r="ALS42" s="958"/>
      <c r="ALT42" s="958"/>
      <c r="ALU42" s="958"/>
      <c r="ALV42" s="958"/>
      <c r="ALW42" s="958"/>
      <c r="ALX42" s="958"/>
      <c r="ALY42" s="958"/>
      <c r="ALZ42" s="958"/>
      <c r="AMA42" s="958"/>
      <c r="AMB42" s="958"/>
      <c r="AMC42" s="958"/>
      <c r="AMD42" s="958"/>
      <c r="AME42" s="958"/>
      <c r="AMF42" s="958"/>
      <c r="AMG42" s="958"/>
      <c r="AMH42" s="958"/>
      <c r="AMI42" s="958"/>
      <c r="AMJ42" s="958"/>
      <c r="AMK42" s="958"/>
      <c r="AML42" s="958"/>
      <c r="AMM42" s="958"/>
      <c r="AMN42" s="958"/>
      <c r="AMO42" s="958"/>
      <c r="AMP42" s="958"/>
      <c r="AMQ42" s="958"/>
      <c r="AMR42" s="958"/>
      <c r="AMS42" s="958"/>
      <c r="AMT42" s="958"/>
      <c r="AMU42" s="958"/>
      <c r="AMV42" s="958"/>
      <c r="AMW42" s="958"/>
      <c r="AMX42" s="958"/>
      <c r="AMY42" s="958"/>
      <c r="AMZ42" s="958"/>
      <c r="ANA42" s="958"/>
      <c r="ANB42" s="958"/>
      <c r="ANC42" s="958"/>
      <c r="AND42" s="958"/>
      <c r="ANE42" s="958"/>
      <c r="ANF42" s="958"/>
      <c r="ANG42" s="958"/>
      <c r="ANH42" s="958"/>
      <c r="ANI42" s="958"/>
      <c r="ANJ42" s="958"/>
      <c r="ANK42" s="958"/>
      <c r="ANL42" s="958"/>
      <c r="ANM42" s="958"/>
      <c r="ANN42" s="958"/>
      <c r="ANO42" s="958"/>
      <c r="ANP42" s="958"/>
      <c r="ANQ42" s="958"/>
      <c r="ANR42" s="958"/>
      <c r="ANS42" s="958"/>
      <c r="ANT42" s="958"/>
      <c r="ANU42" s="958"/>
      <c r="ANV42" s="958"/>
      <c r="ANW42" s="958"/>
      <c r="ANX42" s="958"/>
      <c r="ANY42" s="958"/>
      <c r="ANZ42" s="958"/>
      <c r="AOA42" s="958"/>
      <c r="AOB42" s="958"/>
      <c r="AOC42" s="958"/>
      <c r="AOD42" s="958"/>
      <c r="AOE42" s="958"/>
      <c r="AOF42" s="958"/>
      <c r="AOG42" s="958"/>
      <c r="AOH42" s="958"/>
      <c r="AOI42" s="958"/>
      <c r="AOJ42" s="958"/>
      <c r="AOK42" s="958"/>
      <c r="AOL42" s="958"/>
      <c r="AOM42" s="958"/>
      <c r="AON42" s="958"/>
      <c r="AOO42" s="958"/>
      <c r="AOP42" s="958"/>
      <c r="AOQ42" s="958"/>
      <c r="AOR42" s="958"/>
      <c r="AOS42" s="958"/>
      <c r="AOT42" s="958"/>
      <c r="AOU42" s="958"/>
      <c r="AOV42" s="958"/>
      <c r="AOW42" s="958"/>
      <c r="AOX42" s="958"/>
      <c r="AOY42" s="958"/>
      <c r="AOZ42" s="958"/>
      <c r="APA42" s="958"/>
      <c r="APB42" s="958"/>
      <c r="APC42" s="958"/>
      <c r="APD42" s="958"/>
      <c r="APE42" s="958"/>
      <c r="APF42" s="958"/>
      <c r="APG42" s="958"/>
      <c r="APH42" s="958"/>
      <c r="API42" s="958"/>
      <c r="APJ42" s="958"/>
      <c r="APK42" s="958"/>
      <c r="APL42" s="958"/>
      <c r="APM42" s="958"/>
      <c r="APN42" s="958"/>
      <c r="APO42" s="958"/>
      <c r="APP42" s="958"/>
      <c r="APQ42" s="958"/>
      <c r="APR42" s="958"/>
      <c r="APS42" s="958"/>
      <c r="APT42" s="958"/>
      <c r="APU42" s="958"/>
      <c r="APV42" s="958"/>
      <c r="APW42" s="958"/>
      <c r="APX42" s="958"/>
      <c r="APY42" s="958"/>
      <c r="APZ42" s="958"/>
      <c r="AQA42" s="958"/>
      <c r="AQB42" s="958"/>
      <c r="AQC42" s="958"/>
      <c r="AQD42" s="958"/>
      <c r="AQE42" s="958"/>
      <c r="AQF42" s="958"/>
      <c r="AQG42" s="958"/>
      <c r="AQH42" s="958"/>
      <c r="AQI42" s="958"/>
      <c r="AQJ42" s="958"/>
      <c r="AQK42" s="958"/>
      <c r="AQL42" s="958"/>
      <c r="AQM42" s="958"/>
      <c r="AQN42" s="958"/>
      <c r="AQO42" s="958"/>
      <c r="AQP42" s="958"/>
      <c r="AQQ42" s="958"/>
      <c r="AQR42" s="958"/>
      <c r="AQS42" s="958"/>
      <c r="AQT42" s="958"/>
      <c r="AQU42" s="958"/>
      <c r="AQV42" s="958"/>
      <c r="AQW42" s="958"/>
      <c r="AQX42" s="958"/>
      <c r="AQY42" s="958"/>
      <c r="AQZ42" s="958"/>
      <c r="ARA42" s="958"/>
      <c r="ARB42" s="958"/>
      <c r="ARC42" s="958"/>
      <c r="ARD42" s="958"/>
      <c r="ARE42" s="958"/>
      <c r="ARF42" s="958"/>
      <c r="ARG42" s="958"/>
      <c r="ARH42" s="958"/>
      <c r="ARI42" s="958"/>
      <c r="ARJ42" s="958"/>
      <c r="ARK42" s="958"/>
      <c r="ARL42" s="958"/>
      <c r="ARM42" s="958"/>
      <c r="ARN42" s="958"/>
      <c r="ARO42" s="958"/>
      <c r="ARP42" s="958"/>
      <c r="ARQ42" s="958"/>
      <c r="ARR42" s="958"/>
      <c r="ARS42" s="958"/>
      <c r="ART42" s="958"/>
      <c r="ARU42" s="958"/>
      <c r="ARV42" s="958"/>
      <c r="ARW42" s="958"/>
      <c r="ARX42" s="958"/>
      <c r="ARY42" s="958"/>
      <c r="ARZ42" s="958"/>
      <c r="ASA42" s="958"/>
      <c r="ASB42" s="958"/>
      <c r="ASC42" s="958"/>
      <c r="ASD42" s="958"/>
      <c r="ASE42" s="958"/>
      <c r="ASF42" s="958"/>
      <c r="ASG42" s="958"/>
      <c r="ASH42" s="958"/>
      <c r="ASI42" s="958"/>
      <c r="ASJ42" s="958"/>
      <c r="ASK42" s="958"/>
      <c r="ASL42" s="958"/>
      <c r="ASM42" s="958"/>
      <c r="ASN42" s="958"/>
      <c r="ASO42" s="958"/>
      <c r="ASP42" s="958"/>
      <c r="ASQ42" s="958"/>
      <c r="ASR42" s="958"/>
      <c r="ASS42" s="958"/>
      <c r="AST42" s="958"/>
      <c r="ASU42" s="958"/>
      <c r="ASV42" s="958"/>
      <c r="ASW42" s="958"/>
      <c r="ASX42" s="958"/>
      <c r="ASY42" s="958"/>
      <c r="ASZ42" s="958"/>
    </row>
    <row r="43" spans="1:1196" s="22" customFormat="1" ht="22.5" customHeight="1" thickTop="1" thickBot="1">
      <c r="A43" s="2857" t="s">
        <v>141</v>
      </c>
      <c r="B43" s="2858"/>
      <c r="C43" s="2858"/>
      <c r="D43" s="2858"/>
      <c r="E43" s="2858"/>
      <c r="F43" s="2858"/>
      <c r="G43" s="2858"/>
      <c r="H43" s="2858"/>
      <c r="I43" s="2858"/>
      <c r="J43" s="2858"/>
      <c r="K43" s="2859"/>
      <c r="L43" s="93"/>
      <c r="M43" s="991"/>
      <c r="N43" s="991"/>
      <c r="O43" s="894"/>
      <c r="P43" s="992"/>
      <c r="Q43" s="991"/>
      <c r="R43" s="894"/>
      <c r="S43" s="992"/>
      <c r="T43" s="991"/>
      <c r="U43" s="894"/>
      <c r="V43" s="992"/>
      <c r="W43" s="991"/>
      <c r="X43" s="894"/>
      <c r="Y43" s="992"/>
      <c r="Z43" s="991"/>
      <c r="AA43" s="894"/>
      <c r="AB43" s="894"/>
      <c r="AC43" s="991"/>
      <c r="AD43" s="894"/>
      <c r="AE43" s="993"/>
      <c r="AF43" s="894"/>
      <c r="AG43" s="992"/>
      <c r="AH43" s="991"/>
      <c r="AI43" s="894"/>
      <c r="AJ43" s="992"/>
      <c r="AK43" s="991"/>
      <c r="AL43" s="894"/>
      <c r="AM43" s="992"/>
      <c r="AN43" s="991"/>
      <c r="AO43" s="93"/>
      <c r="AP43" s="991"/>
      <c r="AQ43" s="991"/>
      <c r="AR43" s="894"/>
      <c r="AS43" s="992"/>
      <c r="AT43" s="991"/>
      <c r="AU43" s="894"/>
      <c r="AV43" s="992"/>
      <c r="AW43" s="991"/>
      <c r="AX43" s="994"/>
      <c r="AY43" s="2809"/>
      <c r="AZ43" s="958"/>
      <c r="BA43" s="958"/>
      <c r="BB43" s="958"/>
      <c r="BC43" s="958"/>
      <c r="BD43" s="958"/>
      <c r="BE43" s="958"/>
      <c r="BF43" s="958"/>
      <c r="BG43" s="958"/>
      <c r="BH43" s="958"/>
      <c r="BI43" s="958"/>
      <c r="BJ43" s="958"/>
      <c r="BK43" s="958"/>
      <c r="BL43" s="958"/>
      <c r="BM43" s="958"/>
      <c r="BN43" s="958"/>
      <c r="BO43" s="958"/>
      <c r="BP43" s="958"/>
      <c r="BQ43" s="958"/>
      <c r="BR43" s="958"/>
      <c r="BS43" s="958"/>
      <c r="BT43" s="958"/>
      <c r="BU43" s="958"/>
      <c r="BV43" s="958"/>
      <c r="BW43" s="958"/>
      <c r="BX43" s="958"/>
      <c r="BY43" s="958"/>
      <c r="BZ43" s="958"/>
      <c r="CA43" s="958"/>
      <c r="CB43" s="958"/>
      <c r="CC43" s="958"/>
      <c r="CD43" s="958"/>
      <c r="CE43" s="958"/>
      <c r="CF43" s="958"/>
      <c r="CG43" s="958"/>
      <c r="CH43" s="958"/>
      <c r="CI43" s="958"/>
      <c r="CJ43" s="958"/>
      <c r="CK43" s="958"/>
      <c r="CL43" s="958"/>
      <c r="CM43" s="958"/>
      <c r="CN43" s="958"/>
      <c r="CO43" s="958"/>
      <c r="CP43" s="958"/>
      <c r="CQ43" s="958"/>
      <c r="CR43" s="958"/>
      <c r="CS43" s="958"/>
      <c r="CT43" s="958"/>
      <c r="CU43" s="958"/>
      <c r="CV43" s="958"/>
      <c r="CW43" s="958"/>
      <c r="CX43" s="958"/>
      <c r="CY43" s="958"/>
      <c r="CZ43" s="958"/>
      <c r="DA43" s="958"/>
      <c r="DB43" s="958"/>
      <c r="DC43" s="958"/>
      <c r="DD43" s="958"/>
      <c r="DE43" s="958"/>
      <c r="DF43" s="958"/>
      <c r="DG43" s="958"/>
      <c r="DH43" s="958"/>
      <c r="DI43" s="958"/>
      <c r="DJ43" s="958"/>
      <c r="DK43" s="958"/>
      <c r="DL43" s="958"/>
      <c r="DM43" s="958"/>
      <c r="DN43" s="958"/>
      <c r="DO43" s="958"/>
      <c r="DP43" s="958"/>
      <c r="DQ43" s="958"/>
      <c r="DR43" s="958"/>
      <c r="DS43" s="958"/>
      <c r="DT43" s="958"/>
      <c r="DU43" s="958"/>
      <c r="DV43" s="958"/>
      <c r="DW43" s="958"/>
      <c r="DX43" s="958"/>
      <c r="DY43" s="958"/>
      <c r="DZ43" s="958"/>
      <c r="EA43" s="958"/>
      <c r="EB43" s="958"/>
      <c r="EC43" s="958"/>
      <c r="ED43" s="958"/>
      <c r="EE43" s="958"/>
      <c r="EF43" s="958"/>
      <c r="EG43" s="958"/>
      <c r="EH43" s="958"/>
      <c r="EI43" s="958"/>
      <c r="EJ43" s="958"/>
      <c r="EK43" s="958"/>
      <c r="EL43" s="958"/>
      <c r="EM43" s="958"/>
      <c r="EN43" s="958"/>
      <c r="EO43" s="958"/>
      <c r="EP43" s="958"/>
      <c r="EQ43" s="958"/>
      <c r="ER43" s="958"/>
      <c r="ES43" s="958"/>
      <c r="ET43" s="958"/>
      <c r="EU43" s="958"/>
      <c r="EV43" s="958"/>
      <c r="EW43" s="958"/>
      <c r="EX43" s="958"/>
      <c r="EY43" s="958"/>
      <c r="EZ43" s="958"/>
      <c r="FA43" s="958"/>
      <c r="FB43" s="958"/>
      <c r="FC43" s="958"/>
      <c r="FD43" s="958"/>
      <c r="FE43" s="958"/>
      <c r="FF43" s="958"/>
      <c r="FG43" s="958"/>
      <c r="FH43" s="958"/>
      <c r="FI43" s="958"/>
      <c r="FJ43" s="958"/>
      <c r="FK43" s="958"/>
      <c r="FL43" s="958"/>
      <c r="FM43" s="958"/>
      <c r="FN43" s="958"/>
      <c r="FO43" s="958"/>
      <c r="FP43" s="958"/>
      <c r="FQ43" s="958"/>
      <c r="FR43" s="958"/>
      <c r="FS43" s="958"/>
      <c r="FT43" s="958"/>
      <c r="FU43" s="958"/>
      <c r="FV43" s="958"/>
      <c r="FW43" s="958"/>
      <c r="FX43" s="958"/>
      <c r="FY43" s="958"/>
      <c r="FZ43" s="958"/>
      <c r="GA43" s="958"/>
      <c r="GB43" s="958"/>
      <c r="GC43" s="958"/>
      <c r="GD43" s="958"/>
      <c r="GE43" s="958"/>
      <c r="GF43" s="958"/>
      <c r="GG43" s="958"/>
      <c r="GH43" s="958"/>
      <c r="GI43" s="958"/>
      <c r="GJ43" s="958"/>
      <c r="GK43" s="958"/>
      <c r="GL43" s="958"/>
      <c r="GM43" s="958"/>
      <c r="GN43" s="958"/>
      <c r="GO43" s="958"/>
      <c r="GP43" s="958"/>
      <c r="GQ43" s="958"/>
      <c r="GR43" s="958"/>
      <c r="GS43" s="958"/>
      <c r="GT43" s="958"/>
      <c r="GU43" s="958"/>
      <c r="GV43" s="958"/>
      <c r="GW43" s="958"/>
      <c r="GX43" s="958"/>
      <c r="GY43" s="958"/>
      <c r="GZ43" s="958"/>
      <c r="HA43" s="958"/>
      <c r="HB43" s="958"/>
      <c r="HC43" s="958"/>
      <c r="HD43" s="958"/>
      <c r="HE43" s="958"/>
      <c r="HF43" s="958"/>
      <c r="HG43" s="958"/>
      <c r="HH43" s="958"/>
      <c r="HI43" s="958"/>
      <c r="HJ43" s="958"/>
      <c r="HK43" s="958"/>
      <c r="HL43" s="958"/>
      <c r="HM43" s="958"/>
      <c r="HN43" s="958"/>
      <c r="HO43" s="958"/>
      <c r="HP43" s="958"/>
      <c r="HQ43" s="958"/>
      <c r="HR43" s="958"/>
      <c r="HS43" s="958"/>
      <c r="HT43" s="958"/>
      <c r="HU43" s="958"/>
      <c r="HV43" s="958"/>
      <c r="HW43" s="958"/>
      <c r="HX43" s="958"/>
      <c r="HY43" s="958"/>
      <c r="HZ43" s="958"/>
      <c r="IA43" s="958"/>
      <c r="IB43" s="958"/>
      <c r="IC43" s="958"/>
      <c r="ID43" s="958"/>
      <c r="IE43" s="958"/>
      <c r="IF43" s="958"/>
      <c r="IG43" s="958"/>
      <c r="IH43" s="958"/>
      <c r="II43" s="958"/>
      <c r="IJ43" s="958"/>
      <c r="IK43" s="958"/>
      <c r="IL43" s="958"/>
      <c r="IM43" s="958"/>
      <c r="IN43" s="958"/>
      <c r="IO43" s="958"/>
      <c r="IP43" s="958"/>
      <c r="IQ43" s="958"/>
      <c r="IR43" s="958"/>
      <c r="IS43" s="958"/>
      <c r="IT43" s="958"/>
      <c r="IU43" s="958"/>
      <c r="IV43" s="958"/>
      <c r="IW43" s="958"/>
      <c r="IX43" s="958"/>
      <c r="IY43" s="958"/>
      <c r="IZ43" s="958"/>
      <c r="JA43" s="958"/>
      <c r="JB43" s="958"/>
      <c r="JC43" s="958"/>
      <c r="JD43" s="958"/>
      <c r="JE43" s="958"/>
      <c r="JF43" s="958"/>
      <c r="JG43" s="958"/>
      <c r="JH43" s="958"/>
      <c r="JI43" s="958"/>
      <c r="JJ43" s="958"/>
      <c r="JK43" s="958"/>
      <c r="JL43" s="958"/>
      <c r="JM43" s="958"/>
      <c r="JN43" s="958"/>
      <c r="JO43" s="958"/>
      <c r="JP43" s="958"/>
      <c r="JQ43" s="958"/>
      <c r="JR43" s="958"/>
      <c r="JS43" s="958"/>
      <c r="JT43" s="958"/>
      <c r="JU43" s="958"/>
      <c r="JV43" s="958"/>
      <c r="JW43" s="958"/>
      <c r="JX43" s="958"/>
      <c r="JY43" s="958"/>
      <c r="JZ43" s="958"/>
      <c r="KA43" s="958"/>
      <c r="KB43" s="958"/>
      <c r="KC43" s="958"/>
      <c r="KD43" s="958"/>
      <c r="KE43" s="958"/>
      <c r="KF43" s="958"/>
      <c r="KG43" s="958"/>
      <c r="KH43" s="958"/>
      <c r="KI43" s="958"/>
      <c r="KJ43" s="958"/>
      <c r="KK43" s="958"/>
      <c r="KL43" s="958"/>
      <c r="KM43" s="958"/>
      <c r="KN43" s="958"/>
      <c r="KO43" s="958"/>
      <c r="KP43" s="958"/>
      <c r="KQ43" s="958"/>
      <c r="KR43" s="958"/>
      <c r="KS43" s="958"/>
      <c r="KT43" s="958"/>
      <c r="KU43" s="958"/>
      <c r="KV43" s="958"/>
      <c r="KW43" s="958"/>
      <c r="KX43" s="958"/>
      <c r="KY43" s="958"/>
      <c r="KZ43" s="958"/>
      <c r="LA43" s="958"/>
      <c r="LB43" s="958"/>
      <c r="LC43" s="958"/>
      <c r="LD43" s="958"/>
      <c r="LE43" s="958"/>
      <c r="LF43" s="958"/>
      <c r="LG43" s="958"/>
      <c r="LH43" s="958"/>
      <c r="LI43" s="958"/>
      <c r="LJ43" s="958"/>
      <c r="LK43" s="958"/>
      <c r="LL43" s="958"/>
      <c r="LM43" s="958"/>
      <c r="LN43" s="958"/>
      <c r="LO43" s="958"/>
      <c r="LP43" s="958"/>
      <c r="LQ43" s="958"/>
      <c r="LR43" s="958"/>
      <c r="LS43" s="958"/>
      <c r="LT43" s="958"/>
      <c r="LU43" s="958"/>
      <c r="LV43" s="958"/>
      <c r="LW43" s="958"/>
      <c r="LX43" s="958"/>
      <c r="LY43" s="958"/>
      <c r="LZ43" s="958"/>
      <c r="MA43" s="958"/>
      <c r="MB43" s="958"/>
      <c r="MC43" s="958"/>
      <c r="MD43" s="958"/>
      <c r="ME43" s="958"/>
      <c r="MF43" s="958"/>
      <c r="MG43" s="958"/>
      <c r="MH43" s="958"/>
      <c r="MI43" s="958"/>
      <c r="MJ43" s="958"/>
      <c r="MK43" s="958"/>
      <c r="ML43" s="958"/>
      <c r="MM43" s="958"/>
      <c r="MN43" s="958"/>
      <c r="MO43" s="958"/>
      <c r="MP43" s="958"/>
      <c r="MQ43" s="958"/>
      <c r="MR43" s="958"/>
      <c r="MS43" s="958"/>
      <c r="MT43" s="958"/>
      <c r="MU43" s="958"/>
      <c r="MV43" s="958"/>
      <c r="MW43" s="958"/>
      <c r="MX43" s="958"/>
      <c r="MY43" s="958"/>
      <c r="MZ43" s="958"/>
      <c r="NA43" s="958"/>
      <c r="NB43" s="958"/>
      <c r="NC43" s="958"/>
      <c r="ND43" s="958"/>
      <c r="NE43" s="958"/>
      <c r="NF43" s="958"/>
      <c r="NG43" s="958"/>
      <c r="NH43" s="958"/>
      <c r="NI43" s="958"/>
      <c r="NJ43" s="958"/>
      <c r="NK43" s="958"/>
      <c r="NL43" s="958"/>
      <c r="NM43" s="958"/>
      <c r="NN43" s="958"/>
      <c r="NO43" s="958"/>
      <c r="NP43" s="958"/>
      <c r="NQ43" s="958"/>
      <c r="NR43" s="958"/>
      <c r="NS43" s="958"/>
      <c r="NT43" s="958"/>
      <c r="NU43" s="958"/>
      <c r="NV43" s="958"/>
      <c r="NW43" s="958"/>
      <c r="NX43" s="958"/>
      <c r="NY43" s="958"/>
      <c r="NZ43" s="958"/>
      <c r="OA43" s="958"/>
      <c r="OB43" s="958"/>
      <c r="OC43" s="958"/>
      <c r="OD43" s="958"/>
      <c r="OE43" s="958"/>
      <c r="OF43" s="958"/>
      <c r="OG43" s="958"/>
      <c r="OH43" s="958"/>
      <c r="OI43" s="958"/>
      <c r="OJ43" s="958"/>
      <c r="OK43" s="958"/>
      <c r="OL43" s="958"/>
      <c r="OM43" s="958"/>
      <c r="ON43" s="958"/>
      <c r="OO43" s="958"/>
      <c r="OP43" s="958"/>
      <c r="OQ43" s="958"/>
      <c r="OR43" s="958"/>
      <c r="OS43" s="958"/>
      <c r="OT43" s="958"/>
      <c r="OU43" s="958"/>
      <c r="OV43" s="958"/>
      <c r="OW43" s="958"/>
      <c r="OX43" s="958"/>
      <c r="OY43" s="958"/>
      <c r="OZ43" s="958"/>
      <c r="PA43" s="958"/>
      <c r="PB43" s="958"/>
      <c r="PC43" s="958"/>
      <c r="PD43" s="958"/>
      <c r="PE43" s="958"/>
      <c r="PF43" s="958"/>
      <c r="PG43" s="958"/>
      <c r="PH43" s="958"/>
      <c r="PI43" s="958"/>
      <c r="PJ43" s="958"/>
      <c r="PK43" s="958"/>
      <c r="PL43" s="958"/>
      <c r="PM43" s="958"/>
      <c r="PN43" s="958"/>
      <c r="PO43" s="958"/>
      <c r="PP43" s="958"/>
      <c r="PQ43" s="958"/>
      <c r="PR43" s="958"/>
      <c r="PS43" s="958"/>
      <c r="PT43" s="958"/>
      <c r="PU43" s="958"/>
      <c r="PV43" s="958"/>
      <c r="PW43" s="958"/>
      <c r="PX43" s="958"/>
      <c r="PY43" s="958"/>
      <c r="PZ43" s="958"/>
      <c r="QA43" s="958"/>
      <c r="QB43" s="958"/>
      <c r="QC43" s="958"/>
      <c r="QD43" s="958"/>
      <c r="QE43" s="958"/>
      <c r="QF43" s="958"/>
      <c r="QG43" s="958"/>
      <c r="QH43" s="958"/>
      <c r="QI43" s="958"/>
      <c r="QJ43" s="958"/>
      <c r="QK43" s="958"/>
      <c r="QL43" s="958"/>
      <c r="QM43" s="958"/>
      <c r="QN43" s="958"/>
      <c r="QO43" s="958"/>
      <c r="QP43" s="958"/>
      <c r="QQ43" s="958"/>
      <c r="QR43" s="958"/>
      <c r="QS43" s="958"/>
      <c r="QT43" s="958"/>
      <c r="QU43" s="958"/>
      <c r="QV43" s="958"/>
      <c r="QW43" s="958"/>
      <c r="QX43" s="958"/>
      <c r="QY43" s="958"/>
      <c r="QZ43" s="958"/>
      <c r="RA43" s="958"/>
      <c r="RB43" s="958"/>
      <c r="RC43" s="958"/>
      <c r="RD43" s="958"/>
      <c r="RE43" s="958"/>
      <c r="RF43" s="958"/>
      <c r="RG43" s="958"/>
      <c r="RH43" s="958"/>
      <c r="RI43" s="958"/>
      <c r="RJ43" s="958"/>
      <c r="RK43" s="958"/>
      <c r="RL43" s="958"/>
      <c r="RM43" s="958"/>
      <c r="RN43" s="958"/>
      <c r="RO43" s="958"/>
      <c r="RP43" s="958"/>
      <c r="RQ43" s="958"/>
      <c r="RR43" s="958"/>
      <c r="RS43" s="958"/>
      <c r="RT43" s="958"/>
      <c r="RU43" s="958"/>
      <c r="RV43" s="958"/>
      <c r="RW43" s="958"/>
      <c r="RX43" s="958"/>
      <c r="RY43" s="958"/>
      <c r="RZ43" s="958"/>
      <c r="SA43" s="958"/>
      <c r="SB43" s="958"/>
      <c r="SC43" s="958"/>
      <c r="SD43" s="958"/>
      <c r="SE43" s="958"/>
      <c r="SF43" s="958"/>
      <c r="SG43" s="958"/>
      <c r="SH43" s="958"/>
      <c r="SI43" s="958"/>
      <c r="SJ43" s="958"/>
      <c r="SK43" s="958"/>
      <c r="SL43" s="958"/>
      <c r="SM43" s="958"/>
      <c r="SN43" s="958"/>
      <c r="SO43" s="958"/>
      <c r="SP43" s="958"/>
      <c r="SQ43" s="958"/>
      <c r="SR43" s="958"/>
      <c r="SS43" s="958"/>
      <c r="ST43" s="958"/>
      <c r="SU43" s="958"/>
      <c r="SV43" s="958"/>
      <c r="SW43" s="958"/>
      <c r="SX43" s="958"/>
      <c r="SY43" s="958"/>
      <c r="SZ43" s="958"/>
      <c r="TA43" s="958"/>
      <c r="TB43" s="958"/>
      <c r="TC43" s="958"/>
      <c r="TD43" s="958"/>
      <c r="TE43" s="958"/>
      <c r="TF43" s="958"/>
      <c r="TG43" s="958"/>
      <c r="TH43" s="958"/>
      <c r="TI43" s="958"/>
      <c r="TJ43" s="958"/>
      <c r="TK43" s="958"/>
      <c r="TL43" s="958"/>
      <c r="TM43" s="958"/>
      <c r="TN43" s="958"/>
      <c r="TO43" s="958"/>
      <c r="TP43" s="958"/>
      <c r="TQ43" s="958"/>
      <c r="TR43" s="958"/>
      <c r="TS43" s="958"/>
      <c r="TT43" s="958"/>
      <c r="TU43" s="958"/>
      <c r="TV43" s="958"/>
      <c r="TW43" s="958"/>
      <c r="TX43" s="958"/>
      <c r="TY43" s="958"/>
      <c r="TZ43" s="958"/>
      <c r="UA43" s="958"/>
      <c r="UB43" s="958"/>
      <c r="UC43" s="958"/>
      <c r="UD43" s="958"/>
      <c r="UE43" s="958"/>
      <c r="UF43" s="958"/>
      <c r="UG43" s="958"/>
      <c r="UH43" s="958"/>
      <c r="UI43" s="958"/>
      <c r="UJ43" s="958"/>
      <c r="UK43" s="958"/>
      <c r="UL43" s="958"/>
      <c r="UM43" s="958"/>
      <c r="UN43" s="958"/>
      <c r="UO43" s="958"/>
      <c r="UP43" s="958"/>
      <c r="UQ43" s="958"/>
      <c r="UR43" s="958"/>
      <c r="US43" s="958"/>
      <c r="UT43" s="958"/>
      <c r="UU43" s="958"/>
      <c r="UV43" s="958"/>
      <c r="UW43" s="958"/>
      <c r="UX43" s="958"/>
      <c r="UY43" s="958"/>
      <c r="UZ43" s="958"/>
      <c r="VA43" s="958"/>
      <c r="VB43" s="958"/>
      <c r="VC43" s="958"/>
      <c r="VD43" s="958"/>
      <c r="VE43" s="958"/>
      <c r="VF43" s="958"/>
      <c r="VG43" s="958"/>
      <c r="VH43" s="958"/>
      <c r="VI43" s="958"/>
      <c r="VJ43" s="958"/>
      <c r="VK43" s="958"/>
      <c r="VL43" s="958"/>
      <c r="VM43" s="958"/>
      <c r="VN43" s="958"/>
      <c r="VO43" s="958"/>
      <c r="VP43" s="958"/>
      <c r="VQ43" s="958"/>
      <c r="VR43" s="958"/>
      <c r="VS43" s="958"/>
      <c r="VT43" s="958"/>
      <c r="VU43" s="958"/>
      <c r="VV43" s="958"/>
      <c r="VW43" s="958"/>
      <c r="VX43" s="958"/>
      <c r="VY43" s="958"/>
      <c r="VZ43" s="958"/>
      <c r="WA43" s="958"/>
      <c r="WB43" s="958"/>
      <c r="WC43" s="958"/>
      <c r="WD43" s="958"/>
      <c r="WE43" s="958"/>
      <c r="WF43" s="958"/>
      <c r="WG43" s="958"/>
      <c r="WH43" s="958"/>
      <c r="WI43" s="958"/>
      <c r="WJ43" s="958"/>
      <c r="WK43" s="958"/>
      <c r="WL43" s="958"/>
      <c r="WM43" s="958"/>
      <c r="WN43" s="958"/>
      <c r="WO43" s="958"/>
      <c r="WP43" s="958"/>
      <c r="WQ43" s="958"/>
      <c r="WR43" s="958"/>
      <c r="WS43" s="958"/>
      <c r="WT43" s="958"/>
      <c r="WU43" s="958"/>
      <c r="WV43" s="958"/>
      <c r="WW43" s="958"/>
      <c r="WX43" s="958"/>
      <c r="WY43" s="958"/>
      <c r="WZ43" s="958"/>
      <c r="XA43" s="958"/>
      <c r="XB43" s="958"/>
      <c r="XC43" s="958"/>
      <c r="XD43" s="958"/>
      <c r="XE43" s="958"/>
      <c r="XF43" s="958"/>
      <c r="XG43" s="958"/>
      <c r="XH43" s="958"/>
      <c r="XI43" s="958"/>
      <c r="XJ43" s="958"/>
      <c r="XK43" s="958"/>
      <c r="XL43" s="958"/>
      <c r="XM43" s="958"/>
      <c r="XN43" s="958"/>
      <c r="XO43" s="958"/>
      <c r="XP43" s="958"/>
      <c r="XQ43" s="958"/>
      <c r="XR43" s="958"/>
      <c r="XS43" s="958"/>
      <c r="XT43" s="958"/>
      <c r="XU43" s="958"/>
      <c r="XV43" s="958"/>
      <c r="XW43" s="958"/>
      <c r="XX43" s="958"/>
      <c r="XY43" s="958"/>
      <c r="XZ43" s="958"/>
      <c r="YA43" s="958"/>
      <c r="YB43" s="958"/>
      <c r="YC43" s="958"/>
      <c r="YD43" s="958"/>
      <c r="YE43" s="958"/>
      <c r="YF43" s="958"/>
      <c r="YG43" s="958"/>
      <c r="YH43" s="958"/>
      <c r="YI43" s="958"/>
      <c r="YJ43" s="958"/>
      <c r="YK43" s="958"/>
      <c r="YL43" s="958"/>
      <c r="YM43" s="958"/>
      <c r="YN43" s="958"/>
      <c r="YO43" s="958"/>
      <c r="YP43" s="958"/>
      <c r="YQ43" s="958"/>
      <c r="YR43" s="958"/>
      <c r="YS43" s="958"/>
      <c r="YT43" s="958"/>
      <c r="YU43" s="958"/>
      <c r="YV43" s="958"/>
      <c r="YW43" s="958"/>
      <c r="YX43" s="958"/>
      <c r="YY43" s="958"/>
      <c r="YZ43" s="958"/>
      <c r="ZA43" s="958"/>
      <c r="ZB43" s="958"/>
      <c r="ZC43" s="958"/>
      <c r="ZD43" s="958"/>
      <c r="ZE43" s="958"/>
      <c r="ZF43" s="958"/>
      <c r="ZG43" s="958"/>
      <c r="ZH43" s="958"/>
      <c r="ZI43" s="958"/>
      <c r="ZJ43" s="958"/>
      <c r="ZK43" s="958"/>
      <c r="ZL43" s="958"/>
      <c r="ZM43" s="958"/>
      <c r="ZN43" s="958"/>
      <c r="ZO43" s="958"/>
      <c r="ZP43" s="958"/>
      <c r="ZQ43" s="958"/>
      <c r="ZR43" s="958"/>
      <c r="ZS43" s="958"/>
      <c r="ZT43" s="958"/>
      <c r="ZU43" s="958"/>
      <c r="ZV43" s="958"/>
      <c r="ZW43" s="958"/>
      <c r="ZX43" s="958"/>
      <c r="ZY43" s="958"/>
      <c r="ZZ43" s="958"/>
      <c r="AAA43" s="958"/>
      <c r="AAB43" s="958"/>
      <c r="AAC43" s="958"/>
      <c r="AAD43" s="958"/>
      <c r="AAE43" s="958"/>
      <c r="AAF43" s="958"/>
      <c r="AAG43" s="958"/>
      <c r="AAH43" s="958"/>
      <c r="AAI43" s="958"/>
      <c r="AAJ43" s="958"/>
      <c r="AAK43" s="958"/>
      <c r="AAL43" s="958"/>
      <c r="AAM43" s="958"/>
      <c r="AAN43" s="958"/>
      <c r="AAO43" s="958"/>
      <c r="AAP43" s="958"/>
      <c r="AAQ43" s="958"/>
      <c r="AAR43" s="958"/>
      <c r="AAS43" s="958"/>
      <c r="AAT43" s="958"/>
      <c r="AAU43" s="958"/>
      <c r="AAV43" s="958"/>
      <c r="AAW43" s="958"/>
      <c r="AAX43" s="958"/>
      <c r="AAY43" s="958"/>
      <c r="AAZ43" s="958"/>
      <c r="ABA43" s="958"/>
      <c r="ABB43" s="958"/>
      <c r="ABC43" s="958"/>
      <c r="ABD43" s="958"/>
      <c r="ABE43" s="958"/>
      <c r="ABF43" s="958"/>
      <c r="ABG43" s="958"/>
      <c r="ABH43" s="958"/>
      <c r="ABI43" s="958"/>
      <c r="ABJ43" s="958"/>
      <c r="ABK43" s="958"/>
      <c r="ABL43" s="958"/>
      <c r="ABM43" s="958"/>
      <c r="ABN43" s="958"/>
      <c r="ABO43" s="958"/>
      <c r="ABP43" s="958"/>
      <c r="ABQ43" s="958"/>
      <c r="ABR43" s="958"/>
      <c r="ABS43" s="958"/>
      <c r="ABT43" s="958"/>
      <c r="ABU43" s="958"/>
      <c r="ABV43" s="958"/>
      <c r="ABW43" s="958"/>
      <c r="ABX43" s="958"/>
      <c r="ABY43" s="958"/>
      <c r="ABZ43" s="958"/>
      <c r="ACA43" s="958"/>
      <c r="ACB43" s="958"/>
      <c r="ACC43" s="958"/>
      <c r="ACD43" s="958"/>
      <c r="ACE43" s="958"/>
      <c r="ACF43" s="958"/>
      <c r="ACG43" s="958"/>
      <c r="ACH43" s="958"/>
      <c r="ACI43" s="958"/>
      <c r="ACJ43" s="958"/>
      <c r="ACK43" s="958"/>
      <c r="ACL43" s="958"/>
      <c r="ACM43" s="958"/>
      <c r="ACN43" s="958"/>
      <c r="ACO43" s="958"/>
      <c r="ACP43" s="958"/>
      <c r="ACQ43" s="958"/>
      <c r="ACR43" s="958"/>
      <c r="ACS43" s="958"/>
      <c r="ACT43" s="958"/>
      <c r="ACU43" s="958"/>
      <c r="ACV43" s="958"/>
      <c r="ACW43" s="958"/>
      <c r="ACX43" s="958"/>
      <c r="ACY43" s="958"/>
      <c r="ACZ43" s="958"/>
      <c r="ADA43" s="958"/>
      <c r="ADB43" s="958"/>
      <c r="ADC43" s="958"/>
      <c r="ADD43" s="958"/>
      <c r="ADE43" s="958"/>
      <c r="ADF43" s="958"/>
      <c r="ADG43" s="958"/>
      <c r="ADH43" s="958"/>
      <c r="ADI43" s="958"/>
      <c r="ADJ43" s="958"/>
      <c r="ADK43" s="958"/>
      <c r="ADL43" s="958"/>
      <c r="ADM43" s="958"/>
      <c r="ADN43" s="958"/>
      <c r="ADO43" s="958"/>
      <c r="ADP43" s="958"/>
      <c r="ADQ43" s="958"/>
      <c r="ADR43" s="958"/>
      <c r="ADS43" s="958"/>
      <c r="ADT43" s="958"/>
      <c r="ADU43" s="958"/>
      <c r="ADV43" s="958"/>
      <c r="ADW43" s="958"/>
      <c r="ADX43" s="958"/>
      <c r="ADY43" s="958"/>
      <c r="ADZ43" s="958"/>
      <c r="AEA43" s="958"/>
      <c r="AEB43" s="958"/>
      <c r="AEC43" s="958"/>
      <c r="AED43" s="958"/>
      <c r="AEE43" s="958"/>
      <c r="AEF43" s="958"/>
      <c r="AEG43" s="958"/>
      <c r="AEH43" s="958"/>
      <c r="AEI43" s="958"/>
      <c r="AEJ43" s="958"/>
      <c r="AEK43" s="958"/>
      <c r="AEL43" s="958"/>
      <c r="AEM43" s="958"/>
      <c r="AEN43" s="958"/>
      <c r="AEO43" s="958"/>
      <c r="AEP43" s="958"/>
      <c r="AEQ43" s="958"/>
      <c r="AER43" s="958"/>
      <c r="AES43" s="958"/>
      <c r="AET43" s="958"/>
      <c r="AEU43" s="958"/>
      <c r="AEV43" s="958"/>
      <c r="AEW43" s="958"/>
      <c r="AEX43" s="958"/>
      <c r="AEY43" s="958"/>
      <c r="AEZ43" s="958"/>
      <c r="AFA43" s="958"/>
      <c r="AFB43" s="958"/>
      <c r="AFC43" s="958"/>
      <c r="AFD43" s="958"/>
      <c r="AFE43" s="958"/>
      <c r="AFF43" s="958"/>
      <c r="AFG43" s="958"/>
      <c r="AFH43" s="958"/>
      <c r="AFI43" s="958"/>
      <c r="AFJ43" s="958"/>
      <c r="AFK43" s="958"/>
      <c r="AFL43" s="958"/>
      <c r="AFM43" s="958"/>
      <c r="AFN43" s="958"/>
      <c r="AFO43" s="958"/>
      <c r="AFP43" s="958"/>
      <c r="AFQ43" s="958"/>
      <c r="AFR43" s="958"/>
      <c r="AFS43" s="958"/>
      <c r="AFT43" s="958"/>
      <c r="AFU43" s="958"/>
      <c r="AFV43" s="958"/>
      <c r="AFW43" s="958"/>
      <c r="AFX43" s="958"/>
      <c r="AFY43" s="958"/>
      <c r="AFZ43" s="958"/>
      <c r="AGA43" s="958"/>
      <c r="AGB43" s="958"/>
      <c r="AGC43" s="958"/>
      <c r="AGD43" s="958"/>
      <c r="AGE43" s="958"/>
      <c r="AGF43" s="958"/>
      <c r="AGG43" s="958"/>
      <c r="AGH43" s="958"/>
      <c r="AGI43" s="958"/>
      <c r="AGJ43" s="958"/>
      <c r="AGK43" s="958"/>
      <c r="AGL43" s="958"/>
      <c r="AGM43" s="958"/>
      <c r="AGN43" s="958"/>
      <c r="AGO43" s="958"/>
      <c r="AGP43" s="958"/>
      <c r="AGQ43" s="958"/>
      <c r="AGR43" s="958"/>
      <c r="AGS43" s="958"/>
      <c r="AGT43" s="958"/>
      <c r="AGU43" s="958"/>
      <c r="AGV43" s="958"/>
      <c r="AGW43" s="958"/>
      <c r="AGX43" s="958"/>
      <c r="AGY43" s="958"/>
      <c r="AGZ43" s="958"/>
      <c r="AHA43" s="958"/>
      <c r="AHB43" s="958"/>
      <c r="AHC43" s="958"/>
      <c r="AHD43" s="958"/>
      <c r="AHE43" s="958"/>
      <c r="AHF43" s="958"/>
      <c r="AHG43" s="958"/>
      <c r="AHH43" s="958"/>
      <c r="AHI43" s="958"/>
      <c r="AHJ43" s="958"/>
      <c r="AHK43" s="958"/>
      <c r="AHL43" s="958"/>
      <c r="AHM43" s="958"/>
      <c r="AHN43" s="958"/>
      <c r="AHO43" s="958"/>
      <c r="AHP43" s="958"/>
      <c r="AHQ43" s="958"/>
      <c r="AHR43" s="958"/>
      <c r="AHS43" s="958"/>
      <c r="AHT43" s="958"/>
      <c r="AHU43" s="958"/>
      <c r="AHV43" s="958"/>
      <c r="AHW43" s="958"/>
      <c r="AHX43" s="958"/>
      <c r="AHY43" s="958"/>
      <c r="AHZ43" s="958"/>
      <c r="AIA43" s="958"/>
      <c r="AIB43" s="958"/>
      <c r="AIC43" s="958"/>
      <c r="AID43" s="958"/>
      <c r="AIE43" s="958"/>
      <c r="AIF43" s="958"/>
      <c r="AIG43" s="958"/>
      <c r="AIH43" s="958"/>
      <c r="AII43" s="958"/>
      <c r="AIJ43" s="958"/>
      <c r="AIK43" s="958"/>
      <c r="AIL43" s="958"/>
      <c r="AIM43" s="958"/>
      <c r="AIN43" s="958"/>
      <c r="AIO43" s="958"/>
      <c r="AIP43" s="958"/>
      <c r="AIQ43" s="958"/>
      <c r="AIR43" s="958"/>
      <c r="AIS43" s="958"/>
      <c r="AIT43" s="958"/>
      <c r="AIU43" s="958"/>
      <c r="AIV43" s="958"/>
      <c r="AIW43" s="958"/>
      <c r="AIX43" s="958"/>
      <c r="AIY43" s="958"/>
      <c r="AIZ43" s="958"/>
      <c r="AJA43" s="958"/>
      <c r="AJB43" s="958"/>
      <c r="AJC43" s="958"/>
      <c r="AJD43" s="958"/>
      <c r="AJE43" s="958"/>
      <c r="AJF43" s="958"/>
      <c r="AJG43" s="958"/>
      <c r="AJH43" s="958"/>
      <c r="AJI43" s="958"/>
      <c r="AJJ43" s="958"/>
      <c r="AJK43" s="958"/>
      <c r="AJL43" s="958"/>
      <c r="AJM43" s="958"/>
      <c r="AJN43" s="958"/>
      <c r="AJO43" s="958"/>
      <c r="AJP43" s="958"/>
      <c r="AJQ43" s="958"/>
      <c r="AJR43" s="958"/>
      <c r="AJS43" s="958"/>
      <c r="AJT43" s="958"/>
      <c r="AJU43" s="958"/>
      <c r="AJV43" s="958"/>
      <c r="AJW43" s="958"/>
      <c r="AJX43" s="958"/>
      <c r="AJY43" s="958"/>
      <c r="AJZ43" s="958"/>
      <c r="AKA43" s="958"/>
      <c r="AKB43" s="958"/>
      <c r="AKC43" s="958"/>
      <c r="AKD43" s="958"/>
      <c r="AKE43" s="958"/>
      <c r="AKF43" s="958"/>
      <c r="AKG43" s="958"/>
      <c r="AKH43" s="958"/>
      <c r="AKI43" s="958"/>
      <c r="AKJ43" s="958"/>
      <c r="AKK43" s="958"/>
      <c r="AKL43" s="958"/>
      <c r="AKM43" s="958"/>
      <c r="AKN43" s="958"/>
      <c r="AKO43" s="958"/>
      <c r="AKP43" s="958"/>
      <c r="AKQ43" s="958"/>
      <c r="AKR43" s="958"/>
      <c r="AKS43" s="958"/>
      <c r="AKT43" s="958"/>
      <c r="AKU43" s="958"/>
      <c r="AKV43" s="958"/>
      <c r="AKW43" s="958"/>
      <c r="AKX43" s="958"/>
      <c r="AKY43" s="958"/>
      <c r="AKZ43" s="958"/>
      <c r="ALA43" s="958"/>
      <c r="ALB43" s="958"/>
      <c r="ALC43" s="958"/>
      <c r="ALD43" s="958"/>
      <c r="ALE43" s="958"/>
      <c r="ALF43" s="958"/>
      <c r="ALG43" s="958"/>
      <c r="ALH43" s="958"/>
      <c r="ALI43" s="958"/>
      <c r="ALJ43" s="958"/>
      <c r="ALK43" s="958"/>
      <c r="ALL43" s="958"/>
      <c r="ALM43" s="958"/>
      <c r="ALN43" s="958"/>
      <c r="ALO43" s="958"/>
      <c r="ALP43" s="958"/>
      <c r="ALQ43" s="958"/>
      <c r="ALR43" s="958"/>
      <c r="ALS43" s="958"/>
      <c r="ALT43" s="958"/>
      <c r="ALU43" s="958"/>
      <c r="ALV43" s="958"/>
      <c r="ALW43" s="958"/>
      <c r="ALX43" s="958"/>
      <c r="ALY43" s="958"/>
      <c r="ALZ43" s="958"/>
      <c r="AMA43" s="958"/>
      <c r="AMB43" s="958"/>
      <c r="AMC43" s="958"/>
      <c r="AMD43" s="958"/>
      <c r="AME43" s="958"/>
      <c r="AMF43" s="958"/>
      <c r="AMG43" s="958"/>
      <c r="AMH43" s="958"/>
      <c r="AMI43" s="958"/>
      <c r="AMJ43" s="958"/>
      <c r="AMK43" s="958"/>
      <c r="AML43" s="958"/>
      <c r="AMM43" s="958"/>
      <c r="AMN43" s="958"/>
      <c r="AMO43" s="958"/>
      <c r="AMP43" s="958"/>
      <c r="AMQ43" s="958"/>
      <c r="AMR43" s="958"/>
      <c r="AMS43" s="958"/>
      <c r="AMT43" s="958"/>
      <c r="AMU43" s="958"/>
      <c r="AMV43" s="958"/>
      <c r="AMW43" s="958"/>
      <c r="AMX43" s="958"/>
      <c r="AMY43" s="958"/>
      <c r="AMZ43" s="958"/>
      <c r="ANA43" s="958"/>
      <c r="ANB43" s="958"/>
      <c r="ANC43" s="958"/>
      <c r="AND43" s="958"/>
      <c r="ANE43" s="958"/>
      <c r="ANF43" s="958"/>
      <c r="ANG43" s="958"/>
      <c r="ANH43" s="958"/>
      <c r="ANI43" s="958"/>
      <c r="ANJ43" s="958"/>
      <c r="ANK43" s="958"/>
      <c r="ANL43" s="958"/>
      <c r="ANM43" s="958"/>
      <c r="ANN43" s="958"/>
      <c r="ANO43" s="958"/>
      <c r="ANP43" s="958"/>
      <c r="ANQ43" s="958"/>
      <c r="ANR43" s="958"/>
      <c r="ANS43" s="958"/>
      <c r="ANT43" s="958"/>
      <c r="ANU43" s="958"/>
      <c r="ANV43" s="958"/>
      <c r="ANW43" s="958"/>
      <c r="ANX43" s="958"/>
      <c r="ANY43" s="958"/>
      <c r="ANZ43" s="958"/>
      <c r="AOA43" s="958"/>
      <c r="AOB43" s="958"/>
      <c r="AOC43" s="958"/>
      <c r="AOD43" s="958"/>
      <c r="AOE43" s="958"/>
      <c r="AOF43" s="958"/>
      <c r="AOG43" s="958"/>
      <c r="AOH43" s="958"/>
      <c r="AOI43" s="958"/>
      <c r="AOJ43" s="958"/>
      <c r="AOK43" s="958"/>
      <c r="AOL43" s="958"/>
      <c r="AOM43" s="958"/>
      <c r="AON43" s="958"/>
      <c r="AOO43" s="958"/>
      <c r="AOP43" s="958"/>
      <c r="AOQ43" s="958"/>
      <c r="AOR43" s="958"/>
      <c r="AOS43" s="958"/>
      <c r="AOT43" s="958"/>
      <c r="AOU43" s="958"/>
      <c r="AOV43" s="958"/>
      <c r="AOW43" s="958"/>
      <c r="AOX43" s="958"/>
      <c r="AOY43" s="958"/>
      <c r="AOZ43" s="958"/>
      <c r="APA43" s="958"/>
      <c r="APB43" s="958"/>
      <c r="APC43" s="958"/>
      <c r="APD43" s="958"/>
      <c r="APE43" s="958"/>
      <c r="APF43" s="958"/>
      <c r="APG43" s="958"/>
      <c r="APH43" s="958"/>
      <c r="API43" s="958"/>
      <c r="APJ43" s="958"/>
      <c r="APK43" s="958"/>
      <c r="APL43" s="958"/>
      <c r="APM43" s="958"/>
      <c r="APN43" s="958"/>
      <c r="APO43" s="958"/>
      <c r="APP43" s="958"/>
      <c r="APQ43" s="958"/>
      <c r="APR43" s="958"/>
      <c r="APS43" s="958"/>
      <c r="APT43" s="958"/>
      <c r="APU43" s="958"/>
      <c r="APV43" s="958"/>
      <c r="APW43" s="958"/>
      <c r="APX43" s="958"/>
      <c r="APY43" s="958"/>
      <c r="APZ43" s="958"/>
      <c r="AQA43" s="958"/>
      <c r="AQB43" s="958"/>
      <c r="AQC43" s="958"/>
      <c r="AQD43" s="958"/>
      <c r="AQE43" s="958"/>
      <c r="AQF43" s="958"/>
      <c r="AQG43" s="958"/>
      <c r="AQH43" s="958"/>
      <c r="AQI43" s="958"/>
      <c r="AQJ43" s="958"/>
      <c r="AQK43" s="958"/>
      <c r="AQL43" s="958"/>
      <c r="AQM43" s="958"/>
      <c r="AQN43" s="958"/>
      <c r="AQO43" s="958"/>
      <c r="AQP43" s="958"/>
      <c r="AQQ43" s="958"/>
      <c r="AQR43" s="958"/>
      <c r="AQS43" s="958"/>
      <c r="AQT43" s="958"/>
      <c r="AQU43" s="958"/>
      <c r="AQV43" s="958"/>
      <c r="AQW43" s="958"/>
      <c r="AQX43" s="958"/>
      <c r="AQY43" s="958"/>
      <c r="AQZ43" s="958"/>
      <c r="ARA43" s="958"/>
      <c r="ARB43" s="958"/>
      <c r="ARC43" s="958"/>
      <c r="ARD43" s="958"/>
      <c r="ARE43" s="958"/>
      <c r="ARF43" s="958"/>
      <c r="ARG43" s="958"/>
      <c r="ARH43" s="958"/>
      <c r="ARI43" s="958"/>
      <c r="ARJ43" s="958"/>
      <c r="ARK43" s="958"/>
      <c r="ARL43" s="958"/>
      <c r="ARM43" s="958"/>
      <c r="ARN43" s="958"/>
      <c r="ARO43" s="958"/>
      <c r="ARP43" s="958"/>
      <c r="ARQ43" s="958"/>
      <c r="ARR43" s="958"/>
      <c r="ARS43" s="958"/>
      <c r="ART43" s="958"/>
      <c r="ARU43" s="958"/>
      <c r="ARV43" s="958"/>
      <c r="ARW43" s="958"/>
      <c r="ARX43" s="958"/>
      <c r="ARY43" s="958"/>
      <c r="ARZ43" s="958"/>
      <c r="ASA43" s="958"/>
      <c r="ASB43" s="958"/>
      <c r="ASC43" s="958"/>
      <c r="ASD43" s="958"/>
      <c r="ASE43" s="958"/>
      <c r="ASF43" s="958"/>
      <c r="ASG43" s="958"/>
      <c r="ASH43" s="958"/>
      <c r="ASI43" s="958"/>
      <c r="ASJ43" s="958"/>
      <c r="ASK43" s="958"/>
      <c r="ASL43" s="958"/>
      <c r="ASM43" s="958"/>
      <c r="ASN43" s="958"/>
      <c r="ASO43" s="958"/>
      <c r="ASP43" s="958"/>
      <c r="ASQ43" s="958"/>
      <c r="ASR43" s="958"/>
      <c r="ASS43" s="958"/>
      <c r="AST43" s="958"/>
      <c r="ASU43" s="958"/>
      <c r="ASV43" s="958"/>
      <c r="ASW43" s="958"/>
      <c r="ASX43" s="958"/>
      <c r="ASY43" s="958"/>
      <c r="ASZ43" s="958"/>
    </row>
    <row r="44" spans="1:1196" s="487" customFormat="1" ht="108" customHeight="1" thickTop="1" thickBot="1">
      <c r="A44" s="3027" t="s">
        <v>142</v>
      </c>
      <c r="B44" s="3028" t="s">
        <v>143</v>
      </c>
      <c r="C44" s="2993" t="s">
        <v>452</v>
      </c>
      <c r="D44" s="171" t="s">
        <v>261</v>
      </c>
      <c r="E44" s="133" t="s">
        <v>262</v>
      </c>
      <c r="F44" s="133" t="s">
        <v>10</v>
      </c>
      <c r="G44" s="995">
        <v>0.02</v>
      </c>
      <c r="H44" s="996"/>
      <c r="I44" s="997"/>
      <c r="J44" s="996"/>
      <c r="K44" s="133" t="s">
        <v>486</v>
      </c>
      <c r="L44" s="998">
        <v>0</v>
      </c>
      <c r="M44" s="999">
        <v>0</v>
      </c>
      <c r="N44" s="73" t="e">
        <f t="shared" ref="N44:N45" si="28">+M44/L44</f>
        <v>#DIV/0!</v>
      </c>
      <c r="O44" s="998">
        <v>0</v>
      </c>
      <c r="P44" s="999">
        <v>0</v>
      </c>
      <c r="Q44" s="73" t="e">
        <f t="shared" ref="Q44:Q45" si="29">+P44/O44</f>
        <v>#DIV/0!</v>
      </c>
      <c r="R44" s="998">
        <v>0</v>
      </c>
      <c r="S44" s="999">
        <v>0</v>
      </c>
      <c r="T44" s="73" t="e">
        <f t="shared" ref="T44:T45" si="30">+S44/R44</f>
        <v>#DIV/0!</v>
      </c>
      <c r="U44" s="998">
        <v>0</v>
      </c>
      <c r="V44" s="999">
        <v>0</v>
      </c>
      <c r="W44" s="73" t="e">
        <f t="shared" ref="W44:W45" si="31">+V44/U44</f>
        <v>#DIV/0!</v>
      </c>
      <c r="X44" s="998">
        <v>0</v>
      </c>
      <c r="Y44" s="999">
        <v>0</v>
      </c>
      <c r="Z44" s="73" t="e">
        <f t="shared" ref="Z44:Z45" si="32">+Y44/X44</f>
        <v>#DIV/0!</v>
      </c>
      <c r="AA44" s="998">
        <v>0</v>
      </c>
      <c r="AB44" s="998">
        <v>0</v>
      </c>
      <c r="AC44" s="73" t="e">
        <f t="shared" ref="AC44:AC45" si="33">+AB44/AA44</f>
        <v>#DIV/0!</v>
      </c>
      <c r="AD44" s="1000">
        <f t="shared" ref="AD44:AD45" si="34">+M44+P44+S44+V44+Y44+AB44</f>
        <v>0</v>
      </c>
      <c r="AE44" s="956">
        <f t="shared" ref="AE44:AE45" si="35">+AD44/G44</f>
        <v>0</v>
      </c>
      <c r="AF44" s="1000">
        <v>0</v>
      </c>
      <c r="AG44" s="999">
        <v>0</v>
      </c>
      <c r="AH44" s="73" t="e">
        <f t="shared" ref="AH44:AH45" si="36">+AG44/AF44</f>
        <v>#DIV/0!</v>
      </c>
      <c r="AI44" s="998">
        <v>0</v>
      </c>
      <c r="AJ44" s="999">
        <v>0</v>
      </c>
      <c r="AK44" s="73" t="e">
        <f t="shared" ref="AK44:AK45" si="37">+AJ44/AI44</f>
        <v>#DIV/0!</v>
      </c>
      <c r="AL44" s="998">
        <v>0</v>
      </c>
      <c r="AM44" s="999">
        <v>0</v>
      </c>
      <c r="AN44" s="73" t="e">
        <f t="shared" ref="AN44:AN45" si="38">+AM44/AL44</f>
        <v>#DIV/0!</v>
      </c>
      <c r="AO44" s="998">
        <v>0</v>
      </c>
      <c r="AP44" s="999">
        <v>0</v>
      </c>
      <c r="AQ44" s="73" t="e">
        <f t="shared" ref="AQ44:AQ45" si="39">+AP44/AO44</f>
        <v>#DIV/0!</v>
      </c>
      <c r="AR44" s="998">
        <v>0</v>
      </c>
      <c r="AS44" s="999">
        <v>0</v>
      </c>
      <c r="AT44" s="73" t="e">
        <f t="shared" ref="AT44:AT45" si="40">+AS44/AR44</f>
        <v>#DIV/0!</v>
      </c>
      <c r="AU44" s="998">
        <v>0.02</v>
      </c>
      <c r="AV44" s="999">
        <v>0.2</v>
      </c>
      <c r="AW44" s="73">
        <f t="shared" ref="AW44:AW45" si="41">+AV44/AU44</f>
        <v>10</v>
      </c>
      <c r="AX44" s="1000">
        <f>+AV44</f>
        <v>0.2</v>
      </c>
      <c r="AY44" s="956">
        <f t="shared" ref="AY44:AY45" si="42">+AX44/G44</f>
        <v>10</v>
      </c>
      <c r="AZ44" s="958"/>
      <c r="BA44" s="958"/>
      <c r="BB44" s="958"/>
      <c r="BC44" s="958"/>
      <c r="BD44" s="958"/>
      <c r="BE44" s="958"/>
      <c r="BF44" s="958"/>
      <c r="BG44" s="958"/>
      <c r="BH44" s="958"/>
      <c r="BI44" s="958"/>
      <c r="BJ44" s="958"/>
      <c r="BK44" s="958"/>
      <c r="BL44" s="958"/>
      <c r="BM44" s="958"/>
      <c r="BN44" s="958"/>
      <c r="BO44" s="958"/>
      <c r="BP44" s="958"/>
      <c r="BQ44" s="958"/>
      <c r="BR44" s="958"/>
      <c r="BS44" s="958"/>
      <c r="BT44" s="958"/>
      <c r="BU44" s="958"/>
      <c r="BV44" s="958"/>
      <c r="BW44" s="958"/>
      <c r="BX44" s="958"/>
      <c r="BY44" s="958"/>
      <c r="BZ44" s="958"/>
      <c r="CA44" s="958"/>
      <c r="CB44" s="958"/>
      <c r="CC44" s="958"/>
      <c r="CD44" s="958"/>
      <c r="CE44" s="958"/>
      <c r="CF44" s="958"/>
      <c r="CG44" s="958"/>
      <c r="CH44" s="958"/>
      <c r="CI44" s="958"/>
      <c r="CJ44" s="958"/>
      <c r="CK44" s="958"/>
      <c r="CL44" s="958"/>
      <c r="CM44" s="958"/>
      <c r="CN44" s="958"/>
      <c r="CO44" s="958"/>
      <c r="CP44" s="958"/>
      <c r="CQ44" s="958"/>
      <c r="CR44" s="958"/>
      <c r="CS44" s="958"/>
      <c r="CT44" s="958"/>
      <c r="CU44" s="958"/>
      <c r="CV44" s="958"/>
      <c r="CW44" s="958"/>
      <c r="CX44" s="958"/>
      <c r="CY44" s="958"/>
      <c r="CZ44" s="958"/>
      <c r="DA44" s="958"/>
      <c r="DB44" s="958"/>
      <c r="DC44" s="958"/>
      <c r="DD44" s="958"/>
      <c r="DE44" s="958"/>
      <c r="DF44" s="958"/>
      <c r="DG44" s="958"/>
      <c r="DH44" s="958"/>
      <c r="DI44" s="958"/>
      <c r="DJ44" s="958"/>
      <c r="DK44" s="958"/>
      <c r="DL44" s="958"/>
      <c r="DM44" s="958"/>
      <c r="DN44" s="958"/>
      <c r="DO44" s="958"/>
      <c r="DP44" s="958"/>
      <c r="DQ44" s="958"/>
      <c r="DR44" s="958"/>
      <c r="DS44" s="958"/>
      <c r="DT44" s="958"/>
      <c r="DU44" s="958"/>
      <c r="DV44" s="958"/>
      <c r="DW44" s="958"/>
      <c r="DX44" s="958"/>
      <c r="DY44" s="958"/>
      <c r="DZ44" s="958"/>
      <c r="EA44" s="958"/>
      <c r="EB44" s="958"/>
      <c r="EC44" s="958"/>
      <c r="ED44" s="958"/>
      <c r="EE44" s="958"/>
      <c r="EF44" s="958"/>
      <c r="EG44" s="958"/>
      <c r="EH44" s="958"/>
      <c r="EI44" s="958"/>
      <c r="EJ44" s="958"/>
      <c r="EK44" s="958"/>
      <c r="EL44" s="958"/>
      <c r="EM44" s="958"/>
      <c r="EN44" s="958"/>
      <c r="EO44" s="958"/>
      <c r="EP44" s="958"/>
      <c r="EQ44" s="958"/>
      <c r="ER44" s="958"/>
      <c r="ES44" s="958"/>
      <c r="ET44" s="958"/>
      <c r="EU44" s="958"/>
      <c r="EV44" s="958"/>
      <c r="EW44" s="958"/>
      <c r="EX44" s="958"/>
      <c r="EY44" s="958"/>
      <c r="EZ44" s="958"/>
      <c r="FA44" s="958"/>
      <c r="FB44" s="958"/>
      <c r="FC44" s="958"/>
      <c r="FD44" s="958"/>
      <c r="FE44" s="958"/>
      <c r="FF44" s="958"/>
      <c r="FG44" s="958"/>
      <c r="FH44" s="958"/>
      <c r="FI44" s="958"/>
      <c r="FJ44" s="958"/>
      <c r="FK44" s="958"/>
      <c r="FL44" s="958"/>
      <c r="FM44" s="958"/>
      <c r="FN44" s="958"/>
      <c r="FO44" s="958"/>
      <c r="FP44" s="958"/>
      <c r="FQ44" s="958"/>
      <c r="FR44" s="958"/>
      <c r="FS44" s="958"/>
      <c r="FT44" s="958"/>
      <c r="FU44" s="958"/>
      <c r="FV44" s="958"/>
      <c r="FW44" s="958"/>
      <c r="FX44" s="958"/>
      <c r="FY44" s="958"/>
      <c r="FZ44" s="958"/>
      <c r="GA44" s="958"/>
      <c r="GB44" s="958"/>
      <c r="GC44" s="958"/>
      <c r="GD44" s="958"/>
      <c r="GE44" s="958"/>
      <c r="GF44" s="958"/>
      <c r="GG44" s="958"/>
      <c r="GH44" s="958"/>
      <c r="GI44" s="958"/>
      <c r="GJ44" s="958"/>
      <c r="GK44" s="958"/>
      <c r="GL44" s="958"/>
      <c r="GM44" s="958"/>
      <c r="GN44" s="958"/>
      <c r="GO44" s="958"/>
      <c r="GP44" s="958"/>
      <c r="GQ44" s="958"/>
      <c r="GR44" s="958"/>
      <c r="GS44" s="958"/>
      <c r="GT44" s="958"/>
      <c r="GU44" s="958"/>
      <c r="GV44" s="958"/>
      <c r="GW44" s="958"/>
      <c r="GX44" s="958"/>
      <c r="GY44" s="958"/>
      <c r="GZ44" s="958"/>
      <c r="HA44" s="958"/>
      <c r="HB44" s="958"/>
      <c r="HC44" s="958"/>
      <c r="HD44" s="958"/>
      <c r="HE44" s="958"/>
      <c r="HF44" s="958"/>
      <c r="HG44" s="958"/>
      <c r="HH44" s="958"/>
      <c r="HI44" s="958"/>
      <c r="HJ44" s="958"/>
      <c r="HK44" s="958"/>
      <c r="HL44" s="958"/>
      <c r="HM44" s="958"/>
      <c r="HN44" s="958"/>
      <c r="HO44" s="958"/>
      <c r="HP44" s="958"/>
      <c r="HQ44" s="958"/>
      <c r="HR44" s="958"/>
      <c r="HS44" s="958"/>
      <c r="HT44" s="958"/>
      <c r="HU44" s="958"/>
      <c r="HV44" s="958"/>
      <c r="HW44" s="958"/>
      <c r="HX44" s="958"/>
      <c r="HY44" s="958"/>
      <c r="HZ44" s="958"/>
      <c r="IA44" s="958"/>
      <c r="IB44" s="958"/>
      <c r="IC44" s="958"/>
      <c r="ID44" s="958"/>
      <c r="IE44" s="958"/>
      <c r="IF44" s="958"/>
      <c r="IG44" s="958"/>
      <c r="IH44" s="958"/>
      <c r="II44" s="958"/>
      <c r="IJ44" s="958"/>
      <c r="IK44" s="958"/>
      <c r="IL44" s="958"/>
      <c r="IM44" s="958"/>
      <c r="IN44" s="958"/>
      <c r="IO44" s="958"/>
      <c r="IP44" s="958"/>
      <c r="IQ44" s="958"/>
      <c r="IR44" s="958"/>
      <c r="IS44" s="958"/>
      <c r="IT44" s="958"/>
      <c r="IU44" s="958"/>
      <c r="IV44" s="958"/>
      <c r="IW44" s="958"/>
      <c r="IX44" s="958"/>
      <c r="IY44" s="958"/>
      <c r="IZ44" s="958"/>
      <c r="JA44" s="958"/>
      <c r="JB44" s="958"/>
      <c r="JC44" s="958"/>
      <c r="JD44" s="958"/>
      <c r="JE44" s="958"/>
      <c r="JF44" s="958"/>
      <c r="JG44" s="958"/>
      <c r="JH44" s="958"/>
      <c r="JI44" s="958"/>
      <c r="JJ44" s="958"/>
      <c r="JK44" s="958"/>
      <c r="JL44" s="958"/>
      <c r="JM44" s="958"/>
      <c r="JN44" s="958"/>
      <c r="JO44" s="958"/>
      <c r="JP44" s="958"/>
      <c r="JQ44" s="958"/>
      <c r="JR44" s="958"/>
      <c r="JS44" s="958"/>
      <c r="JT44" s="958"/>
      <c r="JU44" s="958"/>
      <c r="JV44" s="958"/>
      <c r="JW44" s="958"/>
      <c r="JX44" s="958"/>
      <c r="JY44" s="958"/>
      <c r="JZ44" s="958"/>
      <c r="KA44" s="958"/>
      <c r="KB44" s="958"/>
      <c r="KC44" s="958"/>
      <c r="KD44" s="958"/>
      <c r="KE44" s="958"/>
      <c r="KF44" s="958"/>
      <c r="KG44" s="958"/>
      <c r="KH44" s="958"/>
      <c r="KI44" s="958"/>
      <c r="KJ44" s="958"/>
      <c r="KK44" s="958"/>
      <c r="KL44" s="958"/>
      <c r="KM44" s="958"/>
      <c r="KN44" s="958"/>
      <c r="KO44" s="958"/>
      <c r="KP44" s="958"/>
      <c r="KQ44" s="958"/>
      <c r="KR44" s="958"/>
      <c r="KS44" s="958"/>
      <c r="KT44" s="958"/>
      <c r="KU44" s="958"/>
      <c r="KV44" s="958"/>
      <c r="KW44" s="958"/>
      <c r="KX44" s="958"/>
      <c r="KY44" s="958"/>
      <c r="KZ44" s="958"/>
      <c r="LA44" s="958"/>
      <c r="LB44" s="958"/>
      <c r="LC44" s="958"/>
      <c r="LD44" s="958"/>
      <c r="LE44" s="958"/>
      <c r="LF44" s="958"/>
      <c r="LG44" s="958"/>
      <c r="LH44" s="958"/>
      <c r="LI44" s="958"/>
      <c r="LJ44" s="958"/>
      <c r="LK44" s="958"/>
      <c r="LL44" s="958"/>
      <c r="LM44" s="958"/>
      <c r="LN44" s="958"/>
      <c r="LO44" s="958"/>
      <c r="LP44" s="958"/>
      <c r="LQ44" s="958"/>
      <c r="LR44" s="958"/>
      <c r="LS44" s="958"/>
      <c r="LT44" s="958"/>
      <c r="LU44" s="958"/>
      <c r="LV44" s="958"/>
      <c r="LW44" s="958"/>
      <c r="LX44" s="958"/>
      <c r="LY44" s="958"/>
      <c r="LZ44" s="958"/>
      <c r="MA44" s="958"/>
      <c r="MB44" s="958"/>
      <c r="MC44" s="958"/>
      <c r="MD44" s="958"/>
      <c r="ME44" s="958"/>
      <c r="MF44" s="958"/>
      <c r="MG44" s="958"/>
      <c r="MH44" s="958"/>
      <c r="MI44" s="958"/>
      <c r="MJ44" s="958"/>
      <c r="MK44" s="958"/>
      <c r="ML44" s="958"/>
      <c r="MM44" s="958"/>
      <c r="MN44" s="958"/>
      <c r="MO44" s="958"/>
      <c r="MP44" s="958"/>
      <c r="MQ44" s="958"/>
      <c r="MR44" s="958"/>
      <c r="MS44" s="958"/>
      <c r="MT44" s="958"/>
      <c r="MU44" s="958"/>
      <c r="MV44" s="958"/>
      <c r="MW44" s="958"/>
      <c r="MX44" s="958"/>
      <c r="MY44" s="958"/>
      <c r="MZ44" s="958"/>
      <c r="NA44" s="958"/>
      <c r="NB44" s="958"/>
      <c r="NC44" s="958"/>
      <c r="ND44" s="958"/>
      <c r="NE44" s="958"/>
      <c r="NF44" s="958"/>
      <c r="NG44" s="958"/>
      <c r="NH44" s="958"/>
      <c r="NI44" s="958"/>
      <c r="NJ44" s="958"/>
      <c r="NK44" s="958"/>
      <c r="NL44" s="958"/>
      <c r="NM44" s="958"/>
      <c r="NN44" s="958"/>
      <c r="NO44" s="958"/>
      <c r="NP44" s="958"/>
      <c r="NQ44" s="958"/>
      <c r="NR44" s="958"/>
      <c r="NS44" s="958"/>
      <c r="NT44" s="958"/>
      <c r="NU44" s="958"/>
      <c r="NV44" s="958"/>
      <c r="NW44" s="958"/>
      <c r="NX44" s="958"/>
      <c r="NY44" s="958"/>
      <c r="NZ44" s="958"/>
      <c r="OA44" s="958"/>
      <c r="OB44" s="958"/>
      <c r="OC44" s="958"/>
      <c r="OD44" s="958"/>
      <c r="OE44" s="958"/>
      <c r="OF44" s="958"/>
      <c r="OG44" s="958"/>
      <c r="OH44" s="958"/>
      <c r="OI44" s="958"/>
      <c r="OJ44" s="958"/>
      <c r="OK44" s="958"/>
      <c r="OL44" s="958"/>
      <c r="OM44" s="958"/>
      <c r="ON44" s="958"/>
      <c r="OO44" s="958"/>
      <c r="OP44" s="958"/>
      <c r="OQ44" s="958"/>
      <c r="OR44" s="958"/>
      <c r="OS44" s="958"/>
      <c r="OT44" s="958"/>
      <c r="OU44" s="958"/>
      <c r="OV44" s="958"/>
      <c r="OW44" s="958"/>
      <c r="OX44" s="958"/>
      <c r="OY44" s="958"/>
      <c r="OZ44" s="958"/>
      <c r="PA44" s="958"/>
      <c r="PB44" s="958"/>
      <c r="PC44" s="958"/>
      <c r="PD44" s="958"/>
      <c r="PE44" s="958"/>
      <c r="PF44" s="958"/>
      <c r="PG44" s="958"/>
      <c r="PH44" s="958"/>
      <c r="PI44" s="958"/>
      <c r="PJ44" s="958"/>
      <c r="PK44" s="958"/>
      <c r="PL44" s="958"/>
      <c r="PM44" s="958"/>
      <c r="PN44" s="958"/>
      <c r="PO44" s="958"/>
      <c r="PP44" s="958"/>
      <c r="PQ44" s="958"/>
      <c r="PR44" s="958"/>
      <c r="PS44" s="958"/>
      <c r="PT44" s="958"/>
      <c r="PU44" s="958"/>
      <c r="PV44" s="958"/>
      <c r="PW44" s="958"/>
      <c r="PX44" s="958"/>
      <c r="PY44" s="958"/>
      <c r="PZ44" s="958"/>
      <c r="QA44" s="958"/>
      <c r="QB44" s="958"/>
      <c r="QC44" s="958"/>
      <c r="QD44" s="958"/>
      <c r="QE44" s="958"/>
      <c r="QF44" s="958"/>
      <c r="QG44" s="958"/>
      <c r="QH44" s="958"/>
      <c r="QI44" s="958"/>
      <c r="QJ44" s="958"/>
      <c r="QK44" s="958"/>
      <c r="QL44" s="958"/>
      <c r="QM44" s="958"/>
      <c r="QN44" s="958"/>
      <c r="QO44" s="958"/>
      <c r="QP44" s="958"/>
      <c r="QQ44" s="958"/>
      <c r="QR44" s="958"/>
      <c r="QS44" s="958"/>
      <c r="QT44" s="958"/>
      <c r="QU44" s="958"/>
      <c r="QV44" s="958"/>
      <c r="QW44" s="958"/>
      <c r="QX44" s="958"/>
      <c r="QY44" s="958"/>
      <c r="QZ44" s="958"/>
      <c r="RA44" s="958"/>
      <c r="RB44" s="958"/>
      <c r="RC44" s="958"/>
      <c r="RD44" s="958"/>
      <c r="RE44" s="958"/>
      <c r="RF44" s="958"/>
      <c r="RG44" s="958"/>
      <c r="RH44" s="958"/>
      <c r="RI44" s="958"/>
      <c r="RJ44" s="958"/>
      <c r="RK44" s="958"/>
      <c r="RL44" s="958"/>
      <c r="RM44" s="958"/>
      <c r="RN44" s="958"/>
      <c r="RO44" s="958"/>
      <c r="RP44" s="958"/>
      <c r="RQ44" s="958"/>
      <c r="RR44" s="958"/>
      <c r="RS44" s="958"/>
      <c r="RT44" s="958"/>
      <c r="RU44" s="958"/>
      <c r="RV44" s="958"/>
      <c r="RW44" s="958"/>
      <c r="RX44" s="958"/>
      <c r="RY44" s="958"/>
      <c r="RZ44" s="958"/>
      <c r="SA44" s="958"/>
      <c r="SB44" s="958"/>
      <c r="SC44" s="958"/>
      <c r="SD44" s="958"/>
      <c r="SE44" s="958"/>
      <c r="SF44" s="958"/>
      <c r="SG44" s="958"/>
      <c r="SH44" s="958"/>
      <c r="SI44" s="958"/>
      <c r="SJ44" s="958"/>
      <c r="SK44" s="958"/>
      <c r="SL44" s="958"/>
      <c r="SM44" s="958"/>
      <c r="SN44" s="958"/>
      <c r="SO44" s="958"/>
      <c r="SP44" s="958"/>
      <c r="SQ44" s="958"/>
      <c r="SR44" s="958"/>
      <c r="SS44" s="958"/>
      <c r="ST44" s="958"/>
      <c r="SU44" s="958"/>
      <c r="SV44" s="958"/>
      <c r="SW44" s="958"/>
      <c r="SX44" s="958"/>
      <c r="SY44" s="958"/>
      <c r="SZ44" s="958"/>
      <c r="TA44" s="958"/>
      <c r="TB44" s="958"/>
      <c r="TC44" s="958"/>
      <c r="TD44" s="958"/>
      <c r="TE44" s="958"/>
      <c r="TF44" s="958"/>
      <c r="TG44" s="958"/>
      <c r="TH44" s="958"/>
      <c r="TI44" s="958"/>
      <c r="TJ44" s="958"/>
      <c r="TK44" s="958"/>
      <c r="TL44" s="958"/>
      <c r="TM44" s="958"/>
      <c r="TN44" s="958"/>
      <c r="TO44" s="958"/>
      <c r="TP44" s="958"/>
      <c r="TQ44" s="958"/>
      <c r="TR44" s="958"/>
      <c r="TS44" s="958"/>
      <c r="TT44" s="958"/>
      <c r="TU44" s="958"/>
      <c r="TV44" s="958"/>
      <c r="TW44" s="958"/>
      <c r="TX44" s="958"/>
      <c r="TY44" s="958"/>
      <c r="TZ44" s="958"/>
      <c r="UA44" s="958"/>
      <c r="UB44" s="958"/>
      <c r="UC44" s="958"/>
      <c r="UD44" s="958"/>
      <c r="UE44" s="958"/>
      <c r="UF44" s="958"/>
      <c r="UG44" s="958"/>
      <c r="UH44" s="958"/>
      <c r="UI44" s="958"/>
      <c r="UJ44" s="958"/>
      <c r="UK44" s="958"/>
      <c r="UL44" s="958"/>
      <c r="UM44" s="958"/>
      <c r="UN44" s="958"/>
      <c r="UO44" s="958"/>
      <c r="UP44" s="958"/>
      <c r="UQ44" s="958"/>
      <c r="UR44" s="958"/>
      <c r="US44" s="958"/>
      <c r="UT44" s="958"/>
      <c r="UU44" s="958"/>
      <c r="UV44" s="958"/>
      <c r="UW44" s="958"/>
      <c r="UX44" s="958"/>
      <c r="UY44" s="958"/>
      <c r="UZ44" s="958"/>
      <c r="VA44" s="958"/>
      <c r="VB44" s="958"/>
      <c r="VC44" s="958"/>
      <c r="VD44" s="958"/>
      <c r="VE44" s="958"/>
      <c r="VF44" s="958"/>
      <c r="VG44" s="958"/>
      <c r="VH44" s="958"/>
      <c r="VI44" s="958"/>
      <c r="VJ44" s="958"/>
      <c r="VK44" s="958"/>
      <c r="VL44" s="958"/>
      <c r="VM44" s="958"/>
      <c r="VN44" s="958"/>
      <c r="VO44" s="958"/>
      <c r="VP44" s="958"/>
      <c r="VQ44" s="958"/>
      <c r="VR44" s="958"/>
      <c r="VS44" s="958"/>
      <c r="VT44" s="958"/>
      <c r="VU44" s="958"/>
      <c r="VV44" s="958"/>
      <c r="VW44" s="958"/>
      <c r="VX44" s="958"/>
      <c r="VY44" s="958"/>
      <c r="VZ44" s="958"/>
      <c r="WA44" s="958"/>
      <c r="WB44" s="958"/>
      <c r="WC44" s="958"/>
      <c r="WD44" s="958"/>
      <c r="WE44" s="958"/>
      <c r="WF44" s="958"/>
      <c r="WG44" s="958"/>
      <c r="WH44" s="958"/>
      <c r="WI44" s="958"/>
      <c r="WJ44" s="958"/>
      <c r="WK44" s="958"/>
      <c r="WL44" s="958"/>
      <c r="WM44" s="958"/>
      <c r="WN44" s="958"/>
      <c r="WO44" s="958"/>
      <c r="WP44" s="958"/>
      <c r="WQ44" s="958"/>
      <c r="WR44" s="958"/>
      <c r="WS44" s="958"/>
      <c r="WT44" s="958"/>
      <c r="WU44" s="958"/>
      <c r="WV44" s="958"/>
      <c r="WW44" s="958"/>
      <c r="WX44" s="958"/>
      <c r="WY44" s="958"/>
      <c r="WZ44" s="958"/>
      <c r="XA44" s="958"/>
      <c r="XB44" s="958"/>
      <c r="XC44" s="958"/>
      <c r="XD44" s="958"/>
      <c r="XE44" s="958"/>
      <c r="XF44" s="958"/>
      <c r="XG44" s="958"/>
      <c r="XH44" s="958"/>
      <c r="XI44" s="958"/>
      <c r="XJ44" s="958"/>
      <c r="XK44" s="958"/>
      <c r="XL44" s="958"/>
      <c r="XM44" s="958"/>
      <c r="XN44" s="958"/>
      <c r="XO44" s="958"/>
      <c r="XP44" s="958"/>
      <c r="XQ44" s="958"/>
      <c r="XR44" s="958"/>
      <c r="XS44" s="958"/>
      <c r="XT44" s="958"/>
      <c r="XU44" s="958"/>
      <c r="XV44" s="958"/>
      <c r="XW44" s="958"/>
      <c r="XX44" s="958"/>
      <c r="XY44" s="958"/>
      <c r="XZ44" s="958"/>
      <c r="YA44" s="958"/>
      <c r="YB44" s="958"/>
      <c r="YC44" s="958"/>
      <c r="YD44" s="958"/>
      <c r="YE44" s="958"/>
      <c r="YF44" s="958"/>
      <c r="YG44" s="958"/>
      <c r="YH44" s="958"/>
      <c r="YI44" s="958"/>
      <c r="YJ44" s="958"/>
      <c r="YK44" s="958"/>
      <c r="YL44" s="958"/>
      <c r="YM44" s="958"/>
      <c r="YN44" s="958"/>
      <c r="YO44" s="958"/>
      <c r="YP44" s="958"/>
      <c r="YQ44" s="958"/>
      <c r="YR44" s="958"/>
      <c r="YS44" s="958"/>
      <c r="YT44" s="958"/>
      <c r="YU44" s="958"/>
      <c r="YV44" s="958"/>
      <c r="YW44" s="958"/>
      <c r="YX44" s="958"/>
      <c r="YY44" s="958"/>
      <c r="YZ44" s="958"/>
      <c r="ZA44" s="958"/>
      <c r="ZB44" s="958"/>
      <c r="ZC44" s="958"/>
      <c r="ZD44" s="958"/>
      <c r="ZE44" s="958"/>
      <c r="ZF44" s="958"/>
      <c r="ZG44" s="958"/>
      <c r="ZH44" s="958"/>
      <c r="ZI44" s="958"/>
      <c r="ZJ44" s="958"/>
      <c r="ZK44" s="958"/>
      <c r="ZL44" s="958"/>
      <c r="ZM44" s="958"/>
      <c r="ZN44" s="958"/>
      <c r="ZO44" s="958"/>
      <c r="ZP44" s="958"/>
      <c r="ZQ44" s="958"/>
      <c r="ZR44" s="958"/>
      <c r="ZS44" s="958"/>
      <c r="ZT44" s="958"/>
      <c r="ZU44" s="958"/>
      <c r="ZV44" s="958"/>
      <c r="ZW44" s="958"/>
      <c r="ZX44" s="958"/>
      <c r="ZY44" s="958"/>
      <c r="ZZ44" s="958"/>
      <c r="AAA44" s="958"/>
      <c r="AAB44" s="958"/>
      <c r="AAC44" s="958"/>
      <c r="AAD44" s="958"/>
      <c r="AAE44" s="958"/>
      <c r="AAF44" s="958"/>
      <c r="AAG44" s="958"/>
      <c r="AAH44" s="958"/>
      <c r="AAI44" s="958"/>
      <c r="AAJ44" s="958"/>
      <c r="AAK44" s="958"/>
      <c r="AAL44" s="958"/>
      <c r="AAM44" s="958"/>
      <c r="AAN44" s="958"/>
      <c r="AAO44" s="958"/>
      <c r="AAP44" s="958"/>
      <c r="AAQ44" s="958"/>
      <c r="AAR44" s="958"/>
      <c r="AAS44" s="958"/>
      <c r="AAT44" s="958"/>
      <c r="AAU44" s="958"/>
      <c r="AAV44" s="958"/>
      <c r="AAW44" s="958"/>
      <c r="AAX44" s="958"/>
      <c r="AAY44" s="958"/>
      <c r="AAZ44" s="958"/>
      <c r="ABA44" s="958"/>
      <c r="ABB44" s="958"/>
      <c r="ABC44" s="958"/>
      <c r="ABD44" s="958"/>
      <c r="ABE44" s="958"/>
      <c r="ABF44" s="958"/>
      <c r="ABG44" s="958"/>
      <c r="ABH44" s="958"/>
      <c r="ABI44" s="958"/>
      <c r="ABJ44" s="958"/>
      <c r="ABK44" s="958"/>
      <c r="ABL44" s="958"/>
      <c r="ABM44" s="958"/>
      <c r="ABN44" s="958"/>
      <c r="ABO44" s="958"/>
      <c r="ABP44" s="958"/>
      <c r="ABQ44" s="958"/>
      <c r="ABR44" s="958"/>
      <c r="ABS44" s="958"/>
      <c r="ABT44" s="958"/>
      <c r="ABU44" s="958"/>
      <c r="ABV44" s="958"/>
      <c r="ABW44" s="958"/>
      <c r="ABX44" s="958"/>
      <c r="ABY44" s="958"/>
      <c r="ABZ44" s="958"/>
      <c r="ACA44" s="958"/>
      <c r="ACB44" s="958"/>
      <c r="ACC44" s="958"/>
      <c r="ACD44" s="958"/>
      <c r="ACE44" s="958"/>
      <c r="ACF44" s="958"/>
      <c r="ACG44" s="958"/>
      <c r="ACH44" s="958"/>
      <c r="ACI44" s="958"/>
      <c r="ACJ44" s="958"/>
      <c r="ACK44" s="958"/>
      <c r="ACL44" s="958"/>
      <c r="ACM44" s="958"/>
      <c r="ACN44" s="958"/>
      <c r="ACO44" s="958"/>
      <c r="ACP44" s="958"/>
      <c r="ACQ44" s="958"/>
      <c r="ACR44" s="958"/>
      <c r="ACS44" s="958"/>
      <c r="ACT44" s="958"/>
      <c r="ACU44" s="958"/>
      <c r="ACV44" s="958"/>
      <c r="ACW44" s="958"/>
      <c r="ACX44" s="958"/>
      <c r="ACY44" s="958"/>
      <c r="ACZ44" s="958"/>
      <c r="ADA44" s="958"/>
      <c r="ADB44" s="958"/>
      <c r="ADC44" s="958"/>
      <c r="ADD44" s="958"/>
      <c r="ADE44" s="958"/>
      <c r="ADF44" s="958"/>
      <c r="ADG44" s="958"/>
      <c r="ADH44" s="958"/>
      <c r="ADI44" s="958"/>
      <c r="ADJ44" s="958"/>
      <c r="ADK44" s="958"/>
      <c r="ADL44" s="958"/>
      <c r="ADM44" s="958"/>
      <c r="ADN44" s="958"/>
      <c r="ADO44" s="958"/>
      <c r="ADP44" s="958"/>
      <c r="ADQ44" s="958"/>
      <c r="ADR44" s="958"/>
      <c r="ADS44" s="958"/>
      <c r="ADT44" s="958"/>
      <c r="ADU44" s="958"/>
      <c r="ADV44" s="958"/>
      <c r="ADW44" s="958"/>
      <c r="ADX44" s="958"/>
      <c r="ADY44" s="958"/>
      <c r="ADZ44" s="958"/>
      <c r="AEA44" s="958"/>
      <c r="AEB44" s="958"/>
      <c r="AEC44" s="958"/>
      <c r="AED44" s="958"/>
      <c r="AEE44" s="958"/>
      <c r="AEF44" s="958"/>
      <c r="AEG44" s="958"/>
      <c r="AEH44" s="958"/>
      <c r="AEI44" s="958"/>
      <c r="AEJ44" s="958"/>
      <c r="AEK44" s="958"/>
      <c r="AEL44" s="958"/>
      <c r="AEM44" s="958"/>
      <c r="AEN44" s="958"/>
      <c r="AEO44" s="958"/>
      <c r="AEP44" s="958"/>
      <c r="AEQ44" s="958"/>
      <c r="AER44" s="958"/>
      <c r="AES44" s="958"/>
      <c r="AET44" s="958"/>
      <c r="AEU44" s="958"/>
      <c r="AEV44" s="958"/>
      <c r="AEW44" s="958"/>
      <c r="AEX44" s="958"/>
      <c r="AEY44" s="958"/>
      <c r="AEZ44" s="958"/>
      <c r="AFA44" s="958"/>
      <c r="AFB44" s="958"/>
      <c r="AFC44" s="958"/>
      <c r="AFD44" s="958"/>
      <c r="AFE44" s="958"/>
      <c r="AFF44" s="958"/>
      <c r="AFG44" s="958"/>
      <c r="AFH44" s="958"/>
      <c r="AFI44" s="958"/>
      <c r="AFJ44" s="958"/>
      <c r="AFK44" s="958"/>
      <c r="AFL44" s="958"/>
      <c r="AFM44" s="958"/>
      <c r="AFN44" s="958"/>
      <c r="AFO44" s="958"/>
      <c r="AFP44" s="958"/>
      <c r="AFQ44" s="958"/>
      <c r="AFR44" s="958"/>
      <c r="AFS44" s="958"/>
      <c r="AFT44" s="958"/>
      <c r="AFU44" s="958"/>
      <c r="AFV44" s="958"/>
      <c r="AFW44" s="958"/>
      <c r="AFX44" s="958"/>
      <c r="AFY44" s="958"/>
      <c r="AFZ44" s="958"/>
      <c r="AGA44" s="958"/>
      <c r="AGB44" s="958"/>
      <c r="AGC44" s="958"/>
      <c r="AGD44" s="958"/>
      <c r="AGE44" s="958"/>
      <c r="AGF44" s="958"/>
      <c r="AGG44" s="958"/>
      <c r="AGH44" s="958"/>
      <c r="AGI44" s="958"/>
      <c r="AGJ44" s="958"/>
      <c r="AGK44" s="958"/>
      <c r="AGL44" s="958"/>
      <c r="AGM44" s="958"/>
      <c r="AGN44" s="958"/>
      <c r="AGO44" s="958"/>
      <c r="AGP44" s="958"/>
      <c r="AGQ44" s="958"/>
      <c r="AGR44" s="958"/>
      <c r="AGS44" s="958"/>
      <c r="AGT44" s="958"/>
      <c r="AGU44" s="958"/>
      <c r="AGV44" s="958"/>
      <c r="AGW44" s="958"/>
      <c r="AGX44" s="958"/>
      <c r="AGY44" s="958"/>
      <c r="AGZ44" s="958"/>
      <c r="AHA44" s="958"/>
      <c r="AHB44" s="958"/>
      <c r="AHC44" s="958"/>
      <c r="AHD44" s="958"/>
      <c r="AHE44" s="958"/>
      <c r="AHF44" s="958"/>
      <c r="AHG44" s="958"/>
      <c r="AHH44" s="958"/>
      <c r="AHI44" s="958"/>
      <c r="AHJ44" s="958"/>
      <c r="AHK44" s="958"/>
      <c r="AHL44" s="958"/>
      <c r="AHM44" s="958"/>
      <c r="AHN44" s="958"/>
      <c r="AHO44" s="958"/>
      <c r="AHP44" s="958"/>
      <c r="AHQ44" s="958"/>
      <c r="AHR44" s="958"/>
      <c r="AHS44" s="958"/>
      <c r="AHT44" s="958"/>
      <c r="AHU44" s="958"/>
      <c r="AHV44" s="958"/>
      <c r="AHW44" s="958"/>
      <c r="AHX44" s="958"/>
      <c r="AHY44" s="958"/>
      <c r="AHZ44" s="958"/>
      <c r="AIA44" s="958"/>
      <c r="AIB44" s="958"/>
      <c r="AIC44" s="958"/>
      <c r="AID44" s="958"/>
      <c r="AIE44" s="958"/>
      <c r="AIF44" s="958"/>
      <c r="AIG44" s="958"/>
      <c r="AIH44" s="958"/>
      <c r="AII44" s="958"/>
      <c r="AIJ44" s="958"/>
      <c r="AIK44" s="958"/>
      <c r="AIL44" s="958"/>
      <c r="AIM44" s="958"/>
      <c r="AIN44" s="958"/>
      <c r="AIO44" s="958"/>
      <c r="AIP44" s="958"/>
      <c r="AIQ44" s="958"/>
      <c r="AIR44" s="958"/>
      <c r="AIS44" s="958"/>
      <c r="AIT44" s="958"/>
      <c r="AIU44" s="958"/>
      <c r="AIV44" s="958"/>
      <c r="AIW44" s="958"/>
      <c r="AIX44" s="958"/>
      <c r="AIY44" s="958"/>
      <c r="AIZ44" s="958"/>
      <c r="AJA44" s="958"/>
      <c r="AJB44" s="958"/>
      <c r="AJC44" s="958"/>
      <c r="AJD44" s="958"/>
      <c r="AJE44" s="958"/>
      <c r="AJF44" s="958"/>
      <c r="AJG44" s="958"/>
      <c r="AJH44" s="958"/>
      <c r="AJI44" s="958"/>
      <c r="AJJ44" s="958"/>
      <c r="AJK44" s="958"/>
      <c r="AJL44" s="958"/>
      <c r="AJM44" s="958"/>
      <c r="AJN44" s="958"/>
      <c r="AJO44" s="958"/>
      <c r="AJP44" s="958"/>
      <c r="AJQ44" s="958"/>
      <c r="AJR44" s="958"/>
      <c r="AJS44" s="958"/>
      <c r="AJT44" s="958"/>
      <c r="AJU44" s="958"/>
      <c r="AJV44" s="958"/>
      <c r="AJW44" s="958"/>
      <c r="AJX44" s="958"/>
      <c r="AJY44" s="958"/>
      <c r="AJZ44" s="958"/>
      <c r="AKA44" s="958"/>
      <c r="AKB44" s="958"/>
      <c r="AKC44" s="958"/>
      <c r="AKD44" s="958"/>
      <c r="AKE44" s="958"/>
      <c r="AKF44" s="958"/>
      <c r="AKG44" s="958"/>
      <c r="AKH44" s="958"/>
      <c r="AKI44" s="958"/>
      <c r="AKJ44" s="958"/>
      <c r="AKK44" s="958"/>
      <c r="AKL44" s="958"/>
      <c r="AKM44" s="958"/>
      <c r="AKN44" s="958"/>
      <c r="AKO44" s="958"/>
      <c r="AKP44" s="958"/>
      <c r="AKQ44" s="958"/>
      <c r="AKR44" s="958"/>
      <c r="AKS44" s="958"/>
      <c r="AKT44" s="958"/>
      <c r="AKU44" s="958"/>
      <c r="AKV44" s="958"/>
      <c r="AKW44" s="958"/>
      <c r="AKX44" s="958"/>
      <c r="AKY44" s="958"/>
      <c r="AKZ44" s="958"/>
      <c r="ALA44" s="958"/>
      <c r="ALB44" s="958"/>
      <c r="ALC44" s="958"/>
      <c r="ALD44" s="958"/>
      <c r="ALE44" s="958"/>
      <c r="ALF44" s="958"/>
      <c r="ALG44" s="958"/>
      <c r="ALH44" s="958"/>
      <c r="ALI44" s="958"/>
      <c r="ALJ44" s="958"/>
      <c r="ALK44" s="958"/>
      <c r="ALL44" s="958"/>
      <c r="ALM44" s="958"/>
      <c r="ALN44" s="958"/>
      <c r="ALO44" s="958"/>
      <c r="ALP44" s="958"/>
      <c r="ALQ44" s="958"/>
      <c r="ALR44" s="958"/>
      <c r="ALS44" s="958"/>
      <c r="ALT44" s="958"/>
      <c r="ALU44" s="958"/>
      <c r="ALV44" s="958"/>
      <c r="ALW44" s="958"/>
      <c r="ALX44" s="958"/>
      <c r="ALY44" s="958"/>
      <c r="ALZ44" s="958"/>
      <c r="AMA44" s="958"/>
      <c r="AMB44" s="958"/>
      <c r="AMC44" s="958"/>
      <c r="AMD44" s="958"/>
      <c r="AME44" s="958"/>
      <c r="AMF44" s="958"/>
      <c r="AMG44" s="958"/>
      <c r="AMH44" s="958"/>
      <c r="AMI44" s="958"/>
      <c r="AMJ44" s="958"/>
      <c r="AMK44" s="958"/>
      <c r="AML44" s="958"/>
      <c r="AMM44" s="958"/>
      <c r="AMN44" s="958"/>
      <c r="AMO44" s="958"/>
      <c r="AMP44" s="958"/>
      <c r="AMQ44" s="958"/>
      <c r="AMR44" s="958"/>
      <c r="AMS44" s="958"/>
      <c r="AMT44" s="958"/>
      <c r="AMU44" s="958"/>
      <c r="AMV44" s="958"/>
      <c r="AMW44" s="958"/>
      <c r="AMX44" s="958"/>
      <c r="AMY44" s="958"/>
      <c r="AMZ44" s="958"/>
      <c r="ANA44" s="958"/>
      <c r="ANB44" s="958"/>
      <c r="ANC44" s="958"/>
      <c r="AND44" s="958"/>
      <c r="ANE44" s="958"/>
      <c r="ANF44" s="958"/>
      <c r="ANG44" s="958"/>
      <c r="ANH44" s="958"/>
      <c r="ANI44" s="958"/>
      <c r="ANJ44" s="958"/>
      <c r="ANK44" s="958"/>
      <c r="ANL44" s="958"/>
      <c r="ANM44" s="958"/>
      <c r="ANN44" s="958"/>
      <c r="ANO44" s="958"/>
      <c r="ANP44" s="958"/>
      <c r="ANQ44" s="958"/>
      <c r="ANR44" s="958"/>
      <c r="ANS44" s="958"/>
      <c r="ANT44" s="958"/>
      <c r="ANU44" s="958"/>
      <c r="ANV44" s="958"/>
      <c r="ANW44" s="958"/>
      <c r="ANX44" s="958"/>
      <c r="ANY44" s="958"/>
      <c r="ANZ44" s="958"/>
      <c r="AOA44" s="958"/>
      <c r="AOB44" s="958"/>
      <c r="AOC44" s="958"/>
      <c r="AOD44" s="958"/>
      <c r="AOE44" s="958"/>
      <c r="AOF44" s="958"/>
      <c r="AOG44" s="958"/>
      <c r="AOH44" s="958"/>
      <c r="AOI44" s="958"/>
      <c r="AOJ44" s="958"/>
      <c r="AOK44" s="958"/>
      <c r="AOL44" s="958"/>
      <c r="AOM44" s="958"/>
      <c r="AON44" s="958"/>
      <c r="AOO44" s="958"/>
      <c r="AOP44" s="958"/>
      <c r="AOQ44" s="958"/>
      <c r="AOR44" s="958"/>
      <c r="AOS44" s="958"/>
      <c r="AOT44" s="958"/>
      <c r="AOU44" s="958"/>
      <c r="AOV44" s="958"/>
      <c r="AOW44" s="958"/>
      <c r="AOX44" s="958"/>
      <c r="AOY44" s="958"/>
      <c r="AOZ44" s="958"/>
      <c r="APA44" s="958"/>
      <c r="APB44" s="958"/>
      <c r="APC44" s="958"/>
      <c r="APD44" s="958"/>
      <c r="APE44" s="958"/>
      <c r="APF44" s="958"/>
      <c r="APG44" s="958"/>
      <c r="APH44" s="958"/>
      <c r="API44" s="958"/>
      <c r="APJ44" s="958"/>
      <c r="APK44" s="958"/>
      <c r="APL44" s="958"/>
      <c r="APM44" s="958"/>
      <c r="APN44" s="958"/>
      <c r="APO44" s="958"/>
      <c r="APP44" s="958"/>
      <c r="APQ44" s="958"/>
      <c r="APR44" s="958"/>
      <c r="APS44" s="958"/>
      <c r="APT44" s="958"/>
      <c r="APU44" s="958"/>
      <c r="APV44" s="958"/>
      <c r="APW44" s="958"/>
      <c r="APX44" s="958"/>
      <c r="APY44" s="958"/>
      <c r="APZ44" s="958"/>
      <c r="AQA44" s="958"/>
      <c r="AQB44" s="958"/>
      <c r="AQC44" s="958"/>
      <c r="AQD44" s="958"/>
      <c r="AQE44" s="958"/>
      <c r="AQF44" s="958"/>
      <c r="AQG44" s="958"/>
      <c r="AQH44" s="958"/>
      <c r="AQI44" s="958"/>
      <c r="AQJ44" s="958"/>
      <c r="AQK44" s="958"/>
      <c r="AQL44" s="958"/>
      <c r="AQM44" s="958"/>
      <c r="AQN44" s="958"/>
      <c r="AQO44" s="958"/>
      <c r="AQP44" s="958"/>
      <c r="AQQ44" s="958"/>
      <c r="AQR44" s="958"/>
      <c r="AQS44" s="958"/>
      <c r="AQT44" s="958"/>
      <c r="AQU44" s="958"/>
      <c r="AQV44" s="958"/>
      <c r="AQW44" s="958"/>
      <c r="AQX44" s="958"/>
      <c r="AQY44" s="958"/>
      <c r="AQZ44" s="958"/>
      <c r="ARA44" s="958"/>
      <c r="ARB44" s="958"/>
      <c r="ARC44" s="958"/>
      <c r="ARD44" s="958"/>
      <c r="ARE44" s="958"/>
      <c r="ARF44" s="958"/>
      <c r="ARG44" s="958"/>
      <c r="ARH44" s="958"/>
      <c r="ARI44" s="958"/>
      <c r="ARJ44" s="958"/>
      <c r="ARK44" s="958"/>
      <c r="ARL44" s="958"/>
      <c r="ARM44" s="958"/>
      <c r="ARN44" s="958"/>
      <c r="ARO44" s="958"/>
      <c r="ARP44" s="958"/>
      <c r="ARQ44" s="958"/>
      <c r="ARR44" s="958"/>
      <c r="ARS44" s="958"/>
      <c r="ART44" s="958"/>
      <c r="ARU44" s="958"/>
      <c r="ARV44" s="958"/>
      <c r="ARW44" s="958"/>
      <c r="ARX44" s="958"/>
      <c r="ARY44" s="958"/>
      <c r="ARZ44" s="958"/>
      <c r="ASA44" s="958"/>
      <c r="ASB44" s="958"/>
      <c r="ASC44" s="958"/>
      <c r="ASD44" s="958"/>
      <c r="ASE44" s="958"/>
      <c r="ASF44" s="958"/>
      <c r="ASG44" s="958"/>
      <c r="ASH44" s="958"/>
      <c r="ASI44" s="958"/>
      <c r="ASJ44" s="958"/>
      <c r="ASK44" s="958"/>
      <c r="ASL44" s="958"/>
      <c r="ASM44" s="958"/>
      <c r="ASN44" s="958"/>
      <c r="ASO44" s="958"/>
      <c r="ASP44" s="958"/>
      <c r="ASQ44" s="958"/>
      <c r="ASR44" s="958"/>
      <c r="ASS44" s="958"/>
      <c r="AST44" s="958"/>
      <c r="ASU44" s="958"/>
      <c r="ASV44" s="958"/>
      <c r="ASW44" s="958"/>
      <c r="ASX44" s="958"/>
      <c r="ASY44" s="958"/>
      <c r="ASZ44" s="958"/>
    </row>
    <row r="45" spans="1:1196" s="487" customFormat="1" ht="97.15" customHeight="1" thickTop="1" thickBot="1">
      <c r="A45" s="3027"/>
      <c r="B45" s="3028"/>
      <c r="C45" s="2959"/>
      <c r="D45" s="171" t="s">
        <v>263</v>
      </c>
      <c r="E45" s="172" t="s">
        <v>264</v>
      </c>
      <c r="F45" s="172" t="s">
        <v>10</v>
      </c>
      <c r="G45" s="1001">
        <v>1</v>
      </c>
      <c r="H45" s="996"/>
      <c r="I45" s="997"/>
      <c r="J45" s="996"/>
      <c r="K45" s="172" t="s">
        <v>486</v>
      </c>
      <c r="L45" s="869">
        <v>0</v>
      </c>
      <c r="M45" s="978">
        <v>0</v>
      </c>
      <c r="N45" s="73" t="e">
        <f t="shared" si="28"/>
        <v>#DIV/0!</v>
      </c>
      <c r="O45" s="869">
        <v>0</v>
      </c>
      <c r="P45" s="978">
        <v>0</v>
      </c>
      <c r="Q45" s="73" t="e">
        <f t="shared" si="29"/>
        <v>#DIV/0!</v>
      </c>
      <c r="R45" s="869">
        <v>0</v>
      </c>
      <c r="S45" s="978">
        <v>0</v>
      </c>
      <c r="T45" s="73" t="e">
        <f t="shared" si="30"/>
        <v>#DIV/0!</v>
      </c>
      <c r="U45" s="869">
        <v>0</v>
      </c>
      <c r="V45" s="978">
        <v>0</v>
      </c>
      <c r="W45" s="73" t="e">
        <f t="shared" si="31"/>
        <v>#DIV/0!</v>
      </c>
      <c r="X45" s="869">
        <v>0</v>
      </c>
      <c r="Y45" s="978">
        <v>0</v>
      </c>
      <c r="Z45" s="73" t="e">
        <f t="shared" si="32"/>
        <v>#DIV/0!</v>
      </c>
      <c r="AA45" s="869">
        <v>0</v>
      </c>
      <c r="AB45" s="869">
        <v>0</v>
      </c>
      <c r="AC45" s="73" t="e">
        <f t="shared" si="33"/>
        <v>#DIV/0!</v>
      </c>
      <c r="AD45" s="979">
        <f t="shared" si="34"/>
        <v>0</v>
      </c>
      <c r="AE45" s="956">
        <f t="shared" si="35"/>
        <v>0</v>
      </c>
      <c r="AF45" s="979">
        <v>0</v>
      </c>
      <c r="AG45" s="978">
        <v>0</v>
      </c>
      <c r="AH45" s="73" t="e">
        <f t="shared" si="36"/>
        <v>#DIV/0!</v>
      </c>
      <c r="AI45" s="869">
        <v>0</v>
      </c>
      <c r="AJ45" s="978">
        <v>0</v>
      </c>
      <c r="AK45" s="73" t="e">
        <f t="shared" si="37"/>
        <v>#DIV/0!</v>
      </c>
      <c r="AL45" s="869">
        <v>0.5</v>
      </c>
      <c r="AM45" s="978">
        <v>0.5</v>
      </c>
      <c r="AN45" s="73">
        <f t="shared" si="38"/>
        <v>1</v>
      </c>
      <c r="AO45" s="869">
        <v>0</v>
      </c>
      <c r="AP45" s="978">
        <v>0</v>
      </c>
      <c r="AQ45" s="73" t="e">
        <f t="shared" si="39"/>
        <v>#DIV/0!</v>
      </c>
      <c r="AR45" s="869">
        <v>0</v>
      </c>
      <c r="AS45" s="978">
        <v>0</v>
      </c>
      <c r="AT45" s="73" t="e">
        <f t="shared" si="40"/>
        <v>#DIV/0!</v>
      </c>
      <c r="AU45" s="869">
        <v>0.5</v>
      </c>
      <c r="AV45" s="978">
        <v>0.5</v>
      </c>
      <c r="AW45" s="73">
        <f t="shared" si="41"/>
        <v>1</v>
      </c>
      <c r="AX45" s="979">
        <f>+(AV45+AM45)</f>
        <v>1</v>
      </c>
      <c r="AY45" s="956">
        <f t="shared" si="42"/>
        <v>1</v>
      </c>
      <c r="AZ45" s="958"/>
      <c r="BA45" s="958"/>
      <c r="BB45" s="958"/>
      <c r="BC45" s="958"/>
      <c r="BD45" s="958"/>
      <c r="BE45" s="958"/>
      <c r="BF45" s="958"/>
      <c r="BG45" s="958"/>
      <c r="BH45" s="958"/>
      <c r="BI45" s="958"/>
      <c r="BJ45" s="958"/>
      <c r="BK45" s="958"/>
      <c r="BL45" s="958"/>
      <c r="BM45" s="958"/>
      <c r="BN45" s="958"/>
      <c r="BO45" s="958"/>
      <c r="BP45" s="958"/>
      <c r="BQ45" s="958"/>
      <c r="BR45" s="958"/>
      <c r="BS45" s="958"/>
      <c r="BT45" s="958"/>
      <c r="BU45" s="958"/>
      <c r="BV45" s="958"/>
      <c r="BW45" s="958"/>
      <c r="BX45" s="958"/>
      <c r="BY45" s="958"/>
      <c r="BZ45" s="958"/>
      <c r="CA45" s="958"/>
      <c r="CB45" s="958"/>
      <c r="CC45" s="958"/>
      <c r="CD45" s="958"/>
      <c r="CE45" s="958"/>
      <c r="CF45" s="958"/>
      <c r="CG45" s="958"/>
      <c r="CH45" s="958"/>
      <c r="CI45" s="958"/>
      <c r="CJ45" s="958"/>
      <c r="CK45" s="958"/>
      <c r="CL45" s="958"/>
      <c r="CM45" s="958"/>
      <c r="CN45" s="958"/>
      <c r="CO45" s="958"/>
      <c r="CP45" s="958"/>
      <c r="CQ45" s="958"/>
      <c r="CR45" s="958"/>
      <c r="CS45" s="958"/>
      <c r="CT45" s="958"/>
      <c r="CU45" s="958"/>
      <c r="CV45" s="958"/>
      <c r="CW45" s="958"/>
      <c r="CX45" s="958"/>
      <c r="CY45" s="958"/>
      <c r="CZ45" s="958"/>
      <c r="DA45" s="958"/>
      <c r="DB45" s="958"/>
      <c r="DC45" s="958"/>
      <c r="DD45" s="958"/>
      <c r="DE45" s="958"/>
      <c r="DF45" s="958"/>
      <c r="DG45" s="958"/>
      <c r="DH45" s="958"/>
      <c r="DI45" s="958"/>
      <c r="DJ45" s="958"/>
      <c r="DK45" s="958"/>
      <c r="DL45" s="958"/>
      <c r="DM45" s="958"/>
      <c r="DN45" s="958"/>
      <c r="DO45" s="958"/>
      <c r="DP45" s="958"/>
      <c r="DQ45" s="958"/>
      <c r="DR45" s="958"/>
      <c r="DS45" s="958"/>
      <c r="DT45" s="958"/>
      <c r="DU45" s="958"/>
      <c r="DV45" s="958"/>
      <c r="DW45" s="958"/>
      <c r="DX45" s="958"/>
      <c r="DY45" s="958"/>
      <c r="DZ45" s="958"/>
      <c r="EA45" s="958"/>
      <c r="EB45" s="958"/>
      <c r="EC45" s="958"/>
      <c r="ED45" s="958"/>
      <c r="EE45" s="958"/>
      <c r="EF45" s="958"/>
      <c r="EG45" s="958"/>
      <c r="EH45" s="958"/>
      <c r="EI45" s="958"/>
      <c r="EJ45" s="958"/>
      <c r="EK45" s="958"/>
      <c r="EL45" s="958"/>
      <c r="EM45" s="958"/>
      <c r="EN45" s="958"/>
      <c r="EO45" s="958"/>
      <c r="EP45" s="958"/>
      <c r="EQ45" s="958"/>
      <c r="ER45" s="958"/>
      <c r="ES45" s="958"/>
      <c r="ET45" s="958"/>
      <c r="EU45" s="958"/>
      <c r="EV45" s="958"/>
      <c r="EW45" s="958"/>
      <c r="EX45" s="958"/>
      <c r="EY45" s="958"/>
      <c r="EZ45" s="958"/>
      <c r="FA45" s="958"/>
      <c r="FB45" s="958"/>
      <c r="FC45" s="958"/>
      <c r="FD45" s="958"/>
      <c r="FE45" s="958"/>
      <c r="FF45" s="958"/>
      <c r="FG45" s="958"/>
      <c r="FH45" s="958"/>
      <c r="FI45" s="958"/>
      <c r="FJ45" s="958"/>
      <c r="FK45" s="958"/>
      <c r="FL45" s="958"/>
      <c r="FM45" s="958"/>
      <c r="FN45" s="958"/>
      <c r="FO45" s="958"/>
      <c r="FP45" s="958"/>
      <c r="FQ45" s="958"/>
      <c r="FR45" s="958"/>
      <c r="FS45" s="958"/>
      <c r="FT45" s="958"/>
      <c r="FU45" s="958"/>
      <c r="FV45" s="958"/>
      <c r="FW45" s="958"/>
      <c r="FX45" s="958"/>
      <c r="FY45" s="958"/>
      <c r="FZ45" s="958"/>
      <c r="GA45" s="958"/>
      <c r="GB45" s="958"/>
      <c r="GC45" s="958"/>
      <c r="GD45" s="958"/>
      <c r="GE45" s="958"/>
      <c r="GF45" s="958"/>
      <c r="GG45" s="958"/>
      <c r="GH45" s="958"/>
      <c r="GI45" s="958"/>
      <c r="GJ45" s="958"/>
      <c r="GK45" s="958"/>
      <c r="GL45" s="958"/>
      <c r="GM45" s="958"/>
      <c r="GN45" s="958"/>
      <c r="GO45" s="958"/>
      <c r="GP45" s="958"/>
      <c r="GQ45" s="958"/>
      <c r="GR45" s="958"/>
      <c r="GS45" s="958"/>
      <c r="GT45" s="958"/>
      <c r="GU45" s="958"/>
      <c r="GV45" s="958"/>
      <c r="GW45" s="958"/>
      <c r="GX45" s="958"/>
      <c r="GY45" s="958"/>
      <c r="GZ45" s="958"/>
      <c r="HA45" s="958"/>
      <c r="HB45" s="958"/>
      <c r="HC45" s="958"/>
      <c r="HD45" s="958"/>
      <c r="HE45" s="958"/>
      <c r="HF45" s="958"/>
      <c r="HG45" s="958"/>
      <c r="HH45" s="958"/>
      <c r="HI45" s="958"/>
      <c r="HJ45" s="958"/>
      <c r="HK45" s="958"/>
      <c r="HL45" s="958"/>
      <c r="HM45" s="958"/>
      <c r="HN45" s="958"/>
      <c r="HO45" s="958"/>
      <c r="HP45" s="958"/>
      <c r="HQ45" s="958"/>
      <c r="HR45" s="958"/>
      <c r="HS45" s="958"/>
      <c r="HT45" s="958"/>
      <c r="HU45" s="958"/>
      <c r="HV45" s="958"/>
      <c r="HW45" s="958"/>
      <c r="HX45" s="958"/>
      <c r="HY45" s="958"/>
      <c r="HZ45" s="958"/>
      <c r="IA45" s="958"/>
      <c r="IB45" s="958"/>
      <c r="IC45" s="958"/>
      <c r="ID45" s="958"/>
      <c r="IE45" s="958"/>
      <c r="IF45" s="958"/>
      <c r="IG45" s="958"/>
      <c r="IH45" s="958"/>
      <c r="II45" s="958"/>
      <c r="IJ45" s="958"/>
      <c r="IK45" s="958"/>
      <c r="IL45" s="958"/>
      <c r="IM45" s="958"/>
      <c r="IN45" s="958"/>
      <c r="IO45" s="958"/>
      <c r="IP45" s="958"/>
      <c r="IQ45" s="958"/>
      <c r="IR45" s="958"/>
      <c r="IS45" s="958"/>
      <c r="IT45" s="958"/>
      <c r="IU45" s="958"/>
      <c r="IV45" s="958"/>
      <c r="IW45" s="958"/>
      <c r="IX45" s="958"/>
      <c r="IY45" s="958"/>
      <c r="IZ45" s="958"/>
      <c r="JA45" s="958"/>
      <c r="JB45" s="958"/>
      <c r="JC45" s="958"/>
      <c r="JD45" s="958"/>
      <c r="JE45" s="958"/>
      <c r="JF45" s="958"/>
      <c r="JG45" s="958"/>
      <c r="JH45" s="958"/>
      <c r="JI45" s="958"/>
      <c r="JJ45" s="958"/>
      <c r="JK45" s="958"/>
      <c r="JL45" s="958"/>
      <c r="JM45" s="958"/>
      <c r="JN45" s="958"/>
      <c r="JO45" s="958"/>
      <c r="JP45" s="958"/>
      <c r="JQ45" s="958"/>
      <c r="JR45" s="958"/>
      <c r="JS45" s="958"/>
      <c r="JT45" s="958"/>
      <c r="JU45" s="958"/>
      <c r="JV45" s="958"/>
      <c r="JW45" s="958"/>
      <c r="JX45" s="958"/>
      <c r="JY45" s="958"/>
      <c r="JZ45" s="958"/>
      <c r="KA45" s="958"/>
      <c r="KB45" s="958"/>
      <c r="KC45" s="958"/>
      <c r="KD45" s="958"/>
      <c r="KE45" s="958"/>
      <c r="KF45" s="958"/>
      <c r="KG45" s="958"/>
      <c r="KH45" s="958"/>
      <c r="KI45" s="958"/>
      <c r="KJ45" s="958"/>
      <c r="KK45" s="958"/>
      <c r="KL45" s="958"/>
      <c r="KM45" s="958"/>
      <c r="KN45" s="958"/>
      <c r="KO45" s="958"/>
      <c r="KP45" s="958"/>
      <c r="KQ45" s="958"/>
      <c r="KR45" s="958"/>
      <c r="KS45" s="958"/>
      <c r="KT45" s="958"/>
      <c r="KU45" s="958"/>
      <c r="KV45" s="958"/>
      <c r="KW45" s="958"/>
      <c r="KX45" s="958"/>
      <c r="KY45" s="958"/>
      <c r="KZ45" s="958"/>
      <c r="LA45" s="958"/>
      <c r="LB45" s="958"/>
      <c r="LC45" s="958"/>
      <c r="LD45" s="958"/>
      <c r="LE45" s="958"/>
      <c r="LF45" s="958"/>
      <c r="LG45" s="958"/>
      <c r="LH45" s="958"/>
      <c r="LI45" s="958"/>
      <c r="LJ45" s="958"/>
      <c r="LK45" s="958"/>
      <c r="LL45" s="958"/>
      <c r="LM45" s="958"/>
      <c r="LN45" s="958"/>
      <c r="LO45" s="958"/>
      <c r="LP45" s="958"/>
      <c r="LQ45" s="958"/>
      <c r="LR45" s="958"/>
      <c r="LS45" s="958"/>
      <c r="LT45" s="958"/>
      <c r="LU45" s="958"/>
      <c r="LV45" s="958"/>
      <c r="LW45" s="958"/>
      <c r="LX45" s="958"/>
      <c r="LY45" s="958"/>
      <c r="LZ45" s="958"/>
      <c r="MA45" s="958"/>
      <c r="MB45" s="958"/>
      <c r="MC45" s="958"/>
      <c r="MD45" s="958"/>
      <c r="ME45" s="958"/>
      <c r="MF45" s="958"/>
      <c r="MG45" s="958"/>
      <c r="MH45" s="958"/>
      <c r="MI45" s="958"/>
      <c r="MJ45" s="958"/>
      <c r="MK45" s="958"/>
      <c r="ML45" s="958"/>
      <c r="MM45" s="958"/>
      <c r="MN45" s="958"/>
      <c r="MO45" s="958"/>
      <c r="MP45" s="958"/>
      <c r="MQ45" s="958"/>
      <c r="MR45" s="958"/>
      <c r="MS45" s="958"/>
      <c r="MT45" s="958"/>
      <c r="MU45" s="958"/>
      <c r="MV45" s="958"/>
      <c r="MW45" s="958"/>
      <c r="MX45" s="958"/>
      <c r="MY45" s="958"/>
      <c r="MZ45" s="958"/>
      <c r="NA45" s="958"/>
      <c r="NB45" s="958"/>
      <c r="NC45" s="958"/>
      <c r="ND45" s="958"/>
      <c r="NE45" s="958"/>
      <c r="NF45" s="958"/>
      <c r="NG45" s="958"/>
      <c r="NH45" s="958"/>
      <c r="NI45" s="958"/>
      <c r="NJ45" s="958"/>
      <c r="NK45" s="958"/>
      <c r="NL45" s="958"/>
      <c r="NM45" s="958"/>
      <c r="NN45" s="958"/>
      <c r="NO45" s="958"/>
      <c r="NP45" s="958"/>
      <c r="NQ45" s="958"/>
      <c r="NR45" s="958"/>
      <c r="NS45" s="958"/>
      <c r="NT45" s="958"/>
      <c r="NU45" s="958"/>
      <c r="NV45" s="958"/>
      <c r="NW45" s="958"/>
      <c r="NX45" s="958"/>
      <c r="NY45" s="958"/>
      <c r="NZ45" s="958"/>
      <c r="OA45" s="958"/>
      <c r="OB45" s="958"/>
      <c r="OC45" s="958"/>
      <c r="OD45" s="958"/>
      <c r="OE45" s="958"/>
      <c r="OF45" s="958"/>
      <c r="OG45" s="958"/>
      <c r="OH45" s="958"/>
      <c r="OI45" s="958"/>
      <c r="OJ45" s="958"/>
      <c r="OK45" s="958"/>
      <c r="OL45" s="958"/>
      <c r="OM45" s="958"/>
      <c r="ON45" s="958"/>
      <c r="OO45" s="958"/>
      <c r="OP45" s="958"/>
      <c r="OQ45" s="958"/>
      <c r="OR45" s="958"/>
      <c r="OS45" s="958"/>
      <c r="OT45" s="958"/>
      <c r="OU45" s="958"/>
      <c r="OV45" s="958"/>
      <c r="OW45" s="958"/>
      <c r="OX45" s="958"/>
      <c r="OY45" s="958"/>
      <c r="OZ45" s="958"/>
      <c r="PA45" s="958"/>
      <c r="PB45" s="958"/>
      <c r="PC45" s="958"/>
      <c r="PD45" s="958"/>
      <c r="PE45" s="958"/>
      <c r="PF45" s="958"/>
      <c r="PG45" s="958"/>
      <c r="PH45" s="958"/>
      <c r="PI45" s="958"/>
      <c r="PJ45" s="958"/>
      <c r="PK45" s="958"/>
      <c r="PL45" s="958"/>
      <c r="PM45" s="958"/>
      <c r="PN45" s="958"/>
      <c r="PO45" s="958"/>
      <c r="PP45" s="958"/>
      <c r="PQ45" s="958"/>
      <c r="PR45" s="958"/>
      <c r="PS45" s="958"/>
      <c r="PT45" s="958"/>
      <c r="PU45" s="958"/>
      <c r="PV45" s="958"/>
      <c r="PW45" s="958"/>
      <c r="PX45" s="958"/>
      <c r="PY45" s="958"/>
      <c r="PZ45" s="958"/>
      <c r="QA45" s="958"/>
      <c r="QB45" s="958"/>
      <c r="QC45" s="958"/>
      <c r="QD45" s="958"/>
      <c r="QE45" s="958"/>
      <c r="QF45" s="958"/>
      <c r="QG45" s="958"/>
      <c r="QH45" s="958"/>
      <c r="QI45" s="958"/>
      <c r="QJ45" s="958"/>
      <c r="QK45" s="958"/>
      <c r="QL45" s="958"/>
      <c r="QM45" s="958"/>
      <c r="QN45" s="958"/>
      <c r="QO45" s="958"/>
      <c r="QP45" s="958"/>
      <c r="QQ45" s="958"/>
      <c r="QR45" s="958"/>
      <c r="QS45" s="958"/>
      <c r="QT45" s="958"/>
      <c r="QU45" s="958"/>
      <c r="QV45" s="958"/>
      <c r="QW45" s="958"/>
      <c r="QX45" s="958"/>
      <c r="QY45" s="958"/>
      <c r="QZ45" s="958"/>
      <c r="RA45" s="958"/>
      <c r="RB45" s="958"/>
      <c r="RC45" s="958"/>
      <c r="RD45" s="958"/>
      <c r="RE45" s="958"/>
      <c r="RF45" s="958"/>
      <c r="RG45" s="958"/>
      <c r="RH45" s="958"/>
      <c r="RI45" s="958"/>
      <c r="RJ45" s="958"/>
      <c r="RK45" s="958"/>
      <c r="RL45" s="958"/>
      <c r="RM45" s="958"/>
      <c r="RN45" s="958"/>
      <c r="RO45" s="958"/>
      <c r="RP45" s="958"/>
      <c r="RQ45" s="958"/>
      <c r="RR45" s="958"/>
      <c r="RS45" s="958"/>
      <c r="RT45" s="958"/>
      <c r="RU45" s="958"/>
      <c r="RV45" s="958"/>
      <c r="RW45" s="958"/>
      <c r="RX45" s="958"/>
      <c r="RY45" s="958"/>
      <c r="RZ45" s="958"/>
      <c r="SA45" s="958"/>
      <c r="SB45" s="958"/>
      <c r="SC45" s="958"/>
      <c r="SD45" s="958"/>
      <c r="SE45" s="958"/>
      <c r="SF45" s="958"/>
      <c r="SG45" s="958"/>
      <c r="SH45" s="958"/>
      <c r="SI45" s="958"/>
      <c r="SJ45" s="958"/>
      <c r="SK45" s="958"/>
      <c r="SL45" s="958"/>
      <c r="SM45" s="958"/>
      <c r="SN45" s="958"/>
      <c r="SO45" s="958"/>
      <c r="SP45" s="958"/>
      <c r="SQ45" s="958"/>
      <c r="SR45" s="958"/>
      <c r="SS45" s="958"/>
      <c r="ST45" s="958"/>
      <c r="SU45" s="958"/>
      <c r="SV45" s="958"/>
      <c r="SW45" s="958"/>
      <c r="SX45" s="958"/>
      <c r="SY45" s="958"/>
      <c r="SZ45" s="958"/>
      <c r="TA45" s="958"/>
      <c r="TB45" s="958"/>
      <c r="TC45" s="958"/>
      <c r="TD45" s="958"/>
      <c r="TE45" s="958"/>
      <c r="TF45" s="958"/>
      <c r="TG45" s="958"/>
      <c r="TH45" s="958"/>
      <c r="TI45" s="958"/>
      <c r="TJ45" s="958"/>
      <c r="TK45" s="958"/>
      <c r="TL45" s="958"/>
      <c r="TM45" s="958"/>
      <c r="TN45" s="958"/>
      <c r="TO45" s="958"/>
      <c r="TP45" s="958"/>
      <c r="TQ45" s="958"/>
      <c r="TR45" s="958"/>
      <c r="TS45" s="958"/>
      <c r="TT45" s="958"/>
      <c r="TU45" s="958"/>
      <c r="TV45" s="958"/>
      <c r="TW45" s="958"/>
      <c r="TX45" s="958"/>
      <c r="TY45" s="958"/>
      <c r="TZ45" s="958"/>
      <c r="UA45" s="958"/>
      <c r="UB45" s="958"/>
      <c r="UC45" s="958"/>
      <c r="UD45" s="958"/>
      <c r="UE45" s="958"/>
      <c r="UF45" s="958"/>
      <c r="UG45" s="958"/>
      <c r="UH45" s="958"/>
      <c r="UI45" s="958"/>
      <c r="UJ45" s="958"/>
      <c r="UK45" s="958"/>
      <c r="UL45" s="958"/>
      <c r="UM45" s="958"/>
      <c r="UN45" s="958"/>
      <c r="UO45" s="958"/>
      <c r="UP45" s="958"/>
      <c r="UQ45" s="958"/>
      <c r="UR45" s="958"/>
      <c r="US45" s="958"/>
      <c r="UT45" s="958"/>
      <c r="UU45" s="958"/>
      <c r="UV45" s="958"/>
      <c r="UW45" s="958"/>
      <c r="UX45" s="958"/>
      <c r="UY45" s="958"/>
      <c r="UZ45" s="958"/>
      <c r="VA45" s="958"/>
      <c r="VB45" s="958"/>
      <c r="VC45" s="958"/>
      <c r="VD45" s="958"/>
      <c r="VE45" s="958"/>
      <c r="VF45" s="958"/>
      <c r="VG45" s="958"/>
      <c r="VH45" s="958"/>
      <c r="VI45" s="958"/>
      <c r="VJ45" s="958"/>
      <c r="VK45" s="958"/>
      <c r="VL45" s="958"/>
      <c r="VM45" s="958"/>
      <c r="VN45" s="958"/>
      <c r="VO45" s="958"/>
      <c r="VP45" s="958"/>
      <c r="VQ45" s="958"/>
      <c r="VR45" s="958"/>
      <c r="VS45" s="958"/>
      <c r="VT45" s="958"/>
      <c r="VU45" s="958"/>
      <c r="VV45" s="958"/>
      <c r="VW45" s="958"/>
      <c r="VX45" s="958"/>
      <c r="VY45" s="958"/>
      <c r="VZ45" s="958"/>
      <c r="WA45" s="958"/>
      <c r="WB45" s="958"/>
      <c r="WC45" s="958"/>
      <c r="WD45" s="958"/>
      <c r="WE45" s="958"/>
      <c r="WF45" s="958"/>
      <c r="WG45" s="958"/>
      <c r="WH45" s="958"/>
      <c r="WI45" s="958"/>
      <c r="WJ45" s="958"/>
      <c r="WK45" s="958"/>
      <c r="WL45" s="958"/>
      <c r="WM45" s="958"/>
      <c r="WN45" s="958"/>
      <c r="WO45" s="958"/>
      <c r="WP45" s="958"/>
      <c r="WQ45" s="958"/>
      <c r="WR45" s="958"/>
      <c r="WS45" s="958"/>
      <c r="WT45" s="958"/>
      <c r="WU45" s="958"/>
      <c r="WV45" s="958"/>
      <c r="WW45" s="958"/>
      <c r="WX45" s="958"/>
      <c r="WY45" s="958"/>
      <c r="WZ45" s="958"/>
      <c r="XA45" s="958"/>
      <c r="XB45" s="958"/>
      <c r="XC45" s="958"/>
      <c r="XD45" s="958"/>
      <c r="XE45" s="958"/>
      <c r="XF45" s="958"/>
      <c r="XG45" s="958"/>
      <c r="XH45" s="958"/>
      <c r="XI45" s="958"/>
      <c r="XJ45" s="958"/>
      <c r="XK45" s="958"/>
      <c r="XL45" s="958"/>
      <c r="XM45" s="958"/>
      <c r="XN45" s="958"/>
      <c r="XO45" s="958"/>
      <c r="XP45" s="958"/>
      <c r="XQ45" s="958"/>
      <c r="XR45" s="958"/>
      <c r="XS45" s="958"/>
      <c r="XT45" s="958"/>
      <c r="XU45" s="958"/>
      <c r="XV45" s="958"/>
      <c r="XW45" s="958"/>
      <c r="XX45" s="958"/>
      <c r="XY45" s="958"/>
      <c r="XZ45" s="958"/>
      <c r="YA45" s="958"/>
      <c r="YB45" s="958"/>
      <c r="YC45" s="958"/>
      <c r="YD45" s="958"/>
      <c r="YE45" s="958"/>
      <c r="YF45" s="958"/>
      <c r="YG45" s="958"/>
      <c r="YH45" s="958"/>
      <c r="YI45" s="958"/>
      <c r="YJ45" s="958"/>
      <c r="YK45" s="958"/>
      <c r="YL45" s="958"/>
      <c r="YM45" s="958"/>
      <c r="YN45" s="958"/>
      <c r="YO45" s="958"/>
      <c r="YP45" s="958"/>
      <c r="YQ45" s="958"/>
      <c r="YR45" s="958"/>
      <c r="YS45" s="958"/>
      <c r="YT45" s="958"/>
      <c r="YU45" s="958"/>
      <c r="YV45" s="958"/>
      <c r="YW45" s="958"/>
      <c r="YX45" s="958"/>
      <c r="YY45" s="958"/>
      <c r="YZ45" s="958"/>
      <c r="ZA45" s="958"/>
      <c r="ZB45" s="958"/>
      <c r="ZC45" s="958"/>
      <c r="ZD45" s="958"/>
      <c r="ZE45" s="958"/>
      <c r="ZF45" s="958"/>
      <c r="ZG45" s="958"/>
      <c r="ZH45" s="958"/>
      <c r="ZI45" s="958"/>
      <c r="ZJ45" s="958"/>
      <c r="ZK45" s="958"/>
      <c r="ZL45" s="958"/>
      <c r="ZM45" s="958"/>
      <c r="ZN45" s="958"/>
      <c r="ZO45" s="958"/>
      <c r="ZP45" s="958"/>
      <c r="ZQ45" s="958"/>
      <c r="ZR45" s="958"/>
      <c r="ZS45" s="958"/>
      <c r="ZT45" s="958"/>
      <c r="ZU45" s="958"/>
      <c r="ZV45" s="958"/>
      <c r="ZW45" s="958"/>
      <c r="ZX45" s="958"/>
      <c r="ZY45" s="958"/>
      <c r="ZZ45" s="958"/>
      <c r="AAA45" s="958"/>
      <c r="AAB45" s="958"/>
      <c r="AAC45" s="958"/>
      <c r="AAD45" s="958"/>
      <c r="AAE45" s="958"/>
      <c r="AAF45" s="958"/>
      <c r="AAG45" s="958"/>
      <c r="AAH45" s="958"/>
      <c r="AAI45" s="958"/>
      <c r="AAJ45" s="958"/>
      <c r="AAK45" s="958"/>
      <c r="AAL45" s="958"/>
      <c r="AAM45" s="958"/>
      <c r="AAN45" s="958"/>
      <c r="AAO45" s="958"/>
      <c r="AAP45" s="958"/>
      <c r="AAQ45" s="958"/>
      <c r="AAR45" s="958"/>
      <c r="AAS45" s="958"/>
      <c r="AAT45" s="958"/>
      <c r="AAU45" s="958"/>
      <c r="AAV45" s="958"/>
      <c r="AAW45" s="958"/>
      <c r="AAX45" s="958"/>
      <c r="AAY45" s="958"/>
      <c r="AAZ45" s="958"/>
      <c r="ABA45" s="958"/>
      <c r="ABB45" s="958"/>
      <c r="ABC45" s="958"/>
      <c r="ABD45" s="958"/>
      <c r="ABE45" s="958"/>
      <c r="ABF45" s="958"/>
      <c r="ABG45" s="958"/>
      <c r="ABH45" s="958"/>
      <c r="ABI45" s="958"/>
      <c r="ABJ45" s="958"/>
      <c r="ABK45" s="958"/>
      <c r="ABL45" s="958"/>
      <c r="ABM45" s="958"/>
      <c r="ABN45" s="958"/>
      <c r="ABO45" s="958"/>
      <c r="ABP45" s="958"/>
      <c r="ABQ45" s="958"/>
      <c r="ABR45" s="958"/>
      <c r="ABS45" s="958"/>
      <c r="ABT45" s="958"/>
      <c r="ABU45" s="958"/>
      <c r="ABV45" s="958"/>
      <c r="ABW45" s="958"/>
      <c r="ABX45" s="958"/>
      <c r="ABY45" s="958"/>
      <c r="ABZ45" s="958"/>
      <c r="ACA45" s="958"/>
      <c r="ACB45" s="958"/>
      <c r="ACC45" s="958"/>
      <c r="ACD45" s="958"/>
      <c r="ACE45" s="958"/>
      <c r="ACF45" s="958"/>
      <c r="ACG45" s="958"/>
      <c r="ACH45" s="958"/>
      <c r="ACI45" s="958"/>
      <c r="ACJ45" s="958"/>
      <c r="ACK45" s="958"/>
      <c r="ACL45" s="958"/>
      <c r="ACM45" s="958"/>
      <c r="ACN45" s="958"/>
      <c r="ACO45" s="958"/>
      <c r="ACP45" s="958"/>
      <c r="ACQ45" s="958"/>
      <c r="ACR45" s="958"/>
      <c r="ACS45" s="958"/>
      <c r="ACT45" s="958"/>
      <c r="ACU45" s="958"/>
      <c r="ACV45" s="958"/>
      <c r="ACW45" s="958"/>
      <c r="ACX45" s="958"/>
      <c r="ACY45" s="958"/>
      <c r="ACZ45" s="958"/>
      <c r="ADA45" s="958"/>
      <c r="ADB45" s="958"/>
      <c r="ADC45" s="958"/>
      <c r="ADD45" s="958"/>
      <c r="ADE45" s="958"/>
      <c r="ADF45" s="958"/>
      <c r="ADG45" s="958"/>
      <c r="ADH45" s="958"/>
      <c r="ADI45" s="958"/>
      <c r="ADJ45" s="958"/>
      <c r="ADK45" s="958"/>
      <c r="ADL45" s="958"/>
      <c r="ADM45" s="958"/>
      <c r="ADN45" s="958"/>
      <c r="ADO45" s="958"/>
      <c r="ADP45" s="958"/>
      <c r="ADQ45" s="958"/>
      <c r="ADR45" s="958"/>
      <c r="ADS45" s="958"/>
      <c r="ADT45" s="958"/>
      <c r="ADU45" s="958"/>
      <c r="ADV45" s="958"/>
      <c r="ADW45" s="958"/>
      <c r="ADX45" s="958"/>
      <c r="ADY45" s="958"/>
      <c r="ADZ45" s="958"/>
      <c r="AEA45" s="958"/>
      <c r="AEB45" s="958"/>
      <c r="AEC45" s="958"/>
      <c r="AED45" s="958"/>
      <c r="AEE45" s="958"/>
      <c r="AEF45" s="958"/>
      <c r="AEG45" s="958"/>
      <c r="AEH45" s="958"/>
      <c r="AEI45" s="958"/>
      <c r="AEJ45" s="958"/>
      <c r="AEK45" s="958"/>
      <c r="AEL45" s="958"/>
      <c r="AEM45" s="958"/>
      <c r="AEN45" s="958"/>
      <c r="AEO45" s="958"/>
      <c r="AEP45" s="958"/>
      <c r="AEQ45" s="958"/>
      <c r="AER45" s="958"/>
      <c r="AES45" s="958"/>
      <c r="AET45" s="958"/>
      <c r="AEU45" s="958"/>
      <c r="AEV45" s="958"/>
      <c r="AEW45" s="958"/>
      <c r="AEX45" s="958"/>
      <c r="AEY45" s="958"/>
      <c r="AEZ45" s="958"/>
      <c r="AFA45" s="958"/>
      <c r="AFB45" s="958"/>
      <c r="AFC45" s="958"/>
      <c r="AFD45" s="958"/>
      <c r="AFE45" s="958"/>
      <c r="AFF45" s="958"/>
      <c r="AFG45" s="958"/>
      <c r="AFH45" s="958"/>
      <c r="AFI45" s="958"/>
      <c r="AFJ45" s="958"/>
      <c r="AFK45" s="958"/>
      <c r="AFL45" s="958"/>
      <c r="AFM45" s="958"/>
      <c r="AFN45" s="958"/>
      <c r="AFO45" s="958"/>
      <c r="AFP45" s="958"/>
      <c r="AFQ45" s="958"/>
      <c r="AFR45" s="958"/>
      <c r="AFS45" s="958"/>
      <c r="AFT45" s="958"/>
      <c r="AFU45" s="958"/>
      <c r="AFV45" s="958"/>
      <c r="AFW45" s="958"/>
      <c r="AFX45" s="958"/>
      <c r="AFY45" s="958"/>
      <c r="AFZ45" s="958"/>
      <c r="AGA45" s="958"/>
      <c r="AGB45" s="958"/>
      <c r="AGC45" s="958"/>
      <c r="AGD45" s="958"/>
      <c r="AGE45" s="958"/>
      <c r="AGF45" s="958"/>
      <c r="AGG45" s="958"/>
      <c r="AGH45" s="958"/>
      <c r="AGI45" s="958"/>
      <c r="AGJ45" s="958"/>
      <c r="AGK45" s="958"/>
      <c r="AGL45" s="958"/>
      <c r="AGM45" s="958"/>
      <c r="AGN45" s="958"/>
      <c r="AGO45" s="958"/>
      <c r="AGP45" s="958"/>
      <c r="AGQ45" s="958"/>
      <c r="AGR45" s="958"/>
      <c r="AGS45" s="958"/>
      <c r="AGT45" s="958"/>
      <c r="AGU45" s="958"/>
      <c r="AGV45" s="958"/>
      <c r="AGW45" s="958"/>
      <c r="AGX45" s="958"/>
      <c r="AGY45" s="958"/>
      <c r="AGZ45" s="958"/>
      <c r="AHA45" s="958"/>
      <c r="AHB45" s="958"/>
      <c r="AHC45" s="958"/>
      <c r="AHD45" s="958"/>
      <c r="AHE45" s="958"/>
      <c r="AHF45" s="958"/>
      <c r="AHG45" s="958"/>
      <c r="AHH45" s="958"/>
      <c r="AHI45" s="958"/>
      <c r="AHJ45" s="958"/>
      <c r="AHK45" s="958"/>
      <c r="AHL45" s="958"/>
      <c r="AHM45" s="958"/>
      <c r="AHN45" s="958"/>
      <c r="AHO45" s="958"/>
      <c r="AHP45" s="958"/>
      <c r="AHQ45" s="958"/>
      <c r="AHR45" s="958"/>
      <c r="AHS45" s="958"/>
      <c r="AHT45" s="958"/>
      <c r="AHU45" s="958"/>
      <c r="AHV45" s="958"/>
      <c r="AHW45" s="958"/>
      <c r="AHX45" s="958"/>
      <c r="AHY45" s="958"/>
      <c r="AHZ45" s="958"/>
      <c r="AIA45" s="958"/>
      <c r="AIB45" s="958"/>
      <c r="AIC45" s="958"/>
      <c r="AID45" s="958"/>
      <c r="AIE45" s="958"/>
      <c r="AIF45" s="958"/>
      <c r="AIG45" s="958"/>
      <c r="AIH45" s="958"/>
      <c r="AII45" s="958"/>
      <c r="AIJ45" s="958"/>
      <c r="AIK45" s="958"/>
      <c r="AIL45" s="958"/>
      <c r="AIM45" s="958"/>
      <c r="AIN45" s="958"/>
      <c r="AIO45" s="958"/>
      <c r="AIP45" s="958"/>
      <c r="AIQ45" s="958"/>
      <c r="AIR45" s="958"/>
      <c r="AIS45" s="958"/>
      <c r="AIT45" s="958"/>
      <c r="AIU45" s="958"/>
      <c r="AIV45" s="958"/>
      <c r="AIW45" s="958"/>
      <c r="AIX45" s="958"/>
      <c r="AIY45" s="958"/>
      <c r="AIZ45" s="958"/>
      <c r="AJA45" s="958"/>
      <c r="AJB45" s="958"/>
      <c r="AJC45" s="958"/>
      <c r="AJD45" s="958"/>
      <c r="AJE45" s="958"/>
      <c r="AJF45" s="958"/>
      <c r="AJG45" s="958"/>
      <c r="AJH45" s="958"/>
      <c r="AJI45" s="958"/>
      <c r="AJJ45" s="958"/>
      <c r="AJK45" s="958"/>
      <c r="AJL45" s="958"/>
      <c r="AJM45" s="958"/>
      <c r="AJN45" s="958"/>
      <c r="AJO45" s="958"/>
      <c r="AJP45" s="958"/>
      <c r="AJQ45" s="958"/>
      <c r="AJR45" s="958"/>
      <c r="AJS45" s="958"/>
      <c r="AJT45" s="958"/>
      <c r="AJU45" s="958"/>
      <c r="AJV45" s="958"/>
      <c r="AJW45" s="958"/>
      <c r="AJX45" s="958"/>
      <c r="AJY45" s="958"/>
      <c r="AJZ45" s="958"/>
      <c r="AKA45" s="958"/>
      <c r="AKB45" s="958"/>
      <c r="AKC45" s="958"/>
      <c r="AKD45" s="958"/>
      <c r="AKE45" s="958"/>
      <c r="AKF45" s="958"/>
      <c r="AKG45" s="958"/>
      <c r="AKH45" s="958"/>
      <c r="AKI45" s="958"/>
      <c r="AKJ45" s="958"/>
      <c r="AKK45" s="958"/>
      <c r="AKL45" s="958"/>
      <c r="AKM45" s="958"/>
      <c r="AKN45" s="958"/>
      <c r="AKO45" s="958"/>
      <c r="AKP45" s="958"/>
      <c r="AKQ45" s="958"/>
      <c r="AKR45" s="958"/>
      <c r="AKS45" s="958"/>
      <c r="AKT45" s="958"/>
      <c r="AKU45" s="958"/>
      <c r="AKV45" s="958"/>
      <c r="AKW45" s="958"/>
      <c r="AKX45" s="958"/>
      <c r="AKY45" s="958"/>
      <c r="AKZ45" s="958"/>
      <c r="ALA45" s="958"/>
      <c r="ALB45" s="958"/>
      <c r="ALC45" s="958"/>
      <c r="ALD45" s="958"/>
      <c r="ALE45" s="958"/>
      <c r="ALF45" s="958"/>
      <c r="ALG45" s="958"/>
      <c r="ALH45" s="958"/>
      <c r="ALI45" s="958"/>
      <c r="ALJ45" s="958"/>
      <c r="ALK45" s="958"/>
      <c r="ALL45" s="958"/>
      <c r="ALM45" s="958"/>
      <c r="ALN45" s="958"/>
      <c r="ALO45" s="958"/>
      <c r="ALP45" s="958"/>
      <c r="ALQ45" s="958"/>
      <c r="ALR45" s="958"/>
      <c r="ALS45" s="958"/>
      <c r="ALT45" s="958"/>
      <c r="ALU45" s="958"/>
      <c r="ALV45" s="958"/>
      <c r="ALW45" s="958"/>
      <c r="ALX45" s="958"/>
      <c r="ALY45" s="958"/>
      <c r="ALZ45" s="958"/>
      <c r="AMA45" s="958"/>
      <c r="AMB45" s="958"/>
      <c r="AMC45" s="958"/>
      <c r="AMD45" s="958"/>
      <c r="AME45" s="958"/>
      <c r="AMF45" s="958"/>
      <c r="AMG45" s="958"/>
      <c r="AMH45" s="958"/>
      <c r="AMI45" s="958"/>
      <c r="AMJ45" s="958"/>
      <c r="AMK45" s="958"/>
      <c r="AML45" s="958"/>
      <c r="AMM45" s="958"/>
      <c r="AMN45" s="958"/>
      <c r="AMO45" s="958"/>
      <c r="AMP45" s="958"/>
      <c r="AMQ45" s="958"/>
      <c r="AMR45" s="958"/>
      <c r="AMS45" s="958"/>
      <c r="AMT45" s="958"/>
      <c r="AMU45" s="958"/>
      <c r="AMV45" s="958"/>
      <c r="AMW45" s="958"/>
      <c r="AMX45" s="958"/>
      <c r="AMY45" s="958"/>
      <c r="AMZ45" s="958"/>
      <c r="ANA45" s="958"/>
      <c r="ANB45" s="958"/>
      <c r="ANC45" s="958"/>
      <c r="AND45" s="958"/>
      <c r="ANE45" s="958"/>
      <c r="ANF45" s="958"/>
      <c r="ANG45" s="958"/>
      <c r="ANH45" s="958"/>
      <c r="ANI45" s="958"/>
      <c r="ANJ45" s="958"/>
      <c r="ANK45" s="958"/>
      <c r="ANL45" s="958"/>
      <c r="ANM45" s="958"/>
      <c r="ANN45" s="958"/>
      <c r="ANO45" s="958"/>
      <c r="ANP45" s="958"/>
      <c r="ANQ45" s="958"/>
      <c r="ANR45" s="958"/>
      <c r="ANS45" s="958"/>
      <c r="ANT45" s="958"/>
      <c r="ANU45" s="958"/>
      <c r="ANV45" s="958"/>
      <c r="ANW45" s="958"/>
      <c r="ANX45" s="958"/>
      <c r="ANY45" s="958"/>
      <c r="ANZ45" s="958"/>
      <c r="AOA45" s="958"/>
      <c r="AOB45" s="958"/>
      <c r="AOC45" s="958"/>
      <c r="AOD45" s="958"/>
      <c r="AOE45" s="958"/>
      <c r="AOF45" s="958"/>
      <c r="AOG45" s="958"/>
      <c r="AOH45" s="958"/>
      <c r="AOI45" s="958"/>
      <c r="AOJ45" s="958"/>
      <c r="AOK45" s="958"/>
      <c r="AOL45" s="958"/>
      <c r="AOM45" s="958"/>
      <c r="AON45" s="958"/>
      <c r="AOO45" s="958"/>
      <c r="AOP45" s="958"/>
      <c r="AOQ45" s="958"/>
      <c r="AOR45" s="958"/>
      <c r="AOS45" s="958"/>
      <c r="AOT45" s="958"/>
      <c r="AOU45" s="958"/>
      <c r="AOV45" s="958"/>
      <c r="AOW45" s="958"/>
      <c r="AOX45" s="958"/>
      <c r="AOY45" s="958"/>
      <c r="AOZ45" s="958"/>
      <c r="APA45" s="958"/>
      <c r="APB45" s="958"/>
      <c r="APC45" s="958"/>
      <c r="APD45" s="958"/>
      <c r="APE45" s="958"/>
      <c r="APF45" s="958"/>
      <c r="APG45" s="958"/>
      <c r="APH45" s="958"/>
      <c r="API45" s="958"/>
      <c r="APJ45" s="958"/>
      <c r="APK45" s="958"/>
      <c r="APL45" s="958"/>
      <c r="APM45" s="958"/>
      <c r="APN45" s="958"/>
      <c r="APO45" s="958"/>
      <c r="APP45" s="958"/>
      <c r="APQ45" s="958"/>
      <c r="APR45" s="958"/>
      <c r="APS45" s="958"/>
      <c r="APT45" s="958"/>
      <c r="APU45" s="958"/>
      <c r="APV45" s="958"/>
      <c r="APW45" s="958"/>
      <c r="APX45" s="958"/>
      <c r="APY45" s="958"/>
      <c r="APZ45" s="958"/>
      <c r="AQA45" s="958"/>
      <c r="AQB45" s="958"/>
      <c r="AQC45" s="958"/>
      <c r="AQD45" s="958"/>
      <c r="AQE45" s="958"/>
      <c r="AQF45" s="958"/>
      <c r="AQG45" s="958"/>
      <c r="AQH45" s="958"/>
      <c r="AQI45" s="958"/>
      <c r="AQJ45" s="958"/>
      <c r="AQK45" s="958"/>
      <c r="AQL45" s="958"/>
      <c r="AQM45" s="958"/>
      <c r="AQN45" s="958"/>
      <c r="AQO45" s="958"/>
      <c r="AQP45" s="958"/>
      <c r="AQQ45" s="958"/>
      <c r="AQR45" s="958"/>
      <c r="AQS45" s="958"/>
      <c r="AQT45" s="958"/>
      <c r="AQU45" s="958"/>
      <c r="AQV45" s="958"/>
      <c r="AQW45" s="958"/>
      <c r="AQX45" s="958"/>
      <c r="AQY45" s="958"/>
      <c r="AQZ45" s="958"/>
      <c r="ARA45" s="958"/>
      <c r="ARB45" s="958"/>
      <c r="ARC45" s="958"/>
      <c r="ARD45" s="958"/>
      <c r="ARE45" s="958"/>
      <c r="ARF45" s="958"/>
      <c r="ARG45" s="958"/>
      <c r="ARH45" s="958"/>
      <c r="ARI45" s="958"/>
      <c r="ARJ45" s="958"/>
      <c r="ARK45" s="958"/>
      <c r="ARL45" s="958"/>
      <c r="ARM45" s="958"/>
      <c r="ARN45" s="958"/>
      <c r="ARO45" s="958"/>
      <c r="ARP45" s="958"/>
      <c r="ARQ45" s="958"/>
      <c r="ARR45" s="958"/>
      <c r="ARS45" s="958"/>
      <c r="ART45" s="958"/>
      <c r="ARU45" s="958"/>
      <c r="ARV45" s="958"/>
      <c r="ARW45" s="958"/>
      <c r="ARX45" s="958"/>
      <c r="ARY45" s="958"/>
      <c r="ARZ45" s="958"/>
      <c r="ASA45" s="958"/>
      <c r="ASB45" s="958"/>
      <c r="ASC45" s="958"/>
      <c r="ASD45" s="958"/>
      <c r="ASE45" s="958"/>
      <c r="ASF45" s="958"/>
      <c r="ASG45" s="958"/>
      <c r="ASH45" s="958"/>
      <c r="ASI45" s="958"/>
      <c r="ASJ45" s="958"/>
      <c r="ASK45" s="958"/>
      <c r="ASL45" s="958"/>
      <c r="ASM45" s="958"/>
      <c r="ASN45" s="958"/>
      <c r="ASO45" s="958"/>
      <c r="ASP45" s="958"/>
      <c r="ASQ45" s="958"/>
      <c r="ASR45" s="958"/>
      <c r="ASS45" s="958"/>
      <c r="AST45" s="958"/>
      <c r="ASU45" s="958"/>
      <c r="ASV45" s="958"/>
      <c r="ASW45" s="958"/>
      <c r="ASX45" s="958"/>
      <c r="ASY45" s="958"/>
      <c r="ASZ45" s="958"/>
    </row>
    <row r="46" spans="1:1196" ht="22.5" customHeight="1" thickTop="1" thickBot="1">
      <c r="A46" s="2843" t="s">
        <v>154</v>
      </c>
      <c r="B46" s="2843"/>
      <c r="C46" s="2843"/>
      <c r="D46" s="2843"/>
      <c r="E46" s="2843"/>
      <c r="F46" s="2843"/>
      <c r="G46" s="2843"/>
      <c r="H46" s="2843"/>
      <c r="I46" s="2843"/>
      <c r="J46" s="2843"/>
      <c r="K46" s="2843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1"/>
      <c r="AY46" s="201"/>
    </row>
    <row r="47" spans="1:1196" ht="75" customHeight="1" thickTop="1" thickBot="1">
      <c r="A47" s="202" t="s">
        <v>155</v>
      </c>
      <c r="B47" s="97" t="s">
        <v>156</v>
      </c>
      <c r="C47" s="74" t="s">
        <v>157</v>
      </c>
      <c r="D47" s="111" t="s">
        <v>158</v>
      </c>
      <c r="E47" s="74" t="s">
        <v>159</v>
      </c>
      <c r="F47" s="74" t="s">
        <v>265</v>
      </c>
      <c r="G47" s="203">
        <v>14</v>
      </c>
      <c r="H47" s="99">
        <v>10</v>
      </c>
      <c r="I47" s="204"/>
      <c r="J47" s="204"/>
      <c r="K47" s="25" t="s">
        <v>27</v>
      </c>
      <c r="L47" s="205">
        <v>0</v>
      </c>
      <c r="M47" s="206"/>
      <c r="N47" s="19" t="e">
        <f t="shared" ref="N47" si="43">+M47/L47</f>
        <v>#DIV/0!</v>
      </c>
      <c r="O47" s="205">
        <v>0</v>
      </c>
      <c r="P47" s="206"/>
      <c r="Q47" s="19" t="e">
        <f t="shared" ref="Q47" si="44">+P47/O47</f>
        <v>#DIV/0!</v>
      </c>
      <c r="R47" s="205">
        <v>0</v>
      </c>
      <c r="S47" s="206"/>
      <c r="T47" s="19" t="e">
        <f t="shared" ref="T47" si="45">+S47/R47</f>
        <v>#DIV/0!</v>
      </c>
      <c r="U47" s="205">
        <v>0</v>
      </c>
      <c r="V47" s="206"/>
      <c r="W47" s="19" t="e">
        <f t="shared" ref="W47" si="46">+V47/U47</f>
        <v>#DIV/0!</v>
      </c>
      <c r="X47" s="205">
        <v>2</v>
      </c>
      <c r="Y47" s="206">
        <v>2</v>
      </c>
      <c r="Z47" s="19">
        <f t="shared" ref="Z47" si="47">+Y47/X47</f>
        <v>1</v>
      </c>
      <c r="AA47" s="205">
        <v>0</v>
      </c>
      <c r="AB47" s="206"/>
      <c r="AC47" s="19" t="e">
        <f t="shared" ref="AC47" si="48">+AB47/AA47</f>
        <v>#DIV/0!</v>
      </c>
      <c r="AD47" s="207">
        <f>+Y47</f>
        <v>2</v>
      </c>
      <c r="AE47" s="19">
        <f t="shared" ref="AE47" si="49">+AD47/G47</f>
        <v>0.14285714285714285</v>
      </c>
      <c r="AF47" s="205">
        <v>2</v>
      </c>
      <c r="AG47" s="206">
        <v>2</v>
      </c>
      <c r="AH47" s="208">
        <f t="shared" ref="AH47" si="50">+AG47/AF47</f>
        <v>1</v>
      </c>
      <c r="AI47" s="205">
        <v>3</v>
      </c>
      <c r="AJ47" s="206">
        <v>3</v>
      </c>
      <c r="AK47" s="208">
        <f t="shared" ref="AK47" si="51">+AJ47/AI47</f>
        <v>1</v>
      </c>
      <c r="AL47" s="205">
        <v>3</v>
      </c>
      <c r="AM47" s="206">
        <v>3</v>
      </c>
      <c r="AN47" s="208">
        <f t="shared" ref="AN47" si="52">+AM47/AL47</f>
        <v>1</v>
      </c>
      <c r="AO47" s="205">
        <v>4</v>
      </c>
      <c r="AP47" s="206">
        <v>4</v>
      </c>
      <c r="AQ47" s="19">
        <f t="shared" ref="AQ47" si="53">+AP47/AO47</f>
        <v>1</v>
      </c>
      <c r="AR47" s="205">
        <v>0</v>
      </c>
      <c r="AS47" s="206"/>
      <c r="AT47" s="19" t="e">
        <f t="shared" ref="AT47" si="54">+AS47/AR47</f>
        <v>#DIV/0!</v>
      </c>
      <c r="AU47" s="205">
        <v>0</v>
      </c>
      <c r="AV47" s="206"/>
      <c r="AW47" s="19" t="e">
        <f t="shared" ref="AW47" si="55">+AV47/AU47</f>
        <v>#DIV/0!</v>
      </c>
      <c r="AX47" s="209">
        <f>+AP47+AM47+AJ47+AG47+Y47</f>
        <v>14</v>
      </c>
      <c r="AY47" s="19">
        <f>+AX47/G47</f>
        <v>1</v>
      </c>
    </row>
    <row r="48" spans="1:1196" ht="17.25" thickTop="1"/>
  </sheetData>
  <sheetProtection algorithmName="SHA-512" hashValue="EwWoJb9krERlLS7DiuBlRWRFzGdN11sup7X7SRohVgKv6MlYRBlXu4bAICcM9/vKvtxaDne6fwGyOy3jmWhO+A==" saltValue="UY0+vksi3eoWl9DVvUDP4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AZ1:XFD46 AZ47:XFD47 AZ48:XFD1048576" name="Rango1"/>
    <protectedRange algorithmName="SHA-512" hashValue="Uds9cYMsxnQI1SjFHe8NNqfDC/fFeray9QhmtAdG/GCgT0L97QBkFAQ9tCw5vTy3J/lQFdDpBTyQoZDg0KZNmQ==" saltValue="0HoWkw5WsZ+PdZDtJpkerg==" spinCount="100000" sqref="A1:A10 A12:A1048576 B34:C35 B9:B10 B31:K33 B36:K38 B39:C39 B40:K42 B45:D45 B47:K47 B11:K29 D9:K10 B44:K44 AR47:AY47 B48:AY1048576 B46:AY46 B30:AY30 B43:AY43 B1:AY8" name="Rango1_10"/>
    <protectedRange algorithmName="SHA-512" hashValue="Uds9cYMsxnQI1SjFHe8NNqfDC/fFeray9QhmtAdG/GCgT0L97QBkFAQ9tCw5vTy3J/lQFdDpBTyQoZDg0KZNmQ==" saltValue="0HoWkw5WsZ+PdZDtJpkerg==" spinCount="100000" sqref="D39:K39" name="Rango1_1_1"/>
    <protectedRange algorithmName="SHA-512" hashValue="Uds9cYMsxnQI1SjFHe8NNqfDC/fFeray9QhmtAdG/GCgT0L97QBkFAQ9tCw5vTy3J/lQFdDpBTyQoZDg0KZNmQ==" saltValue="0HoWkw5WsZ+PdZDtJpkerg==" spinCount="100000" sqref="L47:AQ47" name="Rango1_26_1"/>
    <protectedRange algorithmName="SHA-512" hashValue="Uds9cYMsxnQI1SjFHe8NNqfDC/fFeray9QhmtAdG/GCgT0L97QBkFAQ9tCw5vTy3J/lQFdDpBTyQoZDg0KZNmQ==" saltValue="0HoWkw5WsZ+PdZDtJpkerg==" spinCount="100000" sqref="E45:K45" name="Rango1_30_1"/>
    <protectedRange algorithmName="SHA-512" hashValue="Uds9cYMsxnQI1SjFHe8NNqfDC/fFeray9QhmtAdG/GCgT0L97QBkFAQ9tCw5vTy3J/lQFdDpBTyQoZDg0KZNmQ==" saltValue="0HoWkw5WsZ+PdZDtJpkerg==" spinCount="100000" sqref="AR24:AY24 AR29:AY29" name="Rango1_4_1"/>
    <protectedRange algorithmName="SHA-512" hashValue="Uds9cYMsxnQI1SjFHe8NNqfDC/fFeray9QhmtAdG/GCgT0L97QBkFAQ9tCw5vTy3J/lQFdDpBTyQoZDg0KZNmQ==" saltValue="0HoWkw5WsZ+PdZDtJpkerg==" spinCount="100000" sqref="L24:AQ24 L29:AQ29" name="Rango1_27_1_1"/>
    <protectedRange algorithmName="SHA-512" hashValue="Uds9cYMsxnQI1SjFHe8NNqfDC/fFeray9QhmtAdG/GCgT0L97QBkFAQ9tCw5vTy3J/lQFdDpBTyQoZDg0KZNmQ==" saltValue="0HoWkw5WsZ+PdZDtJpkerg==" spinCount="100000" sqref="AR22:AY22" name="Rango1_15_1"/>
    <protectedRange algorithmName="SHA-512" hashValue="Uds9cYMsxnQI1SjFHe8NNqfDC/fFeray9QhmtAdG/GCgT0L97QBkFAQ9tCw5vTy3J/lQFdDpBTyQoZDg0KZNmQ==" saltValue="0HoWkw5WsZ+PdZDtJpkerg==" spinCount="100000" sqref="L22:AQ22" name="Rango1_24_1"/>
    <protectedRange algorithmName="SHA-512" hashValue="Uds9cYMsxnQI1SjFHe8NNqfDC/fFeray9QhmtAdG/GCgT0L97QBkFAQ9tCw5vTy3J/lQFdDpBTyQoZDg0KZNmQ==" saltValue="0HoWkw5WsZ+PdZDtJpkerg==" spinCount="100000" sqref="L44:AY44 AR45:AY45" name="Rango1_16_1"/>
    <protectedRange algorithmName="SHA-512" hashValue="Uds9cYMsxnQI1SjFHe8NNqfDC/fFeray9QhmtAdG/GCgT0L97QBkFAQ9tCw5vTy3J/lQFdDpBTyQoZDg0KZNmQ==" saltValue="0HoWkw5WsZ+PdZDtJpkerg==" spinCount="100000" sqref="L45:AQ45" name="Rango1_25_1"/>
    <protectedRange algorithmName="SHA-512" hashValue="Uds9cYMsxnQI1SjFHe8NNqfDC/fFeray9QhmtAdG/GCgT0L97QBkFAQ9tCw5vTy3J/lQFdDpBTyQoZDg0KZNmQ==" saltValue="0HoWkw5WsZ+PdZDtJpkerg==" spinCount="100000" sqref="L11:AY14 L16:AY21" name="Rango1_17_1"/>
    <protectedRange algorithmName="SHA-512" hashValue="Uds9cYMsxnQI1SjFHe8NNqfDC/fFeray9QhmtAdG/GCgT0L97QBkFAQ9tCw5vTy3J/lQFdDpBTyQoZDg0KZNmQ==" saltValue="0HoWkw5WsZ+PdZDtJpkerg==" spinCount="100000" sqref="L31:AY32" name="Rango1_18_1"/>
    <protectedRange algorithmName="SHA-512" hashValue="Uds9cYMsxnQI1SjFHe8NNqfDC/fFeray9QhmtAdG/GCgT0L97QBkFAQ9tCw5vTy3J/lQFdDpBTyQoZDg0KZNmQ==" saltValue="0HoWkw5WsZ+PdZDtJpkerg==" spinCount="100000" sqref="L15:AY15" name="Rango1_2_1"/>
    <protectedRange algorithmName="SHA-512" hashValue="Uds9cYMsxnQI1SjFHe8NNqfDC/fFeray9QhmtAdG/GCgT0L97QBkFAQ9tCw5vTy3J/lQFdDpBTyQoZDg0KZNmQ==" saltValue="0HoWkw5WsZ+PdZDtJpkerg==" spinCount="100000" sqref="AU9:AY9" name="Rango1_13_1"/>
    <protectedRange algorithmName="SHA-512" hashValue="Uds9cYMsxnQI1SjFHe8NNqfDC/fFeray9QhmtAdG/GCgT0L97QBkFAQ9tCw5vTy3J/lQFdDpBTyQoZDg0KZNmQ==" saltValue="0HoWkw5WsZ+PdZDtJpkerg==" spinCount="100000" sqref="AR9:AT9" name="Rango1_21_1_1"/>
    <protectedRange algorithmName="SHA-512" hashValue="Uds9cYMsxnQI1SjFHe8NNqfDC/fFeray9QhmtAdG/GCgT0L97QBkFAQ9tCw5vTy3J/lQFdDpBTyQoZDg0KZNmQ==" saltValue="0HoWkw5WsZ+PdZDtJpkerg==" spinCount="100000" sqref="L9:AQ9" name="Rango1_30_1_1_1"/>
    <protectedRange algorithmName="SHA-512" hashValue="Uds9cYMsxnQI1SjFHe8NNqfDC/fFeray9QhmtAdG/GCgT0L97QBkFAQ9tCw5vTy3J/lQFdDpBTyQoZDg0KZNmQ==" saltValue="0HoWkw5WsZ+PdZDtJpkerg==" spinCount="100000" sqref="AU33:AY33 AU36:AY38" name="Rango1_14_1"/>
    <protectedRange algorithmName="SHA-512" hashValue="Uds9cYMsxnQI1SjFHe8NNqfDC/fFeray9QhmtAdG/GCgT0L97QBkFAQ9tCw5vTy3J/lQFdDpBTyQoZDg0KZNmQ==" saltValue="0HoWkw5WsZ+PdZDtJpkerg==" spinCount="100000" sqref="AX34:AX35" name="Rango1_1_1_1_1"/>
    <protectedRange algorithmName="SHA-512" hashValue="Uds9cYMsxnQI1SjFHe8NNqfDC/fFeray9QhmtAdG/GCgT0L97QBkFAQ9tCw5vTy3J/lQFdDpBTyQoZDg0KZNmQ==" saltValue="0HoWkw5WsZ+PdZDtJpkerg==" spinCount="100000" sqref="L33:AT33" name="Rango1_3_1_1"/>
    <protectedRange algorithmName="SHA-512" hashValue="Uds9cYMsxnQI1SjFHe8NNqfDC/fFeray9QhmtAdG/GCgT0L97QBkFAQ9tCw5vTy3J/lQFdDpBTyQoZDg0KZNmQ==" saltValue="0HoWkw5WsZ+PdZDtJpkerg==" spinCount="100000" sqref="AD34" name="Rango1_1_3_1_1"/>
    <protectedRange algorithmName="SHA-512" hashValue="Uds9cYMsxnQI1SjFHe8NNqfDC/fFeray9QhmtAdG/GCgT0L97QBkFAQ9tCw5vTy3J/lQFdDpBTyQoZDg0KZNmQ==" saltValue="0HoWkw5WsZ+PdZDtJpkerg==" spinCount="100000" sqref="AD35" name="Rango1_1_5_1_1"/>
    <protectedRange algorithmName="SHA-512" hashValue="Uds9cYMsxnQI1SjFHe8NNqfDC/fFeray9QhmtAdG/GCgT0L97QBkFAQ9tCw5vTy3J/lQFdDpBTyQoZDg0KZNmQ==" saltValue="0HoWkw5WsZ+PdZDtJpkerg==" spinCount="100000" sqref="L36:AT36" name="Rango1_5_1_1"/>
    <protectedRange algorithmName="SHA-512" hashValue="Uds9cYMsxnQI1SjFHe8NNqfDC/fFeray9QhmtAdG/GCgT0L97QBkFAQ9tCw5vTy3J/lQFdDpBTyQoZDg0KZNmQ==" saltValue="0HoWkw5WsZ+PdZDtJpkerg==" spinCount="100000" sqref="L37:AT37" name="Rango1_6_1_1"/>
    <protectedRange algorithmName="SHA-512" hashValue="Uds9cYMsxnQI1SjFHe8NNqfDC/fFeray9QhmtAdG/GCgT0L97QBkFAQ9tCw5vTy3J/lQFdDpBTyQoZDg0KZNmQ==" saltValue="0HoWkw5WsZ+PdZDtJpkerg==" spinCount="100000" sqref="L38:AT38" name="Rango1_7_1_1"/>
    <protectedRange algorithmName="SHA-512" hashValue="Uds9cYMsxnQI1SjFHe8NNqfDC/fFeray9QhmtAdG/GCgT0L97QBkFAQ9tCw5vTy3J/lQFdDpBTyQoZDg0KZNmQ==" saltValue="0HoWkw5WsZ+PdZDtJpkerg==" spinCount="100000" sqref="L39:AT39" name="Rango1_8_1_1"/>
    <protectedRange algorithmName="SHA-512" hashValue="Uds9cYMsxnQI1SjFHe8NNqfDC/fFeray9QhmtAdG/GCgT0L97QBkFAQ9tCw5vTy3J/lQFdDpBTyQoZDg0KZNmQ==" saltValue="0HoWkw5WsZ+PdZDtJpkerg==" spinCount="100000" sqref="AU39:AY39" name="Rango1_9_1_1"/>
    <protectedRange algorithmName="SHA-512" hashValue="Uds9cYMsxnQI1SjFHe8NNqfDC/fFeray9QhmtAdG/GCgT0L97QBkFAQ9tCw5vTy3J/lQFdDpBTyQoZDg0KZNmQ==" saltValue="0HoWkw5WsZ+PdZDtJpkerg==" spinCount="100000" sqref="L40:AY40" name="Rango1_10_1_1"/>
    <protectedRange algorithmName="SHA-512" hashValue="Uds9cYMsxnQI1SjFHe8NNqfDC/fFeray9QhmtAdG/GCgT0L97QBkFAQ9tCw5vTy3J/lQFdDpBTyQoZDg0KZNmQ==" saltValue="0HoWkw5WsZ+PdZDtJpkerg==" spinCount="100000" sqref="L41:AY41" name="Rango1_11_1_1"/>
    <protectedRange algorithmName="SHA-512" hashValue="Uds9cYMsxnQI1SjFHe8NNqfDC/fFeray9QhmtAdG/GCgT0L97QBkFAQ9tCw5vTy3J/lQFdDpBTyQoZDg0KZNmQ==" saltValue="0HoWkw5WsZ+PdZDtJpkerg==" spinCount="100000" sqref="L42:AY42" name="Rango1_12_1_1"/>
    <protectedRange algorithmName="SHA-512" hashValue="Uds9cYMsxnQI1SjFHe8NNqfDC/fFeray9QhmtAdG/GCgT0L97QBkFAQ9tCw5vTy3J/lQFdDpBTyQoZDg0KZNmQ==" saltValue="0HoWkw5WsZ+PdZDtJpkerg==" spinCount="100000" sqref="AU10:AY10" name="Rango1_3_2"/>
    <protectedRange algorithmName="SHA-512" hashValue="Uds9cYMsxnQI1SjFHe8NNqfDC/fFeray9QhmtAdG/GCgT0L97QBkFAQ9tCw5vTy3J/lQFdDpBTyQoZDg0KZNmQ==" saltValue="0HoWkw5WsZ+PdZDtJpkerg==" spinCount="100000" sqref="AR10:AT10" name="Rango1_21_2"/>
    <protectedRange algorithmName="SHA-512" hashValue="Uds9cYMsxnQI1SjFHe8NNqfDC/fFeray9QhmtAdG/GCgT0L97QBkFAQ9tCw5vTy3J/lQFdDpBTyQoZDg0KZNmQ==" saltValue="0HoWkw5WsZ+PdZDtJpkerg==" spinCount="100000" sqref="L10:AQ10" name="Rango1_29_1_1"/>
    <protectedRange algorithmName="SHA-512" hashValue="Uds9cYMsxnQI1SjFHe8NNqfDC/fFeray9QhmtAdG/GCgT0L97QBkFAQ9tCw5vTy3J/lQFdDpBTyQoZDg0KZNmQ==" saltValue="0HoWkw5WsZ+PdZDtJpkerg==" spinCount="100000" sqref="L23:AY23" name="Rango1_5_2"/>
    <protectedRange algorithmName="SHA-512" hashValue="Uds9cYMsxnQI1SjFHe8NNqfDC/fFeray9QhmtAdG/GCgT0L97QBkFAQ9tCw5vTy3J/lQFdDpBTyQoZDg0KZNmQ==" saltValue="0HoWkw5WsZ+PdZDtJpkerg==" spinCount="100000" sqref="L25:AY25" name="Rango1_6_2"/>
    <protectedRange algorithmName="SHA-512" hashValue="Uds9cYMsxnQI1SjFHe8NNqfDC/fFeray9QhmtAdG/GCgT0L97QBkFAQ9tCw5vTy3J/lQFdDpBTyQoZDg0KZNmQ==" saltValue="0HoWkw5WsZ+PdZDtJpkerg==" spinCount="100000" sqref="L26:AY26" name="Rango1_7_2"/>
    <protectedRange algorithmName="SHA-512" hashValue="Uds9cYMsxnQI1SjFHe8NNqfDC/fFeray9QhmtAdG/GCgT0L97QBkFAQ9tCw5vTy3J/lQFdDpBTyQoZDg0KZNmQ==" saltValue="0HoWkw5WsZ+PdZDtJpkerg==" spinCount="100000" sqref="L27:AY27" name="Rango1_8_2"/>
    <protectedRange algorithmName="SHA-512" hashValue="Uds9cYMsxnQI1SjFHe8NNqfDC/fFeray9QhmtAdG/GCgT0L97QBkFAQ9tCw5vTy3J/lQFdDpBTyQoZDg0KZNmQ==" saltValue="0HoWkw5WsZ+PdZDtJpkerg==" spinCount="100000" sqref="L28:AY28" name="Rango1_9_2"/>
  </protectedRanges>
  <mergeCells count="42">
    <mergeCell ref="A43:K43"/>
    <mergeCell ref="A44:A45"/>
    <mergeCell ref="B44:B45"/>
    <mergeCell ref="C44:C45"/>
    <mergeCell ref="A46:K46"/>
    <mergeCell ref="A9:A42"/>
    <mergeCell ref="B9:B10"/>
    <mergeCell ref="C9:C10"/>
    <mergeCell ref="B11:B30"/>
    <mergeCell ref="C11:C16"/>
    <mergeCell ref="C17:C19"/>
    <mergeCell ref="C23:C29"/>
    <mergeCell ref="B31:B42"/>
    <mergeCell ref="C33:C42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AE30">
    <cfRule type="cellIs" dxfId="8304" priority="666" operator="greaterThan">
      <formula>106%</formula>
    </cfRule>
    <cfRule type="cellIs" dxfId="8303" priority="667" operator="between">
      <formula>96%</formula>
      <formula>105%</formula>
    </cfRule>
    <cfRule type="cellIs" dxfId="8302" priority="668" operator="between">
      <formula>71%</formula>
      <formula>95%</formula>
    </cfRule>
    <cfRule type="cellIs" dxfId="8301" priority="669" operator="between">
      <formula>1%</formula>
      <formula>70%</formula>
    </cfRule>
    <cfRule type="cellIs" dxfId="8300" priority="670" operator="equal">
      <formula>0%</formula>
    </cfRule>
  </conditionalFormatting>
  <conditionalFormatting sqref="N30 Q30 T30 W30 Z30 AC30 AH30 AK30 AN30 AQ30 AT30 AW30">
    <cfRule type="cellIs" dxfId="8299" priority="661" operator="greaterThan">
      <formula>110%</formula>
    </cfRule>
    <cfRule type="cellIs" dxfId="8298" priority="662" operator="between">
      <formula>100.001%</formula>
      <formula>110%</formula>
    </cfRule>
    <cfRule type="cellIs" dxfId="8297" priority="663" operator="between">
      <formula>70.001%</formula>
      <formula>100%</formula>
    </cfRule>
    <cfRule type="cellIs" dxfId="8296" priority="664" operator="between">
      <formula>0.00001%</formula>
      <formula>70%</formula>
    </cfRule>
    <cfRule type="cellIs" dxfId="8295" priority="665" operator="equal">
      <formula>0</formula>
    </cfRule>
  </conditionalFormatting>
  <conditionalFormatting sqref="AY47">
    <cfRule type="cellIs" dxfId="8294" priority="656" operator="greaterThan">
      <formula>110%</formula>
    </cfRule>
    <cfRule type="cellIs" dxfId="8293" priority="657" operator="between">
      <formula>100.001%</formula>
      <formula>110%</formula>
    </cfRule>
    <cfRule type="cellIs" dxfId="8292" priority="658" operator="between">
      <formula>70.001%</formula>
      <formula>100%</formula>
    </cfRule>
    <cfRule type="cellIs" dxfId="8291" priority="659" operator="between">
      <formula>0.00001%</formula>
      <formula>70%</formula>
    </cfRule>
    <cfRule type="cellIs" dxfId="8290" priority="660" operator="equal">
      <formula>0</formula>
    </cfRule>
  </conditionalFormatting>
  <conditionalFormatting sqref="AT47">
    <cfRule type="cellIs" dxfId="8289" priority="651" operator="greaterThan">
      <formula>110%</formula>
    </cfRule>
    <cfRule type="cellIs" dxfId="8288" priority="652" operator="between">
      <formula>100.001%</formula>
      <formula>110%</formula>
    </cfRule>
    <cfRule type="cellIs" dxfId="8287" priority="653" operator="between">
      <formula>70.001%</formula>
      <formula>100%</formula>
    </cfRule>
    <cfRule type="cellIs" dxfId="8286" priority="654" operator="between">
      <formula>0.00001%</formula>
      <formula>70%</formula>
    </cfRule>
    <cfRule type="cellIs" dxfId="8285" priority="655" operator="equal">
      <formula>0</formula>
    </cfRule>
  </conditionalFormatting>
  <conditionalFormatting sqref="AW47">
    <cfRule type="cellIs" dxfId="8284" priority="646" operator="greaterThan">
      <formula>110%</formula>
    </cfRule>
    <cfRule type="cellIs" dxfId="8283" priority="647" operator="between">
      <formula>100.001%</formula>
      <formula>110%</formula>
    </cfRule>
    <cfRule type="cellIs" dxfId="8282" priority="648" operator="between">
      <formula>70.001%</formula>
      <formula>100%</formula>
    </cfRule>
    <cfRule type="cellIs" dxfId="8281" priority="649" operator="between">
      <formula>0.00001%</formula>
      <formula>70%</formula>
    </cfRule>
    <cfRule type="cellIs" dxfId="8280" priority="650" operator="equal">
      <formula>0</formula>
    </cfRule>
  </conditionalFormatting>
  <conditionalFormatting sqref="AE47">
    <cfRule type="cellIs" dxfId="8279" priority="641" operator="greaterThan">
      <formula>110%</formula>
    </cfRule>
    <cfRule type="cellIs" dxfId="8278" priority="642" operator="between">
      <formula>100.001%</formula>
      <formula>110%</formula>
    </cfRule>
    <cfRule type="cellIs" dxfId="8277" priority="643" operator="between">
      <formula>70.001%</formula>
      <formula>100%</formula>
    </cfRule>
    <cfRule type="cellIs" dxfId="8276" priority="644" operator="between">
      <formula>0.00001%</formula>
      <formula>70%</formula>
    </cfRule>
    <cfRule type="cellIs" dxfId="8275" priority="645" operator="equal">
      <formula>0</formula>
    </cfRule>
  </conditionalFormatting>
  <conditionalFormatting sqref="N47">
    <cfRule type="cellIs" dxfId="8274" priority="636" operator="greaterThan">
      <formula>110%</formula>
    </cfRule>
    <cfRule type="cellIs" dxfId="8273" priority="637" operator="between">
      <formula>100.001%</formula>
      <formula>110%</formula>
    </cfRule>
    <cfRule type="cellIs" dxfId="8272" priority="638" operator="between">
      <formula>70.001%</formula>
      <formula>100%</formula>
    </cfRule>
    <cfRule type="cellIs" dxfId="8271" priority="639" operator="between">
      <formula>0.00001%</formula>
      <formula>70%</formula>
    </cfRule>
    <cfRule type="cellIs" dxfId="8270" priority="640" operator="equal">
      <formula>0</formula>
    </cfRule>
  </conditionalFormatting>
  <conditionalFormatting sqref="Q47">
    <cfRule type="cellIs" dxfId="8269" priority="631" operator="greaterThan">
      <formula>110%</formula>
    </cfRule>
    <cfRule type="cellIs" dxfId="8268" priority="632" operator="between">
      <formula>100.001%</formula>
      <formula>110%</formula>
    </cfRule>
    <cfRule type="cellIs" dxfId="8267" priority="633" operator="between">
      <formula>70.001%</formula>
      <formula>100%</formula>
    </cfRule>
    <cfRule type="cellIs" dxfId="8266" priority="634" operator="between">
      <formula>0.00001%</formula>
      <formula>70%</formula>
    </cfRule>
    <cfRule type="cellIs" dxfId="8265" priority="635" operator="equal">
      <formula>0</formula>
    </cfRule>
  </conditionalFormatting>
  <conditionalFormatting sqref="T47">
    <cfRule type="cellIs" dxfId="8264" priority="626" operator="greaterThan">
      <formula>110%</formula>
    </cfRule>
    <cfRule type="cellIs" dxfId="8263" priority="627" operator="between">
      <formula>100.001%</formula>
      <formula>110%</formula>
    </cfRule>
    <cfRule type="cellIs" dxfId="8262" priority="628" operator="between">
      <formula>70.001%</formula>
      <formula>100%</formula>
    </cfRule>
    <cfRule type="cellIs" dxfId="8261" priority="629" operator="between">
      <formula>0.00001%</formula>
      <formula>70%</formula>
    </cfRule>
    <cfRule type="cellIs" dxfId="8260" priority="630" operator="equal">
      <formula>0</formula>
    </cfRule>
  </conditionalFormatting>
  <conditionalFormatting sqref="W47">
    <cfRule type="cellIs" dxfId="8259" priority="621" operator="greaterThan">
      <formula>110%</formula>
    </cfRule>
    <cfRule type="cellIs" dxfId="8258" priority="622" operator="between">
      <formula>100.001%</formula>
      <formula>110%</formula>
    </cfRule>
    <cfRule type="cellIs" dxfId="8257" priority="623" operator="between">
      <formula>70.001%</formula>
      <formula>100%</formula>
    </cfRule>
    <cfRule type="cellIs" dxfId="8256" priority="624" operator="between">
      <formula>0.00001%</formula>
      <formula>70%</formula>
    </cfRule>
    <cfRule type="cellIs" dxfId="8255" priority="625" operator="equal">
      <formula>0</formula>
    </cfRule>
  </conditionalFormatting>
  <conditionalFormatting sqref="Z47">
    <cfRule type="cellIs" dxfId="8254" priority="616" operator="greaterThan">
      <formula>110%</formula>
    </cfRule>
    <cfRule type="cellIs" dxfId="8253" priority="617" operator="between">
      <formula>100.001%</formula>
      <formula>110%</formula>
    </cfRule>
    <cfRule type="cellIs" dxfId="8252" priority="618" operator="between">
      <formula>70.001%</formula>
      <formula>100%</formula>
    </cfRule>
    <cfRule type="cellIs" dxfId="8251" priority="619" operator="between">
      <formula>0.00001%</formula>
      <formula>70%</formula>
    </cfRule>
    <cfRule type="cellIs" dxfId="8250" priority="620" operator="equal">
      <formula>0</formula>
    </cfRule>
  </conditionalFormatting>
  <conditionalFormatting sqref="AC47">
    <cfRule type="cellIs" dxfId="8249" priority="611" operator="greaterThan">
      <formula>110%</formula>
    </cfRule>
    <cfRule type="cellIs" dxfId="8248" priority="612" operator="between">
      <formula>100.001%</formula>
      <formula>110%</formula>
    </cfRule>
    <cfRule type="cellIs" dxfId="8247" priority="613" operator="between">
      <formula>70.001%</formula>
      <formula>100%</formula>
    </cfRule>
    <cfRule type="cellIs" dxfId="8246" priority="614" operator="between">
      <formula>0.00001%</formula>
      <formula>70%</formula>
    </cfRule>
    <cfRule type="cellIs" dxfId="8245" priority="615" operator="equal">
      <formula>0</formula>
    </cfRule>
  </conditionalFormatting>
  <conditionalFormatting sqref="AH47">
    <cfRule type="cellIs" dxfId="8244" priority="606" operator="greaterThan">
      <formula>110%</formula>
    </cfRule>
    <cfRule type="cellIs" dxfId="8243" priority="607" operator="between">
      <formula>100.001%</formula>
      <formula>110%</formula>
    </cfRule>
    <cfRule type="cellIs" dxfId="8242" priority="608" operator="between">
      <formula>70.001%</formula>
      <formula>100%</formula>
    </cfRule>
    <cfRule type="cellIs" dxfId="8241" priority="609" operator="between">
      <formula>0.00001%</formula>
      <formula>70%</formula>
    </cfRule>
    <cfRule type="cellIs" dxfId="8240" priority="610" operator="equal">
      <formula>0</formula>
    </cfRule>
  </conditionalFormatting>
  <conditionalFormatting sqref="AK47">
    <cfRule type="cellIs" dxfId="8239" priority="601" operator="greaterThan">
      <formula>110%</formula>
    </cfRule>
    <cfRule type="cellIs" dxfId="8238" priority="602" operator="between">
      <formula>100.001%</formula>
      <formula>110%</formula>
    </cfRule>
    <cfRule type="cellIs" dxfId="8237" priority="603" operator="between">
      <formula>70.001%</formula>
      <formula>100%</formula>
    </cfRule>
    <cfRule type="cellIs" dxfId="8236" priority="604" operator="between">
      <formula>0.00001%</formula>
      <formula>70%</formula>
    </cfRule>
    <cfRule type="cellIs" dxfId="8235" priority="605" operator="equal">
      <formula>0</formula>
    </cfRule>
  </conditionalFormatting>
  <conditionalFormatting sqref="AN47">
    <cfRule type="cellIs" dxfId="8234" priority="596" operator="greaterThan">
      <formula>110%</formula>
    </cfRule>
    <cfRule type="cellIs" dxfId="8233" priority="597" operator="between">
      <formula>100.001%</formula>
      <formula>110%</formula>
    </cfRule>
    <cfRule type="cellIs" dxfId="8232" priority="598" operator="between">
      <formula>70.001%</formula>
      <formula>100%</formula>
    </cfRule>
    <cfRule type="cellIs" dxfId="8231" priority="599" operator="between">
      <formula>0.00001%</formula>
      <formula>70%</formula>
    </cfRule>
    <cfRule type="cellIs" dxfId="8230" priority="600" operator="equal">
      <formula>0</formula>
    </cfRule>
  </conditionalFormatting>
  <conditionalFormatting sqref="AQ47">
    <cfRule type="cellIs" dxfId="8229" priority="591" operator="greaterThan">
      <formula>110%</formula>
    </cfRule>
    <cfRule type="cellIs" dxfId="8228" priority="592" operator="between">
      <formula>100.001%</formula>
      <formula>110%</formula>
    </cfRule>
    <cfRule type="cellIs" dxfId="8227" priority="593" operator="between">
      <formula>70.001%</formula>
      <formula>100%</formula>
    </cfRule>
    <cfRule type="cellIs" dxfId="8226" priority="594" operator="between">
      <formula>0.00001%</formula>
      <formula>70%</formula>
    </cfRule>
    <cfRule type="cellIs" dxfId="8225" priority="595" operator="equal">
      <formula>0</formula>
    </cfRule>
  </conditionalFormatting>
  <conditionalFormatting sqref="AN45">
    <cfRule type="cellIs" dxfId="8224" priority="431" operator="greaterThan">
      <formula>110%</formula>
    </cfRule>
    <cfRule type="cellIs" dxfId="8223" priority="432" operator="between">
      <formula>100.001%</formula>
      <formula>110%</formula>
    </cfRule>
    <cfRule type="cellIs" dxfId="8222" priority="433" operator="between">
      <formula>70.001%</formula>
      <formula>100%</formula>
    </cfRule>
    <cfRule type="cellIs" dxfId="8221" priority="434" operator="between">
      <formula>0.00001%</formula>
      <formula>70%</formula>
    </cfRule>
    <cfRule type="cellIs" dxfId="8220" priority="435" operator="equal">
      <formula>0</formula>
    </cfRule>
  </conditionalFormatting>
  <conditionalFormatting sqref="AY9">
    <cfRule type="cellIs" dxfId="8219" priority="391" operator="greaterThan">
      <formula>110%</formula>
    </cfRule>
    <cfRule type="cellIs" dxfId="8218" priority="392" operator="between">
      <formula>100.001%</formula>
      <formula>110%</formula>
    </cfRule>
    <cfRule type="cellIs" dxfId="8217" priority="393" operator="between">
      <formula>70.001%</formula>
      <formula>100%</formula>
    </cfRule>
    <cfRule type="cellIs" dxfId="8216" priority="394" operator="between">
      <formula>0.00001%</formula>
      <formula>70%</formula>
    </cfRule>
    <cfRule type="cellIs" dxfId="8215" priority="395" operator="equal">
      <formula>0</formula>
    </cfRule>
  </conditionalFormatting>
  <conditionalFormatting sqref="AT9">
    <cfRule type="cellIs" dxfId="8214" priority="381" operator="greaterThan">
      <formula>110%</formula>
    </cfRule>
    <cfRule type="cellIs" dxfId="8213" priority="382" operator="between">
      <formula>100.001%</formula>
      <formula>110%</formula>
    </cfRule>
    <cfRule type="cellIs" dxfId="8212" priority="383" operator="between">
      <formula>70.001%</formula>
      <formula>100%</formula>
    </cfRule>
    <cfRule type="cellIs" dxfId="8211" priority="384" operator="between">
      <formula>0.00001%</formula>
      <formula>70%</formula>
    </cfRule>
    <cfRule type="cellIs" dxfId="8210" priority="385" operator="equal">
      <formula>0</formula>
    </cfRule>
  </conditionalFormatting>
  <conditionalFormatting sqref="AY24 AY29">
    <cfRule type="cellIs" dxfId="8209" priority="586" operator="greaterThan">
      <formula>106%</formula>
    </cfRule>
    <cfRule type="cellIs" dxfId="8208" priority="587" operator="between">
      <formula>96%</formula>
      <formula>105%</formula>
    </cfRule>
    <cfRule type="cellIs" dxfId="8207" priority="588" operator="between">
      <formula>71%</formula>
      <formula>95%</formula>
    </cfRule>
    <cfRule type="cellIs" dxfId="8206" priority="589" operator="between">
      <formula>1%</formula>
      <formula>70%</formula>
    </cfRule>
    <cfRule type="cellIs" dxfId="8205" priority="590" operator="equal">
      <formula>0%</formula>
    </cfRule>
  </conditionalFormatting>
  <conditionalFormatting sqref="AT24 AW24 AW29 AT29">
    <cfRule type="cellIs" dxfId="8204" priority="581" operator="greaterThan">
      <formula>110%</formula>
    </cfRule>
    <cfRule type="cellIs" dxfId="8203" priority="582" operator="between">
      <formula>100.001%</formula>
      <formula>110%</formula>
    </cfRule>
    <cfRule type="cellIs" dxfId="8202" priority="583" operator="between">
      <formula>70.001%</formula>
      <formula>100%</formula>
    </cfRule>
    <cfRule type="cellIs" dxfId="8201" priority="584" operator="between">
      <formula>0.00001%</formula>
      <formula>70%</formula>
    </cfRule>
    <cfRule type="cellIs" dxfId="8200" priority="585" operator="equal">
      <formula>0</formula>
    </cfRule>
  </conditionalFormatting>
  <conditionalFormatting sqref="AE24 AE29">
    <cfRule type="cellIs" dxfId="8199" priority="576" operator="greaterThan">
      <formula>106%</formula>
    </cfRule>
    <cfRule type="cellIs" dxfId="8198" priority="577" operator="between">
      <formula>96%</formula>
      <formula>105%</formula>
    </cfRule>
    <cfRule type="cellIs" dxfId="8197" priority="578" operator="between">
      <formula>71%</formula>
      <formula>95%</formula>
    </cfRule>
    <cfRule type="cellIs" dxfId="8196" priority="579" operator="between">
      <formula>1%</formula>
      <formula>70%</formula>
    </cfRule>
    <cfRule type="cellIs" dxfId="8195" priority="580" operator="equal">
      <formula>0%</formula>
    </cfRule>
  </conditionalFormatting>
  <conditionalFormatting sqref="N24 Q24 T24 W24 Z24 AC24 AH24 AK24 AN24 AQ24 AQ29 AN29 AK29 AH29 AC29 Z29 W29 T29 Q29 N29">
    <cfRule type="cellIs" dxfId="8194" priority="571" operator="greaterThan">
      <formula>110%</formula>
    </cfRule>
    <cfRule type="cellIs" dxfId="8193" priority="572" operator="between">
      <formula>100.001%</formula>
      <formula>110%</formula>
    </cfRule>
    <cfRule type="cellIs" dxfId="8192" priority="573" operator="between">
      <formula>70.001%</formula>
      <formula>100%</formula>
    </cfRule>
    <cfRule type="cellIs" dxfId="8191" priority="574" operator="between">
      <formula>0.00001%</formula>
      <formula>70%</formula>
    </cfRule>
    <cfRule type="cellIs" dxfId="8190" priority="575" operator="equal">
      <formula>0</formula>
    </cfRule>
  </conditionalFormatting>
  <conditionalFormatting sqref="AY22">
    <cfRule type="cellIs" dxfId="8189" priority="566" operator="greaterThan">
      <formula>106%</formula>
    </cfRule>
    <cfRule type="cellIs" dxfId="8188" priority="567" operator="between">
      <formula>96%</formula>
      <formula>105%</formula>
    </cfRule>
    <cfRule type="cellIs" dxfId="8187" priority="568" operator="between">
      <formula>71%</formula>
      <formula>95%</formula>
    </cfRule>
    <cfRule type="cellIs" dxfId="8186" priority="569" operator="between">
      <formula>1%</formula>
      <formula>70%</formula>
    </cfRule>
    <cfRule type="cellIs" dxfId="8185" priority="570" operator="equal">
      <formula>0%</formula>
    </cfRule>
  </conditionalFormatting>
  <conditionalFormatting sqref="AT22 AW22">
    <cfRule type="cellIs" dxfId="8184" priority="561" operator="greaterThan">
      <formula>110%</formula>
    </cfRule>
    <cfRule type="cellIs" dxfId="8183" priority="562" operator="between">
      <formula>100.001%</formula>
      <formula>110%</formula>
    </cfRule>
    <cfRule type="cellIs" dxfId="8182" priority="563" operator="between">
      <formula>70.001%</formula>
      <formula>100%</formula>
    </cfRule>
    <cfRule type="cellIs" dxfId="8181" priority="564" operator="between">
      <formula>0.00001%</formula>
      <formula>70%</formula>
    </cfRule>
    <cfRule type="cellIs" dxfId="8180" priority="565" operator="equal">
      <formula>0</formula>
    </cfRule>
  </conditionalFormatting>
  <conditionalFormatting sqref="AE22">
    <cfRule type="cellIs" dxfId="8179" priority="556" operator="greaterThan">
      <formula>106%</formula>
    </cfRule>
    <cfRule type="cellIs" dxfId="8178" priority="557" operator="between">
      <formula>96%</formula>
      <formula>105%</formula>
    </cfRule>
    <cfRule type="cellIs" dxfId="8177" priority="558" operator="between">
      <formula>71%</formula>
      <formula>95%</formula>
    </cfRule>
    <cfRule type="cellIs" dxfId="8176" priority="559" operator="between">
      <formula>1%</formula>
      <formula>70%</formula>
    </cfRule>
    <cfRule type="cellIs" dxfId="8175" priority="560" operator="equal">
      <formula>0%</formula>
    </cfRule>
  </conditionalFormatting>
  <conditionalFormatting sqref="N22 Q22 T22 W22 Z22 AC22 AH22 AK22 AN22 AQ22">
    <cfRule type="cellIs" dxfId="8174" priority="551" operator="greaterThan">
      <formula>110%</formula>
    </cfRule>
    <cfRule type="cellIs" dxfId="8173" priority="552" operator="between">
      <formula>100.001%</formula>
      <formula>110%</formula>
    </cfRule>
    <cfRule type="cellIs" dxfId="8172" priority="553" operator="between">
      <formula>70.001%</formula>
      <formula>100%</formula>
    </cfRule>
    <cfRule type="cellIs" dxfId="8171" priority="554" operator="between">
      <formula>0.00001%</formula>
      <formula>70%</formula>
    </cfRule>
    <cfRule type="cellIs" dxfId="8170" priority="555" operator="equal">
      <formula>0</formula>
    </cfRule>
  </conditionalFormatting>
  <conditionalFormatting sqref="AE44">
    <cfRule type="cellIs" dxfId="8169" priority="546" operator="greaterThan">
      <formula>106%</formula>
    </cfRule>
    <cfRule type="cellIs" dxfId="8168" priority="547" operator="between">
      <formula>96%</formula>
      <formula>105%</formula>
    </cfRule>
    <cfRule type="cellIs" dxfId="8167" priority="548" operator="between">
      <formula>71%</formula>
      <formula>95%</formula>
    </cfRule>
    <cfRule type="cellIs" dxfId="8166" priority="549" operator="between">
      <formula>1%</formula>
      <formula>70%</formula>
    </cfRule>
    <cfRule type="cellIs" dxfId="8165" priority="550" operator="equal">
      <formula>0%</formula>
    </cfRule>
  </conditionalFormatting>
  <conditionalFormatting sqref="AY44:AY45">
    <cfRule type="cellIs" dxfId="8164" priority="541" operator="greaterThan">
      <formula>106%</formula>
    </cfRule>
    <cfRule type="cellIs" dxfId="8163" priority="542" operator="between">
      <formula>96%</formula>
      <formula>105%</formula>
    </cfRule>
    <cfRule type="cellIs" dxfId="8162" priority="543" operator="between">
      <formula>71%</formula>
      <formula>95%</formula>
    </cfRule>
    <cfRule type="cellIs" dxfId="8161" priority="544" operator="between">
      <formula>1%</formula>
      <formula>70%</formula>
    </cfRule>
    <cfRule type="cellIs" dxfId="8160" priority="545" operator="equal">
      <formula>0%</formula>
    </cfRule>
  </conditionalFormatting>
  <conditionalFormatting sqref="N44">
    <cfRule type="cellIs" dxfId="8159" priority="536" operator="greaterThan">
      <formula>110%</formula>
    </cfRule>
    <cfRule type="cellIs" dxfId="8158" priority="537" operator="between">
      <formula>100.001%</formula>
      <formula>110%</formula>
    </cfRule>
    <cfRule type="cellIs" dxfId="8157" priority="538" operator="between">
      <formula>70.001%</formula>
      <formula>100%</formula>
    </cfRule>
    <cfRule type="cellIs" dxfId="8156" priority="539" operator="between">
      <formula>0.00001%</formula>
      <formula>70%</formula>
    </cfRule>
    <cfRule type="cellIs" dxfId="8155" priority="540" operator="equal">
      <formula>0</formula>
    </cfRule>
  </conditionalFormatting>
  <conditionalFormatting sqref="Q44">
    <cfRule type="cellIs" dxfId="8154" priority="531" operator="greaterThan">
      <formula>110%</formula>
    </cfRule>
    <cfRule type="cellIs" dxfId="8153" priority="532" operator="between">
      <formula>100.001%</formula>
      <formula>110%</formula>
    </cfRule>
    <cfRule type="cellIs" dxfId="8152" priority="533" operator="between">
      <formula>70.001%</formula>
      <formula>100%</formula>
    </cfRule>
    <cfRule type="cellIs" dxfId="8151" priority="534" operator="between">
      <formula>0.00001%</formula>
      <formula>70%</formula>
    </cfRule>
    <cfRule type="cellIs" dxfId="8150" priority="535" operator="equal">
      <formula>0</formula>
    </cfRule>
  </conditionalFormatting>
  <conditionalFormatting sqref="T44">
    <cfRule type="cellIs" dxfId="8149" priority="526" operator="greaterThan">
      <formula>110%</formula>
    </cfRule>
    <cfRule type="cellIs" dxfId="8148" priority="527" operator="between">
      <formula>100.001%</formula>
      <formula>110%</formula>
    </cfRule>
    <cfRule type="cellIs" dxfId="8147" priority="528" operator="between">
      <formula>70.001%</formula>
      <formula>100%</formula>
    </cfRule>
    <cfRule type="cellIs" dxfId="8146" priority="529" operator="between">
      <formula>0.00001%</formula>
      <formula>70%</formula>
    </cfRule>
    <cfRule type="cellIs" dxfId="8145" priority="530" operator="equal">
      <formula>0</formula>
    </cfRule>
  </conditionalFormatting>
  <conditionalFormatting sqref="W44">
    <cfRule type="cellIs" dxfId="8144" priority="521" operator="greaterThan">
      <formula>110%</formula>
    </cfRule>
    <cfRule type="cellIs" dxfId="8143" priority="522" operator="between">
      <formula>100.001%</formula>
      <formula>110%</formula>
    </cfRule>
    <cfRule type="cellIs" dxfId="8142" priority="523" operator="between">
      <formula>70.001%</formula>
      <formula>100%</formula>
    </cfRule>
    <cfRule type="cellIs" dxfId="8141" priority="524" operator="between">
      <formula>0.00001%</formula>
      <formula>70%</formula>
    </cfRule>
    <cfRule type="cellIs" dxfId="8140" priority="525" operator="equal">
      <formula>0</formula>
    </cfRule>
  </conditionalFormatting>
  <conditionalFormatting sqref="Z44">
    <cfRule type="cellIs" dxfId="8139" priority="516" operator="greaterThan">
      <formula>110%</formula>
    </cfRule>
    <cfRule type="cellIs" dxfId="8138" priority="517" operator="between">
      <formula>100.001%</formula>
      <formula>110%</formula>
    </cfRule>
    <cfRule type="cellIs" dxfId="8137" priority="518" operator="between">
      <formula>70.001%</formula>
      <formula>100%</formula>
    </cfRule>
    <cfRule type="cellIs" dxfId="8136" priority="519" operator="between">
      <formula>0.00001%</formula>
      <formula>70%</formula>
    </cfRule>
    <cfRule type="cellIs" dxfId="8135" priority="520" operator="equal">
      <formula>0</formula>
    </cfRule>
  </conditionalFormatting>
  <conditionalFormatting sqref="AC44">
    <cfRule type="cellIs" dxfId="8134" priority="511" operator="greaterThan">
      <formula>110%</formula>
    </cfRule>
    <cfRule type="cellIs" dxfId="8133" priority="512" operator="between">
      <formula>100.001%</formula>
      <formula>110%</formula>
    </cfRule>
    <cfRule type="cellIs" dxfId="8132" priority="513" operator="between">
      <formula>70.001%</formula>
      <formula>100%</formula>
    </cfRule>
    <cfRule type="cellIs" dxfId="8131" priority="514" operator="between">
      <formula>0.00001%</formula>
      <formula>70%</formula>
    </cfRule>
    <cfRule type="cellIs" dxfId="8130" priority="515" operator="equal">
      <formula>0</formula>
    </cfRule>
  </conditionalFormatting>
  <conditionalFormatting sqref="AH44">
    <cfRule type="cellIs" dxfId="8129" priority="506" operator="greaterThan">
      <formula>110%</formula>
    </cfRule>
    <cfRule type="cellIs" dxfId="8128" priority="507" operator="between">
      <formula>100.001%</formula>
      <formula>110%</formula>
    </cfRule>
    <cfRule type="cellIs" dxfId="8127" priority="508" operator="between">
      <formula>70.001%</formula>
      <formula>100%</formula>
    </cfRule>
    <cfRule type="cellIs" dxfId="8126" priority="509" operator="between">
      <formula>0.00001%</formula>
      <formula>70%</formula>
    </cfRule>
    <cfRule type="cellIs" dxfId="8125" priority="510" operator="equal">
      <formula>0</formula>
    </cfRule>
  </conditionalFormatting>
  <conditionalFormatting sqref="AK44">
    <cfRule type="cellIs" dxfId="8124" priority="501" operator="greaterThan">
      <formula>110%</formula>
    </cfRule>
    <cfRule type="cellIs" dxfId="8123" priority="502" operator="between">
      <formula>100.001%</formula>
      <formula>110%</formula>
    </cfRule>
    <cfRule type="cellIs" dxfId="8122" priority="503" operator="between">
      <formula>70.001%</formula>
      <formula>100%</formula>
    </cfRule>
    <cfRule type="cellIs" dxfId="8121" priority="504" operator="between">
      <formula>0.00001%</formula>
      <formula>70%</formula>
    </cfRule>
    <cfRule type="cellIs" dxfId="8120" priority="505" operator="equal">
      <formula>0</formula>
    </cfRule>
  </conditionalFormatting>
  <conditionalFormatting sqref="AN44">
    <cfRule type="cellIs" dxfId="8119" priority="496" operator="greaterThan">
      <formula>110%</formula>
    </cfRule>
    <cfRule type="cellIs" dxfId="8118" priority="497" operator="between">
      <formula>100.001%</formula>
      <formula>110%</formula>
    </cfRule>
    <cfRule type="cellIs" dxfId="8117" priority="498" operator="between">
      <formula>70.001%</formula>
      <formula>100%</formula>
    </cfRule>
    <cfRule type="cellIs" dxfId="8116" priority="499" operator="between">
      <formula>0.00001%</formula>
      <formula>70%</formula>
    </cfRule>
    <cfRule type="cellIs" dxfId="8115" priority="500" operator="equal">
      <formula>0</formula>
    </cfRule>
  </conditionalFormatting>
  <conditionalFormatting sqref="AQ44">
    <cfRule type="cellIs" dxfId="8114" priority="491" operator="greaterThan">
      <formula>110%</formula>
    </cfRule>
    <cfRule type="cellIs" dxfId="8113" priority="492" operator="between">
      <formula>100.001%</formula>
      <formula>110%</formula>
    </cfRule>
    <cfRule type="cellIs" dxfId="8112" priority="493" operator="between">
      <formula>70.001%</formula>
      <formula>100%</formula>
    </cfRule>
    <cfRule type="cellIs" dxfId="8111" priority="494" operator="between">
      <formula>0.00001%</formula>
      <formula>70%</formula>
    </cfRule>
    <cfRule type="cellIs" dxfId="8110" priority="495" operator="equal">
      <formula>0</formula>
    </cfRule>
  </conditionalFormatting>
  <conditionalFormatting sqref="AT44:AT45">
    <cfRule type="cellIs" dxfId="8109" priority="486" operator="greaterThan">
      <formula>110%</formula>
    </cfRule>
    <cfRule type="cellIs" dxfId="8108" priority="487" operator="between">
      <formula>100.001%</formula>
      <formula>110%</formula>
    </cfRule>
    <cfRule type="cellIs" dxfId="8107" priority="488" operator="between">
      <formula>70.001%</formula>
      <formula>100%</formula>
    </cfRule>
    <cfRule type="cellIs" dxfId="8106" priority="489" operator="between">
      <formula>0.00001%</formula>
      <formula>70%</formula>
    </cfRule>
    <cfRule type="cellIs" dxfId="8105" priority="490" operator="equal">
      <formula>0</formula>
    </cfRule>
  </conditionalFormatting>
  <conditionalFormatting sqref="AW44:AW45">
    <cfRule type="cellIs" dxfId="8104" priority="481" operator="greaterThan">
      <formula>110%</formula>
    </cfRule>
    <cfRule type="cellIs" dxfId="8103" priority="482" operator="between">
      <formula>100.001%</formula>
      <formula>110%</formula>
    </cfRule>
    <cfRule type="cellIs" dxfId="8102" priority="483" operator="between">
      <formula>70.001%</formula>
      <formula>100%</formula>
    </cfRule>
    <cfRule type="cellIs" dxfId="8101" priority="484" operator="between">
      <formula>0.00001%</formula>
      <formula>70%</formula>
    </cfRule>
    <cfRule type="cellIs" dxfId="8100" priority="485" operator="equal">
      <formula>0</formula>
    </cfRule>
  </conditionalFormatting>
  <conditionalFormatting sqref="AE45">
    <cfRule type="cellIs" dxfId="8099" priority="476" operator="greaterThan">
      <formula>106%</formula>
    </cfRule>
    <cfRule type="cellIs" dxfId="8098" priority="477" operator="between">
      <formula>96%</formula>
      <formula>105%</formula>
    </cfRule>
    <cfRule type="cellIs" dxfId="8097" priority="478" operator="between">
      <formula>71%</formula>
      <formula>95%</formula>
    </cfRule>
    <cfRule type="cellIs" dxfId="8096" priority="479" operator="between">
      <formula>1%</formula>
      <formula>70%</formula>
    </cfRule>
    <cfRule type="cellIs" dxfId="8095" priority="480" operator="equal">
      <formula>0%</formula>
    </cfRule>
  </conditionalFormatting>
  <conditionalFormatting sqref="N45">
    <cfRule type="cellIs" dxfId="8094" priority="471" operator="greaterThan">
      <formula>110%</formula>
    </cfRule>
    <cfRule type="cellIs" dxfId="8093" priority="472" operator="between">
      <formula>100.001%</formula>
      <formula>110%</formula>
    </cfRule>
    <cfRule type="cellIs" dxfId="8092" priority="473" operator="between">
      <formula>70.001%</formula>
      <formula>100%</formula>
    </cfRule>
    <cfRule type="cellIs" dxfId="8091" priority="474" operator="between">
      <formula>0.00001%</formula>
      <formula>70%</formula>
    </cfRule>
    <cfRule type="cellIs" dxfId="8090" priority="475" operator="equal">
      <formula>0</formula>
    </cfRule>
  </conditionalFormatting>
  <conditionalFormatting sqref="Q45">
    <cfRule type="cellIs" dxfId="8089" priority="466" operator="greaterThan">
      <formula>110%</formula>
    </cfRule>
    <cfRule type="cellIs" dxfId="8088" priority="467" operator="between">
      <formula>100.001%</formula>
      <formula>110%</formula>
    </cfRule>
    <cfRule type="cellIs" dxfId="8087" priority="468" operator="between">
      <formula>70.001%</formula>
      <formula>100%</formula>
    </cfRule>
    <cfRule type="cellIs" dxfId="8086" priority="469" operator="between">
      <formula>0.00001%</formula>
      <formula>70%</formula>
    </cfRule>
    <cfRule type="cellIs" dxfId="8085" priority="470" operator="equal">
      <formula>0</formula>
    </cfRule>
  </conditionalFormatting>
  <conditionalFormatting sqref="T45">
    <cfRule type="cellIs" dxfId="8084" priority="461" operator="greaterThan">
      <formula>110%</formula>
    </cfRule>
    <cfRule type="cellIs" dxfId="8083" priority="462" operator="between">
      <formula>100.001%</formula>
      <formula>110%</formula>
    </cfRule>
    <cfRule type="cellIs" dxfId="8082" priority="463" operator="between">
      <formula>70.001%</formula>
      <formula>100%</formula>
    </cfRule>
    <cfRule type="cellIs" dxfId="8081" priority="464" operator="between">
      <formula>0.00001%</formula>
      <formula>70%</formula>
    </cfRule>
    <cfRule type="cellIs" dxfId="8080" priority="465" operator="equal">
      <formula>0</formula>
    </cfRule>
  </conditionalFormatting>
  <conditionalFormatting sqref="W45">
    <cfRule type="cellIs" dxfId="8079" priority="456" operator="greaterThan">
      <formula>110%</formula>
    </cfRule>
    <cfRule type="cellIs" dxfId="8078" priority="457" operator="between">
      <formula>100.001%</formula>
      <formula>110%</formula>
    </cfRule>
    <cfRule type="cellIs" dxfId="8077" priority="458" operator="between">
      <formula>70.001%</formula>
      <formula>100%</formula>
    </cfRule>
    <cfRule type="cellIs" dxfId="8076" priority="459" operator="between">
      <formula>0.00001%</formula>
      <formula>70%</formula>
    </cfRule>
    <cfRule type="cellIs" dxfId="8075" priority="460" operator="equal">
      <formula>0</formula>
    </cfRule>
  </conditionalFormatting>
  <conditionalFormatting sqref="Z45">
    <cfRule type="cellIs" dxfId="8074" priority="451" operator="greaterThan">
      <formula>110%</formula>
    </cfRule>
    <cfRule type="cellIs" dxfId="8073" priority="452" operator="between">
      <formula>100.001%</formula>
      <formula>110%</formula>
    </cfRule>
    <cfRule type="cellIs" dxfId="8072" priority="453" operator="between">
      <formula>70.001%</formula>
      <formula>100%</formula>
    </cfRule>
    <cfRule type="cellIs" dxfId="8071" priority="454" operator="between">
      <formula>0.00001%</formula>
      <formula>70%</formula>
    </cfRule>
    <cfRule type="cellIs" dxfId="8070" priority="455" operator="equal">
      <formula>0</formula>
    </cfRule>
  </conditionalFormatting>
  <conditionalFormatting sqref="AC45">
    <cfRule type="cellIs" dxfId="8069" priority="446" operator="greaterThan">
      <formula>110%</formula>
    </cfRule>
    <cfRule type="cellIs" dxfId="8068" priority="447" operator="between">
      <formula>100.001%</formula>
      <formula>110%</formula>
    </cfRule>
    <cfRule type="cellIs" dxfId="8067" priority="448" operator="between">
      <formula>70.001%</formula>
      <formula>100%</formula>
    </cfRule>
    <cfRule type="cellIs" dxfId="8066" priority="449" operator="between">
      <formula>0.00001%</formula>
      <formula>70%</formula>
    </cfRule>
    <cfRule type="cellIs" dxfId="8065" priority="450" operator="equal">
      <formula>0</formula>
    </cfRule>
  </conditionalFormatting>
  <conditionalFormatting sqref="AH45">
    <cfRule type="cellIs" dxfId="8064" priority="441" operator="greaterThan">
      <formula>110%</formula>
    </cfRule>
    <cfRule type="cellIs" dxfId="8063" priority="442" operator="between">
      <formula>100.001%</formula>
      <formula>110%</formula>
    </cfRule>
    <cfRule type="cellIs" dxfId="8062" priority="443" operator="between">
      <formula>70.001%</formula>
      <formula>100%</formula>
    </cfRule>
    <cfRule type="cellIs" dxfId="8061" priority="444" operator="between">
      <formula>0.00001%</formula>
      <formula>70%</formula>
    </cfRule>
    <cfRule type="cellIs" dxfId="8060" priority="445" operator="equal">
      <formula>0</formula>
    </cfRule>
  </conditionalFormatting>
  <conditionalFormatting sqref="AK45">
    <cfRule type="cellIs" dxfId="8059" priority="436" operator="greaterThan">
      <formula>110%</formula>
    </cfRule>
    <cfRule type="cellIs" dxfId="8058" priority="437" operator="between">
      <formula>100.001%</formula>
      <formula>110%</formula>
    </cfRule>
    <cfRule type="cellIs" dxfId="8057" priority="438" operator="between">
      <formula>70.001%</formula>
      <formula>100%</formula>
    </cfRule>
    <cfRule type="cellIs" dxfId="8056" priority="439" operator="between">
      <formula>0.00001%</formula>
      <formula>70%</formula>
    </cfRule>
    <cfRule type="cellIs" dxfId="8055" priority="440" operator="equal">
      <formula>0</formula>
    </cfRule>
  </conditionalFormatting>
  <conditionalFormatting sqref="AQ45">
    <cfRule type="cellIs" dxfId="8054" priority="426" operator="greaterThan">
      <formula>110%</formula>
    </cfRule>
    <cfRule type="cellIs" dxfId="8053" priority="427" operator="between">
      <formula>100.001%</formula>
      <formula>110%</formula>
    </cfRule>
    <cfRule type="cellIs" dxfId="8052" priority="428" operator="between">
      <formula>70.001%</formula>
      <formula>100%</formula>
    </cfRule>
    <cfRule type="cellIs" dxfId="8051" priority="429" operator="between">
      <formula>0.00001%</formula>
      <formula>70%</formula>
    </cfRule>
    <cfRule type="cellIs" dxfId="8050" priority="430" operator="equal">
      <formula>0</formula>
    </cfRule>
  </conditionalFormatting>
  <conditionalFormatting sqref="AE11:AE14 AY11:AY14 AY16:AY21 AE16:AE21">
    <cfRule type="cellIs" dxfId="8049" priority="421" operator="greaterThan">
      <formula>106%</formula>
    </cfRule>
    <cfRule type="cellIs" dxfId="8048" priority="422" operator="between">
      <formula>96%</formula>
      <formula>105%</formula>
    </cfRule>
    <cfRule type="cellIs" dxfId="8047" priority="423" operator="between">
      <formula>71%</formula>
      <formula>95%</formula>
    </cfRule>
    <cfRule type="cellIs" dxfId="8046" priority="424" operator="between">
      <formula>1%</formula>
      <formula>70%</formula>
    </cfRule>
    <cfRule type="cellIs" dxfId="8045" priority="425" operator="equal">
      <formula>0%</formula>
    </cfRule>
  </conditionalFormatting>
  <conditionalFormatting sqref="N11:N14 Q11:Q14 T11:T14 W11:W14 Z11:Z14 AC11:AC14 AH11:AH14 AK11:AK14 AN11:AN14 AQ11:AQ14 AT11:AT14 AW11:AW14 AW16:AW21 AT16:AT21 AQ16:AQ21 AN16:AN21 AK16:AK21 AH16:AH21 AC16:AC21 Z16:Z21 W16:W21 T16:T21 Q16:Q21 N16:N21">
    <cfRule type="cellIs" dxfId="8044" priority="416" operator="greaterThan">
      <formula>110%</formula>
    </cfRule>
    <cfRule type="cellIs" dxfId="8043" priority="417" operator="between">
      <formula>100.001%</formula>
      <formula>110%</formula>
    </cfRule>
    <cfRule type="cellIs" dxfId="8042" priority="418" operator="between">
      <formula>70.001%</formula>
      <formula>100%</formula>
    </cfRule>
    <cfRule type="cellIs" dxfId="8041" priority="419" operator="between">
      <formula>0.00001%</formula>
      <formula>70%</formula>
    </cfRule>
    <cfRule type="cellIs" dxfId="8040" priority="420" operator="equal">
      <formula>0</formula>
    </cfRule>
  </conditionalFormatting>
  <conditionalFormatting sqref="AE31:AE32 AY31:AY32">
    <cfRule type="cellIs" dxfId="8039" priority="411" operator="greaterThan">
      <formula>106%</formula>
    </cfRule>
    <cfRule type="cellIs" dxfId="8038" priority="412" operator="between">
      <formula>96%</formula>
      <formula>105%</formula>
    </cfRule>
    <cfRule type="cellIs" dxfId="8037" priority="413" operator="between">
      <formula>71%</formula>
      <formula>95%</formula>
    </cfRule>
    <cfRule type="cellIs" dxfId="8036" priority="414" operator="between">
      <formula>1%</formula>
      <formula>70%</formula>
    </cfRule>
    <cfRule type="cellIs" dxfId="8035" priority="415" operator="equal">
      <formula>0%</formula>
    </cfRule>
  </conditionalFormatting>
  <conditionalFormatting sqref="N31:N32 Q31:Q32 T31:T32 W31:W32 Z31:Z32 AC31:AC32 AH31:AH32 AK31:AK32 AN31:AN32 AQ31:AQ32 AT31:AT32 AW31:AW32">
    <cfRule type="cellIs" dxfId="8034" priority="406" operator="greaterThan">
      <formula>110%</formula>
    </cfRule>
    <cfRule type="cellIs" dxfId="8033" priority="407" operator="between">
      <formula>100.001%</formula>
      <formula>110%</formula>
    </cfRule>
    <cfRule type="cellIs" dxfId="8032" priority="408" operator="between">
      <formula>70.001%</formula>
      <formula>100%</formula>
    </cfRule>
    <cfRule type="cellIs" dxfId="8031" priority="409" operator="between">
      <formula>0.00001%</formula>
      <formula>70%</formula>
    </cfRule>
    <cfRule type="cellIs" dxfId="8030" priority="410" operator="equal">
      <formula>0</formula>
    </cfRule>
  </conditionalFormatting>
  <conditionalFormatting sqref="AE15 AY15">
    <cfRule type="cellIs" dxfId="8029" priority="401" operator="greaterThan">
      <formula>106%</formula>
    </cfRule>
    <cfRule type="cellIs" dxfId="8028" priority="402" operator="between">
      <formula>96%</formula>
      <formula>105%</formula>
    </cfRule>
    <cfRule type="cellIs" dxfId="8027" priority="403" operator="between">
      <formula>71%</formula>
      <formula>95%</formula>
    </cfRule>
    <cfRule type="cellIs" dxfId="8026" priority="404" operator="between">
      <formula>1%</formula>
      <formula>70%</formula>
    </cfRule>
    <cfRule type="cellIs" dxfId="8025" priority="405" operator="equal">
      <formula>0%</formula>
    </cfRule>
  </conditionalFormatting>
  <conditionalFormatting sqref="N15 Q15 T15 W15 Z15 AC15 AH15 AK15 AN15 AQ15 AT15 AW15">
    <cfRule type="cellIs" dxfId="8024" priority="396" operator="greaterThan">
      <formula>110%</formula>
    </cfRule>
    <cfRule type="cellIs" dxfId="8023" priority="397" operator="between">
      <formula>100.001%</formula>
      <formula>110%</formula>
    </cfRule>
    <cfRule type="cellIs" dxfId="8022" priority="398" operator="between">
      <formula>70.001%</formula>
      <formula>100%</formula>
    </cfRule>
    <cfRule type="cellIs" dxfId="8021" priority="399" operator="between">
      <formula>0.00001%</formula>
      <formula>70%</formula>
    </cfRule>
    <cfRule type="cellIs" dxfId="8020" priority="400" operator="equal">
      <formula>0</formula>
    </cfRule>
  </conditionalFormatting>
  <conditionalFormatting sqref="AW9">
    <cfRule type="cellIs" dxfId="8019" priority="386" operator="greaterThan">
      <formula>110%</formula>
    </cfRule>
    <cfRule type="cellIs" dxfId="8018" priority="387" operator="between">
      <formula>100.001%</formula>
      <formula>110%</formula>
    </cfRule>
    <cfRule type="cellIs" dxfId="8017" priority="388" operator="between">
      <formula>70.001%</formula>
      <formula>100%</formula>
    </cfRule>
    <cfRule type="cellIs" dxfId="8016" priority="389" operator="between">
      <formula>0.00001%</formula>
      <formula>70%</formula>
    </cfRule>
    <cfRule type="cellIs" dxfId="8015" priority="390" operator="equal">
      <formula>0</formula>
    </cfRule>
  </conditionalFormatting>
  <conditionalFormatting sqref="N9">
    <cfRule type="cellIs" dxfId="8014" priority="376" operator="greaterThan">
      <formula>110%</formula>
    </cfRule>
    <cfRule type="cellIs" dxfId="8013" priority="377" operator="between">
      <formula>100.001%</formula>
      <formula>110%</formula>
    </cfRule>
    <cfRule type="cellIs" dxfId="8012" priority="378" operator="between">
      <formula>70.001%</formula>
      <formula>100%</formula>
    </cfRule>
    <cfRule type="cellIs" dxfId="8011" priority="379" operator="between">
      <formula>0.00001%</formula>
      <formula>70%</formula>
    </cfRule>
    <cfRule type="cellIs" dxfId="8010" priority="380" operator="equal">
      <formula>0</formula>
    </cfRule>
  </conditionalFormatting>
  <conditionalFormatting sqref="Q9">
    <cfRule type="cellIs" dxfId="8009" priority="371" operator="greaterThan">
      <formula>110%</formula>
    </cfRule>
    <cfRule type="cellIs" dxfId="8008" priority="372" operator="between">
      <formula>100.001%</formula>
      <formula>110%</formula>
    </cfRule>
    <cfRule type="cellIs" dxfId="8007" priority="373" operator="between">
      <formula>70.001%</formula>
      <formula>100%</formula>
    </cfRule>
    <cfRule type="cellIs" dxfId="8006" priority="374" operator="between">
      <formula>0.00001%</formula>
      <formula>70%</formula>
    </cfRule>
    <cfRule type="cellIs" dxfId="8005" priority="375" operator="equal">
      <formula>0</formula>
    </cfRule>
  </conditionalFormatting>
  <conditionalFormatting sqref="T9">
    <cfRule type="cellIs" dxfId="8004" priority="366" operator="greaterThan">
      <formula>110%</formula>
    </cfRule>
    <cfRule type="cellIs" dxfId="8003" priority="367" operator="between">
      <formula>100.001%</formula>
      <formula>110%</formula>
    </cfRule>
    <cfRule type="cellIs" dxfId="8002" priority="368" operator="between">
      <formula>70.001%</formula>
      <formula>100%</formula>
    </cfRule>
    <cfRule type="cellIs" dxfId="8001" priority="369" operator="between">
      <formula>0.00001%</formula>
      <formula>70%</formula>
    </cfRule>
    <cfRule type="cellIs" dxfId="8000" priority="370" operator="equal">
      <formula>0</formula>
    </cfRule>
  </conditionalFormatting>
  <conditionalFormatting sqref="W9">
    <cfRule type="cellIs" dxfId="7999" priority="361" operator="greaterThan">
      <formula>110%</formula>
    </cfRule>
    <cfRule type="cellIs" dxfId="7998" priority="362" operator="between">
      <formula>100.001%</formula>
      <formula>110%</formula>
    </cfRule>
    <cfRule type="cellIs" dxfId="7997" priority="363" operator="between">
      <formula>70.001%</formula>
      <formula>100%</formula>
    </cfRule>
    <cfRule type="cellIs" dxfId="7996" priority="364" operator="between">
      <formula>0.00001%</formula>
      <formula>70%</formula>
    </cfRule>
    <cfRule type="cellIs" dxfId="7995" priority="365" operator="equal">
      <formula>0</formula>
    </cfRule>
  </conditionalFormatting>
  <conditionalFormatting sqref="Z9">
    <cfRule type="cellIs" dxfId="7994" priority="356" operator="greaterThan">
      <formula>110%</formula>
    </cfRule>
    <cfRule type="cellIs" dxfId="7993" priority="357" operator="between">
      <formula>100.001%</formula>
      <formula>110%</formula>
    </cfRule>
    <cfRule type="cellIs" dxfId="7992" priority="358" operator="between">
      <formula>70.001%</formula>
      <formula>100%</formula>
    </cfRule>
    <cfRule type="cellIs" dxfId="7991" priority="359" operator="between">
      <formula>0.00001%</formula>
      <formula>70%</formula>
    </cfRule>
    <cfRule type="cellIs" dxfId="7990" priority="360" operator="equal">
      <formula>0</formula>
    </cfRule>
  </conditionalFormatting>
  <conditionalFormatting sqref="AC9">
    <cfRule type="cellIs" dxfId="7989" priority="351" operator="greaterThan">
      <formula>110%</formula>
    </cfRule>
    <cfRule type="cellIs" dxfId="7988" priority="352" operator="between">
      <formula>100.001%</formula>
      <formula>110%</formula>
    </cfRule>
    <cfRule type="cellIs" dxfId="7987" priority="353" operator="between">
      <formula>70.001%</formula>
      <formula>100%</formula>
    </cfRule>
    <cfRule type="cellIs" dxfId="7986" priority="354" operator="between">
      <formula>0.00001%</formula>
      <formula>70%</formula>
    </cfRule>
    <cfRule type="cellIs" dxfId="7985" priority="355" operator="equal">
      <formula>0</formula>
    </cfRule>
  </conditionalFormatting>
  <conditionalFormatting sqref="AH9">
    <cfRule type="cellIs" dxfId="7984" priority="346" operator="greaterThan">
      <formula>110%</formula>
    </cfRule>
    <cfRule type="cellIs" dxfId="7983" priority="347" operator="between">
      <formula>100.001%</formula>
      <formula>110%</formula>
    </cfRule>
    <cfRule type="cellIs" dxfId="7982" priority="348" operator="between">
      <formula>70.001%</formula>
      <formula>100%</formula>
    </cfRule>
    <cfRule type="cellIs" dxfId="7981" priority="349" operator="between">
      <formula>0.00001%</formula>
      <formula>70%</formula>
    </cfRule>
    <cfRule type="cellIs" dxfId="7980" priority="350" operator="equal">
      <formula>0</formula>
    </cfRule>
  </conditionalFormatting>
  <conditionalFormatting sqref="AK9">
    <cfRule type="cellIs" dxfId="7979" priority="341" operator="greaterThan">
      <formula>110%</formula>
    </cfRule>
    <cfRule type="cellIs" dxfId="7978" priority="342" operator="between">
      <formula>100.001%</formula>
      <formula>110%</formula>
    </cfRule>
    <cfRule type="cellIs" dxfId="7977" priority="343" operator="between">
      <formula>70.001%</formula>
      <formula>100%</formula>
    </cfRule>
    <cfRule type="cellIs" dxfId="7976" priority="344" operator="between">
      <formula>0.00001%</formula>
      <formula>70%</formula>
    </cfRule>
    <cfRule type="cellIs" dxfId="7975" priority="345" operator="equal">
      <formula>0</formula>
    </cfRule>
  </conditionalFormatting>
  <conditionalFormatting sqref="AN9">
    <cfRule type="cellIs" dxfId="7974" priority="336" operator="greaterThan">
      <formula>110%</formula>
    </cfRule>
    <cfRule type="cellIs" dxfId="7973" priority="337" operator="between">
      <formula>100.001%</formula>
      <formula>110%</formula>
    </cfRule>
    <cfRule type="cellIs" dxfId="7972" priority="338" operator="between">
      <formula>70.001%</formula>
      <formula>100%</formula>
    </cfRule>
    <cfRule type="cellIs" dxfId="7971" priority="339" operator="between">
      <formula>0.00001%</formula>
      <formula>70%</formula>
    </cfRule>
    <cfRule type="cellIs" dxfId="7970" priority="340" operator="equal">
      <formula>0</formula>
    </cfRule>
  </conditionalFormatting>
  <conditionalFormatting sqref="AQ9">
    <cfRule type="cellIs" dxfId="7969" priority="331" operator="greaterThan">
      <formula>110%</formula>
    </cfRule>
    <cfRule type="cellIs" dxfId="7968" priority="332" operator="between">
      <formula>100.001%</formula>
      <formula>110%</formula>
    </cfRule>
    <cfRule type="cellIs" dxfId="7967" priority="333" operator="between">
      <formula>70.001%</formula>
      <formula>100%</formula>
    </cfRule>
    <cfRule type="cellIs" dxfId="7966" priority="334" operator="between">
      <formula>0.00001%</formula>
      <formula>70%</formula>
    </cfRule>
    <cfRule type="cellIs" dxfId="7965" priority="335" operator="equal">
      <formula>0</formula>
    </cfRule>
  </conditionalFormatting>
  <conditionalFormatting sqref="AE9">
    <cfRule type="cellIs" dxfId="7964" priority="326" operator="greaterThan">
      <formula>110%</formula>
    </cfRule>
    <cfRule type="cellIs" dxfId="7963" priority="327" operator="between">
      <formula>100.001%</formula>
      <formula>110%</formula>
    </cfRule>
    <cfRule type="cellIs" dxfId="7962" priority="328" operator="between">
      <formula>70.001%</formula>
      <formula>100%</formula>
    </cfRule>
    <cfRule type="cellIs" dxfId="7961" priority="329" operator="between">
      <formula>0.00001%</formula>
      <formula>70%</formula>
    </cfRule>
    <cfRule type="cellIs" dxfId="7960" priority="330" operator="equal">
      <formula>0</formula>
    </cfRule>
  </conditionalFormatting>
  <conditionalFormatting sqref="AY36:AY38">
    <cfRule type="cellIs" dxfId="7959" priority="321" operator="greaterThan">
      <formula>106%</formula>
    </cfRule>
    <cfRule type="cellIs" dxfId="7958" priority="322" operator="between">
      <formula>96%</formula>
      <formula>105%</formula>
    </cfRule>
    <cfRule type="cellIs" dxfId="7957" priority="323" operator="between">
      <formula>71%</formula>
      <formula>95%</formula>
    </cfRule>
    <cfRule type="cellIs" dxfId="7956" priority="324" operator="between">
      <formula>1%</formula>
      <formula>70%</formula>
    </cfRule>
    <cfRule type="cellIs" dxfId="7955" priority="325" operator="equal">
      <formula>0%</formula>
    </cfRule>
  </conditionalFormatting>
  <conditionalFormatting sqref="AW36:AW38 AW33">
    <cfRule type="cellIs" dxfId="7954" priority="316" operator="greaterThan">
      <formula>110%</formula>
    </cfRule>
    <cfRule type="cellIs" dxfId="7953" priority="317" operator="between">
      <formula>100.001%</formula>
      <formula>110%</formula>
    </cfRule>
    <cfRule type="cellIs" dxfId="7952" priority="318" operator="between">
      <formula>70.001%</formula>
      <formula>100%</formula>
    </cfRule>
    <cfRule type="cellIs" dxfId="7951" priority="319" operator="between">
      <formula>0.00001%</formula>
      <formula>70%</formula>
    </cfRule>
    <cfRule type="cellIs" dxfId="7950" priority="320" operator="equal">
      <formula>0</formula>
    </cfRule>
  </conditionalFormatting>
  <conditionalFormatting sqref="AW34">
    <cfRule type="cellIs" dxfId="7949" priority="311" operator="greaterThan">
      <formula>110%</formula>
    </cfRule>
    <cfRule type="cellIs" dxfId="7948" priority="312" operator="between">
      <formula>100.001%</formula>
      <formula>110%</formula>
    </cfRule>
    <cfRule type="cellIs" dxfId="7947" priority="313" operator="between">
      <formula>70.001%</formula>
      <formula>100%</formula>
    </cfRule>
    <cfRule type="cellIs" dxfId="7946" priority="314" operator="between">
      <formula>0.00001%</formula>
      <formula>70%</formula>
    </cfRule>
    <cfRule type="cellIs" dxfId="7945" priority="315" operator="equal">
      <formula>0%</formula>
    </cfRule>
  </conditionalFormatting>
  <conditionalFormatting sqref="AY34">
    <cfRule type="cellIs" dxfId="7944" priority="306" operator="greaterThan">
      <formula>110%</formula>
    </cfRule>
    <cfRule type="cellIs" dxfId="7943" priority="307" operator="between">
      <formula>100.001%</formula>
      <formula>110%</formula>
    </cfRule>
    <cfRule type="cellIs" dxfId="7942" priority="308" operator="between">
      <formula>70.001%</formula>
      <formula>100%</formula>
    </cfRule>
    <cfRule type="cellIs" dxfId="7941" priority="309" operator="between">
      <formula>0.00001%</formula>
      <formula>70%</formula>
    </cfRule>
    <cfRule type="cellIs" dxfId="7940" priority="310" operator="equal">
      <formula>0%</formula>
    </cfRule>
  </conditionalFormatting>
  <conditionalFormatting sqref="AW35">
    <cfRule type="cellIs" dxfId="7939" priority="301" operator="greaterThan">
      <formula>110%</formula>
    </cfRule>
    <cfRule type="cellIs" dxfId="7938" priority="302" operator="between">
      <formula>100.001%</formula>
      <formula>110%</formula>
    </cfRule>
    <cfRule type="cellIs" dxfId="7937" priority="303" operator="between">
      <formula>70.001%</formula>
      <formula>100%</formula>
    </cfRule>
    <cfRule type="cellIs" dxfId="7936" priority="304" operator="between">
      <formula>0.00001%</formula>
      <formula>70%</formula>
    </cfRule>
    <cfRule type="cellIs" dxfId="7935" priority="305" operator="equal">
      <formula>0%</formula>
    </cfRule>
  </conditionalFormatting>
  <conditionalFormatting sqref="AY35">
    <cfRule type="cellIs" dxfId="7934" priority="296" operator="greaterThan">
      <formula>110%</formula>
    </cfRule>
    <cfRule type="cellIs" dxfId="7933" priority="297" operator="between">
      <formula>100.001%</formula>
      <formula>110%</formula>
    </cfRule>
    <cfRule type="cellIs" dxfId="7932" priority="298" operator="between">
      <formula>70.001%</formula>
      <formula>100%</formula>
    </cfRule>
    <cfRule type="cellIs" dxfId="7931" priority="299" operator="between">
      <formula>0.00001%</formula>
      <formula>70%</formula>
    </cfRule>
    <cfRule type="cellIs" dxfId="7930" priority="300" operator="equal">
      <formula>0%</formula>
    </cfRule>
  </conditionalFormatting>
  <conditionalFormatting sqref="AE33">
    <cfRule type="cellIs" dxfId="7929" priority="291" operator="greaterThan">
      <formula>106%</formula>
    </cfRule>
    <cfRule type="cellIs" dxfId="7928" priority="292" operator="between">
      <formula>96%</formula>
      <formula>105%</formula>
    </cfRule>
    <cfRule type="cellIs" dxfId="7927" priority="293" operator="between">
      <formula>71%</formula>
      <formula>95%</formula>
    </cfRule>
    <cfRule type="cellIs" dxfId="7926" priority="294" operator="between">
      <formula>1%</formula>
      <formula>70%</formula>
    </cfRule>
    <cfRule type="cellIs" dxfId="7925" priority="295" operator="equal">
      <formula>0%</formula>
    </cfRule>
  </conditionalFormatting>
  <conditionalFormatting sqref="N33 Q33 T33 W33 Z33 AC33 AH33 AK33 AN33 AQ33 AT33">
    <cfRule type="cellIs" dxfId="7924" priority="286" operator="greaterThan">
      <formula>110%</formula>
    </cfRule>
    <cfRule type="cellIs" dxfId="7923" priority="287" operator="between">
      <formula>100.001%</formula>
      <formula>110%</formula>
    </cfRule>
    <cfRule type="cellIs" dxfId="7922" priority="288" operator="between">
      <formula>70.001%</formula>
      <formula>100%</formula>
    </cfRule>
    <cfRule type="cellIs" dxfId="7921" priority="289" operator="between">
      <formula>0.00001%</formula>
      <formula>70%</formula>
    </cfRule>
    <cfRule type="cellIs" dxfId="7920" priority="290" operator="equal">
      <formula>0</formula>
    </cfRule>
  </conditionalFormatting>
  <conditionalFormatting sqref="AY33">
    <cfRule type="cellIs" dxfId="7919" priority="281" operator="greaterThan">
      <formula>106%</formula>
    </cfRule>
    <cfRule type="cellIs" dxfId="7918" priority="282" operator="between">
      <formula>96%</formula>
      <formula>105%</formula>
    </cfRule>
    <cfRule type="cellIs" dxfId="7917" priority="283" operator="between">
      <formula>71%</formula>
      <formula>95%</formula>
    </cfRule>
    <cfRule type="cellIs" dxfId="7916" priority="284" operator="between">
      <formula>1%</formula>
      <formula>70%</formula>
    </cfRule>
    <cfRule type="cellIs" dxfId="7915" priority="285" operator="equal">
      <formula>0%</formula>
    </cfRule>
  </conditionalFormatting>
  <conditionalFormatting sqref="N34">
    <cfRule type="cellIs" dxfId="7914" priority="276" operator="greaterThan">
      <formula>110%</formula>
    </cfRule>
    <cfRule type="cellIs" dxfId="7913" priority="277" operator="between">
      <formula>100.001%</formula>
      <formula>110%</formula>
    </cfRule>
    <cfRule type="cellIs" dxfId="7912" priority="278" operator="between">
      <formula>70.001%</formula>
      <formula>100%</formula>
    </cfRule>
    <cfRule type="cellIs" dxfId="7911" priority="279" operator="between">
      <formula>0.00001%</formula>
      <formula>70%</formula>
    </cfRule>
    <cfRule type="cellIs" dxfId="7910" priority="280" operator="equal">
      <formula>0%</formula>
    </cfRule>
  </conditionalFormatting>
  <conditionalFormatting sqref="Q34">
    <cfRule type="cellIs" dxfId="7909" priority="271" operator="greaterThan">
      <formula>110%</formula>
    </cfRule>
    <cfRule type="cellIs" dxfId="7908" priority="272" operator="between">
      <formula>100.001%</formula>
      <formula>110%</formula>
    </cfRule>
    <cfRule type="cellIs" dxfId="7907" priority="273" operator="between">
      <formula>70.001%</formula>
      <formula>100%</formula>
    </cfRule>
    <cfRule type="cellIs" dxfId="7906" priority="274" operator="between">
      <formula>0.00001%</formula>
      <formula>70%</formula>
    </cfRule>
    <cfRule type="cellIs" dxfId="7905" priority="275" operator="equal">
      <formula>0%</formula>
    </cfRule>
  </conditionalFormatting>
  <conditionalFormatting sqref="T34">
    <cfRule type="cellIs" dxfId="7904" priority="266" operator="greaterThan">
      <formula>110%</formula>
    </cfRule>
    <cfRule type="cellIs" dxfId="7903" priority="267" operator="between">
      <formula>100.001%</formula>
      <formula>110%</formula>
    </cfRule>
    <cfRule type="cellIs" dxfId="7902" priority="268" operator="between">
      <formula>70.001%</formula>
      <formula>100%</formula>
    </cfRule>
    <cfRule type="cellIs" dxfId="7901" priority="269" operator="between">
      <formula>0.00001%</formula>
      <formula>70%</formula>
    </cfRule>
    <cfRule type="cellIs" dxfId="7900" priority="270" operator="equal">
      <formula>0%</formula>
    </cfRule>
  </conditionalFormatting>
  <conditionalFormatting sqref="W34">
    <cfRule type="cellIs" dxfId="7899" priority="261" operator="greaterThan">
      <formula>110%</formula>
    </cfRule>
    <cfRule type="cellIs" dxfId="7898" priority="262" operator="between">
      <formula>100.001%</formula>
      <formula>110%</formula>
    </cfRule>
    <cfRule type="cellIs" dxfId="7897" priority="263" operator="between">
      <formula>70.001%</formula>
      <formula>100%</formula>
    </cfRule>
    <cfRule type="cellIs" dxfId="7896" priority="264" operator="between">
      <formula>0.00001%</formula>
      <formula>70%</formula>
    </cfRule>
    <cfRule type="cellIs" dxfId="7895" priority="265" operator="equal">
      <formula>0%</formula>
    </cfRule>
  </conditionalFormatting>
  <conditionalFormatting sqref="Z34">
    <cfRule type="cellIs" dxfId="7894" priority="256" operator="greaterThan">
      <formula>110%</formula>
    </cfRule>
    <cfRule type="cellIs" dxfId="7893" priority="257" operator="between">
      <formula>100.001%</formula>
      <formula>110%</formula>
    </cfRule>
    <cfRule type="cellIs" dxfId="7892" priority="258" operator="between">
      <formula>70.001%</formula>
      <formula>100%</formula>
    </cfRule>
    <cfRule type="cellIs" dxfId="7891" priority="259" operator="between">
      <formula>0.00001%</formula>
      <formula>70%</formula>
    </cfRule>
    <cfRule type="cellIs" dxfId="7890" priority="260" operator="equal">
      <formula>0%</formula>
    </cfRule>
  </conditionalFormatting>
  <conditionalFormatting sqref="AC34">
    <cfRule type="cellIs" dxfId="7889" priority="251" operator="greaterThan">
      <formula>110%</formula>
    </cfRule>
    <cfRule type="cellIs" dxfId="7888" priority="252" operator="between">
      <formula>100.001%</formula>
      <formula>110%</formula>
    </cfRule>
    <cfRule type="cellIs" dxfId="7887" priority="253" operator="between">
      <formula>70.001%</formula>
      <formula>100%</formula>
    </cfRule>
    <cfRule type="cellIs" dxfId="7886" priority="254" operator="between">
      <formula>0.00001%</formula>
      <formula>70%</formula>
    </cfRule>
    <cfRule type="cellIs" dxfId="7885" priority="255" operator="equal">
      <formula>0%</formula>
    </cfRule>
  </conditionalFormatting>
  <conditionalFormatting sqref="AE34">
    <cfRule type="cellIs" dxfId="7884" priority="246" operator="greaterThan">
      <formula>110%</formula>
    </cfRule>
    <cfRule type="cellIs" dxfId="7883" priority="247" operator="between">
      <formula>100.001%</formula>
      <formula>110%</formula>
    </cfRule>
    <cfRule type="cellIs" dxfId="7882" priority="248" operator="between">
      <formula>70.001%</formula>
      <formula>100%</formula>
    </cfRule>
    <cfRule type="cellIs" dxfId="7881" priority="249" operator="between">
      <formula>0.00001%</formula>
      <formula>70%</formula>
    </cfRule>
    <cfRule type="cellIs" dxfId="7880" priority="250" operator="equal">
      <formula>0%</formula>
    </cfRule>
  </conditionalFormatting>
  <conditionalFormatting sqref="AH34">
    <cfRule type="cellIs" dxfId="7879" priority="241" operator="greaterThan">
      <formula>110%</formula>
    </cfRule>
    <cfRule type="cellIs" dxfId="7878" priority="242" operator="between">
      <formula>100.001%</formula>
      <formula>110%</formula>
    </cfRule>
    <cfRule type="cellIs" dxfId="7877" priority="243" operator="between">
      <formula>70.001%</formula>
      <formula>100%</formula>
    </cfRule>
    <cfRule type="cellIs" dxfId="7876" priority="244" operator="between">
      <formula>0.00001%</formula>
      <formula>70%</formula>
    </cfRule>
    <cfRule type="cellIs" dxfId="7875" priority="245" operator="equal">
      <formula>0%</formula>
    </cfRule>
  </conditionalFormatting>
  <conditionalFormatting sqref="AK34">
    <cfRule type="cellIs" dxfId="7874" priority="236" operator="greaterThan">
      <formula>110%</formula>
    </cfRule>
    <cfRule type="cellIs" dxfId="7873" priority="237" operator="between">
      <formula>100.001%</formula>
      <formula>110%</formula>
    </cfRule>
    <cfRule type="cellIs" dxfId="7872" priority="238" operator="between">
      <formula>70.001%</formula>
      <formula>100%</formula>
    </cfRule>
    <cfRule type="cellIs" dxfId="7871" priority="239" operator="between">
      <formula>0.00001%</formula>
      <formula>70%</formula>
    </cfRule>
    <cfRule type="cellIs" dxfId="7870" priority="240" operator="equal">
      <formula>0%</formula>
    </cfRule>
  </conditionalFormatting>
  <conditionalFormatting sqref="AN34">
    <cfRule type="cellIs" dxfId="7869" priority="231" operator="greaterThan">
      <formula>110%</formula>
    </cfRule>
    <cfRule type="cellIs" dxfId="7868" priority="232" operator="between">
      <formula>100.001%</formula>
      <formula>110%</formula>
    </cfRule>
    <cfRule type="cellIs" dxfId="7867" priority="233" operator="between">
      <formula>70.001%</formula>
      <formula>100%</formula>
    </cfRule>
    <cfRule type="cellIs" dxfId="7866" priority="234" operator="between">
      <formula>0.00001%</formula>
      <formula>70%</formula>
    </cfRule>
    <cfRule type="cellIs" dxfId="7865" priority="235" operator="equal">
      <formula>0%</formula>
    </cfRule>
  </conditionalFormatting>
  <conditionalFormatting sqref="AQ34">
    <cfRule type="cellIs" dxfId="7864" priority="226" operator="greaterThan">
      <formula>110%</formula>
    </cfRule>
    <cfRule type="cellIs" dxfId="7863" priority="227" operator="between">
      <formula>100.001%</formula>
      <formula>110%</formula>
    </cfRule>
    <cfRule type="cellIs" dxfId="7862" priority="228" operator="between">
      <formula>70.001%</formula>
      <formula>100%</formula>
    </cfRule>
    <cfRule type="cellIs" dxfId="7861" priority="229" operator="between">
      <formula>0.00001%</formula>
      <formula>70%</formula>
    </cfRule>
    <cfRule type="cellIs" dxfId="7860" priority="230" operator="equal">
      <formula>0%</formula>
    </cfRule>
  </conditionalFormatting>
  <conditionalFormatting sqref="AT34">
    <cfRule type="cellIs" dxfId="7859" priority="221" operator="greaterThan">
      <formula>110%</formula>
    </cfRule>
    <cfRule type="cellIs" dxfId="7858" priority="222" operator="between">
      <formula>100.001%</formula>
      <formula>110%</formula>
    </cfRule>
    <cfRule type="cellIs" dxfId="7857" priority="223" operator="between">
      <formula>70.001%</formula>
      <formula>100%</formula>
    </cfRule>
    <cfRule type="cellIs" dxfId="7856" priority="224" operator="between">
      <formula>0.00001%</formula>
      <formula>70%</formula>
    </cfRule>
    <cfRule type="cellIs" dxfId="7855" priority="225" operator="equal">
      <formula>0%</formula>
    </cfRule>
  </conditionalFormatting>
  <conditionalFormatting sqref="N35">
    <cfRule type="cellIs" dxfId="7854" priority="216" operator="greaterThan">
      <formula>110%</formula>
    </cfRule>
    <cfRule type="cellIs" dxfId="7853" priority="217" operator="between">
      <formula>100.001%</formula>
      <formula>110%</formula>
    </cfRule>
    <cfRule type="cellIs" dxfId="7852" priority="218" operator="between">
      <formula>70.001%</formula>
      <formula>100%</formula>
    </cfRule>
    <cfRule type="cellIs" dxfId="7851" priority="219" operator="between">
      <formula>0.00001%</formula>
      <formula>70%</formula>
    </cfRule>
    <cfRule type="cellIs" dxfId="7850" priority="220" operator="equal">
      <formula>0%</formula>
    </cfRule>
  </conditionalFormatting>
  <conditionalFormatting sqref="Q35">
    <cfRule type="cellIs" dxfId="7849" priority="211" operator="greaterThan">
      <formula>110%</formula>
    </cfRule>
    <cfRule type="cellIs" dxfId="7848" priority="212" operator="between">
      <formula>100.001%</formula>
      <formula>110%</formula>
    </cfRule>
    <cfRule type="cellIs" dxfId="7847" priority="213" operator="between">
      <formula>70.001%</formula>
      <formula>100%</formula>
    </cfRule>
    <cfRule type="cellIs" dxfId="7846" priority="214" operator="between">
      <formula>0.00001%</formula>
      <formula>70%</formula>
    </cfRule>
    <cfRule type="cellIs" dxfId="7845" priority="215" operator="equal">
      <formula>0%</formula>
    </cfRule>
  </conditionalFormatting>
  <conditionalFormatting sqref="T35">
    <cfRule type="cellIs" dxfId="7844" priority="206" operator="greaterThan">
      <formula>110%</formula>
    </cfRule>
    <cfRule type="cellIs" dxfId="7843" priority="207" operator="between">
      <formula>100.001%</formula>
      <formula>110%</formula>
    </cfRule>
    <cfRule type="cellIs" dxfId="7842" priority="208" operator="between">
      <formula>70.001%</formula>
      <formula>100%</formula>
    </cfRule>
    <cfRule type="cellIs" dxfId="7841" priority="209" operator="between">
      <formula>0.00001%</formula>
      <formula>70%</formula>
    </cfRule>
    <cfRule type="cellIs" dxfId="7840" priority="210" operator="equal">
      <formula>0%</formula>
    </cfRule>
  </conditionalFormatting>
  <conditionalFormatting sqref="W35">
    <cfRule type="cellIs" dxfId="7839" priority="201" operator="greaterThan">
      <formula>110%</formula>
    </cfRule>
    <cfRule type="cellIs" dxfId="7838" priority="202" operator="between">
      <formula>100.001%</formula>
      <formula>110%</formula>
    </cfRule>
    <cfRule type="cellIs" dxfId="7837" priority="203" operator="between">
      <formula>70.001%</formula>
      <formula>100%</formula>
    </cfRule>
    <cfRule type="cellIs" dxfId="7836" priority="204" operator="between">
      <formula>0.00001%</formula>
      <formula>70%</formula>
    </cfRule>
    <cfRule type="cellIs" dxfId="7835" priority="205" operator="equal">
      <formula>0%</formula>
    </cfRule>
  </conditionalFormatting>
  <conditionalFormatting sqref="Z35">
    <cfRule type="cellIs" dxfId="7834" priority="196" operator="greaterThan">
      <formula>110%</formula>
    </cfRule>
    <cfRule type="cellIs" dxfId="7833" priority="197" operator="between">
      <formula>100.001%</formula>
      <formula>110%</formula>
    </cfRule>
    <cfRule type="cellIs" dxfId="7832" priority="198" operator="between">
      <formula>70.001%</formula>
      <formula>100%</formula>
    </cfRule>
    <cfRule type="cellIs" dxfId="7831" priority="199" operator="between">
      <formula>0.00001%</formula>
      <formula>70%</formula>
    </cfRule>
    <cfRule type="cellIs" dxfId="7830" priority="200" operator="equal">
      <formula>0%</formula>
    </cfRule>
  </conditionalFormatting>
  <conditionalFormatting sqref="AC35">
    <cfRule type="cellIs" dxfId="7829" priority="191" operator="greaterThan">
      <formula>110%</formula>
    </cfRule>
    <cfRule type="cellIs" dxfId="7828" priority="192" operator="between">
      <formula>100.001%</formula>
      <formula>110%</formula>
    </cfRule>
    <cfRule type="cellIs" dxfId="7827" priority="193" operator="between">
      <formula>70.001%</formula>
      <formula>100%</formula>
    </cfRule>
    <cfRule type="cellIs" dxfId="7826" priority="194" operator="between">
      <formula>0.00001%</formula>
      <formula>70%</formula>
    </cfRule>
    <cfRule type="cellIs" dxfId="7825" priority="195" operator="equal">
      <formula>0%</formula>
    </cfRule>
  </conditionalFormatting>
  <conditionalFormatting sqref="AE35">
    <cfRule type="cellIs" dxfId="7824" priority="186" operator="greaterThan">
      <formula>110%</formula>
    </cfRule>
    <cfRule type="cellIs" dxfId="7823" priority="187" operator="between">
      <formula>100.001%</formula>
      <formula>110%</formula>
    </cfRule>
    <cfRule type="cellIs" dxfId="7822" priority="188" operator="between">
      <formula>70.001%</formula>
      <formula>100%</formula>
    </cfRule>
    <cfRule type="cellIs" dxfId="7821" priority="189" operator="between">
      <formula>0.00001%</formula>
      <formula>70%</formula>
    </cfRule>
    <cfRule type="cellIs" dxfId="7820" priority="190" operator="equal">
      <formula>0%</formula>
    </cfRule>
  </conditionalFormatting>
  <conditionalFormatting sqref="AH35">
    <cfRule type="cellIs" dxfId="7819" priority="181" operator="greaterThan">
      <formula>110%</formula>
    </cfRule>
    <cfRule type="cellIs" dxfId="7818" priority="182" operator="between">
      <formula>100.001%</formula>
      <formula>110%</formula>
    </cfRule>
    <cfRule type="cellIs" dxfId="7817" priority="183" operator="between">
      <formula>70.001%</formula>
      <formula>100%</formula>
    </cfRule>
    <cfRule type="cellIs" dxfId="7816" priority="184" operator="between">
      <formula>0.00001%</formula>
      <formula>70%</formula>
    </cfRule>
    <cfRule type="cellIs" dxfId="7815" priority="185" operator="equal">
      <formula>0%</formula>
    </cfRule>
  </conditionalFormatting>
  <conditionalFormatting sqref="AK35">
    <cfRule type="cellIs" dxfId="7814" priority="176" operator="greaterThan">
      <formula>110%</formula>
    </cfRule>
    <cfRule type="cellIs" dxfId="7813" priority="177" operator="between">
      <formula>100.001%</formula>
      <formula>110%</formula>
    </cfRule>
    <cfRule type="cellIs" dxfId="7812" priority="178" operator="between">
      <formula>70.001%</formula>
      <formula>100%</formula>
    </cfRule>
    <cfRule type="cellIs" dxfId="7811" priority="179" operator="between">
      <formula>0.00001%</formula>
      <formula>70%</formula>
    </cfRule>
    <cfRule type="cellIs" dxfId="7810" priority="180" operator="equal">
      <formula>0%</formula>
    </cfRule>
  </conditionalFormatting>
  <conditionalFormatting sqref="AN35">
    <cfRule type="cellIs" dxfId="7809" priority="171" operator="greaterThan">
      <formula>110%</formula>
    </cfRule>
    <cfRule type="cellIs" dxfId="7808" priority="172" operator="between">
      <formula>100.001%</formula>
      <formula>110%</formula>
    </cfRule>
    <cfRule type="cellIs" dxfId="7807" priority="173" operator="between">
      <formula>70.001%</formula>
      <formula>100%</formula>
    </cfRule>
    <cfRule type="cellIs" dxfId="7806" priority="174" operator="between">
      <formula>0.00001%</formula>
      <formula>70%</formula>
    </cfRule>
    <cfRule type="cellIs" dxfId="7805" priority="175" operator="equal">
      <formula>0%</formula>
    </cfRule>
  </conditionalFormatting>
  <conditionalFormatting sqref="AQ35">
    <cfRule type="cellIs" dxfId="7804" priority="166" operator="greaterThan">
      <formula>110%</formula>
    </cfRule>
    <cfRule type="cellIs" dxfId="7803" priority="167" operator="between">
      <formula>100.001%</formula>
      <formula>110%</formula>
    </cfRule>
    <cfRule type="cellIs" dxfId="7802" priority="168" operator="between">
      <formula>70.001%</formula>
      <formula>100%</formula>
    </cfRule>
    <cfRule type="cellIs" dxfId="7801" priority="169" operator="between">
      <formula>0.00001%</formula>
      <formula>70%</formula>
    </cfRule>
    <cfRule type="cellIs" dxfId="7800" priority="170" operator="equal">
      <formula>0%</formula>
    </cfRule>
  </conditionalFormatting>
  <conditionalFormatting sqref="AT35">
    <cfRule type="cellIs" dxfId="7799" priority="161" operator="greaterThan">
      <formula>110%</formula>
    </cfRule>
    <cfRule type="cellIs" dxfId="7798" priority="162" operator="between">
      <formula>100.001%</formula>
      <formula>110%</formula>
    </cfRule>
    <cfRule type="cellIs" dxfId="7797" priority="163" operator="between">
      <formula>70.001%</formula>
      <formula>100%</formula>
    </cfRule>
    <cfRule type="cellIs" dxfId="7796" priority="164" operator="between">
      <formula>0.00001%</formula>
      <formula>70%</formula>
    </cfRule>
    <cfRule type="cellIs" dxfId="7795" priority="165" operator="equal">
      <formula>0%</formula>
    </cfRule>
  </conditionalFormatting>
  <conditionalFormatting sqref="AE36">
    <cfRule type="cellIs" dxfId="7794" priority="156" operator="greaterThan">
      <formula>106%</formula>
    </cfRule>
    <cfRule type="cellIs" dxfId="7793" priority="157" operator="between">
      <formula>96%</formula>
      <formula>105%</formula>
    </cfRule>
    <cfRule type="cellIs" dxfId="7792" priority="158" operator="between">
      <formula>71%</formula>
      <formula>95%</formula>
    </cfRule>
    <cfRule type="cellIs" dxfId="7791" priority="159" operator="between">
      <formula>1%</formula>
      <formula>70%</formula>
    </cfRule>
    <cfRule type="cellIs" dxfId="7790" priority="160" operator="equal">
      <formula>0%</formula>
    </cfRule>
  </conditionalFormatting>
  <conditionalFormatting sqref="AT36 AQ36 AN36 AK36 AH36 AC36 Z36 W36 T36 Q36 N36">
    <cfRule type="cellIs" dxfId="7789" priority="151" operator="greaterThan">
      <formula>110%</formula>
    </cfRule>
    <cfRule type="cellIs" dxfId="7788" priority="152" operator="between">
      <formula>100.001%</formula>
      <formula>110%</formula>
    </cfRule>
    <cfRule type="cellIs" dxfId="7787" priority="153" operator="between">
      <formula>70.001%</formula>
      <formula>100%</formula>
    </cfRule>
    <cfRule type="cellIs" dxfId="7786" priority="154" operator="between">
      <formula>0.00001%</formula>
      <formula>70%</formula>
    </cfRule>
    <cfRule type="cellIs" dxfId="7785" priority="155" operator="equal">
      <formula>0</formula>
    </cfRule>
  </conditionalFormatting>
  <conditionalFormatting sqref="AE37">
    <cfRule type="cellIs" dxfId="7784" priority="146" operator="greaterThan">
      <formula>106%</formula>
    </cfRule>
    <cfRule type="cellIs" dxfId="7783" priority="147" operator="between">
      <formula>96%</formula>
      <formula>105%</formula>
    </cfRule>
    <cfRule type="cellIs" dxfId="7782" priority="148" operator="between">
      <formula>71%</formula>
      <formula>95%</formula>
    </cfRule>
    <cfRule type="cellIs" dxfId="7781" priority="149" operator="between">
      <formula>1%</formula>
      <formula>70%</formula>
    </cfRule>
    <cfRule type="cellIs" dxfId="7780" priority="150" operator="equal">
      <formula>0%</formula>
    </cfRule>
  </conditionalFormatting>
  <conditionalFormatting sqref="AT37 AQ37 AN37 AK37 AH37 AC37 Z37 W37 T37 Q37 N37">
    <cfRule type="cellIs" dxfId="7779" priority="141" operator="greaterThan">
      <formula>110%</formula>
    </cfRule>
    <cfRule type="cellIs" dxfId="7778" priority="142" operator="between">
      <formula>100.001%</formula>
      <formula>110%</formula>
    </cfRule>
    <cfRule type="cellIs" dxfId="7777" priority="143" operator="between">
      <formula>70.001%</formula>
      <formula>100%</formula>
    </cfRule>
    <cfRule type="cellIs" dxfId="7776" priority="144" operator="between">
      <formula>0.00001%</formula>
      <formula>70%</formula>
    </cfRule>
    <cfRule type="cellIs" dxfId="7775" priority="145" operator="equal">
      <formula>0</formula>
    </cfRule>
  </conditionalFormatting>
  <conditionalFormatting sqref="AE38">
    <cfRule type="cellIs" dxfId="7774" priority="136" operator="greaterThan">
      <formula>106%</formula>
    </cfRule>
    <cfRule type="cellIs" dxfId="7773" priority="137" operator="between">
      <formula>96%</formula>
      <formula>105%</formula>
    </cfRule>
    <cfRule type="cellIs" dxfId="7772" priority="138" operator="between">
      <formula>71%</formula>
      <formula>95%</formula>
    </cfRule>
    <cfRule type="cellIs" dxfId="7771" priority="139" operator="between">
      <formula>1%</formula>
      <formula>70%</formula>
    </cfRule>
    <cfRule type="cellIs" dxfId="7770" priority="140" operator="equal">
      <formula>0%</formula>
    </cfRule>
  </conditionalFormatting>
  <conditionalFormatting sqref="AT38 AQ38 AN38 AK38 AH38 AC38 Z38 W38 T38 Q38 N38">
    <cfRule type="cellIs" dxfId="7769" priority="131" operator="greaterThan">
      <formula>110%</formula>
    </cfRule>
    <cfRule type="cellIs" dxfId="7768" priority="132" operator="between">
      <formula>100.001%</formula>
      <formula>110%</formula>
    </cfRule>
    <cfRule type="cellIs" dxfId="7767" priority="133" operator="between">
      <formula>70.001%</formula>
      <formula>100%</formula>
    </cfRule>
    <cfRule type="cellIs" dxfId="7766" priority="134" operator="between">
      <formula>0.00001%</formula>
      <formula>70%</formula>
    </cfRule>
    <cfRule type="cellIs" dxfId="7765" priority="135" operator="equal">
      <formula>0</formula>
    </cfRule>
  </conditionalFormatting>
  <conditionalFormatting sqref="AE39">
    <cfRule type="cellIs" dxfId="7764" priority="126" operator="greaterThan">
      <formula>106%</formula>
    </cfRule>
    <cfRule type="cellIs" dxfId="7763" priority="127" operator="between">
      <formula>96%</formula>
      <formula>105%</formula>
    </cfRule>
    <cfRule type="cellIs" dxfId="7762" priority="128" operator="between">
      <formula>71%</formula>
      <formula>95%</formula>
    </cfRule>
    <cfRule type="cellIs" dxfId="7761" priority="129" operator="between">
      <formula>1%</formula>
      <formula>70%</formula>
    </cfRule>
    <cfRule type="cellIs" dxfId="7760" priority="130" operator="equal">
      <formula>0%</formula>
    </cfRule>
  </conditionalFormatting>
  <conditionalFormatting sqref="AT39 AQ39 AN39 AK39 AH39 AC39 Z39 W39 T39 Q39 N39">
    <cfRule type="cellIs" dxfId="7759" priority="121" operator="greaterThan">
      <formula>110%</formula>
    </cfRule>
    <cfRule type="cellIs" dxfId="7758" priority="122" operator="between">
      <formula>100.001%</formula>
      <formula>110%</formula>
    </cfRule>
    <cfRule type="cellIs" dxfId="7757" priority="123" operator="between">
      <formula>70.001%</formula>
      <formula>100%</formula>
    </cfRule>
    <cfRule type="cellIs" dxfId="7756" priority="124" operator="between">
      <formula>0.00001%</formula>
      <formula>70%</formula>
    </cfRule>
    <cfRule type="cellIs" dxfId="7755" priority="125" operator="equal">
      <formula>0</formula>
    </cfRule>
  </conditionalFormatting>
  <conditionalFormatting sqref="AY39">
    <cfRule type="cellIs" dxfId="7754" priority="116" operator="greaterThan">
      <formula>106%</formula>
    </cfRule>
    <cfRule type="cellIs" dxfId="7753" priority="117" operator="between">
      <formula>96%</formula>
      <formula>105%</formula>
    </cfRule>
    <cfRule type="cellIs" dxfId="7752" priority="118" operator="between">
      <formula>71%</formula>
      <formula>95%</formula>
    </cfRule>
    <cfRule type="cellIs" dxfId="7751" priority="119" operator="between">
      <formula>1%</formula>
      <formula>70%</formula>
    </cfRule>
    <cfRule type="cellIs" dxfId="7750" priority="120" operator="equal">
      <formula>0%</formula>
    </cfRule>
  </conditionalFormatting>
  <conditionalFormatting sqref="AW39">
    <cfRule type="cellIs" dxfId="7749" priority="111" operator="greaterThan">
      <formula>110%</formula>
    </cfRule>
    <cfRule type="cellIs" dxfId="7748" priority="112" operator="between">
      <formula>100.001%</formula>
      <formula>110%</formula>
    </cfRule>
    <cfRule type="cellIs" dxfId="7747" priority="113" operator="between">
      <formula>70.001%</formula>
      <formula>100%</formula>
    </cfRule>
    <cfRule type="cellIs" dxfId="7746" priority="114" operator="between">
      <formula>0.00001%</formula>
      <formula>70%</formula>
    </cfRule>
    <cfRule type="cellIs" dxfId="7745" priority="115" operator="equal">
      <formula>0</formula>
    </cfRule>
  </conditionalFormatting>
  <conditionalFormatting sqref="AY40 AE40">
    <cfRule type="cellIs" dxfId="7744" priority="106" operator="greaterThan">
      <formula>106%</formula>
    </cfRule>
    <cfRule type="cellIs" dxfId="7743" priority="107" operator="between">
      <formula>96%</formula>
      <formula>105%</formula>
    </cfRule>
    <cfRule type="cellIs" dxfId="7742" priority="108" operator="between">
      <formula>71%</formula>
      <formula>95%</formula>
    </cfRule>
    <cfRule type="cellIs" dxfId="7741" priority="109" operator="between">
      <formula>1%</formula>
      <formula>70%</formula>
    </cfRule>
    <cfRule type="cellIs" dxfId="7740" priority="110" operator="equal">
      <formula>0%</formula>
    </cfRule>
  </conditionalFormatting>
  <conditionalFormatting sqref="AW40 AT40 AQ40 AN40 AK40 AH40 AC40 Z40 W40 T40 Q40 N40">
    <cfRule type="cellIs" dxfId="7739" priority="101" operator="greaterThan">
      <formula>110%</formula>
    </cfRule>
    <cfRule type="cellIs" dxfId="7738" priority="102" operator="between">
      <formula>100.001%</formula>
      <formula>110%</formula>
    </cfRule>
    <cfRule type="cellIs" dxfId="7737" priority="103" operator="between">
      <formula>70.001%</formula>
      <formula>100%</formula>
    </cfRule>
    <cfRule type="cellIs" dxfId="7736" priority="104" operator="between">
      <formula>0.00001%</formula>
      <formula>70%</formula>
    </cfRule>
    <cfRule type="cellIs" dxfId="7735" priority="105" operator="equal">
      <formula>0</formula>
    </cfRule>
  </conditionalFormatting>
  <conditionalFormatting sqref="AY41 AE41">
    <cfRule type="cellIs" dxfId="7734" priority="96" operator="greaterThan">
      <formula>106%</formula>
    </cfRule>
    <cfRule type="cellIs" dxfId="7733" priority="97" operator="between">
      <formula>96%</formula>
      <formula>105%</formula>
    </cfRule>
    <cfRule type="cellIs" dxfId="7732" priority="98" operator="between">
      <formula>71%</formula>
      <formula>95%</formula>
    </cfRule>
    <cfRule type="cellIs" dxfId="7731" priority="99" operator="between">
      <formula>1%</formula>
      <formula>70%</formula>
    </cfRule>
    <cfRule type="cellIs" dxfId="7730" priority="100" operator="equal">
      <formula>0%</formula>
    </cfRule>
  </conditionalFormatting>
  <conditionalFormatting sqref="AW41 AT41 AQ41 AN41 AK41 AH41 AC41 Z41 W41 T41 Q41 N41">
    <cfRule type="cellIs" dxfId="7729" priority="91" operator="greaterThan">
      <formula>110%</formula>
    </cfRule>
    <cfRule type="cellIs" dxfId="7728" priority="92" operator="between">
      <formula>100.001%</formula>
      <formula>110%</formula>
    </cfRule>
    <cfRule type="cellIs" dxfId="7727" priority="93" operator="between">
      <formula>70.001%</formula>
      <formula>100%</formula>
    </cfRule>
    <cfRule type="cellIs" dxfId="7726" priority="94" operator="between">
      <formula>0.00001%</formula>
      <formula>70%</formula>
    </cfRule>
    <cfRule type="cellIs" dxfId="7725" priority="95" operator="equal">
      <formula>0</formula>
    </cfRule>
  </conditionalFormatting>
  <conditionalFormatting sqref="AY42 AE42">
    <cfRule type="cellIs" dxfId="7724" priority="86" operator="greaterThan">
      <formula>106%</formula>
    </cfRule>
    <cfRule type="cellIs" dxfId="7723" priority="87" operator="between">
      <formula>96%</formula>
      <formula>105%</formula>
    </cfRule>
    <cfRule type="cellIs" dxfId="7722" priority="88" operator="between">
      <formula>71%</formula>
      <formula>95%</formula>
    </cfRule>
    <cfRule type="cellIs" dxfId="7721" priority="89" operator="between">
      <formula>1%</formula>
      <formula>70%</formula>
    </cfRule>
    <cfRule type="cellIs" dxfId="7720" priority="90" operator="equal">
      <formula>0%</formula>
    </cfRule>
  </conditionalFormatting>
  <conditionalFormatting sqref="AW42 AT42 AQ42 AN42 AK42 AH42 AC42 Z42 W42 T42 Q42 N42">
    <cfRule type="cellIs" dxfId="7719" priority="81" operator="greaterThan">
      <formula>110%</formula>
    </cfRule>
    <cfRule type="cellIs" dxfId="7718" priority="82" operator="between">
      <formula>100.001%</formula>
      <formula>110%</formula>
    </cfRule>
    <cfRule type="cellIs" dxfId="7717" priority="83" operator="between">
      <formula>70.001%</formula>
      <formula>100%</formula>
    </cfRule>
    <cfRule type="cellIs" dxfId="7716" priority="84" operator="between">
      <formula>0.00001%</formula>
      <formula>70%</formula>
    </cfRule>
    <cfRule type="cellIs" dxfId="7715" priority="85" operator="equal">
      <formula>0</formula>
    </cfRule>
  </conditionalFormatting>
  <conditionalFormatting sqref="AY30">
    <cfRule type="cellIs" dxfId="7714" priority="76" operator="greaterThan">
      <formula>106%</formula>
    </cfRule>
    <cfRule type="cellIs" dxfId="7713" priority="77" operator="between">
      <formula>96%</formula>
      <formula>105%</formula>
    </cfRule>
    <cfRule type="cellIs" dxfId="7712" priority="78" operator="between">
      <formula>71%</formula>
      <formula>95%</formula>
    </cfRule>
    <cfRule type="cellIs" dxfId="7711" priority="79" operator="between">
      <formula>1%</formula>
      <formula>70%</formula>
    </cfRule>
    <cfRule type="cellIs" dxfId="7710" priority="80" operator="equal">
      <formula>0%</formula>
    </cfRule>
  </conditionalFormatting>
  <conditionalFormatting sqref="AY10">
    <cfRule type="cellIs" dxfId="7709" priority="71" operator="greaterThan">
      <formula>106%</formula>
    </cfRule>
    <cfRule type="cellIs" dxfId="7708" priority="72" operator="between">
      <formula>96%</formula>
      <formula>105%</formula>
    </cfRule>
    <cfRule type="cellIs" dxfId="7707" priority="73" operator="between">
      <formula>71%</formula>
      <formula>95%</formula>
    </cfRule>
    <cfRule type="cellIs" dxfId="7706" priority="74" operator="between">
      <formula>1%</formula>
      <formula>70%</formula>
    </cfRule>
    <cfRule type="cellIs" dxfId="7705" priority="75" operator="equal">
      <formula>0%</formula>
    </cfRule>
  </conditionalFormatting>
  <conditionalFormatting sqref="AW10">
    <cfRule type="cellIs" dxfId="7704" priority="66" operator="greaterThan">
      <formula>110%</formula>
    </cfRule>
    <cfRule type="cellIs" dxfId="7703" priority="67" operator="between">
      <formula>100.001%</formula>
      <formula>110%</formula>
    </cfRule>
    <cfRule type="cellIs" dxfId="7702" priority="68" operator="between">
      <formula>70.001%</formula>
      <formula>100%</formula>
    </cfRule>
    <cfRule type="cellIs" dxfId="7701" priority="69" operator="between">
      <formula>0.00001%</formula>
      <formula>70%</formula>
    </cfRule>
    <cfRule type="cellIs" dxfId="7700" priority="70" operator="equal">
      <formula>0</formula>
    </cfRule>
  </conditionalFormatting>
  <conditionalFormatting sqref="AT10">
    <cfRule type="cellIs" dxfId="7699" priority="61" operator="greaterThan">
      <formula>110%</formula>
    </cfRule>
    <cfRule type="cellIs" dxfId="7698" priority="62" operator="between">
      <formula>100.001%</formula>
      <formula>110%</formula>
    </cfRule>
    <cfRule type="cellIs" dxfId="7697" priority="63" operator="between">
      <formula>70.001%</formula>
      <formula>100%</formula>
    </cfRule>
    <cfRule type="cellIs" dxfId="7696" priority="64" operator="between">
      <formula>0.00001%</formula>
      <formula>70%</formula>
    </cfRule>
    <cfRule type="cellIs" dxfId="7695" priority="65" operator="equal">
      <formula>0</formula>
    </cfRule>
  </conditionalFormatting>
  <conditionalFormatting sqref="AE10">
    <cfRule type="cellIs" dxfId="7694" priority="56" operator="greaterThan">
      <formula>106%</formula>
    </cfRule>
    <cfRule type="cellIs" dxfId="7693" priority="57" operator="between">
      <formula>96%</formula>
      <formula>105%</formula>
    </cfRule>
    <cfRule type="cellIs" dxfId="7692" priority="58" operator="between">
      <formula>71%</formula>
      <formula>95%</formula>
    </cfRule>
    <cfRule type="cellIs" dxfId="7691" priority="59" operator="between">
      <formula>1%</formula>
      <formula>70%</formula>
    </cfRule>
    <cfRule type="cellIs" dxfId="7690" priority="60" operator="equal">
      <formula>0%</formula>
    </cfRule>
  </conditionalFormatting>
  <conditionalFormatting sqref="N10 Q10 T10 W10 Z10 AC10 AH10 AK10 AN10 AQ10">
    <cfRule type="cellIs" dxfId="7689" priority="51" operator="greaterThan">
      <formula>110%</formula>
    </cfRule>
    <cfRule type="cellIs" dxfId="7688" priority="52" operator="between">
      <formula>100.001%</formula>
      <formula>110%</formula>
    </cfRule>
    <cfRule type="cellIs" dxfId="7687" priority="53" operator="between">
      <formula>70.001%</formula>
      <formula>100%</formula>
    </cfRule>
    <cfRule type="cellIs" dxfId="7686" priority="54" operator="between">
      <formula>0.00001%</formula>
      <formula>70%</formula>
    </cfRule>
    <cfRule type="cellIs" dxfId="7685" priority="55" operator="equal">
      <formula>0</formula>
    </cfRule>
  </conditionalFormatting>
  <conditionalFormatting sqref="AE23 AY23">
    <cfRule type="cellIs" dxfId="7684" priority="46" operator="greaterThan">
      <formula>106%</formula>
    </cfRule>
    <cfRule type="cellIs" dxfId="7683" priority="47" operator="between">
      <formula>96%</formula>
      <formula>105%</formula>
    </cfRule>
    <cfRule type="cellIs" dxfId="7682" priority="48" operator="between">
      <formula>71%</formula>
      <formula>95%</formula>
    </cfRule>
    <cfRule type="cellIs" dxfId="7681" priority="49" operator="between">
      <formula>1%</formula>
      <formula>70%</formula>
    </cfRule>
    <cfRule type="cellIs" dxfId="7680" priority="50" operator="equal">
      <formula>0%</formula>
    </cfRule>
  </conditionalFormatting>
  <conditionalFormatting sqref="N23 Q23 T23 W23 Z23 AC23 AH23 AK23 AN23 AQ23 AT23 AW23">
    <cfRule type="cellIs" dxfId="7679" priority="41" operator="greaterThan">
      <formula>110%</formula>
    </cfRule>
    <cfRule type="cellIs" dxfId="7678" priority="42" operator="between">
      <formula>100.001%</formula>
      <formula>110%</formula>
    </cfRule>
    <cfRule type="cellIs" dxfId="7677" priority="43" operator="between">
      <formula>70.001%</formula>
      <formula>100%</formula>
    </cfRule>
    <cfRule type="cellIs" dxfId="7676" priority="44" operator="between">
      <formula>0.00001%</formula>
      <formula>70%</formula>
    </cfRule>
    <cfRule type="cellIs" dxfId="7675" priority="45" operator="equal">
      <formula>0</formula>
    </cfRule>
  </conditionalFormatting>
  <conditionalFormatting sqref="AE25 AY25">
    <cfRule type="cellIs" dxfId="7674" priority="36" operator="greaterThan">
      <formula>106%</formula>
    </cfRule>
    <cfRule type="cellIs" dxfId="7673" priority="37" operator="between">
      <formula>96%</formula>
      <formula>105%</formula>
    </cfRule>
    <cfRule type="cellIs" dxfId="7672" priority="38" operator="between">
      <formula>71%</formula>
      <formula>95%</formula>
    </cfRule>
    <cfRule type="cellIs" dxfId="7671" priority="39" operator="between">
      <formula>1%</formula>
      <formula>70%</formula>
    </cfRule>
    <cfRule type="cellIs" dxfId="7670" priority="40" operator="equal">
      <formula>0%</formula>
    </cfRule>
  </conditionalFormatting>
  <conditionalFormatting sqref="N25 Q25 T25 W25 Z25 AC25 AH25 AK25 AN25 AQ25 AT25 AW25">
    <cfRule type="cellIs" dxfId="7669" priority="31" operator="greaterThan">
      <formula>110%</formula>
    </cfRule>
    <cfRule type="cellIs" dxfId="7668" priority="32" operator="between">
      <formula>100.001%</formula>
      <formula>110%</formula>
    </cfRule>
    <cfRule type="cellIs" dxfId="7667" priority="33" operator="between">
      <formula>70.001%</formula>
      <formula>100%</formula>
    </cfRule>
    <cfRule type="cellIs" dxfId="7666" priority="34" operator="between">
      <formula>0.00001%</formula>
      <formula>70%</formula>
    </cfRule>
    <cfRule type="cellIs" dxfId="7665" priority="35" operator="equal">
      <formula>0</formula>
    </cfRule>
  </conditionalFormatting>
  <conditionalFormatting sqref="AE26 AY26">
    <cfRule type="cellIs" dxfId="7664" priority="26" operator="greaterThan">
      <formula>106%</formula>
    </cfRule>
    <cfRule type="cellIs" dxfId="7663" priority="27" operator="between">
      <formula>96%</formula>
      <formula>105%</formula>
    </cfRule>
    <cfRule type="cellIs" dxfId="7662" priority="28" operator="between">
      <formula>71%</formula>
      <formula>95%</formula>
    </cfRule>
    <cfRule type="cellIs" dxfId="7661" priority="29" operator="between">
      <formula>1%</formula>
      <formula>70%</formula>
    </cfRule>
    <cfRule type="cellIs" dxfId="7660" priority="30" operator="equal">
      <formula>0%</formula>
    </cfRule>
  </conditionalFormatting>
  <conditionalFormatting sqref="N26 Q26 T26 W26 Z26 AC26 AH26 AK26 AN26 AQ26 AT26 AW26">
    <cfRule type="cellIs" dxfId="7659" priority="21" operator="greaterThan">
      <formula>110%</formula>
    </cfRule>
    <cfRule type="cellIs" dxfId="7658" priority="22" operator="between">
      <formula>100.001%</formula>
      <formula>110%</formula>
    </cfRule>
    <cfRule type="cellIs" dxfId="7657" priority="23" operator="between">
      <formula>70.001%</formula>
      <formula>100%</formula>
    </cfRule>
    <cfRule type="cellIs" dxfId="7656" priority="24" operator="between">
      <formula>0.00001%</formula>
      <formula>70%</formula>
    </cfRule>
    <cfRule type="cellIs" dxfId="7655" priority="25" operator="equal">
      <formula>0</formula>
    </cfRule>
  </conditionalFormatting>
  <conditionalFormatting sqref="AE27 AY27">
    <cfRule type="cellIs" dxfId="7654" priority="16" operator="greaterThan">
      <formula>106%</formula>
    </cfRule>
    <cfRule type="cellIs" dxfId="7653" priority="17" operator="between">
      <formula>96%</formula>
      <formula>105%</formula>
    </cfRule>
    <cfRule type="cellIs" dxfId="7652" priority="18" operator="between">
      <formula>71%</formula>
      <formula>95%</formula>
    </cfRule>
    <cfRule type="cellIs" dxfId="7651" priority="19" operator="between">
      <formula>1%</formula>
      <formula>70%</formula>
    </cfRule>
    <cfRule type="cellIs" dxfId="7650" priority="20" operator="equal">
      <formula>0%</formula>
    </cfRule>
  </conditionalFormatting>
  <conditionalFormatting sqref="N27 Q27 T27 W27 Z27 AC27 AH27 AK27 AN27 AQ27 AT27 AW27">
    <cfRule type="cellIs" dxfId="7649" priority="11" operator="greaterThan">
      <formula>110%</formula>
    </cfRule>
    <cfRule type="cellIs" dxfId="7648" priority="12" operator="between">
      <formula>100.001%</formula>
      <formula>110%</formula>
    </cfRule>
    <cfRule type="cellIs" dxfId="7647" priority="13" operator="between">
      <formula>70.001%</formula>
      <formula>100%</formula>
    </cfRule>
    <cfRule type="cellIs" dxfId="7646" priority="14" operator="between">
      <formula>0.00001%</formula>
      <formula>70%</formula>
    </cfRule>
    <cfRule type="cellIs" dxfId="7645" priority="15" operator="equal">
      <formula>0</formula>
    </cfRule>
  </conditionalFormatting>
  <conditionalFormatting sqref="AE28 AY28">
    <cfRule type="cellIs" dxfId="7644" priority="6" operator="greaterThan">
      <formula>106%</formula>
    </cfRule>
    <cfRule type="cellIs" dxfId="7643" priority="7" operator="between">
      <formula>96%</formula>
      <formula>105%</formula>
    </cfRule>
    <cfRule type="cellIs" dxfId="7642" priority="8" operator="between">
      <formula>71%</formula>
      <formula>95%</formula>
    </cfRule>
    <cfRule type="cellIs" dxfId="7641" priority="9" operator="between">
      <formula>1%</formula>
      <formula>70%</formula>
    </cfRule>
    <cfRule type="cellIs" dxfId="7640" priority="10" operator="equal">
      <formula>0%</formula>
    </cfRule>
  </conditionalFormatting>
  <conditionalFormatting sqref="N28 Q28 T28 W28 Z28 AC28 AH28 AK28 AN28 AQ28 AT28 AW28">
    <cfRule type="cellIs" dxfId="7639" priority="1" operator="greaterThan">
      <formula>110%</formula>
    </cfRule>
    <cfRule type="cellIs" dxfId="7638" priority="2" operator="between">
      <formula>100.001%</formula>
      <formula>110%</formula>
    </cfRule>
    <cfRule type="cellIs" dxfId="7637" priority="3" operator="between">
      <formula>70.001%</formula>
      <formula>100%</formula>
    </cfRule>
    <cfRule type="cellIs" dxfId="7636" priority="4" operator="between">
      <formula>0.00001%</formula>
      <formula>70%</formula>
    </cfRule>
    <cfRule type="cellIs" dxfId="7635" priority="5" operator="equal">
      <formula>0</formula>
    </cfRule>
  </conditionalFormatting>
  <hyperlinks>
    <hyperlink ref="AZ4" location="'Consolidado '!A1" display="VOLVER" xr:uid="{00000000-0004-0000-0D00-000000000000}"/>
    <hyperlink ref="D11" location="'FIS-5'!A1" display="FIS-5 Gestión Efectiva de Fiscalización Aduanera" xr:uid="{00000000-0004-0000-0D00-000001000000}"/>
    <hyperlink ref="D12" location="'FIS-7'!A1" display="FIS-7 Gestión efectiva de control Cambiario" xr:uid="{00000000-0004-0000-0D00-000002000000}"/>
    <hyperlink ref="D13" location="'FIS-8'!A1" display="FIS-8 Gestión aceptada de fiscalización aduanera (recaudo)" xr:uid="{00000000-0004-0000-0D00-000003000000}"/>
    <hyperlink ref="D14" location="'FIS-9'!A1" display="FIS-9 Gestión aceptada de fiscalización aduanera (Resoluciones en firme)" xr:uid="{00000000-0004-0000-0D00-000004000000}"/>
    <hyperlink ref="D15" location="'FIS-11'!A1" display="FIS-11 Gestión aceptada cambiaria (recaudo)" xr:uid="{00000000-0004-0000-0D00-000005000000}"/>
    <hyperlink ref="D16" location="'FIS-12'!A1" display="FIS-12 Gestión aceptada cambiaria (Resoluciones en firme)" xr:uid="{00000000-0004-0000-0D00-000006000000}"/>
    <hyperlink ref="D17" location="'FIS-16'!A1" display="FIS-16 Visitas de control a personas que hacen la venta y compra de divisas sin estar autorizados" xr:uid="{00000000-0004-0000-0D00-000007000000}"/>
    <hyperlink ref="D18" location="'FIS-15'!A1" display="FIS-15 Visitas de control a profesionales de cambio" xr:uid="{00000000-0004-0000-0D00-000008000000}"/>
    <hyperlink ref="D19" location="'FIS-18'!A1" display="FIS-18 Evacuación de expedientes en fiscalización cambiaria" xr:uid="{00000000-0004-0000-0D00-000009000000}"/>
    <hyperlink ref="D20" location="'FIS-21'!A1" display="FIS-21 Propuestas de Programas de control posterior de fiscalización  aduanera (Sanciones, LOC, LOR, Origen)" xr:uid="{00000000-0004-0000-0D00-00000A000000}"/>
    <hyperlink ref="D21" location="'FIS-14'!A1" display="FIS-14 Propuestas acciones aduaneras de control posterior contra el contrabando técnico(Sanciones, LOC, LOR, Origen)" xr:uid="{00000000-0004-0000-0D00-00000B000000}"/>
    <hyperlink ref="D22" location="'POLFA-3'!A1" display="POLFA-3 Acciones de control de fiscalización contra el contrabando" xr:uid="{00000000-0004-0000-0D00-00000C000000}"/>
    <hyperlink ref="D23" location="'JUR-3.1'!A1" display="JUR-3.1 Porcentaje de éxito de litigiosidad " xr:uid="{00000000-0004-0000-0D00-00000D000000}"/>
    <hyperlink ref="D24" location="'JUR-3.2'!A1" display="JUR-3.2 Porcentaje procesos judiciales revisados con mayor riesgo en Ekogui" xr:uid="{00000000-0004-0000-0D00-00000E000000}"/>
    <hyperlink ref="D25" location="'JUR-3.3'!A1" display="JUR-3.3 Porcentaje de análisis de jurisprudencia remitidos junto con la copia de la sentencia " xr:uid="{00000000-0004-0000-0D00-00000F000000}"/>
    <hyperlink ref="D26" location="'JUR-3.4'!A1" display="JUR-3.4 Porcentaje de procesos revisados con VoBo del Jefe " xr:uid="{00000000-0004-0000-0D00-000010000000}"/>
    <hyperlink ref="D27" location="'JUR-3.5'!A1" display="JUR-3.5 Porcentaje de requerimientos atendidos en oportunidad" xr:uid="{00000000-0004-0000-0D00-000011000000}"/>
    <hyperlink ref="D28" location="'JUR-3.6'!A1" display="JUR-3.6 Porcentaje funcionarios capacitaciones en cursos virtuales de la ANDJE" xr:uid="{00000000-0004-0000-0D00-000012000000}"/>
    <hyperlink ref="D29" location="'JUR-4'!A1" display="JUR-4 Porcentaje funcionarios que participaron en el concurso de escritura jurídica" xr:uid="{00000000-0004-0000-0D00-000013000000}"/>
    <hyperlink ref="D30" location="'ADU-3'!A1" display="ADU-3 Monto de recaudación total de aduanas" xr:uid="{00000000-0004-0000-0D00-000014000000}"/>
    <hyperlink ref="D31" location="'FIS-24'!A1" display="FIS-24 Valor Decomisos de mercancías en firme" xr:uid="{00000000-0004-0000-0D00-000015000000}"/>
    <hyperlink ref="D32" location="'FIS-32'!A1" display="FIS-32 Valor Aprehensiones sectores de Licores, Cigarrillos, Calzado y Confecciones" xr:uid="{00000000-0004-0000-0D00-000016000000}"/>
    <hyperlink ref="D33" location="'ADU-8'!A1" display="ADU-8 Efectividad en los controles previos  - Lucha contra el Contrabando" xr:uid="{00000000-0004-0000-0D00-000017000000}"/>
    <hyperlink ref="D36" location="'ADU-10.1'!A1" display="ADU-10.1 Efectividad en el control de pasajeros" xr:uid="{00000000-0004-0000-0D00-000018000000}"/>
    <hyperlink ref="D37" location="'ADU-12'!A1" display="ADU-12  Efectividad en los Controles a los  usuarios de comercio - Visitas con hallazgos en usuarios visitados" xr:uid="{00000000-0004-0000-0D00-000019000000}"/>
    <hyperlink ref="D38" location="'ADU-13'!A1" display="ADU-13 Efectividad en los Controles a los  usuarios de comercio - Hallazgos en visitas de usuarios no visitados anteriormente" xr:uid="{00000000-0004-0000-0D00-00001A000000}"/>
    <hyperlink ref="D40" location="'ADU-30'!A1" display="ADU-30 Eficacia visitas de verificación y control a los productores  y/o exportadores colombianos." xr:uid="{00000000-0004-0000-0D00-00001B000000}"/>
    <hyperlink ref="D41" location="'ADU-31'!A1" display="ADU-31 Eficacia en la revisión de criterios de origen de los productos colombianos" xr:uid="{00000000-0004-0000-0D00-00001C000000}"/>
    <hyperlink ref="D42" location="'ADU-32'!A1" display="ADU -32 Eficacia en la atención de solicitudes de análisis merceológicos de mercancía global." xr:uid="{00000000-0004-0000-0D00-00001D000000}"/>
    <hyperlink ref="D44" location="'POLFA-7'!A1" display="POLFA-7 Implementación programa zonas de comercio legal (Formalización)" xr:uid="{00000000-0004-0000-0D00-00001E000000}"/>
    <hyperlink ref="D45" location="'POLFA-8'!A1" display="POLFA-8 Porcentaje de cumplimiento programa semilleros de la legalidad" xr:uid="{00000000-0004-0000-0D00-00001F000000}"/>
    <hyperlink ref="D9" location="'DGRAE-1'!A1" display="DGRAE-1 Nivel de Ejecución del presupuesto " xr:uid="{00000000-0004-0000-0D00-000020000000}"/>
    <hyperlink ref="D10" location="'DGRAE-2'!A1" display="DGRAE-2 Nivel de ejecución del PAA de la Dirección" xr:uid="{00000000-0004-0000-0D00-000021000000}"/>
    <hyperlink ref="D47" location="'DGRAE-25'!A1" display="DGRAE-25 Actividades que componen el  PIC para la Dirección de Gestión" xr:uid="{00000000-0004-0000-0D00-000022000000}"/>
    <hyperlink ref="D34" location="'ADU-9'!A1" display="ADU-9 Efectividad en el control simultaneo - Lucha contra el Contrabando" xr:uid="{00000000-0004-0000-0D00-000023000000}"/>
    <hyperlink ref="D35" location="'ADU-9.1'!A1" display="ADU-9.1 Efectividad en el control simultaneo - Lucha contra el Contrabando - Documental" xr:uid="{00000000-0004-0000-0D00-000024000000}"/>
    <hyperlink ref="D39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0D00-000025000000}"/>
  </hyperlink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A43"/>
  <sheetViews>
    <sheetView topLeftCell="D1" zoomScale="70" zoomScaleNormal="70" workbookViewId="0">
      <selection activeCell="BB11" sqref="BB11"/>
    </sheetView>
  </sheetViews>
  <sheetFormatPr baseColWidth="10" defaultColWidth="11.42578125" defaultRowHeight="16.5"/>
  <cols>
    <col min="1" max="1" width="18.85546875" style="8" bestFit="1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1.28515625" style="8" customWidth="1"/>
    <col min="8" max="10" width="12.7109375" style="8" hidden="1" customWidth="1"/>
    <col min="11" max="11" width="29" style="8" customWidth="1"/>
    <col min="12" max="13" width="20.7109375" style="8" hidden="1" customWidth="1"/>
    <col min="14" max="14" width="20.7109375" style="9" hidden="1" customWidth="1"/>
    <col min="15" max="16" width="20.7109375" style="8" hidden="1" customWidth="1"/>
    <col min="17" max="17" width="20.7109375" style="69" hidden="1" customWidth="1"/>
    <col min="18" max="19" width="20.7109375" style="8" hidden="1" customWidth="1"/>
    <col min="20" max="20" width="20.7109375" style="69" hidden="1" customWidth="1"/>
    <col min="21" max="22" width="20.7109375" style="8" hidden="1" customWidth="1"/>
    <col min="23" max="23" width="20.7109375" style="69" hidden="1" customWidth="1"/>
    <col min="24" max="25" width="20.7109375" style="8" hidden="1" customWidth="1"/>
    <col min="26" max="26" width="20.7109375" style="69" hidden="1" customWidth="1"/>
    <col min="27" max="28" width="20.7109375" style="8" hidden="1" customWidth="1"/>
    <col min="29" max="29" width="20.7109375" style="69" hidden="1" customWidth="1"/>
    <col min="30" max="30" width="20.7109375" style="8" hidden="1" customWidth="1"/>
    <col min="31" max="31" width="20.7109375" style="374" hidden="1" customWidth="1"/>
    <col min="32" max="33" width="20.7109375" style="8" hidden="1" customWidth="1"/>
    <col min="34" max="34" width="20.7109375" style="374" hidden="1" customWidth="1"/>
    <col min="35" max="36" width="20.7109375" style="8" hidden="1" customWidth="1"/>
    <col min="37" max="37" width="20.7109375" style="374" hidden="1" customWidth="1"/>
    <col min="38" max="39" width="20.7109375" style="8" hidden="1" customWidth="1"/>
    <col min="40" max="40" width="20.7109375" style="374" hidden="1" customWidth="1"/>
    <col min="41" max="42" width="20.7109375" style="8" hidden="1" customWidth="1"/>
    <col min="43" max="43" width="20.7109375" style="374" hidden="1" customWidth="1"/>
    <col min="44" max="45" width="20.7109375" style="8" hidden="1" customWidth="1"/>
    <col min="46" max="46" width="20.7109375" style="374" hidden="1" customWidth="1"/>
    <col min="47" max="48" width="20.7109375" style="8" hidden="1" customWidth="1"/>
    <col min="49" max="49" width="20.7109375" style="374" hidden="1" customWidth="1"/>
    <col min="50" max="50" width="20.7109375" style="8" customWidth="1"/>
    <col min="51" max="51" width="20.7109375" style="374" customWidth="1"/>
    <col min="52" max="16384" width="11.42578125" style="8"/>
  </cols>
  <sheetData>
    <row r="1" spans="1:53" ht="29.25" customHeight="1" thickBot="1">
      <c r="A1" s="101"/>
      <c r="B1" s="101"/>
      <c r="C1" s="3032" t="s">
        <v>496</v>
      </c>
      <c r="D1" s="3032"/>
      <c r="E1" s="3032"/>
      <c r="F1" s="3032"/>
      <c r="G1" s="3032"/>
      <c r="H1" s="3032"/>
      <c r="I1" s="3032"/>
      <c r="J1" s="3032"/>
      <c r="K1" s="3032"/>
      <c r="P1" s="1055"/>
      <c r="Q1" s="1056"/>
    </row>
    <row r="2" spans="1:53" ht="18.75" customHeight="1" thickTop="1" thickBo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3033"/>
      <c r="L2" s="1057"/>
      <c r="M2" s="1057"/>
      <c r="N2" s="1058"/>
    </row>
    <row r="3" spans="1:53" ht="18" customHeight="1" thickTop="1" thickBot="1">
      <c r="A3" s="1059"/>
      <c r="B3" s="1060"/>
      <c r="C3" s="3034" t="s">
        <v>497</v>
      </c>
      <c r="D3" s="3035"/>
      <c r="E3" s="3035"/>
      <c r="F3" s="3035"/>
      <c r="G3" s="3035"/>
      <c r="H3" s="3035"/>
      <c r="I3" s="3035"/>
      <c r="J3" s="3035"/>
      <c r="K3" s="3036"/>
      <c r="L3" s="1057"/>
      <c r="M3" s="1057"/>
      <c r="N3" s="1058"/>
      <c r="R3" s="1057"/>
      <c r="S3" s="1057"/>
      <c r="T3" s="1061"/>
      <c r="U3" s="1057"/>
      <c r="V3" s="1057"/>
      <c r="W3" s="1061"/>
      <c r="X3" s="1057"/>
      <c r="Y3" s="1057"/>
      <c r="Z3" s="1061"/>
      <c r="AA3" s="1057"/>
      <c r="AB3" s="1057"/>
      <c r="AC3" s="1061"/>
      <c r="AD3" s="1057"/>
      <c r="AE3" s="1062"/>
      <c r="AF3" s="1057"/>
      <c r="AG3" s="1057"/>
      <c r="AH3" s="1062"/>
      <c r="AI3" s="1057"/>
      <c r="AJ3" s="1057"/>
      <c r="AK3" s="1062"/>
      <c r="AL3" s="1057"/>
      <c r="AM3" s="1057"/>
      <c r="AN3" s="1062"/>
      <c r="AO3" s="1057"/>
      <c r="AP3" s="1057"/>
      <c r="AQ3" s="1062"/>
      <c r="AR3" s="1057"/>
      <c r="AS3" s="1057"/>
      <c r="AT3" s="1062"/>
      <c r="AU3" s="1057"/>
      <c r="AV3" s="1057"/>
      <c r="AW3" s="1062"/>
      <c r="AX3" s="1057"/>
      <c r="AY3" s="1062"/>
    </row>
    <row r="4" spans="1:53" ht="18" thickTop="1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3037"/>
      <c r="L4" s="1057"/>
      <c r="M4" s="1057"/>
      <c r="N4" s="1058"/>
      <c r="R4" s="1057"/>
      <c r="S4" s="1057"/>
      <c r="T4" s="1061"/>
      <c r="U4" s="1057"/>
      <c r="V4" s="1057"/>
      <c r="W4" s="1061"/>
      <c r="X4" s="1057"/>
      <c r="Y4" s="1057"/>
      <c r="Z4" s="1061"/>
      <c r="AA4" s="1057"/>
      <c r="AB4" s="1057"/>
      <c r="AC4" s="1061"/>
      <c r="AD4" s="1057"/>
      <c r="AE4" s="1062"/>
      <c r="AF4" s="1057"/>
      <c r="AG4" s="1057"/>
      <c r="AH4" s="1062"/>
      <c r="AI4" s="1057"/>
      <c r="AJ4" s="1057"/>
      <c r="AK4" s="1062"/>
      <c r="AL4" s="1057"/>
      <c r="AM4" s="1057"/>
      <c r="AN4" s="1062"/>
      <c r="AO4" s="1057"/>
      <c r="AP4" s="1057"/>
      <c r="AQ4" s="1062"/>
      <c r="AR4" s="1057"/>
      <c r="AS4" s="1057"/>
      <c r="AT4" s="1062"/>
      <c r="AU4" s="1057"/>
      <c r="AV4" s="1057"/>
      <c r="AW4" s="1062"/>
      <c r="AX4" s="1057"/>
      <c r="AY4" s="1062"/>
      <c r="AZ4" s="65" t="s">
        <v>185</v>
      </c>
      <c r="BA4" s="69">
        <f>+(AY9+AY10+AY11+AY12+AY13+AY14+AY15+AY16+AY18+AY19+AY20+AY21+AY24+AY25+AY31+AY33+AY35+AY37+AY39+AY40+AY42)/21</f>
        <v>1.3389371302469055</v>
      </c>
    </row>
    <row r="5" spans="1:53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23" t="s">
        <v>4</v>
      </c>
      <c r="H5" s="2823" t="s">
        <v>161</v>
      </c>
      <c r="I5" s="2823"/>
      <c r="J5" s="2823"/>
      <c r="K5" s="2823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33" t="s">
        <v>72</v>
      </c>
      <c r="S5" s="2834"/>
      <c r="T5" s="2835"/>
      <c r="U5" s="2833" t="s">
        <v>73</v>
      </c>
      <c r="V5" s="2834"/>
      <c r="W5" s="2835"/>
      <c r="X5" s="2833" t="s">
        <v>74</v>
      </c>
      <c r="Y5" s="2834"/>
      <c r="Z5" s="2835"/>
      <c r="AA5" s="2833" t="s">
        <v>75</v>
      </c>
      <c r="AB5" s="2834"/>
      <c r="AC5" s="2834"/>
      <c r="AD5" s="2823" t="s">
        <v>188</v>
      </c>
      <c r="AE5" s="2823"/>
      <c r="AF5" s="2833" t="s">
        <v>76</v>
      </c>
      <c r="AG5" s="2834"/>
      <c r="AH5" s="2835"/>
      <c r="AI5" s="2833" t="s">
        <v>77</v>
      </c>
      <c r="AJ5" s="2834"/>
      <c r="AK5" s="2835"/>
      <c r="AL5" s="2833" t="s">
        <v>78</v>
      </c>
      <c r="AM5" s="2834"/>
      <c r="AN5" s="2835"/>
      <c r="AO5" s="2833" t="s">
        <v>79</v>
      </c>
      <c r="AP5" s="2834"/>
      <c r="AQ5" s="2835"/>
      <c r="AR5" s="2833" t="s">
        <v>80</v>
      </c>
      <c r="AS5" s="2834"/>
      <c r="AT5" s="2835"/>
      <c r="AU5" s="2833" t="s">
        <v>81</v>
      </c>
      <c r="AV5" s="2834"/>
      <c r="AW5" s="2835"/>
      <c r="AX5" s="2840" t="s">
        <v>397</v>
      </c>
      <c r="AY5" s="2841"/>
      <c r="AZ5" s="69"/>
    </row>
    <row r="6" spans="1:53" ht="17.649999999999999" customHeight="1" thickTop="1" thickBot="1">
      <c r="A6" s="2823"/>
      <c r="B6" s="2823"/>
      <c r="C6" s="2823"/>
      <c r="D6" s="2823"/>
      <c r="E6" s="2823"/>
      <c r="F6" s="2823"/>
      <c r="G6" s="2823"/>
      <c r="H6" s="2823"/>
      <c r="I6" s="2823"/>
      <c r="J6" s="2823"/>
      <c r="K6" s="2823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23"/>
      <c r="AE6" s="2823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3" s="12" customFormat="1" ht="18.75" thickTop="1" thickBot="1">
      <c r="A7" s="2823"/>
      <c r="B7" s="2823"/>
      <c r="C7" s="2823"/>
      <c r="D7" s="2823"/>
      <c r="E7" s="2823"/>
      <c r="F7" s="2823"/>
      <c r="G7" s="2823"/>
      <c r="H7" s="68" t="s">
        <v>162</v>
      </c>
      <c r="I7" s="68" t="s">
        <v>163</v>
      </c>
      <c r="J7" s="68" t="s">
        <v>164</v>
      </c>
      <c r="K7" s="2823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23"/>
      <c r="AE7" s="2823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3" customFormat="1" ht="29.25" customHeight="1" thickTop="1" thickBot="1">
      <c r="A8" s="2870" t="s">
        <v>83</v>
      </c>
      <c r="B8" s="2870"/>
      <c r="C8" s="2870"/>
      <c r="D8" s="2870"/>
      <c r="E8" s="2870"/>
      <c r="F8" s="2870"/>
      <c r="G8" s="2870"/>
      <c r="H8" s="2870"/>
      <c r="I8" s="2870"/>
      <c r="J8" s="2870"/>
      <c r="K8" s="2870"/>
      <c r="L8" s="15" t="s">
        <v>84</v>
      </c>
      <c r="M8" s="15" t="s">
        <v>85</v>
      </c>
      <c r="N8" s="15" t="s">
        <v>86</v>
      </c>
      <c r="O8" s="15" t="s">
        <v>84</v>
      </c>
      <c r="P8" s="15" t="s">
        <v>85</v>
      </c>
      <c r="Q8" s="15" t="s">
        <v>86</v>
      </c>
      <c r="R8" s="15" t="s">
        <v>84</v>
      </c>
      <c r="S8" s="15" t="s">
        <v>85</v>
      </c>
      <c r="T8" s="15" t="s">
        <v>86</v>
      </c>
      <c r="U8" s="15" t="s">
        <v>84</v>
      </c>
      <c r="V8" s="15" t="s">
        <v>85</v>
      </c>
      <c r="W8" s="15" t="s">
        <v>86</v>
      </c>
      <c r="X8" s="15" t="s">
        <v>84</v>
      </c>
      <c r="Y8" s="15" t="s">
        <v>85</v>
      </c>
      <c r="Z8" s="15" t="s">
        <v>86</v>
      </c>
      <c r="AA8" s="15" t="s">
        <v>84</v>
      </c>
      <c r="AB8" s="15" t="s">
        <v>85</v>
      </c>
      <c r="AC8" s="15" t="s">
        <v>86</v>
      </c>
      <c r="AD8" s="15" t="s">
        <v>87</v>
      </c>
      <c r="AE8" s="15" t="s">
        <v>6</v>
      </c>
      <c r="AF8" s="15" t="s">
        <v>84</v>
      </c>
      <c r="AG8" s="15" t="s">
        <v>85</v>
      </c>
      <c r="AH8" s="15" t="s">
        <v>86</v>
      </c>
      <c r="AI8" s="15" t="s">
        <v>84</v>
      </c>
      <c r="AJ8" s="15" t="s">
        <v>85</v>
      </c>
      <c r="AK8" s="15" t="s">
        <v>86</v>
      </c>
      <c r="AL8" s="15" t="s">
        <v>84</v>
      </c>
      <c r="AM8" s="15" t="s">
        <v>85</v>
      </c>
      <c r="AN8" s="15" t="s">
        <v>86</v>
      </c>
      <c r="AO8" s="15" t="s">
        <v>84</v>
      </c>
      <c r="AP8" s="15" t="s">
        <v>85</v>
      </c>
      <c r="AQ8" s="15" t="s">
        <v>86</v>
      </c>
      <c r="AR8" s="15" t="s">
        <v>84</v>
      </c>
      <c r="AS8" s="15" t="s">
        <v>85</v>
      </c>
      <c r="AT8" s="15" t="s">
        <v>86</v>
      </c>
      <c r="AU8" s="15" t="s">
        <v>84</v>
      </c>
      <c r="AV8" s="15" t="s">
        <v>85</v>
      </c>
      <c r="AW8" s="15" t="s">
        <v>86</v>
      </c>
      <c r="AX8" s="15" t="s">
        <v>87</v>
      </c>
      <c r="AY8" s="15" t="s">
        <v>6</v>
      </c>
    </row>
    <row r="9" spans="1:53" s="132" customFormat="1" ht="75" customHeight="1" thickTop="1" thickBot="1">
      <c r="A9" s="2845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752">
        <f>395678257/1000000</f>
        <v>395.67825699999997</v>
      </c>
      <c r="H9" s="72"/>
      <c r="I9" s="72"/>
      <c r="J9" s="72"/>
      <c r="K9" s="72" t="s">
        <v>25</v>
      </c>
      <c r="L9" s="1063">
        <v>151.96742900000001</v>
      </c>
      <c r="M9" s="1064">
        <v>17.12</v>
      </c>
      <c r="N9" s="73">
        <f>+M9/L9</f>
        <v>0.11265571914097461</v>
      </c>
      <c r="O9" s="1063">
        <v>5.351197</v>
      </c>
      <c r="P9" s="1064">
        <v>23.36</v>
      </c>
      <c r="Q9" s="73">
        <f t="shared" ref="Q9:Q10" si="0">+P9/O9</f>
        <v>4.3653784377588787</v>
      </c>
      <c r="R9" s="1063">
        <v>5.351197</v>
      </c>
      <c r="S9" s="1064">
        <v>19.463999999999999</v>
      </c>
      <c r="T9" s="73">
        <f>+S9/R9</f>
        <v>3.6373170339271752</v>
      </c>
      <c r="U9" s="1063">
        <v>173.059313</v>
      </c>
      <c r="V9" s="1064">
        <v>18.343</v>
      </c>
      <c r="W9" s="73">
        <f>+V9/U9</f>
        <v>0.1059925622147824</v>
      </c>
      <c r="X9" s="1063">
        <v>5.351197</v>
      </c>
      <c r="Y9" s="1064">
        <v>13.75</v>
      </c>
      <c r="Z9" s="73">
        <f>+Y9/X9</f>
        <v>2.5695185581842717</v>
      </c>
      <c r="AA9" s="1063">
        <v>5.351197</v>
      </c>
      <c r="AB9" s="1064">
        <v>21.23</v>
      </c>
      <c r="AC9" s="73">
        <f>+AB9/AA9</f>
        <v>3.9673366538365156</v>
      </c>
      <c r="AD9" s="1065">
        <f>+AB9+Y9+V9+S9+P9+M9</f>
        <v>113.26700000000001</v>
      </c>
      <c r="AE9" s="73">
        <f>+AD9/G9</f>
        <v>0.28626035925951832</v>
      </c>
      <c r="AF9" s="1063">
        <v>5.351197</v>
      </c>
      <c r="AG9" s="1064">
        <v>43.03</v>
      </c>
      <c r="AH9" s="73">
        <f>+AG9/AF9</f>
        <v>8.0411915315395799</v>
      </c>
      <c r="AI9" s="1063">
        <v>5.351197</v>
      </c>
      <c r="AJ9" s="1064">
        <v>23.86</v>
      </c>
      <c r="AK9" s="73">
        <f>+AJ9/AI9</f>
        <v>4.458815476238307</v>
      </c>
      <c r="AL9" s="1063">
        <v>5.351197</v>
      </c>
      <c r="AM9" s="1064">
        <v>10.18</v>
      </c>
      <c r="AN9" s="73">
        <f>+AM9/AL9</f>
        <v>1.9023781034411553</v>
      </c>
      <c r="AO9" s="1063">
        <v>5.351197</v>
      </c>
      <c r="AP9" s="1064">
        <v>10.81</v>
      </c>
      <c r="AQ9" s="73">
        <f>+AP9/AO9</f>
        <v>2.0201087719252349</v>
      </c>
      <c r="AR9" s="1063">
        <v>5.2842219999999998</v>
      </c>
      <c r="AS9" s="1064">
        <v>3.8</v>
      </c>
      <c r="AT9" s="73">
        <f>+AS9/AR9</f>
        <v>0.71912194453601685</v>
      </c>
      <c r="AU9" s="1063">
        <v>2.1414849999999999</v>
      </c>
      <c r="AV9" s="1064">
        <v>24.5</v>
      </c>
      <c r="AW9" s="73">
        <f>+AV9/AU9</f>
        <v>11.440659168754394</v>
      </c>
      <c r="AX9" s="1065">
        <f>238350170.77/1000000</f>
        <v>238.35017077000001</v>
      </c>
      <c r="AY9" s="73">
        <f>+AX9/G9</f>
        <v>0.60238379681802945</v>
      </c>
    </row>
    <row r="10" spans="1:53" s="1015" customFormat="1" ht="75" customHeight="1" thickTop="1" thickBot="1">
      <c r="A10" s="2846"/>
      <c r="B10" s="2947"/>
      <c r="C10" s="74" t="s">
        <v>169</v>
      </c>
      <c r="D10" s="458" t="s">
        <v>92</v>
      </c>
      <c r="E10" s="459" t="s">
        <v>170</v>
      </c>
      <c r="F10" s="459" t="s">
        <v>17</v>
      </c>
      <c r="G10" s="1066">
        <v>3</v>
      </c>
      <c r="H10" s="459" t="s">
        <v>326</v>
      </c>
      <c r="I10" s="1010"/>
      <c r="J10" s="1010"/>
      <c r="K10" s="459" t="s">
        <v>26</v>
      </c>
      <c r="L10" s="1011">
        <v>0</v>
      </c>
      <c r="M10" s="1012"/>
      <c r="N10" s="73" t="e">
        <f t="shared" ref="N10:N35" si="1">+M10/L10</f>
        <v>#DIV/0!</v>
      </c>
      <c r="O10" s="1011">
        <v>0</v>
      </c>
      <c r="P10" s="1012"/>
      <c r="Q10" s="73" t="e">
        <f t="shared" si="0"/>
        <v>#DIV/0!</v>
      </c>
      <c r="R10" s="1011">
        <v>0</v>
      </c>
      <c r="S10" s="1012"/>
      <c r="T10" s="73" t="e">
        <f t="shared" ref="T10:T35" si="2">+S10/R10</f>
        <v>#DIV/0!</v>
      </c>
      <c r="U10" s="1011">
        <v>0</v>
      </c>
      <c r="V10" s="1012"/>
      <c r="W10" s="73" t="e">
        <f t="shared" ref="W10:W35" si="3">+V10/U10</f>
        <v>#DIV/0!</v>
      </c>
      <c r="X10" s="1011">
        <v>0</v>
      </c>
      <c r="Y10" s="1012"/>
      <c r="Z10" s="73" t="e">
        <f t="shared" ref="Z10:Z35" si="4">+Y10/X10</f>
        <v>#DIV/0!</v>
      </c>
      <c r="AA10" s="1011">
        <v>0</v>
      </c>
      <c r="AB10" s="1012"/>
      <c r="AC10" s="73" t="e">
        <f t="shared" ref="AC10" si="5">+AB10/AA10</f>
        <v>#DIV/0!</v>
      </c>
      <c r="AD10" s="1067">
        <f t="shared" ref="AD10" si="6">+AB10+Y10+V10+S10+P10+M10</f>
        <v>0</v>
      </c>
      <c r="AE10" s="73">
        <f t="shared" ref="AE10" si="7">+AD10/G10</f>
        <v>0</v>
      </c>
      <c r="AF10" s="1011">
        <v>0</v>
      </c>
      <c r="AG10" s="1012"/>
      <c r="AH10" s="73" t="e">
        <f t="shared" ref="AH10:AH35" si="8">+AG10/AF10</f>
        <v>#DIV/0!</v>
      </c>
      <c r="AI10" s="1011">
        <v>0</v>
      </c>
      <c r="AJ10" s="1012"/>
      <c r="AK10" s="73" t="e">
        <f t="shared" ref="AK10:AK35" si="9">+AJ10/AI10</f>
        <v>#DIV/0!</v>
      </c>
      <c r="AL10" s="1011">
        <v>0</v>
      </c>
      <c r="AM10" s="1012"/>
      <c r="AN10" s="73" t="e">
        <f t="shared" ref="AN10:AN35" si="10">+AM10/AL10</f>
        <v>#DIV/0!</v>
      </c>
      <c r="AO10" s="1011"/>
      <c r="AP10" s="1012"/>
      <c r="AQ10" s="73" t="e">
        <f t="shared" ref="AQ10:AQ35" si="11">+AP10/AO10</f>
        <v>#DIV/0!</v>
      </c>
      <c r="AR10" s="1011">
        <v>0</v>
      </c>
      <c r="AS10" s="1012"/>
      <c r="AT10" s="73" t="e">
        <f t="shared" ref="AT10:AT35" si="12">+AS10/AR10</f>
        <v>#DIV/0!</v>
      </c>
      <c r="AU10" s="1011">
        <v>6</v>
      </c>
      <c r="AV10" s="1012">
        <v>3</v>
      </c>
      <c r="AW10" s="73">
        <f t="shared" ref="AW10" si="13">+AV10/AU10</f>
        <v>0.5</v>
      </c>
      <c r="AX10" s="1067">
        <f t="shared" ref="AX10" si="14">+M10+P10+S10+V10+Y10+AB10+AG10+AJ10+AM10+AP10+AS10+AV10</f>
        <v>3</v>
      </c>
      <c r="AY10" s="73">
        <f t="shared" ref="AY10" si="15">+AX10/G10</f>
        <v>1</v>
      </c>
    </row>
    <row r="11" spans="1:53" s="22" customFormat="1" ht="54.75" customHeight="1" thickTop="1" thickBot="1">
      <c r="A11" s="2846"/>
      <c r="B11" s="3029" t="s">
        <v>94</v>
      </c>
      <c r="C11" s="1068" t="s">
        <v>491</v>
      </c>
      <c r="D11" s="224" t="s">
        <v>96</v>
      </c>
      <c r="E11" s="133" t="s">
        <v>498</v>
      </c>
      <c r="F11" s="1069" t="s">
        <v>168</v>
      </c>
      <c r="G11" s="1070" t="s">
        <v>98</v>
      </c>
      <c r="H11" s="1070"/>
      <c r="I11" s="1070"/>
      <c r="J11" s="1070"/>
      <c r="K11" s="1069" t="s">
        <v>20</v>
      </c>
      <c r="L11" s="566" t="s">
        <v>98</v>
      </c>
      <c r="M11" s="1065"/>
      <c r="N11" s="73" t="e">
        <f>+M11/L11</f>
        <v>#VALUE!</v>
      </c>
      <c r="O11" s="566">
        <v>0</v>
      </c>
      <c r="P11" s="566"/>
      <c r="Q11" s="73" t="e">
        <f>+P11/O11</f>
        <v>#DIV/0!</v>
      </c>
      <c r="R11" s="566">
        <v>0</v>
      </c>
      <c r="S11" s="566"/>
      <c r="T11" s="73" t="e">
        <f>+S11/R11</f>
        <v>#DIV/0!</v>
      </c>
      <c r="U11" s="566">
        <v>0</v>
      </c>
      <c r="V11" s="566"/>
      <c r="W11" s="73" t="e">
        <f>+V11/U11</f>
        <v>#DIV/0!</v>
      </c>
      <c r="X11" s="566">
        <v>0</v>
      </c>
      <c r="Y11" s="566"/>
      <c r="Z11" s="73" t="e">
        <f>+Y11/X11</f>
        <v>#DIV/0!</v>
      </c>
      <c r="AA11" s="566">
        <v>0</v>
      </c>
      <c r="AB11" s="566"/>
      <c r="AC11" s="73" t="e">
        <f>+AB11/AA11</f>
        <v>#DIV/0!</v>
      </c>
      <c r="AD11" s="1065">
        <f>+AB11+Y11+V11+S11+P11+M11</f>
        <v>0</v>
      </c>
      <c r="AE11" s="73" t="e">
        <f>+AD11/G11</f>
        <v>#VALUE!</v>
      </c>
      <c r="AF11" s="566">
        <v>0</v>
      </c>
      <c r="AG11" s="566"/>
      <c r="AH11" s="73" t="e">
        <f>+AG11/AF11</f>
        <v>#DIV/0!</v>
      </c>
      <c r="AI11" s="566">
        <v>0</v>
      </c>
      <c r="AJ11" s="566"/>
      <c r="AK11" s="73" t="e">
        <f>+AJ11/AI11</f>
        <v>#DIV/0!</v>
      </c>
      <c r="AL11" s="566">
        <v>0</v>
      </c>
      <c r="AM11" s="566"/>
      <c r="AN11" s="73" t="e">
        <f>+AM11/AL11</f>
        <v>#DIV/0!</v>
      </c>
      <c r="AO11" s="566">
        <v>0</v>
      </c>
      <c r="AP11" s="566">
        <v>0</v>
      </c>
      <c r="AQ11" s="73" t="e">
        <f>+AP11/AO11</f>
        <v>#DIV/0!</v>
      </c>
      <c r="AR11" s="566">
        <v>0</v>
      </c>
      <c r="AS11" s="566"/>
      <c r="AT11" s="73" t="e">
        <f>+AS11/AR11</f>
        <v>#DIV/0!</v>
      </c>
      <c r="AU11" s="566">
        <v>100</v>
      </c>
      <c r="AV11" s="566">
        <v>100</v>
      </c>
      <c r="AW11" s="73">
        <f>+AV11/AU11</f>
        <v>1</v>
      </c>
      <c r="AX11" s="1065">
        <v>72507</v>
      </c>
      <c r="AY11" s="73">
        <v>1</v>
      </c>
    </row>
    <row r="12" spans="1:53" s="22" customFormat="1" ht="79.5" customHeight="1" thickTop="1" thickBot="1">
      <c r="A12" s="2846"/>
      <c r="B12" s="3030"/>
      <c r="C12" s="2967" t="s">
        <v>383</v>
      </c>
      <c r="D12" s="236" t="s">
        <v>99</v>
      </c>
      <c r="E12" s="137" t="s">
        <v>499</v>
      </c>
      <c r="F12" s="1071" t="s">
        <v>101</v>
      </c>
      <c r="G12" s="1072">
        <v>4900000000</v>
      </c>
      <c r="H12" s="1072"/>
      <c r="I12" s="1071"/>
      <c r="J12" s="1072"/>
      <c r="K12" s="1072" t="s">
        <v>500</v>
      </c>
      <c r="L12" s="923">
        <v>392000000</v>
      </c>
      <c r="M12" s="1073">
        <v>0</v>
      </c>
      <c r="N12" s="73">
        <f t="shared" si="1"/>
        <v>0</v>
      </c>
      <c r="O12" s="923">
        <v>392000000</v>
      </c>
      <c r="P12" s="923">
        <v>138600000</v>
      </c>
      <c r="Q12" s="73">
        <f t="shared" ref="Q12:Q35" si="16">+P12/O12</f>
        <v>0.35357142857142859</v>
      </c>
      <c r="R12" s="923">
        <v>392000000</v>
      </c>
      <c r="S12" s="923">
        <v>155691374</v>
      </c>
      <c r="T12" s="73">
        <f t="shared" si="2"/>
        <v>0.39717187244897961</v>
      </c>
      <c r="U12" s="923">
        <v>441000000</v>
      </c>
      <c r="V12" s="923">
        <v>49614000</v>
      </c>
      <c r="W12" s="73">
        <f t="shared" si="3"/>
        <v>0.11250340136054422</v>
      </c>
      <c r="X12" s="923">
        <v>490000000</v>
      </c>
      <c r="Y12" s="923">
        <v>272921000</v>
      </c>
      <c r="Z12" s="73">
        <f t="shared" si="4"/>
        <v>0.55698163265306122</v>
      </c>
      <c r="AA12" s="923">
        <v>490000000</v>
      </c>
      <c r="AB12" s="923">
        <v>373404589</v>
      </c>
      <c r="AC12" s="73">
        <f t="shared" ref="AC12:AC35" si="17">+AB12/AA12</f>
        <v>0.76205018163265303</v>
      </c>
      <c r="AD12" s="1073">
        <f t="shared" ref="AD12:AD39" si="18">+AB12+Y12+V12+S12+P12+M12</f>
        <v>990230963</v>
      </c>
      <c r="AE12" s="73">
        <f t="shared" ref="AE12:AE42" si="19">+AD12/G12</f>
        <v>0.20208795163265306</v>
      </c>
      <c r="AF12" s="923">
        <v>490000000</v>
      </c>
      <c r="AG12" s="923">
        <v>105382000</v>
      </c>
      <c r="AH12" s="73">
        <f t="shared" si="8"/>
        <v>0.21506530612244898</v>
      </c>
      <c r="AI12" s="923">
        <v>490000000</v>
      </c>
      <c r="AJ12" s="923">
        <v>61875000</v>
      </c>
      <c r="AK12" s="73">
        <f t="shared" si="9"/>
        <v>0.12627551020408162</v>
      </c>
      <c r="AL12" s="923">
        <v>490000000</v>
      </c>
      <c r="AM12" s="923">
        <v>754792923</v>
      </c>
      <c r="AN12" s="73">
        <f t="shared" si="10"/>
        <v>1.5403937204081632</v>
      </c>
      <c r="AO12" s="923">
        <v>490000000</v>
      </c>
      <c r="AP12" s="923">
        <v>318252000</v>
      </c>
      <c r="AQ12" s="73">
        <f t="shared" si="11"/>
        <v>0.64949387755102039</v>
      </c>
      <c r="AR12" s="923">
        <v>196000000</v>
      </c>
      <c r="AS12" s="923">
        <v>1215983647</v>
      </c>
      <c r="AT12" s="73">
        <f t="shared" si="12"/>
        <v>6.2039981989795923</v>
      </c>
      <c r="AU12" s="923">
        <v>147000000</v>
      </c>
      <c r="AV12" s="923">
        <v>269706519</v>
      </c>
      <c r="AW12" s="73">
        <f t="shared" ref="AW12:AW35" si="20">+AV12/AU12</f>
        <v>1.8347382244897958</v>
      </c>
      <c r="AX12" s="1073">
        <f t="shared" ref="AX12:AX35" si="21">+M12+P12+S12+V12+Y12+AB12+AG12+AJ12+AM12+AP12+AS12+AV12</f>
        <v>3716223052</v>
      </c>
      <c r="AY12" s="73">
        <f t="shared" ref="AY12:AY35" si="22">+AX12/G12</f>
        <v>0.75841286775510208</v>
      </c>
    </row>
    <row r="13" spans="1:53" s="22" customFormat="1" ht="35.25" customHeight="1" thickTop="1" thickBot="1">
      <c r="A13" s="2846"/>
      <c r="B13" s="3030"/>
      <c r="C13" s="2968"/>
      <c r="D13" s="224" t="s">
        <v>456</v>
      </c>
      <c r="E13" s="133" t="s">
        <v>302</v>
      </c>
      <c r="F13" s="1070" t="s">
        <v>101</v>
      </c>
      <c r="G13" s="1069">
        <v>23946429</v>
      </c>
      <c r="H13" s="1070"/>
      <c r="I13" s="1070"/>
      <c r="J13" s="1070"/>
      <c r="K13" s="1069" t="s">
        <v>196</v>
      </c>
      <c r="L13" s="566">
        <v>798214</v>
      </c>
      <c r="M13" s="1065">
        <v>0</v>
      </c>
      <c r="N13" s="73">
        <f t="shared" si="1"/>
        <v>0</v>
      </c>
      <c r="O13" s="566">
        <v>798214</v>
      </c>
      <c r="P13" s="566">
        <v>343000</v>
      </c>
      <c r="Q13" s="73">
        <f t="shared" si="16"/>
        <v>0.42970932607045226</v>
      </c>
      <c r="R13" s="566">
        <v>798214</v>
      </c>
      <c r="S13" s="566">
        <v>0</v>
      </c>
      <c r="T13" s="73">
        <f t="shared" si="2"/>
        <v>0</v>
      </c>
      <c r="U13" s="566">
        <v>3192857</v>
      </c>
      <c r="V13" s="566">
        <v>0</v>
      </c>
      <c r="W13" s="73">
        <f t="shared" si="3"/>
        <v>0</v>
      </c>
      <c r="X13" s="566">
        <v>3192857</v>
      </c>
      <c r="Y13" s="566">
        <v>0</v>
      </c>
      <c r="Z13" s="73">
        <f t="shared" si="4"/>
        <v>0</v>
      </c>
      <c r="AA13" s="566">
        <v>3192857</v>
      </c>
      <c r="AB13" s="566">
        <v>0</v>
      </c>
      <c r="AC13" s="73">
        <f t="shared" si="17"/>
        <v>0</v>
      </c>
      <c r="AD13" s="1065">
        <f t="shared" si="18"/>
        <v>343000</v>
      </c>
      <c r="AE13" s="73">
        <f t="shared" si="19"/>
        <v>1.4323638818965451E-2</v>
      </c>
      <c r="AF13" s="566">
        <v>3192857</v>
      </c>
      <c r="AG13" s="566">
        <v>2652000</v>
      </c>
      <c r="AH13" s="73">
        <f t="shared" si="8"/>
        <v>0.83060406400913034</v>
      </c>
      <c r="AI13" s="566">
        <v>3192857</v>
      </c>
      <c r="AJ13" s="566">
        <v>35927800</v>
      </c>
      <c r="AK13" s="73">
        <f t="shared" si="9"/>
        <v>11.252555313313437</v>
      </c>
      <c r="AL13" s="566">
        <v>3192857</v>
      </c>
      <c r="AM13" s="566">
        <v>1424000</v>
      </c>
      <c r="AN13" s="73">
        <f t="shared" si="10"/>
        <v>0.44599554568212735</v>
      </c>
      <c r="AO13" s="566">
        <v>798215</v>
      </c>
      <c r="AP13" s="566">
        <v>0</v>
      </c>
      <c r="AQ13" s="73">
        <f t="shared" si="11"/>
        <v>0</v>
      </c>
      <c r="AR13" s="566">
        <v>798215</v>
      </c>
      <c r="AS13" s="566">
        <v>5140000</v>
      </c>
      <c r="AT13" s="73">
        <f t="shared" si="12"/>
        <v>6.4393678394918661</v>
      </c>
      <c r="AU13" s="566">
        <v>798215</v>
      </c>
      <c r="AV13" s="566"/>
      <c r="AW13" s="73">
        <f t="shared" si="20"/>
        <v>0</v>
      </c>
      <c r="AX13" s="1065">
        <f t="shared" si="21"/>
        <v>45486800</v>
      </c>
      <c r="AY13" s="73">
        <f t="shared" si="22"/>
        <v>1.8995233067945121</v>
      </c>
    </row>
    <row r="14" spans="1:53" s="22" customFormat="1" ht="77.45" customHeight="1" thickTop="1" thickBot="1">
      <c r="A14" s="2846"/>
      <c r="B14" s="3030"/>
      <c r="C14" s="2968"/>
      <c r="D14" s="236" t="s">
        <v>102</v>
      </c>
      <c r="E14" s="137" t="s">
        <v>103</v>
      </c>
      <c r="F14" s="1071" t="s">
        <v>101</v>
      </c>
      <c r="G14" s="1072">
        <v>3700000000</v>
      </c>
      <c r="H14" s="1071"/>
      <c r="I14" s="1071"/>
      <c r="J14" s="1071"/>
      <c r="K14" s="1072" t="s">
        <v>500</v>
      </c>
      <c r="L14" s="923">
        <v>296000000</v>
      </c>
      <c r="M14" s="1073">
        <f>M12</f>
        <v>0</v>
      </c>
      <c r="N14" s="73">
        <f t="shared" si="1"/>
        <v>0</v>
      </c>
      <c r="O14" s="923">
        <v>296000000</v>
      </c>
      <c r="P14" s="923">
        <f>P12</f>
        <v>138600000</v>
      </c>
      <c r="Q14" s="73">
        <f t="shared" si="16"/>
        <v>0.46824324324324323</v>
      </c>
      <c r="R14" s="923">
        <v>296000000</v>
      </c>
      <c r="S14" s="923">
        <f>S12</f>
        <v>155691374</v>
      </c>
      <c r="T14" s="73">
        <f t="shared" si="2"/>
        <v>0.52598437162162159</v>
      </c>
      <c r="U14" s="923">
        <v>333000000</v>
      </c>
      <c r="V14" s="923">
        <f>V12</f>
        <v>49614000</v>
      </c>
      <c r="W14" s="73">
        <f t="shared" si="3"/>
        <v>0.148990990990991</v>
      </c>
      <c r="X14" s="923">
        <v>370000000</v>
      </c>
      <c r="Y14" s="923">
        <f>Y12</f>
        <v>272921000</v>
      </c>
      <c r="Z14" s="73">
        <f t="shared" si="4"/>
        <v>0.73762432432432434</v>
      </c>
      <c r="AA14" s="923">
        <v>370000000</v>
      </c>
      <c r="AB14" s="923">
        <f>AB12</f>
        <v>373404589</v>
      </c>
      <c r="AC14" s="73">
        <f t="shared" si="17"/>
        <v>1.009201591891892</v>
      </c>
      <c r="AD14" s="1073">
        <f t="shared" si="18"/>
        <v>990230963</v>
      </c>
      <c r="AE14" s="73">
        <f t="shared" si="19"/>
        <v>0.26762998999999998</v>
      </c>
      <c r="AF14" s="923">
        <v>370000000</v>
      </c>
      <c r="AG14" s="923">
        <f>AG12</f>
        <v>105382000</v>
      </c>
      <c r="AH14" s="73">
        <f t="shared" si="8"/>
        <v>0.28481621621621622</v>
      </c>
      <c r="AI14" s="923">
        <v>370000000</v>
      </c>
      <c r="AJ14" s="923">
        <f>AJ12</f>
        <v>61875000</v>
      </c>
      <c r="AK14" s="73">
        <f t="shared" si="9"/>
        <v>0.16722972972972974</v>
      </c>
      <c r="AL14" s="923">
        <v>370000000</v>
      </c>
      <c r="AM14" s="923">
        <f>AM12</f>
        <v>754792923</v>
      </c>
      <c r="AN14" s="73">
        <f t="shared" si="10"/>
        <v>2.0399808729729729</v>
      </c>
      <c r="AO14" s="923">
        <v>370000000</v>
      </c>
      <c r="AP14" s="923">
        <f>AP12</f>
        <v>318252000</v>
      </c>
      <c r="AQ14" s="73">
        <f t="shared" si="11"/>
        <v>0.86014054054054057</v>
      </c>
      <c r="AR14" s="923">
        <v>148000000</v>
      </c>
      <c r="AS14" s="923">
        <v>674346391</v>
      </c>
      <c r="AT14" s="73">
        <f t="shared" si="12"/>
        <v>4.5563945337837835</v>
      </c>
      <c r="AU14" s="923">
        <v>111000000</v>
      </c>
      <c r="AV14" s="923">
        <v>37262000</v>
      </c>
      <c r="AW14" s="73">
        <f t="shared" si="20"/>
        <v>0.33569369369369367</v>
      </c>
      <c r="AX14" s="1073">
        <f t="shared" si="21"/>
        <v>2942141277</v>
      </c>
      <c r="AY14" s="73">
        <f t="shared" si="22"/>
        <v>0.7951733181081081</v>
      </c>
    </row>
    <row r="15" spans="1:53" s="22" customFormat="1" ht="52.5" customHeight="1" thickTop="1" thickBot="1">
      <c r="A15" s="2846"/>
      <c r="B15" s="3030"/>
      <c r="C15" s="2968"/>
      <c r="D15" s="224" t="s">
        <v>403</v>
      </c>
      <c r="E15" s="133" t="s">
        <v>274</v>
      </c>
      <c r="F15" s="1070" t="s">
        <v>101</v>
      </c>
      <c r="G15" s="1069">
        <v>1200000</v>
      </c>
      <c r="H15" s="1070"/>
      <c r="I15" s="1070"/>
      <c r="J15" s="1070"/>
      <c r="K15" s="1069" t="s">
        <v>196</v>
      </c>
      <c r="L15" s="566">
        <v>40000</v>
      </c>
      <c r="M15" s="1065">
        <v>0</v>
      </c>
      <c r="N15" s="73">
        <f t="shared" si="1"/>
        <v>0</v>
      </c>
      <c r="O15" s="566">
        <v>40000</v>
      </c>
      <c r="P15" s="566">
        <v>343000</v>
      </c>
      <c r="Q15" s="73">
        <f t="shared" si="16"/>
        <v>8.5749999999999993</v>
      </c>
      <c r="R15" s="566">
        <v>40000</v>
      </c>
      <c r="S15" s="566"/>
      <c r="T15" s="73">
        <f t="shared" si="2"/>
        <v>0</v>
      </c>
      <c r="U15" s="566">
        <v>160000</v>
      </c>
      <c r="V15" s="566"/>
      <c r="W15" s="73">
        <f t="shared" si="3"/>
        <v>0</v>
      </c>
      <c r="X15" s="566">
        <v>160000</v>
      </c>
      <c r="Y15" s="566"/>
      <c r="Z15" s="73">
        <f t="shared" si="4"/>
        <v>0</v>
      </c>
      <c r="AA15" s="566">
        <v>160000</v>
      </c>
      <c r="AB15" s="566"/>
      <c r="AC15" s="73">
        <f t="shared" si="17"/>
        <v>0</v>
      </c>
      <c r="AD15" s="1065">
        <f t="shared" si="18"/>
        <v>343000</v>
      </c>
      <c r="AE15" s="73">
        <f t="shared" si="19"/>
        <v>0.28583333333333333</v>
      </c>
      <c r="AF15" s="566">
        <v>160000</v>
      </c>
      <c r="AG15" s="566">
        <v>2652000</v>
      </c>
      <c r="AH15" s="73">
        <f t="shared" si="8"/>
        <v>16.574999999999999</v>
      </c>
      <c r="AI15" s="566">
        <v>160000</v>
      </c>
      <c r="AJ15" s="566"/>
      <c r="AK15" s="73">
        <f t="shared" si="9"/>
        <v>0</v>
      </c>
      <c r="AL15" s="566">
        <v>160000</v>
      </c>
      <c r="AM15" s="566">
        <v>1424000</v>
      </c>
      <c r="AN15" s="73">
        <f t="shared" si="10"/>
        <v>8.9</v>
      </c>
      <c r="AO15" s="566">
        <v>40000</v>
      </c>
      <c r="AP15" s="566"/>
      <c r="AQ15" s="73">
        <f t="shared" si="11"/>
        <v>0</v>
      </c>
      <c r="AR15" s="566">
        <v>40000</v>
      </c>
      <c r="AS15" s="566"/>
      <c r="AT15" s="73">
        <f t="shared" si="12"/>
        <v>0</v>
      </c>
      <c r="AU15" s="566">
        <v>40000</v>
      </c>
      <c r="AV15" s="566"/>
      <c r="AW15" s="73">
        <f t="shared" si="20"/>
        <v>0</v>
      </c>
      <c r="AX15" s="1065">
        <f t="shared" si="21"/>
        <v>4419000</v>
      </c>
      <c r="AY15" s="73">
        <f t="shared" si="22"/>
        <v>3.6825000000000001</v>
      </c>
    </row>
    <row r="16" spans="1:53" s="22" customFormat="1" ht="50.45" customHeight="1" thickTop="1" thickBot="1">
      <c r="A16" s="2846"/>
      <c r="B16" s="3030"/>
      <c r="C16" s="2968"/>
      <c r="D16" s="236" t="s">
        <v>203</v>
      </c>
      <c r="E16" s="137" t="s">
        <v>274</v>
      </c>
      <c r="F16" s="1071" t="s">
        <v>101</v>
      </c>
      <c r="G16" s="1072">
        <v>5520000</v>
      </c>
      <c r="H16" s="1071"/>
      <c r="I16" s="1071"/>
      <c r="J16" s="1071"/>
      <c r="K16" s="1072" t="s">
        <v>196</v>
      </c>
      <c r="L16" s="923">
        <v>184000</v>
      </c>
      <c r="M16" s="1073"/>
      <c r="N16" s="73">
        <f t="shared" si="1"/>
        <v>0</v>
      </c>
      <c r="O16" s="923">
        <v>184000</v>
      </c>
      <c r="P16" s="923"/>
      <c r="Q16" s="73">
        <f t="shared" si="16"/>
        <v>0</v>
      </c>
      <c r="R16" s="923">
        <v>184000</v>
      </c>
      <c r="S16" s="923"/>
      <c r="T16" s="73">
        <f t="shared" si="2"/>
        <v>0</v>
      </c>
      <c r="U16" s="923">
        <v>736000</v>
      </c>
      <c r="V16" s="923"/>
      <c r="W16" s="73">
        <f t="shared" si="3"/>
        <v>0</v>
      </c>
      <c r="X16" s="923">
        <v>736000</v>
      </c>
      <c r="Y16" s="923"/>
      <c r="Z16" s="73">
        <f t="shared" si="4"/>
        <v>0</v>
      </c>
      <c r="AA16" s="923">
        <v>736000</v>
      </c>
      <c r="AB16" s="923"/>
      <c r="AC16" s="73">
        <f t="shared" si="17"/>
        <v>0</v>
      </c>
      <c r="AD16" s="1073">
        <f t="shared" si="18"/>
        <v>0</v>
      </c>
      <c r="AE16" s="73">
        <f t="shared" si="19"/>
        <v>0</v>
      </c>
      <c r="AF16" s="923">
        <v>736000</v>
      </c>
      <c r="AG16" s="923"/>
      <c r="AH16" s="73">
        <f t="shared" si="8"/>
        <v>0</v>
      </c>
      <c r="AI16" s="923">
        <v>736000</v>
      </c>
      <c r="AJ16" s="923">
        <v>35927800</v>
      </c>
      <c r="AK16" s="73">
        <f t="shared" si="9"/>
        <v>48.814945652173911</v>
      </c>
      <c r="AL16" s="923">
        <v>736000</v>
      </c>
      <c r="AM16" s="923"/>
      <c r="AN16" s="73">
        <f t="shared" si="10"/>
        <v>0</v>
      </c>
      <c r="AO16" s="923">
        <v>184000</v>
      </c>
      <c r="AP16" s="923"/>
      <c r="AQ16" s="73">
        <f t="shared" si="11"/>
        <v>0</v>
      </c>
      <c r="AR16" s="923">
        <v>184000</v>
      </c>
      <c r="AS16" s="923">
        <v>5140500</v>
      </c>
      <c r="AT16" s="73">
        <f t="shared" si="12"/>
        <v>27.9375</v>
      </c>
      <c r="AU16" s="923">
        <v>184000</v>
      </c>
      <c r="AV16" s="923"/>
      <c r="AW16" s="73">
        <f t="shared" si="20"/>
        <v>0</v>
      </c>
      <c r="AX16" s="1073">
        <f t="shared" si="21"/>
        <v>41068300</v>
      </c>
      <c r="AY16" s="73">
        <f t="shared" si="22"/>
        <v>7.4399094202898555</v>
      </c>
    </row>
    <row r="17" spans="1:51" s="22" customFormat="1" ht="76.5" thickTop="1" thickBot="1">
      <c r="A17" s="2846"/>
      <c r="B17" s="3030"/>
      <c r="C17" s="2968"/>
      <c r="D17" s="224" t="s">
        <v>104</v>
      </c>
      <c r="E17" s="133" t="s">
        <v>105</v>
      </c>
      <c r="F17" s="1074" t="s">
        <v>24</v>
      </c>
      <c r="G17" s="1074">
        <v>12</v>
      </c>
      <c r="H17" s="1074"/>
      <c r="I17" s="1074"/>
      <c r="J17" s="1074"/>
      <c r="K17" s="1074" t="s">
        <v>500</v>
      </c>
      <c r="L17" s="870">
        <v>0</v>
      </c>
      <c r="M17" s="870"/>
      <c r="N17" s="73" t="e">
        <f t="shared" si="1"/>
        <v>#DIV/0!</v>
      </c>
      <c r="O17" s="870">
        <v>0</v>
      </c>
      <c r="P17" s="870"/>
      <c r="Q17" s="73" t="e">
        <f t="shared" si="16"/>
        <v>#DIV/0!</v>
      </c>
      <c r="R17" s="870">
        <v>3</v>
      </c>
      <c r="S17" s="870">
        <v>0</v>
      </c>
      <c r="T17" s="73">
        <f t="shared" si="2"/>
        <v>0</v>
      </c>
      <c r="U17" s="870">
        <v>0</v>
      </c>
      <c r="V17" s="870"/>
      <c r="W17" s="73" t="e">
        <f t="shared" si="3"/>
        <v>#DIV/0!</v>
      </c>
      <c r="X17" s="870">
        <v>0</v>
      </c>
      <c r="Y17" s="870"/>
      <c r="Z17" s="73" t="e">
        <f t="shared" si="4"/>
        <v>#DIV/0!</v>
      </c>
      <c r="AA17" s="870">
        <v>3</v>
      </c>
      <c r="AB17" s="870">
        <v>0</v>
      </c>
      <c r="AC17" s="73">
        <f t="shared" si="17"/>
        <v>0</v>
      </c>
      <c r="AD17" s="870">
        <f>+AB17+S17</f>
        <v>0</v>
      </c>
      <c r="AE17" s="73">
        <f t="shared" si="19"/>
        <v>0</v>
      </c>
      <c r="AF17" s="870">
        <v>0</v>
      </c>
      <c r="AG17" s="870"/>
      <c r="AH17" s="73" t="e">
        <f t="shared" si="8"/>
        <v>#DIV/0!</v>
      </c>
      <c r="AI17" s="870">
        <v>0</v>
      </c>
      <c r="AJ17" s="870"/>
      <c r="AK17" s="73" t="e">
        <f t="shared" si="9"/>
        <v>#DIV/0!</v>
      </c>
      <c r="AL17" s="870">
        <v>3</v>
      </c>
      <c r="AM17" s="870">
        <v>0</v>
      </c>
      <c r="AN17" s="73">
        <f t="shared" si="10"/>
        <v>0</v>
      </c>
      <c r="AO17" s="870">
        <v>0</v>
      </c>
      <c r="AP17" s="870">
        <v>0</v>
      </c>
      <c r="AQ17" s="73" t="e">
        <f t="shared" si="11"/>
        <v>#DIV/0!</v>
      </c>
      <c r="AR17" s="870">
        <v>0</v>
      </c>
      <c r="AS17" s="870"/>
      <c r="AT17" s="73" t="e">
        <f t="shared" si="12"/>
        <v>#DIV/0!</v>
      </c>
      <c r="AU17" s="870">
        <v>3</v>
      </c>
      <c r="AV17" s="870">
        <v>0</v>
      </c>
      <c r="AW17" s="73">
        <f t="shared" si="20"/>
        <v>0</v>
      </c>
      <c r="AX17" s="870">
        <f>+AV17+AM17+AB17+S17</f>
        <v>0</v>
      </c>
      <c r="AY17" s="73">
        <f t="shared" si="22"/>
        <v>0</v>
      </c>
    </row>
    <row r="18" spans="1:51" s="22" customFormat="1" ht="76.5" thickTop="1" thickBot="1">
      <c r="A18" s="2846"/>
      <c r="B18" s="3030"/>
      <c r="C18" s="2969"/>
      <c r="D18" s="236" t="s">
        <v>106</v>
      </c>
      <c r="E18" s="137" t="s">
        <v>173</v>
      </c>
      <c r="F18" s="1075" t="s">
        <v>24</v>
      </c>
      <c r="G18" s="1076">
        <v>25</v>
      </c>
      <c r="H18" s="1075"/>
      <c r="I18" s="1075"/>
      <c r="J18" s="1075"/>
      <c r="K18" s="1076" t="s">
        <v>500</v>
      </c>
      <c r="L18" s="870">
        <v>0</v>
      </c>
      <c r="M18" s="870"/>
      <c r="N18" s="73" t="e">
        <f t="shared" si="1"/>
        <v>#DIV/0!</v>
      </c>
      <c r="O18" s="870">
        <v>0</v>
      </c>
      <c r="P18" s="870"/>
      <c r="Q18" s="73" t="e">
        <f t="shared" si="16"/>
        <v>#DIV/0!</v>
      </c>
      <c r="R18" s="870">
        <v>0</v>
      </c>
      <c r="S18" s="870"/>
      <c r="T18" s="73" t="e">
        <f t="shared" si="2"/>
        <v>#DIV/0!</v>
      </c>
      <c r="U18" s="870">
        <v>0</v>
      </c>
      <c r="V18" s="870"/>
      <c r="W18" s="73" t="e">
        <f t="shared" si="3"/>
        <v>#DIV/0!</v>
      </c>
      <c r="X18" s="870">
        <v>0</v>
      </c>
      <c r="Y18" s="870">
        <v>0</v>
      </c>
      <c r="Z18" s="73" t="e">
        <f t="shared" si="4"/>
        <v>#DIV/0!</v>
      </c>
      <c r="AA18" s="870">
        <v>0</v>
      </c>
      <c r="AB18" s="870">
        <v>0</v>
      </c>
      <c r="AC18" s="73" t="e">
        <f t="shared" si="17"/>
        <v>#DIV/0!</v>
      </c>
      <c r="AD18" s="870">
        <v>0</v>
      </c>
      <c r="AE18" s="73">
        <f t="shared" si="19"/>
        <v>0</v>
      </c>
      <c r="AF18" s="870">
        <v>13</v>
      </c>
      <c r="AG18" s="870">
        <v>9</v>
      </c>
      <c r="AH18" s="73">
        <f t="shared" si="8"/>
        <v>0.69230769230769229</v>
      </c>
      <c r="AI18" s="870">
        <v>0</v>
      </c>
      <c r="AJ18" s="870"/>
      <c r="AK18" s="73" t="e">
        <f t="shared" si="9"/>
        <v>#DIV/0!</v>
      </c>
      <c r="AL18" s="870">
        <v>0</v>
      </c>
      <c r="AM18" s="870">
        <v>0</v>
      </c>
      <c r="AN18" s="73" t="e">
        <f t="shared" si="10"/>
        <v>#DIV/0!</v>
      </c>
      <c r="AO18" s="870">
        <v>0</v>
      </c>
      <c r="AP18" s="870">
        <v>0</v>
      </c>
      <c r="AQ18" s="73" t="e">
        <f t="shared" si="11"/>
        <v>#DIV/0!</v>
      </c>
      <c r="AR18" s="870">
        <v>0</v>
      </c>
      <c r="AS18" s="870"/>
      <c r="AT18" s="73" t="e">
        <f t="shared" si="12"/>
        <v>#DIV/0!</v>
      </c>
      <c r="AU18" s="870">
        <v>12</v>
      </c>
      <c r="AV18" s="870">
        <v>11</v>
      </c>
      <c r="AW18" s="73">
        <f t="shared" si="20"/>
        <v>0.91666666666666663</v>
      </c>
      <c r="AX18" s="870">
        <f>+AV18+AG18</f>
        <v>20</v>
      </c>
      <c r="AY18" s="73">
        <f t="shared" si="22"/>
        <v>0.8</v>
      </c>
    </row>
    <row r="19" spans="1:51" s="22" customFormat="1" ht="46.5" thickTop="1" thickBot="1">
      <c r="A19" s="2846"/>
      <c r="B19" s="3030"/>
      <c r="C19" s="133" t="s">
        <v>360</v>
      </c>
      <c r="D19" s="224" t="s">
        <v>109</v>
      </c>
      <c r="E19" s="133" t="s">
        <v>110</v>
      </c>
      <c r="F19" s="133" t="s">
        <v>168</v>
      </c>
      <c r="G19" s="1070">
        <v>18929</v>
      </c>
      <c r="H19" s="1070"/>
      <c r="I19" s="1070"/>
      <c r="J19" s="1070"/>
      <c r="K19" s="1069" t="s">
        <v>21</v>
      </c>
      <c r="L19" s="1077">
        <v>2193</v>
      </c>
      <c r="M19" s="1070">
        <v>2801.3</v>
      </c>
      <c r="N19" s="1078">
        <v>1.28</v>
      </c>
      <c r="O19" s="1077">
        <v>1505</v>
      </c>
      <c r="P19" s="1077">
        <v>1918.2</v>
      </c>
      <c r="Q19" s="1078">
        <v>1.27</v>
      </c>
      <c r="R19" s="1077">
        <v>1572</v>
      </c>
      <c r="S19" s="1077">
        <v>1708.8</v>
      </c>
      <c r="T19" s="1079">
        <v>1.0900000000000001</v>
      </c>
      <c r="U19" s="1077">
        <v>1501</v>
      </c>
      <c r="V19" s="1077">
        <v>890.4</v>
      </c>
      <c r="W19" s="1080">
        <v>0.59</v>
      </c>
      <c r="X19" s="1077">
        <v>2004</v>
      </c>
      <c r="Y19" s="1077">
        <v>2021.6</v>
      </c>
      <c r="Z19" s="1079">
        <v>1.01</v>
      </c>
      <c r="AA19" s="1077">
        <v>1308</v>
      </c>
      <c r="AB19" s="1077">
        <v>968.6</v>
      </c>
      <c r="AC19" s="1081">
        <v>0.74</v>
      </c>
      <c r="AD19" s="1077">
        <f>+AB19+Y19+V19+S19+P19+M19</f>
        <v>10308.9</v>
      </c>
      <c r="AE19" s="1080">
        <v>0.54</v>
      </c>
      <c r="AF19" s="1077">
        <v>1372</v>
      </c>
      <c r="AG19" s="1077">
        <v>1565.3</v>
      </c>
      <c r="AH19" s="1078">
        <v>1.1399999999999999</v>
      </c>
      <c r="AI19" s="1077">
        <v>1500</v>
      </c>
      <c r="AJ19" s="1077">
        <v>937.4</v>
      </c>
      <c r="AK19" s="1080">
        <v>0.62</v>
      </c>
      <c r="AL19" s="1082">
        <v>1943</v>
      </c>
      <c r="AM19" s="1082">
        <v>1492.2</v>
      </c>
      <c r="AN19" s="1081">
        <v>0.77</v>
      </c>
      <c r="AO19" s="1082">
        <v>1608</v>
      </c>
      <c r="AP19" s="1082">
        <v>1110.0999999999999</v>
      </c>
      <c r="AQ19" s="1080">
        <v>0.69</v>
      </c>
      <c r="AR19" s="1082">
        <v>1419</v>
      </c>
      <c r="AS19" s="1082">
        <v>1166.2</v>
      </c>
      <c r="AT19" s="1081">
        <v>0.82</v>
      </c>
      <c r="AU19" s="1082">
        <v>999</v>
      </c>
      <c r="AV19" s="1082">
        <v>1784.9</v>
      </c>
      <c r="AW19" s="1078">
        <v>1.79</v>
      </c>
      <c r="AX19" s="1082">
        <f>+AV19+AS19+AP19+AM19+AJ19+AG19+AD19</f>
        <v>18365</v>
      </c>
      <c r="AY19" s="1081">
        <v>0.97</v>
      </c>
    </row>
    <row r="20" spans="1:51" s="22" customFormat="1" ht="46.5" thickTop="1" thickBot="1">
      <c r="A20" s="2846"/>
      <c r="B20" s="3030"/>
      <c r="C20" s="137" t="s">
        <v>362</v>
      </c>
      <c r="D20" s="236" t="s">
        <v>111</v>
      </c>
      <c r="E20" s="137" t="s">
        <v>112</v>
      </c>
      <c r="F20" s="1083" t="s">
        <v>17</v>
      </c>
      <c r="G20" s="1075">
        <v>71</v>
      </c>
      <c r="H20" s="1075"/>
      <c r="I20" s="1075"/>
      <c r="J20" s="1075"/>
      <c r="K20" s="1076" t="s">
        <v>20</v>
      </c>
      <c r="L20" s="870">
        <v>0</v>
      </c>
      <c r="M20" s="870">
        <v>0</v>
      </c>
      <c r="N20" s="73" t="e">
        <f t="shared" si="1"/>
        <v>#DIV/0!</v>
      </c>
      <c r="O20" s="870">
        <v>0</v>
      </c>
      <c r="P20" s="870">
        <v>0</v>
      </c>
      <c r="Q20" s="73" t="e">
        <f t="shared" si="16"/>
        <v>#DIV/0!</v>
      </c>
      <c r="R20" s="870">
        <v>0</v>
      </c>
      <c r="S20" s="870">
        <v>0</v>
      </c>
      <c r="T20" s="73" t="e">
        <f t="shared" si="2"/>
        <v>#DIV/0!</v>
      </c>
      <c r="U20" s="870">
        <v>0</v>
      </c>
      <c r="V20" s="870">
        <v>0</v>
      </c>
      <c r="W20" s="73" t="e">
        <f t="shared" si="3"/>
        <v>#DIV/0!</v>
      </c>
      <c r="X20" s="870">
        <v>0</v>
      </c>
      <c r="Y20" s="870">
        <v>0</v>
      </c>
      <c r="Z20" s="73" t="e">
        <f t="shared" si="4"/>
        <v>#DIV/0!</v>
      </c>
      <c r="AA20" s="870">
        <v>0</v>
      </c>
      <c r="AB20" s="870">
        <v>0</v>
      </c>
      <c r="AC20" s="73" t="e">
        <f t="shared" si="17"/>
        <v>#DIV/0!</v>
      </c>
      <c r="AD20" s="870">
        <f t="shared" si="18"/>
        <v>0</v>
      </c>
      <c r="AE20" s="73">
        <f t="shared" si="19"/>
        <v>0</v>
      </c>
      <c r="AF20" s="870">
        <v>0</v>
      </c>
      <c r="AG20" s="870">
        <v>0</v>
      </c>
      <c r="AH20" s="73" t="e">
        <f t="shared" si="8"/>
        <v>#DIV/0!</v>
      </c>
      <c r="AI20" s="870">
        <v>0</v>
      </c>
      <c r="AJ20" s="870">
        <v>0</v>
      </c>
      <c r="AK20" s="73" t="e">
        <f t="shared" si="9"/>
        <v>#DIV/0!</v>
      </c>
      <c r="AL20" s="870">
        <v>0</v>
      </c>
      <c r="AM20" s="870">
        <v>0</v>
      </c>
      <c r="AN20" s="73" t="e">
        <f t="shared" si="10"/>
        <v>#DIV/0!</v>
      </c>
      <c r="AO20" s="870">
        <v>0</v>
      </c>
      <c r="AP20" s="870">
        <v>0</v>
      </c>
      <c r="AQ20" s="73" t="e">
        <f t="shared" si="11"/>
        <v>#DIV/0!</v>
      </c>
      <c r="AR20" s="870">
        <v>0</v>
      </c>
      <c r="AS20" s="870">
        <v>0</v>
      </c>
      <c r="AT20" s="73" t="e">
        <f t="shared" si="12"/>
        <v>#DIV/0!</v>
      </c>
      <c r="AU20" s="870">
        <v>71</v>
      </c>
      <c r="AV20" s="870">
        <v>20</v>
      </c>
      <c r="AW20" s="73">
        <f t="shared" si="20"/>
        <v>0.28169014084507044</v>
      </c>
      <c r="AX20" s="870">
        <v>0</v>
      </c>
      <c r="AY20" s="73">
        <v>0.28000000000000003</v>
      </c>
    </row>
    <row r="21" spans="1:51" s="22" customFormat="1" ht="60.75" customHeight="1" thickTop="1" thickBot="1">
      <c r="A21" s="2846"/>
      <c r="B21" s="3030"/>
      <c r="C21" s="133" t="s">
        <v>501</v>
      </c>
      <c r="D21" s="224" t="s">
        <v>114</v>
      </c>
      <c r="E21" s="133" t="s">
        <v>502</v>
      </c>
      <c r="F21" s="126" t="s">
        <v>10</v>
      </c>
      <c r="G21" s="1084">
        <v>1</v>
      </c>
      <c r="H21" s="1084"/>
      <c r="I21" s="1084"/>
      <c r="J21" s="1084"/>
      <c r="K21" s="357" t="s">
        <v>20</v>
      </c>
      <c r="L21" s="596"/>
      <c r="M21" s="596"/>
      <c r="N21" s="73" t="e">
        <f t="shared" si="1"/>
        <v>#DIV/0!</v>
      </c>
      <c r="O21" s="596"/>
      <c r="P21" s="596"/>
      <c r="Q21" s="73" t="e">
        <f t="shared" si="16"/>
        <v>#DIV/0!</v>
      </c>
      <c r="R21" s="596">
        <v>1</v>
      </c>
      <c r="S21" s="596"/>
      <c r="T21" s="73">
        <f t="shared" si="2"/>
        <v>0</v>
      </c>
      <c r="U21" s="596">
        <v>0</v>
      </c>
      <c r="V21" s="596"/>
      <c r="W21" s="73" t="e">
        <f t="shared" si="3"/>
        <v>#DIV/0!</v>
      </c>
      <c r="X21" s="596">
        <v>0</v>
      </c>
      <c r="Y21" s="596"/>
      <c r="Z21" s="73" t="e">
        <f t="shared" si="4"/>
        <v>#DIV/0!</v>
      </c>
      <c r="AA21" s="596">
        <v>1</v>
      </c>
      <c r="AB21" s="596"/>
      <c r="AC21" s="73">
        <f t="shared" si="17"/>
        <v>0</v>
      </c>
      <c r="AD21" s="596">
        <f t="shared" si="18"/>
        <v>0</v>
      </c>
      <c r="AE21" s="73">
        <f t="shared" si="19"/>
        <v>0</v>
      </c>
      <c r="AF21" s="596">
        <v>0</v>
      </c>
      <c r="AG21" s="596"/>
      <c r="AH21" s="73" t="e">
        <f t="shared" si="8"/>
        <v>#DIV/0!</v>
      </c>
      <c r="AI21" s="596">
        <v>0</v>
      </c>
      <c r="AJ21" s="596"/>
      <c r="AK21" s="73" t="e">
        <f t="shared" si="9"/>
        <v>#DIV/0!</v>
      </c>
      <c r="AL21" s="596">
        <v>1</v>
      </c>
      <c r="AM21" s="596"/>
      <c r="AN21" s="73">
        <f t="shared" si="10"/>
        <v>0</v>
      </c>
      <c r="AO21" s="596">
        <v>0</v>
      </c>
      <c r="AP21" s="596"/>
      <c r="AQ21" s="73" t="e">
        <f t="shared" si="11"/>
        <v>#DIV/0!</v>
      </c>
      <c r="AR21" s="596">
        <v>0</v>
      </c>
      <c r="AS21" s="596"/>
      <c r="AT21" s="73" t="e">
        <f t="shared" si="12"/>
        <v>#DIV/0!</v>
      </c>
      <c r="AU21" s="596">
        <v>1</v>
      </c>
      <c r="AV21" s="596">
        <v>1</v>
      </c>
      <c r="AW21" s="73">
        <f t="shared" si="20"/>
        <v>1</v>
      </c>
      <c r="AX21" s="596">
        <f t="shared" si="21"/>
        <v>1</v>
      </c>
      <c r="AY21" s="73">
        <f t="shared" si="22"/>
        <v>1</v>
      </c>
    </row>
    <row r="22" spans="1:51" s="22" customFormat="1" ht="99.75" customHeight="1" thickTop="1" thickBot="1">
      <c r="A22" s="2846"/>
      <c r="B22" s="3030"/>
      <c r="C22" s="2967" t="s">
        <v>503</v>
      </c>
      <c r="D22" s="236" t="s">
        <v>205</v>
      </c>
      <c r="E22" s="137" t="s">
        <v>206</v>
      </c>
      <c r="F22" s="1083" t="s">
        <v>24</v>
      </c>
      <c r="G22" s="1076">
        <v>6</v>
      </c>
      <c r="H22" s="1075"/>
      <c r="I22" s="1075"/>
      <c r="J22" s="1075"/>
      <c r="K22" s="1076" t="s">
        <v>196</v>
      </c>
      <c r="L22" s="870">
        <v>0</v>
      </c>
      <c r="M22" s="870"/>
      <c r="N22" s="73" t="e">
        <f t="shared" si="1"/>
        <v>#DIV/0!</v>
      </c>
      <c r="O22" s="870">
        <v>0</v>
      </c>
      <c r="P22" s="870"/>
      <c r="Q22" s="73" t="e">
        <f t="shared" si="16"/>
        <v>#DIV/0!</v>
      </c>
      <c r="R22" s="870">
        <v>0</v>
      </c>
      <c r="S22" s="870"/>
      <c r="T22" s="73" t="e">
        <f t="shared" si="2"/>
        <v>#DIV/0!</v>
      </c>
      <c r="U22" s="870">
        <v>0</v>
      </c>
      <c r="V22" s="870"/>
      <c r="W22" s="73" t="e">
        <f t="shared" si="3"/>
        <v>#DIV/0!</v>
      </c>
      <c r="X22" s="870">
        <v>3</v>
      </c>
      <c r="Y22" s="870"/>
      <c r="Z22" s="73">
        <f t="shared" si="4"/>
        <v>0</v>
      </c>
      <c r="AA22" s="870">
        <v>0</v>
      </c>
      <c r="AB22" s="870"/>
      <c r="AC22" s="73" t="e">
        <f t="shared" si="17"/>
        <v>#DIV/0!</v>
      </c>
      <c r="AD22" s="1085">
        <f t="shared" si="18"/>
        <v>0</v>
      </c>
      <c r="AE22" s="73">
        <f t="shared" si="19"/>
        <v>0</v>
      </c>
      <c r="AF22" s="870">
        <v>0</v>
      </c>
      <c r="AG22" s="870"/>
      <c r="AH22" s="73" t="e">
        <f t="shared" si="8"/>
        <v>#DIV/0!</v>
      </c>
      <c r="AI22" s="870">
        <v>0</v>
      </c>
      <c r="AJ22" s="870"/>
      <c r="AK22" s="73" t="e">
        <f t="shared" si="9"/>
        <v>#DIV/0!</v>
      </c>
      <c r="AL22" s="870">
        <v>3</v>
      </c>
      <c r="AM22" s="870"/>
      <c r="AN22" s="73">
        <f t="shared" si="10"/>
        <v>0</v>
      </c>
      <c r="AO22" s="870">
        <v>0</v>
      </c>
      <c r="AP22" s="870"/>
      <c r="AQ22" s="73" t="e">
        <f t="shared" si="11"/>
        <v>#DIV/0!</v>
      </c>
      <c r="AR22" s="870">
        <v>0</v>
      </c>
      <c r="AS22" s="870"/>
      <c r="AT22" s="73" t="e">
        <f t="shared" si="12"/>
        <v>#DIV/0!</v>
      </c>
      <c r="AU22" s="870">
        <v>0</v>
      </c>
      <c r="AV22" s="870"/>
      <c r="AW22" s="73" t="e">
        <f t="shared" si="20"/>
        <v>#DIV/0!</v>
      </c>
      <c r="AX22" s="870">
        <f t="shared" si="21"/>
        <v>0</v>
      </c>
      <c r="AY22" s="73">
        <f t="shared" si="22"/>
        <v>0</v>
      </c>
    </row>
    <row r="23" spans="1:51" s="22" customFormat="1" ht="42.75" customHeight="1" thickTop="1" thickBot="1">
      <c r="A23" s="2846"/>
      <c r="B23" s="3030"/>
      <c r="C23" s="2968"/>
      <c r="D23" s="224" t="s">
        <v>207</v>
      </c>
      <c r="E23" s="133" t="s">
        <v>504</v>
      </c>
      <c r="F23" s="126" t="s">
        <v>24</v>
      </c>
      <c r="G23" s="1074">
        <v>20</v>
      </c>
      <c r="H23" s="1086"/>
      <c r="I23" s="1086"/>
      <c r="J23" s="1086"/>
      <c r="K23" s="1074" t="s">
        <v>196</v>
      </c>
      <c r="L23" s="782">
        <v>0</v>
      </c>
      <c r="M23" s="782"/>
      <c r="N23" s="73" t="e">
        <f t="shared" si="1"/>
        <v>#DIV/0!</v>
      </c>
      <c r="O23" s="782">
        <v>0</v>
      </c>
      <c r="P23" s="782"/>
      <c r="Q23" s="73" t="e">
        <f t="shared" si="16"/>
        <v>#DIV/0!</v>
      </c>
      <c r="R23" s="782">
        <v>0</v>
      </c>
      <c r="S23" s="782"/>
      <c r="T23" s="73" t="e">
        <f t="shared" si="2"/>
        <v>#DIV/0!</v>
      </c>
      <c r="U23" s="782">
        <v>0</v>
      </c>
      <c r="V23" s="782"/>
      <c r="W23" s="73" t="e">
        <f t="shared" si="3"/>
        <v>#DIV/0!</v>
      </c>
      <c r="X23" s="782">
        <v>10</v>
      </c>
      <c r="Y23" s="782"/>
      <c r="Z23" s="73">
        <f t="shared" si="4"/>
        <v>0</v>
      </c>
      <c r="AA23" s="782">
        <v>0</v>
      </c>
      <c r="AB23" s="782"/>
      <c r="AC23" s="73" t="e">
        <f t="shared" si="17"/>
        <v>#DIV/0!</v>
      </c>
      <c r="AD23" s="1087">
        <f t="shared" si="18"/>
        <v>0</v>
      </c>
      <c r="AE23" s="73">
        <f t="shared" si="19"/>
        <v>0</v>
      </c>
      <c r="AF23" s="782">
        <v>0</v>
      </c>
      <c r="AG23" s="782"/>
      <c r="AH23" s="73" t="e">
        <f t="shared" si="8"/>
        <v>#DIV/0!</v>
      </c>
      <c r="AI23" s="782">
        <v>0</v>
      </c>
      <c r="AJ23" s="782"/>
      <c r="AK23" s="73" t="e">
        <f t="shared" si="9"/>
        <v>#DIV/0!</v>
      </c>
      <c r="AL23" s="782">
        <v>0</v>
      </c>
      <c r="AM23" s="782"/>
      <c r="AN23" s="73" t="e">
        <f t="shared" si="10"/>
        <v>#DIV/0!</v>
      </c>
      <c r="AO23" s="782">
        <v>10</v>
      </c>
      <c r="AP23" s="782"/>
      <c r="AQ23" s="73">
        <f t="shared" si="11"/>
        <v>0</v>
      </c>
      <c r="AR23" s="782">
        <v>0</v>
      </c>
      <c r="AS23" s="782"/>
      <c r="AT23" s="73" t="e">
        <f t="shared" si="12"/>
        <v>#DIV/0!</v>
      </c>
      <c r="AU23" s="782">
        <v>0</v>
      </c>
      <c r="AV23" s="782"/>
      <c r="AW23" s="73" t="e">
        <f t="shared" si="20"/>
        <v>#DIV/0!</v>
      </c>
      <c r="AX23" s="782">
        <f t="shared" si="21"/>
        <v>0</v>
      </c>
      <c r="AY23" s="73">
        <f t="shared" si="22"/>
        <v>0</v>
      </c>
    </row>
    <row r="24" spans="1:51" s="1091" customFormat="1" ht="72" customHeight="1" thickTop="1" thickBot="1">
      <c r="A24" s="2846"/>
      <c r="B24" s="3030"/>
      <c r="C24" s="2969"/>
      <c r="D24" s="1088" t="s">
        <v>505</v>
      </c>
      <c r="E24" s="1089" t="s">
        <v>209</v>
      </c>
      <c r="F24" s="1090" t="s">
        <v>10</v>
      </c>
      <c r="G24" s="1089">
        <v>1</v>
      </c>
      <c r="H24" s="1090"/>
      <c r="I24" s="1090"/>
      <c r="J24" s="1090"/>
      <c r="K24" s="357" t="s">
        <v>196</v>
      </c>
      <c r="L24" s="249">
        <v>1</v>
      </c>
      <c r="M24" s="249">
        <v>0</v>
      </c>
      <c r="N24" s="73">
        <f t="shared" si="1"/>
        <v>0</v>
      </c>
      <c r="O24" s="249">
        <v>1</v>
      </c>
      <c r="P24" s="249">
        <v>0</v>
      </c>
      <c r="Q24" s="73">
        <f t="shared" si="16"/>
        <v>0</v>
      </c>
      <c r="R24" s="249">
        <v>1</v>
      </c>
      <c r="S24" s="249">
        <v>0</v>
      </c>
      <c r="T24" s="73">
        <f t="shared" si="2"/>
        <v>0</v>
      </c>
      <c r="U24" s="249">
        <v>1</v>
      </c>
      <c r="V24" s="249">
        <v>0</v>
      </c>
      <c r="W24" s="73">
        <f t="shared" si="3"/>
        <v>0</v>
      </c>
      <c r="X24" s="249">
        <v>1</v>
      </c>
      <c r="Y24" s="249">
        <v>0</v>
      </c>
      <c r="Z24" s="73">
        <f t="shared" si="4"/>
        <v>0</v>
      </c>
      <c r="AA24" s="249">
        <v>1</v>
      </c>
      <c r="AB24" s="249">
        <v>0</v>
      </c>
      <c r="AC24" s="73">
        <f t="shared" si="17"/>
        <v>0</v>
      </c>
      <c r="AD24" s="249">
        <v>1</v>
      </c>
      <c r="AE24" s="73">
        <v>0</v>
      </c>
      <c r="AF24" s="249">
        <v>1</v>
      </c>
      <c r="AG24" s="249">
        <v>0.14280000000000001</v>
      </c>
      <c r="AH24" s="73">
        <f t="shared" si="8"/>
        <v>0.14280000000000001</v>
      </c>
      <c r="AI24" s="249">
        <v>1</v>
      </c>
      <c r="AJ24" s="249">
        <v>0</v>
      </c>
      <c r="AK24" s="73">
        <f t="shared" si="9"/>
        <v>0</v>
      </c>
      <c r="AL24" s="249">
        <v>1</v>
      </c>
      <c r="AM24" s="249">
        <v>0.1666</v>
      </c>
      <c r="AN24" s="73">
        <f t="shared" si="10"/>
        <v>0.1666</v>
      </c>
      <c r="AO24" s="249">
        <v>1</v>
      </c>
      <c r="AP24" s="249">
        <v>0</v>
      </c>
      <c r="AQ24" s="73">
        <f t="shared" si="11"/>
        <v>0</v>
      </c>
      <c r="AR24" s="249">
        <v>1</v>
      </c>
      <c r="AS24" s="249">
        <v>0.81799999999999995</v>
      </c>
      <c r="AT24" s="73">
        <f t="shared" si="12"/>
        <v>0.81799999999999995</v>
      </c>
      <c r="AU24" s="249">
        <v>1</v>
      </c>
      <c r="AV24" s="249">
        <v>0</v>
      </c>
      <c r="AW24" s="73">
        <f t="shared" si="20"/>
        <v>0</v>
      </c>
      <c r="AX24" s="249">
        <f>+(AV24+AS24+AP24+AM24+AJ24+AG24+AB24+Y24+V24+S24+P24+M24)/12</f>
        <v>9.3949999999999992E-2</v>
      </c>
      <c r="AY24" s="73">
        <f t="shared" si="22"/>
        <v>9.3949999999999992E-2</v>
      </c>
    </row>
    <row r="25" spans="1:51" s="22" customFormat="1" ht="86.25" customHeight="1" thickTop="1" thickBot="1">
      <c r="A25" s="2846"/>
      <c r="B25" s="3030"/>
      <c r="C25" s="133" t="s">
        <v>506</v>
      </c>
      <c r="D25" s="224" t="s">
        <v>116</v>
      </c>
      <c r="E25" s="133" t="s">
        <v>117</v>
      </c>
      <c r="F25" s="126" t="s">
        <v>17</v>
      </c>
      <c r="G25" s="1092">
        <v>1772</v>
      </c>
      <c r="H25" s="126"/>
      <c r="I25" s="946"/>
      <c r="J25" s="126"/>
      <c r="K25" s="133" t="s">
        <v>118</v>
      </c>
      <c r="L25" s="782">
        <v>0</v>
      </c>
      <c r="M25" s="782"/>
      <c r="N25" s="73" t="e">
        <f t="shared" si="1"/>
        <v>#DIV/0!</v>
      </c>
      <c r="O25" s="782">
        <v>0</v>
      </c>
      <c r="P25" s="782"/>
      <c r="Q25" s="73" t="e">
        <f t="shared" si="16"/>
        <v>#DIV/0!</v>
      </c>
      <c r="R25" s="782">
        <v>337</v>
      </c>
      <c r="S25" s="782"/>
      <c r="T25" s="73">
        <f t="shared" si="2"/>
        <v>0</v>
      </c>
      <c r="U25" s="782">
        <v>273</v>
      </c>
      <c r="V25" s="782"/>
      <c r="W25" s="73">
        <f t="shared" si="3"/>
        <v>0</v>
      </c>
      <c r="X25" s="782">
        <v>79</v>
      </c>
      <c r="Y25" s="782"/>
      <c r="Z25" s="73">
        <f t="shared" si="4"/>
        <v>0</v>
      </c>
      <c r="AA25" s="782">
        <v>89</v>
      </c>
      <c r="AB25" s="782"/>
      <c r="AC25" s="73">
        <f t="shared" si="17"/>
        <v>0</v>
      </c>
      <c r="AD25" s="1087">
        <f t="shared" si="18"/>
        <v>0</v>
      </c>
      <c r="AE25" s="73">
        <f t="shared" si="19"/>
        <v>0</v>
      </c>
      <c r="AF25" s="782">
        <v>165</v>
      </c>
      <c r="AG25" s="782"/>
      <c r="AH25" s="73">
        <f t="shared" si="8"/>
        <v>0</v>
      </c>
      <c r="AI25" s="782">
        <v>252</v>
      </c>
      <c r="AJ25" s="782"/>
      <c r="AK25" s="73">
        <f t="shared" si="9"/>
        <v>0</v>
      </c>
      <c r="AL25" s="782">
        <v>342</v>
      </c>
      <c r="AM25" s="782"/>
      <c r="AN25" s="73">
        <f t="shared" si="10"/>
        <v>0</v>
      </c>
      <c r="AO25" s="782">
        <v>133</v>
      </c>
      <c r="AP25" s="782"/>
      <c r="AQ25" s="73">
        <f t="shared" si="11"/>
        <v>0</v>
      </c>
      <c r="AR25" s="782">
        <v>92</v>
      </c>
      <c r="AS25" s="782"/>
      <c r="AT25" s="73">
        <f t="shared" si="12"/>
        <v>0</v>
      </c>
      <c r="AU25" s="782">
        <v>10</v>
      </c>
      <c r="AV25" s="782">
        <v>1141</v>
      </c>
      <c r="AW25" s="73">
        <f t="shared" si="20"/>
        <v>114.1</v>
      </c>
      <c r="AX25" s="782">
        <f t="shared" si="21"/>
        <v>1141</v>
      </c>
      <c r="AY25" s="73">
        <f t="shared" si="22"/>
        <v>0.64390519187358919</v>
      </c>
    </row>
    <row r="26" spans="1:51" s="22" customFormat="1" ht="93" customHeight="1" thickTop="1" thickBot="1">
      <c r="A26" s="2846"/>
      <c r="B26" s="3030"/>
      <c r="C26" s="2917" t="s">
        <v>507</v>
      </c>
      <c r="D26" s="86" t="s">
        <v>120</v>
      </c>
      <c r="E26" s="87" t="s">
        <v>121</v>
      </c>
      <c r="F26" s="81" t="s">
        <v>10</v>
      </c>
      <c r="G26" s="595">
        <v>0.64100000000000001</v>
      </c>
      <c r="H26" s="88"/>
      <c r="I26" s="88"/>
      <c r="J26" s="88"/>
      <c r="K26" s="167" t="s">
        <v>7</v>
      </c>
      <c r="L26" s="597">
        <v>0</v>
      </c>
      <c r="M26" s="597">
        <v>0</v>
      </c>
      <c r="N26" s="73" t="e">
        <f t="shared" si="1"/>
        <v>#DIV/0!</v>
      </c>
      <c r="O26" s="597">
        <v>0</v>
      </c>
      <c r="P26" s="597">
        <v>0</v>
      </c>
      <c r="Q26" s="73" t="e">
        <f t="shared" si="16"/>
        <v>#DIV/0!</v>
      </c>
      <c r="R26" s="597">
        <v>0</v>
      </c>
      <c r="S26" s="597">
        <v>0</v>
      </c>
      <c r="T26" s="73" t="e">
        <f t="shared" si="2"/>
        <v>#DIV/0!</v>
      </c>
      <c r="U26" s="597">
        <v>0</v>
      </c>
      <c r="V26" s="597">
        <v>0</v>
      </c>
      <c r="W26" s="73" t="e">
        <f t="shared" si="3"/>
        <v>#DIV/0!</v>
      </c>
      <c r="X26" s="597">
        <v>0</v>
      </c>
      <c r="Y26" s="597">
        <v>0</v>
      </c>
      <c r="Z26" s="73" t="e">
        <f t="shared" si="4"/>
        <v>#DIV/0!</v>
      </c>
      <c r="AA26" s="597">
        <v>0</v>
      </c>
      <c r="AB26" s="597">
        <v>0</v>
      </c>
      <c r="AC26" s="73" t="e">
        <f t="shared" si="17"/>
        <v>#DIV/0!</v>
      </c>
      <c r="AD26" s="597">
        <f t="shared" si="18"/>
        <v>0</v>
      </c>
      <c r="AE26" s="73">
        <f t="shared" si="19"/>
        <v>0</v>
      </c>
      <c r="AF26" s="597">
        <v>0</v>
      </c>
      <c r="AG26" s="597">
        <v>0</v>
      </c>
      <c r="AH26" s="73" t="e">
        <f t="shared" si="8"/>
        <v>#DIV/0!</v>
      </c>
      <c r="AI26" s="597">
        <v>0</v>
      </c>
      <c r="AJ26" s="597"/>
      <c r="AK26" s="73" t="e">
        <f t="shared" si="9"/>
        <v>#DIV/0!</v>
      </c>
      <c r="AL26" s="597">
        <v>0</v>
      </c>
      <c r="AM26" s="597"/>
      <c r="AN26" s="73" t="e">
        <f t="shared" si="10"/>
        <v>#DIV/0!</v>
      </c>
      <c r="AO26" s="597">
        <v>0</v>
      </c>
      <c r="AP26" s="597">
        <v>0</v>
      </c>
      <c r="AQ26" s="73" t="e">
        <f t="shared" si="11"/>
        <v>#DIV/0!</v>
      </c>
      <c r="AR26" s="597">
        <v>0</v>
      </c>
      <c r="AS26" s="597"/>
      <c r="AT26" s="73" t="e">
        <f t="shared" si="12"/>
        <v>#DIV/0!</v>
      </c>
      <c r="AU26" s="597">
        <v>0.64100000000000001</v>
      </c>
      <c r="AV26" s="597"/>
      <c r="AW26" s="73">
        <f t="shared" si="20"/>
        <v>0</v>
      </c>
      <c r="AX26" s="597">
        <f t="shared" si="21"/>
        <v>0</v>
      </c>
      <c r="AY26" s="73">
        <f t="shared" si="22"/>
        <v>0</v>
      </c>
    </row>
    <row r="27" spans="1:51" s="22" customFormat="1" ht="85.7" customHeight="1" thickTop="1" thickBot="1">
      <c r="A27" s="2846"/>
      <c r="B27" s="3030"/>
      <c r="C27" s="2918"/>
      <c r="D27" s="89" t="s">
        <v>175</v>
      </c>
      <c r="E27" s="90" t="s">
        <v>123</v>
      </c>
      <c r="F27" s="1093" t="s">
        <v>10</v>
      </c>
      <c r="G27" s="91">
        <v>1</v>
      </c>
      <c r="H27" s="91"/>
      <c r="I27" s="91"/>
      <c r="J27" s="91"/>
      <c r="K27" s="1093" t="s">
        <v>7</v>
      </c>
      <c r="L27" s="596">
        <v>0</v>
      </c>
      <c r="M27" s="596">
        <v>0</v>
      </c>
      <c r="N27" s="73" t="e">
        <f t="shared" si="1"/>
        <v>#DIV/0!</v>
      </c>
      <c r="O27" s="596">
        <v>0</v>
      </c>
      <c r="P27" s="596">
        <v>0</v>
      </c>
      <c r="Q27" s="73" t="e">
        <f t="shared" si="16"/>
        <v>#DIV/0!</v>
      </c>
      <c r="R27" s="596">
        <v>0</v>
      </c>
      <c r="S27" s="596">
        <v>0</v>
      </c>
      <c r="T27" s="73" t="e">
        <f t="shared" si="2"/>
        <v>#DIV/0!</v>
      </c>
      <c r="U27" s="596">
        <v>1</v>
      </c>
      <c r="V27" s="596">
        <v>0</v>
      </c>
      <c r="W27" s="73">
        <f t="shared" si="3"/>
        <v>0</v>
      </c>
      <c r="X27" s="596">
        <v>0</v>
      </c>
      <c r="Y27" s="596">
        <v>0</v>
      </c>
      <c r="Z27" s="73" t="e">
        <f t="shared" si="4"/>
        <v>#DIV/0!</v>
      </c>
      <c r="AA27" s="596">
        <v>0</v>
      </c>
      <c r="AB27" s="596">
        <v>0</v>
      </c>
      <c r="AC27" s="73" t="e">
        <f t="shared" si="17"/>
        <v>#DIV/0!</v>
      </c>
      <c r="AD27" s="596">
        <f t="shared" si="18"/>
        <v>0</v>
      </c>
      <c r="AE27" s="73">
        <f t="shared" si="19"/>
        <v>0</v>
      </c>
      <c r="AF27" s="596">
        <v>0</v>
      </c>
      <c r="AG27" s="596">
        <v>0</v>
      </c>
      <c r="AH27" s="73" t="e">
        <f t="shared" si="8"/>
        <v>#DIV/0!</v>
      </c>
      <c r="AI27" s="596">
        <v>0</v>
      </c>
      <c r="AJ27" s="596">
        <v>0</v>
      </c>
      <c r="AK27" s="73" t="e">
        <f t="shared" si="9"/>
        <v>#DIV/0!</v>
      </c>
      <c r="AL27" s="596">
        <v>0</v>
      </c>
      <c r="AM27" s="596">
        <v>0</v>
      </c>
      <c r="AN27" s="73" t="e">
        <f t="shared" si="10"/>
        <v>#DIV/0!</v>
      </c>
      <c r="AO27" s="596">
        <v>1</v>
      </c>
      <c r="AP27" s="596">
        <v>0</v>
      </c>
      <c r="AQ27" s="73">
        <f t="shared" si="11"/>
        <v>0</v>
      </c>
      <c r="AR27" s="596">
        <v>0</v>
      </c>
      <c r="AS27" s="596">
        <v>0</v>
      </c>
      <c r="AT27" s="73" t="e">
        <f t="shared" si="12"/>
        <v>#DIV/0!</v>
      </c>
      <c r="AU27" s="596">
        <v>0</v>
      </c>
      <c r="AV27" s="596">
        <v>0</v>
      </c>
      <c r="AW27" s="73" t="e">
        <f t="shared" si="20"/>
        <v>#DIV/0!</v>
      </c>
      <c r="AX27" s="596">
        <f>(+AP27+V27)/2</f>
        <v>0</v>
      </c>
      <c r="AY27" s="73">
        <f t="shared" si="22"/>
        <v>0</v>
      </c>
    </row>
    <row r="28" spans="1:51" s="22" customFormat="1" ht="84.75" customHeight="1" thickTop="1" thickBot="1">
      <c r="A28" s="2846"/>
      <c r="B28" s="3030"/>
      <c r="C28" s="2918"/>
      <c r="D28" s="86" t="s">
        <v>124</v>
      </c>
      <c r="E28" s="87" t="s">
        <v>176</v>
      </c>
      <c r="F28" s="167" t="s">
        <v>10</v>
      </c>
      <c r="G28" s="88">
        <v>1</v>
      </c>
      <c r="H28" s="88"/>
      <c r="I28" s="88"/>
      <c r="J28" s="88"/>
      <c r="K28" s="167" t="s">
        <v>7</v>
      </c>
      <c r="L28" s="597">
        <v>0</v>
      </c>
      <c r="M28" s="597">
        <v>0</v>
      </c>
      <c r="N28" s="73" t="e">
        <f t="shared" si="1"/>
        <v>#DIV/0!</v>
      </c>
      <c r="O28" s="597">
        <v>0</v>
      </c>
      <c r="P28" s="597">
        <v>0</v>
      </c>
      <c r="Q28" s="73" t="e">
        <f t="shared" si="16"/>
        <v>#DIV/0!</v>
      </c>
      <c r="R28" s="597">
        <v>1</v>
      </c>
      <c r="S28" s="597">
        <v>0</v>
      </c>
      <c r="T28" s="73">
        <f t="shared" si="2"/>
        <v>0</v>
      </c>
      <c r="U28" s="597">
        <v>0</v>
      </c>
      <c r="V28" s="597">
        <v>0</v>
      </c>
      <c r="W28" s="73" t="e">
        <f t="shared" si="3"/>
        <v>#DIV/0!</v>
      </c>
      <c r="X28" s="597">
        <v>0</v>
      </c>
      <c r="Y28" s="597">
        <v>0</v>
      </c>
      <c r="Z28" s="73" t="e">
        <f t="shared" si="4"/>
        <v>#DIV/0!</v>
      </c>
      <c r="AA28" s="597">
        <v>1</v>
      </c>
      <c r="AB28" s="597">
        <v>0</v>
      </c>
      <c r="AC28" s="73">
        <f t="shared" si="17"/>
        <v>0</v>
      </c>
      <c r="AD28" s="597">
        <f>(+AB28+S28)/2</f>
        <v>0</v>
      </c>
      <c r="AE28" s="73">
        <f t="shared" si="19"/>
        <v>0</v>
      </c>
      <c r="AF28" s="597">
        <v>0</v>
      </c>
      <c r="AG28" s="597">
        <v>0</v>
      </c>
      <c r="AH28" s="73" t="e">
        <f t="shared" si="8"/>
        <v>#DIV/0!</v>
      </c>
      <c r="AI28" s="597">
        <v>0</v>
      </c>
      <c r="AJ28" s="597"/>
      <c r="AK28" s="73" t="e">
        <f t="shared" si="9"/>
        <v>#DIV/0!</v>
      </c>
      <c r="AL28" s="597">
        <v>1</v>
      </c>
      <c r="AM28" s="597"/>
      <c r="AN28" s="73">
        <f t="shared" si="10"/>
        <v>0</v>
      </c>
      <c r="AO28" s="597">
        <v>0</v>
      </c>
      <c r="AP28" s="597">
        <v>0</v>
      </c>
      <c r="AQ28" s="73" t="e">
        <f t="shared" si="11"/>
        <v>#DIV/0!</v>
      </c>
      <c r="AR28" s="597">
        <v>0</v>
      </c>
      <c r="AS28" s="597"/>
      <c r="AT28" s="73" t="e">
        <f t="shared" si="12"/>
        <v>#DIV/0!</v>
      </c>
      <c r="AU28" s="597">
        <v>1</v>
      </c>
      <c r="AV28" s="597"/>
      <c r="AW28" s="73">
        <f t="shared" si="20"/>
        <v>0</v>
      </c>
      <c r="AX28" s="597">
        <f>(+AV28+AM28+AB28+S28)/4</f>
        <v>0</v>
      </c>
      <c r="AY28" s="73">
        <f t="shared" si="22"/>
        <v>0</v>
      </c>
    </row>
    <row r="29" spans="1:51" s="22" customFormat="1" ht="60.2" customHeight="1" thickTop="1" thickBot="1">
      <c r="A29" s="2846"/>
      <c r="B29" s="3030"/>
      <c r="C29" s="2918"/>
      <c r="D29" s="89" t="s">
        <v>177</v>
      </c>
      <c r="E29" s="90" t="s">
        <v>127</v>
      </c>
      <c r="F29" s="1093" t="s">
        <v>10</v>
      </c>
      <c r="G29" s="91">
        <v>1</v>
      </c>
      <c r="H29" s="91"/>
      <c r="I29" s="91"/>
      <c r="J29" s="91"/>
      <c r="K29" s="1093" t="s">
        <v>7</v>
      </c>
      <c r="L29" s="596">
        <v>1</v>
      </c>
      <c r="M29" s="596">
        <v>0</v>
      </c>
      <c r="N29" s="73">
        <f t="shared" si="1"/>
        <v>0</v>
      </c>
      <c r="O29" s="596">
        <v>1</v>
      </c>
      <c r="P29" s="596">
        <v>0</v>
      </c>
      <c r="Q29" s="73">
        <f t="shared" si="16"/>
        <v>0</v>
      </c>
      <c r="R29" s="596">
        <v>1</v>
      </c>
      <c r="S29" s="596">
        <v>0</v>
      </c>
      <c r="T29" s="73">
        <f t="shared" si="2"/>
        <v>0</v>
      </c>
      <c r="U29" s="596">
        <v>1</v>
      </c>
      <c r="V29" s="596">
        <v>0</v>
      </c>
      <c r="W29" s="73">
        <f t="shared" si="3"/>
        <v>0</v>
      </c>
      <c r="X29" s="596">
        <v>1</v>
      </c>
      <c r="Y29" s="596">
        <v>0</v>
      </c>
      <c r="Z29" s="73">
        <f t="shared" si="4"/>
        <v>0</v>
      </c>
      <c r="AA29" s="596">
        <v>1</v>
      </c>
      <c r="AB29" s="596">
        <v>0</v>
      </c>
      <c r="AC29" s="73">
        <f t="shared" si="17"/>
        <v>0</v>
      </c>
      <c r="AD29" s="596">
        <f>(AB29+Y29+V29+S29+P29+M29)/6</f>
        <v>0</v>
      </c>
      <c r="AE29" s="73">
        <f t="shared" si="19"/>
        <v>0</v>
      </c>
      <c r="AF29" s="596">
        <v>1</v>
      </c>
      <c r="AG29" s="596">
        <v>0</v>
      </c>
      <c r="AH29" s="73">
        <f t="shared" si="8"/>
        <v>0</v>
      </c>
      <c r="AI29" s="596">
        <v>1</v>
      </c>
      <c r="AJ29" s="596">
        <v>0</v>
      </c>
      <c r="AK29" s="73">
        <f t="shared" si="9"/>
        <v>0</v>
      </c>
      <c r="AL29" s="596">
        <v>1</v>
      </c>
      <c r="AM29" s="596">
        <v>0</v>
      </c>
      <c r="AN29" s="73">
        <f t="shared" si="10"/>
        <v>0</v>
      </c>
      <c r="AO29" s="596">
        <v>1</v>
      </c>
      <c r="AP29" s="596">
        <v>0</v>
      </c>
      <c r="AQ29" s="73">
        <f t="shared" si="11"/>
        <v>0</v>
      </c>
      <c r="AR29" s="596">
        <v>1</v>
      </c>
      <c r="AS29" s="596">
        <v>0</v>
      </c>
      <c r="AT29" s="73">
        <f t="shared" si="12"/>
        <v>0</v>
      </c>
      <c r="AU29" s="596">
        <v>1</v>
      </c>
      <c r="AV29" s="596">
        <v>0</v>
      </c>
      <c r="AW29" s="73">
        <f t="shared" si="20"/>
        <v>0</v>
      </c>
      <c r="AX29" s="596">
        <f>(+M29+P29+S29+V29+Y29+AB29+AG29+AJ29+AM29+AP29+AS29+AV29)/12</f>
        <v>0</v>
      </c>
      <c r="AY29" s="73">
        <f t="shared" si="22"/>
        <v>0</v>
      </c>
    </row>
    <row r="30" spans="1:51" s="22" customFormat="1" ht="84.75" customHeight="1" thickTop="1" thickBot="1">
      <c r="A30" s="2846"/>
      <c r="B30" s="3030"/>
      <c r="C30" s="2918"/>
      <c r="D30" s="86" t="s">
        <v>128</v>
      </c>
      <c r="E30" s="87" t="s">
        <v>220</v>
      </c>
      <c r="F30" s="167" t="s">
        <v>10</v>
      </c>
      <c r="G30" s="88">
        <v>1</v>
      </c>
      <c r="H30" s="88"/>
      <c r="I30" s="88"/>
      <c r="J30" s="88"/>
      <c r="K30" s="167" t="s">
        <v>7</v>
      </c>
      <c r="L30" s="596">
        <v>1</v>
      </c>
      <c r="M30" s="596">
        <v>0</v>
      </c>
      <c r="N30" s="73">
        <f t="shared" si="1"/>
        <v>0</v>
      </c>
      <c r="O30" s="596">
        <v>1</v>
      </c>
      <c r="P30" s="596">
        <v>0</v>
      </c>
      <c r="Q30" s="73">
        <f t="shared" si="16"/>
        <v>0</v>
      </c>
      <c r="R30" s="596">
        <v>1</v>
      </c>
      <c r="S30" s="596">
        <v>0</v>
      </c>
      <c r="T30" s="73">
        <f t="shared" si="2"/>
        <v>0</v>
      </c>
      <c r="U30" s="596">
        <v>1</v>
      </c>
      <c r="V30" s="596">
        <v>0</v>
      </c>
      <c r="W30" s="73">
        <f t="shared" si="3"/>
        <v>0</v>
      </c>
      <c r="X30" s="596">
        <v>1</v>
      </c>
      <c r="Y30" s="596">
        <v>0</v>
      </c>
      <c r="Z30" s="73">
        <f t="shared" si="4"/>
        <v>0</v>
      </c>
      <c r="AA30" s="596">
        <v>1</v>
      </c>
      <c r="AB30" s="596">
        <v>0</v>
      </c>
      <c r="AC30" s="73">
        <f t="shared" si="17"/>
        <v>0</v>
      </c>
      <c r="AD30" s="596">
        <f>(+AB30+Y30+V30+S30+P30+M30)/6</f>
        <v>0</v>
      </c>
      <c r="AE30" s="73">
        <f t="shared" si="19"/>
        <v>0</v>
      </c>
      <c r="AF30" s="596">
        <v>1</v>
      </c>
      <c r="AG30" s="596">
        <v>0</v>
      </c>
      <c r="AH30" s="73">
        <f t="shared" si="8"/>
        <v>0</v>
      </c>
      <c r="AI30" s="596">
        <v>1</v>
      </c>
      <c r="AJ30" s="596">
        <v>0</v>
      </c>
      <c r="AK30" s="73">
        <f t="shared" si="9"/>
        <v>0</v>
      </c>
      <c r="AL30" s="596">
        <v>1</v>
      </c>
      <c r="AM30" s="596">
        <v>0</v>
      </c>
      <c r="AN30" s="73">
        <f t="shared" si="10"/>
        <v>0</v>
      </c>
      <c r="AO30" s="596">
        <v>1</v>
      </c>
      <c r="AP30" s="596">
        <v>0</v>
      </c>
      <c r="AQ30" s="73">
        <f t="shared" si="11"/>
        <v>0</v>
      </c>
      <c r="AR30" s="596">
        <v>1</v>
      </c>
      <c r="AS30" s="596">
        <v>0</v>
      </c>
      <c r="AT30" s="73">
        <f t="shared" si="12"/>
        <v>0</v>
      </c>
      <c r="AU30" s="596">
        <v>1</v>
      </c>
      <c r="AV30" s="596">
        <v>0</v>
      </c>
      <c r="AW30" s="73">
        <f t="shared" si="20"/>
        <v>0</v>
      </c>
      <c r="AX30" s="596">
        <f>(+M30+P30+S30+V30+Y30+AB30+AG30+AJ30+AM30+AP30+AS30+AV30)/12</f>
        <v>0</v>
      </c>
      <c r="AY30" s="73">
        <f t="shared" si="22"/>
        <v>0</v>
      </c>
    </row>
    <row r="31" spans="1:51" s="22" customFormat="1" ht="70.5" customHeight="1" thickTop="1" thickBot="1">
      <c r="A31" s="2846"/>
      <c r="B31" s="3030"/>
      <c r="C31" s="2918"/>
      <c r="D31" s="89" t="s">
        <v>179</v>
      </c>
      <c r="E31" s="90" t="s">
        <v>131</v>
      </c>
      <c r="F31" s="1093" t="s">
        <v>10</v>
      </c>
      <c r="G31" s="91">
        <v>1</v>
      </c>
      <c r="H31" s="91"/>
      <c r="I31" s="91"/>
      <c r="J31" s="91"/>
      <c r="K31" s="1093" t="s">
        <v>7</v>
      </c>
      <c r="L31" s="596">
        <v>0</v>
      </c>
      <c r="M31" s="596">
        <v>0</v>
      </c>
      <c r="N31" s="73" t="e">
        <f t="shared" si="1"/>
        <v>#DIV/0!</v>
      </c>
      <c r="O31" s="596">
        <v>0</v>
      </c>
      <c r="P31" s="596">
        <v>0</v>
      </c>
      <c r="Q31" s="73" t="e">
        <f t="shared" si="16"/>
        <v>#DIV/0!</v>
      </c>
      <c r="R31" s="596">
        <v>0</v>
      </c>
      <c r="S31" s="596">
        <v>0</v>
      </c>
      <c r="T31" s="73" t="e">
        <f t="shared" si="2"/>
        <v>#DIV/0!</v>
      </c>
      <c r="U31" s="596">
        <v>0</v>
      </c>
      <c r="V31" s="596">
        <v>0</v>
      </c>
      <c r="W31" s="73" t="e">
        <f t="shared" si="3"/>
        <v>#DIV/0!</v>
      </c>
      <c r="X31" s="596">
        <v>0</v>
      </c>
      <c r="Y31" s="596">
        <v>0</v>
      </c>
      <c r="Z31" s="73" t="e">
        <f t="shared" si="4"/>
        <v>#DIV/0!</v>
      </c>
      <c r="AA31" s="596">
        <v>0</v>
      </c>
      <c r="AB31" s="596">
        <v>0</v>
      </c>
      <c r="AC31" s="73" t="e">
        <f t="shared" si="17"/>
        <v>#DIV/0!</v>
      </c>
      <c r="AD31" s="596">
        <v>0</v>
      </c>
      <c r="AE31" s="73">
        <f t="shared" si="19"/>
        <v>0</v>
      </c>
      <c r="AF31" s="596">
        <v>0</v>
      </c>
      <c r="AG31" s="596">
        <v>0</v>
      </c>
      <c r="AH31" s="73" t="e">
        <f t="shared" si="8"/>
        <v>#DIV/0!</v>
      </c>
      <c r="AI31" s="596">
        <v>0</v>
      </c>
      <c r="AJ31" s="596">
        <v>0</v>
      </c>
      <c r="AK31" s="73" t="e">
        <f t="shared" si="9"/>
        <v>#DIV/0!</v>
      </c>
      <c r="AL31" s="596">
        <v>0</v>
      </c>
      <c r="AM31" s="596">
        <v>0</v>
      </c>
      <c r="AN31" s="73" t="e">
        <f t="shared" si="10"/>
        <v>#DIV/0!</v>
      </c>
      <c r="AO31" s="596">
        <v>0</v>
      </c>
      <c r="AP31" s="596">
        <v>0</v>
      </c>
      <c r="AQ31" s="73" t="e">
        <f t="shared" si="11"/>
        <v>#DIV/0!</v>
      </c>
      <c r="AR31" s="596">
        <v>0</v>
      </c>
      <c r="AS31" s="596">
        <v>0</v>
      </c>
      <c r="AT31" s="73" t="e">
        <f t="shared" si="12"/>
        <v>#DIV/0!</v>
      </c>
      <c r="AU31" s="596">
        <v>1</v>
      </c>
      <c r="AV31" s="596">
        <v>1</v>
      </c>
      <c r="AW31" s="73">
        <f t="shared" si="20"/>
        <v>1</v>
      </c>
      <c r="AX31" s="596">
        <v>1</v>
      </c>
      <c r="AY31" s="73">
        <v>1</v>
      </c>
    </row>
    <row r="32" spans="1:51" s="22" customFormat="1" ht="103.7" customHeight="1" thickTop="1" thickBot="1">
      <c r="A32" s="2846"/>
      <c r="B32" s="3031"/>
      <c r="C32" s="2919"/>
      <c r="D32" s="86" t="s">
        <v>132</v>
      </c>
      <c r="E32" s="87" t="s">
        <v>133</v>
      </c>
      <c r="F32" s="167" t="s">
        <v>10</v>
      </c>
      <c r="G32" s="88">
        <v>1</v>
      </c>
      <c r="H32" s="167"/>
      <c r="I32" s="88"/>
      <c r="J32" s="167"/>
      <c r="K32" s="167" t="s">
        <v>7</v>
      </c>
      <c r="L32" s="597">
        <v>0</v>
      </c>
      <c r="M32" s="597">
        <v>0</v>
      </c>
      <c r="N32" s="73" t="e">
        <f t="shared" si="1"/>
        <v>#DIV/0!</v>
      </c>
      <c r="O32" s="597">
        <v>0</v>
      </c>
      <c r="P32" s="597">
        <v>0</v>
      </c>
      <c r="Q32" s="73" t="e">
        <f t="shared" si="16"/>
        <v>#DIV/0!</v>
      </c>
      <c r="R32" s="597">
        <v>0</v>
      </c>
      <c r="S32" s="597">
        <v>0</v>
      </c>
      <c r="T32" s="73" t="e">
        <f t="shared" si="2"/>
        <v>#DIV/0!</v>
      </c>
      <c r="U32" s="597">
        <v>0</v>
      </c>
      <c r="V32" s="597">
        <v>0</v>
      </c>
      <c r="W32" s="73" t="e">
        <f t="shared" si="3"/>
        <v>#DIV/0!</v>
      </c>
      <c r="X32" s="597">
        <v>0</v>
      </c>
      <c r="Y32" s="597">
        <v>0</v>
      </c>
      <c r="Z32" s="73" t="e">
        <f t="shared" si="4"/>
        <v>#DIV/0!</v>
      </c>
      <c r="AA32" s="597">
        <v>0</v>
      </c>
      <c r="AB32" s="597">
        <v>0</v>
      </c>
      <c r="AC32" s="73" t="e">
        <f t="shared" si="17"/>
        <v>#DIV/0!</v>
      </c>
      <c r="AD32" s="597">
        <f t="shared" si="18"/>
        <v>0</v>
      </c>
      <c r="AE32" s="73">
        <f t="shared" si="19"/>
        <v>0</v>
      </c>
      <c r="AF32" s="597">
        <v>0</v>
      </c>
      <c r="AG32" s="597">
        <v>0</v>
      </c>
      <c r="AH32" s="73" t="e">
        <f t="shared" si="8"/>
        <v>#DIV/0!</v>
      </c>
      <c r="AI32" s="597">
        <v>1</v>
      </c>
      <c r="AJ32" s="597">
        <v>0</v>
      </c>
      <c r="AK32" s="73">
        <f t="shared" si="9"/>
        <v>0</v>
      </c>
      <c r="AL32" s="597">
        <v>0</v>
      </c>
      <c r="AM32" s="597">
        <v>0</v>
      </c>
      <c r="AN32" s="73" t="e">
        <f t="shared" si="10"/>
        <v>#DIV/0!</v>
      </c>
      <c r="AO32" s="597">
        <v>0</v>
      </c>
      <c r="AP32" s="597">
        <v>0</v>
      </c>
      <c r="AQ32" s="73" t="e">
        <f t="shared" si="11"/>
        <v>#DIV/0!</v>
      </c>
      <c r="AR32" s="597">
        <v>0</v>
      </c>
      <c r="AS32" s="597">
        <v>0</v>
      </c>
      <c r="AT32" s="73" t="e">
        <f t="shared" si="12"/>
        <v>#DIV/0!</v>
      </c>
      <c r="AU32" s="597">
        <v>0</v>
      </c>
      <c r="AV32" s="597">
        <v>0</v>
      </c>
      <c r="AW32" s="73" t="e">
        <f t="shared" si="20"/>
        <v>#DIV/0!</v>
      </c>
      <c r="AX32" s="597">
        <f>+AJ32</f>
        <v>0</v>
      </c>
      <c r="AY32" s="73">
        <f t="shared" si="22"/>
        <v>0</v>
      </c>
    </row>
    <row r="33" spans="1:51" s="22" customFormat="1" ht="90" customHeight="1" thickTop="1" thickBot="1">
      <c r="A33" s="2846"/>
      <c r="B33" s="2964" t="s">
        <v>508</v>
      </c>
      <c r="C33" s="133" t="s">
        <v>509</v>
      </c>
      <c r="D33" s="224" t="s">
        <v>227</v>
      </c>
      <c r="E33" s="133" t="s">
        <v>228</v>
      </c>
      <c r="F33" s="1070" t="s">
        <v>101</v>
      </c>
      <c r="G33" s="1069">
        <f>+'[4]FIS-24'!$CS$16</f>
        <v>1600000000</v>
      </c>
      <c r="H33" s="1070"/>
      <c r="I33" s="1070"/>
      <c r="J33" s="1070"/>
      <c r="K33" s="1069" t="s">
        <v>140</v>
      </c>
      <c r="L33" s="566">
        <v>133333333.33333333</v>
      </c>
      <c r="M33" s="566"/>
      <c r="N33" s="73">
        <f t="shared" si="1"/>
        <v>0</v>
      </c>
      <c r="O33" s="566">
        <v>133333333.33333333</v>
      </c>
      <c r="P33" s="566"/>
      <c r="Q33" s="73">
        <f t="shared" si="16"/>
        <v>0</v>
      </c>
      <c r="R33" s="566">
        <v>133333333.33333333</v>
      </c>
      <c r="S33" s="566"/>
      <c r="T33" s="73">
        <f t="shared" si="2"/>
        <v>0</v>
      </c>
      <c r="U33" s="566">
        <v>264444444</v>
      </c>
      <c r="V33" s="566"/>
      <c r="W33" s="73">
        <f t="shared" si="3"/>
        <v>0</v>
      </c>
      <c r="X33" s="566">
        <v>264444444</v>
      </c>
      <c r="Y33" s="566"/>
      <c r="Z33" s="73">
        <f t="shared" si="4"/>
        <v>0</v>
      </c>
      <c r="AA33" s="566">
        <v>264444444</v>
      </c>
      <c r="AB33" s="566"/>
      <c r="AC33" s="73">
        <f t="shared" si="17"/>
        <v>0</v>
      </c>
      <c r="AD33" s="566">
        <f t="shared" si="18"/>
        <v>0</v>
      </c>
      <c r="AE33" s="73">
        <f t="shared" si="19"/>
        <v>0</v>
      </c>
      <c r="AF33" s="566">
        <v>264444444</v>
      </c>
      <c r="AG33" s="566"/>
      <c r="AH33" s="73">
        <f t="shared" si="8"/>
        <v>0</v>
      </c>
      <c r="AI33" s="566">
        <v>32711111.52</v>
      </c>
      <c r="AJ33" s="566"/>
      <c r="AK33" s="73">
        <f t="shared" si="9"/>
        <v>0</v>
      </c>
      <c r="AL33" s="566">
        <v>32711111.52</v>
      </c>
      <c r="AM33" s="566"/>
      <c r="AN33" s="73">
        <f t="shared" si="10"/>
        <v>0</v>
      </c>
      <c r="AO33" s="566">
        <v>32711111.52</v>
      </c>
      <c r="AP33" s="566">
        <v>602587669</v>
      </c>
      <c r="AQ33" s="73">
        <f t="shared" si="11"/>
        <v>18.421497803019321</v>
      </c>
      <c r="AR33" s="566">
        <v>22044444.719999999</v>
      </c>
      <c r="AS33" s="566"/>
      <c r="AT33" s="73">
        <f t="shared" si="12"/>
        <v>0</v>
      </c>
      <c r="AU33" s="566">
        <v>22044444.719999999</v>
      </c>
      <c r="AV33" s="566"/>
      <c r="AW33" s="73">
        <f t="shared" si="20"/>
        <v>0</v>
      </c>
      <c r="AX33" s="566">
        <f t="shared" si="21"/>
        <v>602587669</v>
      </c>
      <c r="AY33" s="73">
        <f t="shared" si="22"/>
        <v>0.37661729312499997</v>
      </c>
    </row>
    <row r="34" spans="1:51" s="22" customFormat="1" ht="96.75" customHeight="1" thickTop="1" thickBot="1">
      <c r="A34" s="2846"/>
      <c r="B34" s="2965"/>
      <c r="C34" s="137" t="s">
        <v>510</v>
      </c>
      <c r="D34" s="236" t="s">
        <v>511</v>
      </c>
      <c r="E34" s="137" t="s">
        <v>469</v>
      </c>
      <c r="F34" s="1083" t="s">
        <v>24</v>
      </c>
      <c r="G34" s="1076">
        <v>73</v>
      </c>
      <c r="H34" s="1075"/>
      <c r="I34" s="1075"/>
      <c r="J34" s="1075"/>
      <c r="K34" s="1076" t="s">
        <v>140</v>
      </c>
      <c r="L34" s="870">
        <v>4.8666666666666663</v>
      </c>
      <c r="M34" s="870">
        <v>0</v>
      </c>
      <c r="N34" s="73">
        <f t="shared" si="1"/>
        <v>0</v>
      </c>
      <c r="O34" s="870">
        <v>4.8666666666666663</v>
      </c>
      <c r="P34" s="870">
        <v>0</v>
      </c>
      <c r="Q34" s="73">
        <f t="shared" si="16"/>
        <v>0</v>
      </c>
      <c r="R34" s="870">
        <v>4.8666666666666663</v>
      </c>
      <c r="S34" s="870">
        <v>0</v>
      </c>
      <c r="T34" s="73">
        <f t="shared" si="2"/>
        <v>0</v>
      </c>
      <c r="U34" s="870">
        <v>7.299999999999998</v>
      </c>
      <c r="V34" s="870">
        <v>0</v>
      </c>
      <c r="W34" s="73">
        <f t="shared" si="3"/>
        <v>0</v>
      </c>
      <c r="X34" s="870">
        <v>7.299999999999998</v>
      </c>
      <c r="Y34" s="870">
        <v>0</v>
      </c>
      <c r="Z34" s="73">
        <f t="shared" si="4"/>
        <v>0</v>
      </c>
      <c r="AA34" s="870">
        <v>7.299999999999998</v>
      </c>
      <c r="AB34" s="870">
        <v>0</v>
      </c>
      <c r="AC34" s="73">
        <f t="shared" si="17"/>
        <v>0</v>
      </c>
      <c r="AD34" s="1085">
        <f t="shared" si="18"/>
        <v>0</v>
      </c>
      <c r="AE34" s="73">
        <f t="shared" si="19"/>
        <v>0</v>
      </c>
      <c r="AF34" s="870">
        <v>7.299999999999998</v>
      </c>
      <c r="AG34" s="870">
        <v>0</v>
      </c>
      <c r="AH34" s="73">
        <f t="shared" si="8"/>
        <v>0</v>
      </c>
      <c r="AI34" s="870">
        <v>7.299999999999998</v>
      </c>
      <c r="AJ34" s="870">
        <v>0</v>
      </c>
      <c r="AK34" s="73">
        <f t="shared" si="9"/>
        <v>0</v>
      </c>
      <c r="AL34" s="870">
        <v>7.299999999999998</v>
      </c>
      <c r="AM34" s="870">
        <v>0</v>
      </c>
      <c r="AN34" s="73">
        <f t="shared" si="10"/>
        <v>0</v>
      </c>
      <c r="AO34" s="870">
        <v>4.8666666666666663</v>
      </c>
      <c r="AP34" s="870">
        <v>0</v>
      </c>
      <c r="AQ34" s="73">
        <f t="shared" si="11"/>
        <v>0</v>
      </c>
      <c r="AR34" s="870">
        <v>4.8666666666666663</v>
      </c>
      <c r="AS34" s="870">
        <v>0</v>
      </c>
      <c r="AT34" s="73">
        <f t="shared" si="12"/>
        <v>0</v>
      </c>
      <c r="AU34" s="870">
        <v>4.8666666666666663</v>
      </c>
      <c r="AV34" s="870">
        <v>0</v>
      </c>
      <c r="AW34" s="73">
        <f t="shared" si="20"/>
        <v>0</v>
      </c>
      <c r="AX34" s="870">
        <f t="shared" si="21"/>
        <v>0</v>
      </c>
      <c r="AY34" s="73">
        <f t="shared" si="22"/>
        <v>0</v>
      </c>
    </row>
    <row r="35" spans="1:51" s="22" customFormat="1" ht="58.7" customHeight="1" thickTop="1" thickBot="1">
      <c r="A35" s="2847"/>
      <c r="B35" s="2966"/>
      <c r="C35" s="133" t="s">
        <v>512</v>
      </c>
      <c r="D35" s="224" t="s">
        <v>513</v>
      </c>
      <c r="E35" s="133" t="s">
        <v>514</v>
      </c>
      <c r="F35" s="133" t="s">
        <v>515</v>
      </c>
      <c r="G35" s="1094">
        <v>430</v>
      </c>
      <c r="H35" s="1086"/>
      <c r="I35" s="1086"/>
      <c r="J35" s="1086"/>
      <c r="K35" s="1074" t="s">
        <v>516</v>
      </c>
      <c r="L35" s="782">
        <v>16</v>
      </c>
      <c r="M35" s="782"/>
      <c r="N35" s="73">
        <f t="shared" si="1"/>
        <v>0</v>
      </c>
      <c r="O35" s="782">
        <v>33</v>
      </c>
      <c r="P35" s="782"/>
      <c r="Q35" s="73">
        <f t="shared" si="16"/>
        <v>0</v>
      </c>
      <c r="R35" s="782">
        <v>31</v>
      </c>
      <c r="S35" s="782"/>
      <c r="T35" s="73">
        <f t="shared" si="2"/>
        <v>0</v>
      </c>
      <c r="U35" s="782">
        <v>16</v>
      </c>
      <c r="V35" s="782"/>
      <c r="W35" s="73">
        <f t="shared" si="3"/>
        <v>0</v>
      </c>
      <c r="X35" s="782">
        <v>32</v>
      </c>
      <c r="Y35" s="782"/>
      <c r="Z35" s="73">
        <f t="shared" si="4"/>
        <v>0</v>
      </c>
      <c r="AA35" s="782">
        <v>27</v>
      </c>
      <c r="AB35" s="782"/>
      <c r="AC35" s="73">
        <f t="shared" si="17"/>
        <v>0</v>
      </c>
      <c r="AD35" s="1087">
        <f t="shared" si="18"/>
        <v>0</v>
      </c>
      <c r="AE35" s="73">
        <f t="shared" si="19"/>
        <v>0</v>
      </c>
      <c r="AF35" s="782">
        <v>28</v>
      </c>
      <c r="AG35" s="782"/>
      <c r="AH35" s="73">
        <f t="shared" si="8"/>
        <v>0</v>
      </c>
      <c r="AI35" s="782">
        <v>27</v>
      </c>
      <c r="AJ35" s="782"/>
      <c r="AK35" s="73">
        <f t="shared" si="9"/>
        <v>0</v>
      </c>
      <c r="AL35" s="782">
        <v>35</v>
      </c>
      <c r="AM35" s="782"/>
      <c r="AN35" s="73">
        <f t="shared" si="10"/>
        <v>0</v>
      </c>
      <c r="AO35" s="782">
        <v>310</v>
      </c>
      <c r="AP35" s="782"/>
      <c r="AQ35" s="73">
        <f t="shared" si="11"/>
        <v>0</v>
      </c>
      <c r="AR35" s="782">
        <v>60</v>
      </c>
      <c r="AS35" s="782"/>
      <c r="AT35" s="73">
        <f t="shared" si="12"/>
        <v>0</v>
      </c>
      <c r="AU35" s="782">
        <v>60</v>
      </c>
      <c r="AV35" s="782">
        <v>1091</v>
      </c>
      <c r="AW35" s="73">
        <f t="shared" si="20"/>
        <v>18.183333333333334</v>
      </c>
      <c r="AX35" s="782">
        <f t="shared" si="21"/>
        <v>1091</v>
      </c>
      <c r="AY35" s="73">
        <f t="shared" si="22"/>
        <v>2.5372093023255813</v>
      </c>
    </row>
    <row r="36" spans="1:51" s="22" customFormat="1" ht="22.7" customHeight="1" thickTop="1" thickBot="1">
      <c r="A36" s="2857" t="s">
        <v>141</v>
      </c>
      <c r="B36" s="2858"/>
      <c r="C36" s="2858"/>
      <c r="D36" s="2858"/>
      <c r="E36" s="2858"/>
      <c r="F36" s="2858"/>
      <c r="G36" s="2858"/>
      <c r="H36" s="2858"/>
      <c r="I36" s="2858"/>
      <c r="J36" s="2858"/>
      <c r="K36" s="2859"/>
      <c r="L36" s="93"/>
      <c r="M36" s="896"/>
      <c r="N36" s="1095"/>
      <c r="O36" s="896"/>
      <c r="P36" s="896"/>
      <c r="Q36" s="1095"/>
      <c r="R36" s="896"/>
      <c r="S36" s="896"/>
      <c r="T36" s="1095"/>
      <c r="U36" s="896"/>
      <c r="V36" s="896"/>
      <c r="W36" s="1095"/>
      <c r="X36" s="896"/>
      <c r="Y36" s="896"/>
      <c r="Z36" s="1095"/>
      <c r="AA36" s="896"/>
      <c r="AB36" s="896"/>
      <c r="AC36" s="1095"/>
      <c r="AD36" s="896"/>
      <c r="AE36" s="1096"/>
      <c r="AF36" s="896"/>
      <c r="AG36" s="896"/>
      <c r="AH36" s="1096"/>
      <c r="AI36" s="896"/>
      <c r="AJ36" s="896"/>
      <c r="AK36" s="1096"/>
      <c r="AL36" s="896"/>
      <c r="AM36" s="896"/>
      <c r="AN36" s="1096"/>
      <c r="AO36" s="896"/>
      <c r="AP36" s="896"/>
      <c r="AQ36" s="1096"/>
      <c r="AR36" s="896"/>
      <c r="AS36" s="896"/>
      <c r="AT36" s="1096"/>
      <c r="AU36" s="896"/>
      <c r="AV36" s="896"/>
      <c r="AW36" s="1096"/>
      <c r="AX36" s="896"/>
      <c r="AY36" s="1097"/>
    </row>
    <row r="37" spans="1:51" s="22" customFormat="1" ht="123.75" customHeight="1" thickTop="1" thickBot="1">
      <c r="A37" s="2860" t="s">
        <v>181</v>
      </c>
      <c r="B37" s="2956" t="s">
        <v>143</v>
      </c>
      <c r="C37" s="72" t="s">
        <v>353</v>
      </c>
      <c r="D37" s="236" t="s">
        <v>144</v>
      </c>
      <c r="E37" s="72" t="s">
        <v>145</v>
      </c>
      <c r="F37" s="424" t="s">
        <v>17</v>
      </c>
      <c r="G37" s="424">
        <v>105</v>
      </c>
      <c r="H37" s="1098"/>
      <c r="I37" s="1098"/>
      <c r="J37" s="1098"/>
      <c r="K37" s="870" t="s">
        <v>146</v>
      </c>
      <c r="L37" s="870">
        <v>0</v>
      </c>
      <c r="M37" s="870"/>
      <c r="N37" s="73">
        <f>+M37/$G$37</f>
        <v>0</v>
      </c>
      <c r="O37" s="870">
        <v>0</v>
      </c>
      <c r="P37" s="870"/>
      <c r="Q37" s="73">
        <f>+P37/$G$37</f>
        <v>0</v>
      </c>
      <c r="R37" s="870">
        <v>0</v>
      </c>
      <c r="S37" s="870"/>
      <c r="T37" s="73">
        <f>+S37/$G$37</f>
        <v>0</v>
      </c>
      <c r="U37" s="870">
        <v>21</v>
      </c>
      <c r="V37" s="870"/>
      <c r="W37" s="73">
        <f>+V37/$G$37</f>
        <v>0</v>
      </c>
      <c r="X37" s="870">
        <v>0</v>
      </c>
      <c r="Y37" s="870"/>
      <c r="Z37" s="73">
        <f>+Y37/$G$37</f>
        <v>0</v>
      </c>
      <c r="AA37" s="870">
        <v>0</v>
      </c>
      <c r="AB37" s="870"/>
      <c r="AC37" s="73">
        <f>+AB37/$G$37</f>
        <v>0</v>
      </c>
      <c r="AD37" s="1085">
        <f t="shared" si="18"/>
        <v>0</v>
      </c>
      <c r="AE37" s="73">
        <f t="shared" si="19"/>
        <v>0</v>
      </c>
      <c r="AF37" s="870">
        <v>0</v>
      </c>
      <c r="AG37" s="870"/>
      <c r="AH37" s="73">
        <f>+AG37/$G$37</f>
        <v>0</v>
      </c>
      <c r="AI37" s="870">
        <v>31</v>
      </c>
      <c r="AJ37" s="870"/>
      <c r="AK37" s="73">
        <f>+AJ37/$G$37</f>
        <v>0</v>
      </c>
      <c r="AL37" s="870">
        <v>0</v>
      </c>
      <c r="AM37" s="870"/>
      <c r="AN37" s="73">
        <f>+AM37/$G$37</f>
        <v>0</v>
      </c>
      <c r="AO37" s="870">
        <v>0</v>
      </c>
      <c r="AP37" s="870">
        <v>25</v>
      </c>
      <c r="AQ37" s="73">
        <f>+AP37/$G$37</f>
        <v>0.23809523809523808</v>
      </c>
      <c r="AR37" s="870">
        <v>0</v>
      </c>
      <c r="AS37" s="870"/>
      <c r="AT37" s="73">
        <f>+AS37/$G$37</f>
        <v>0</v>
      </c>
      <c r="AU37" s="870">
        <v>53</v>
      </c>
      <c r="AV37" s="870"/>
      <c r="AW37" s="73">
        <f>+AV37/$G$37</f>
        <v>0</v>
      </c>
      <c r="AX37" s="870">
        <f>+M37+P37+S37+V37+Y37+AB37+AG37+AJ37+AM37+AP37+AS37+AV37</f>
        <v>25</v>
      </c>
      <c r="AY37" s="73">
        <f>+AX37/G37</f>
        <v>0.23809523809523808</v>
      </c>
    </row>
    <row r="38" spans="1:51" s="22" customFormat="1" ht="99.75" customHeight="1" thickTop="1" thickBot="1">
      <c r="A38" s="2861"/>
      <c r="B38" s="2956"/>
      <c r="C38" s="172" t="s">
        <v>317</v>
      </c>
      <c r="D38" s="224" t="s">
        <v>182</v>
      </c>
      <c r="E38" s="133" t="s">
        <v>149</v>
      </c>
      <c r="F38" s="1074" t="s">
        <v>8</v>
      </c>
      <c r="G38" s="1094">
        <v>10.199999999999999</v>
      </c>
      <c r="H38" s="1086"/>
      <c r="I38" s="1086"/>
      <c r="J38" s="1086"/>
      <c r="K38" s="1074" t="s">
        <v>9</v>
      </c>
      <c r="L38" s="870">
        <v>10.199999999999999</v>
      </c>
      <c r="M38" s="870"/>
      <c r="N38" s="73" t="e">
        <f>+L38/M38</f>
        <v>#DIV/0!</v>
      </c>
      <c r="O38" s="870">
        <v>10.199999999999999</v>
      </c>
      <c r="P38" s="870"/>
      <c r="Q38" s="73" t="e">
        <f>+O38/P38</f>
        <v>#DIV/0!</v>
      </c>
      <c r="R38" s="870">
        <v>10.199999999999999</v>
      </c>
      <c r="S38" s="870"/>
      <c r="T38" s="73" t="e">
        <f>+R38/S38</f>
        <v>#DIV/0!</v>
      </c>
      <c r="U38" s="870">
        <v>10.199999999999999</v>
      </c>
      <c r="V38" s="870"/>
      <c r="W38" s="73" t="e">
        <f>+U38/V38</f>
        <v>#DIV/0!</v>
      </c>
      <c r="X38" s="870">
        <v>10.199999999999999</v>
      </c>
      <c r="Y38" s="870"/>
      <c r="Z38" s="73" t="e">
        <f>+X38/Y38</f>
        <v>#DIV/0!</v>
      </c>
      <c r="AA38" s="870">
        <v>10.199999999999999</v>
      </c>
      <c r="AB38" s="870"/>
      <c r="AC38" s="73" t="e">
        <f>+AA38/AB38</f>
        <v>#DIV/0!</v>
      </c>
      <c r="AD38" s="1085">
        <f>(AB38+Y38+V38+S38+P38+M38)/6</f>
        <v>0</v>
      </c>
      <c r="AE38" s="73" t="e">
        <f>+G38/AD38</f>
        <v>#DIV/0!</v>
      </c>
      <c r="AF38" s="870">
        <v>10.199999999999999</v>
      </c>
      <c r="AG38" s="870"/>
      <c r="AH38" s="73" t="e">
        <f>+AF38/AG38</f>
        <v>#DIV/0!</v>
      </c>
      <c r="AI38" s="870">
        <v>10.199999999999999</v>
      </c>
      <c r="AJ38" s="870"/>
      <c r="AK38" s="73" t="e">
        <f>+AI38/AJ38</f>
        <v>#DIV/0!</v>
      </c>
      <c r="AL38" s="870">
        <v>10.199999999999999</v>
      </c>
      <c r="AM38" s="870"/>
      <c r="AN38" s="73" t="e">
        <f>+AL38/AM38</f>
        <v>#DIV/0!</v>
      </c>
      <c r="AO38" s="870">
        <v>10.199999999999999</v>
      </c>
      <c r="AP38" s="870"/>
      <c r="AQ38" s="73" t="e">
        <f>+AO38/AP38</f>
        <v>#DIV/0!</v>
      </c>
      <c r="AR38" s="870">
        <v>10.199999999999999</v>
      </c>
      <c r="AS38" s="870"/>
      <c r="AT38" s="73" t="e">
        <f>+AR38/AS38</f>
        <v>#DIV/0!</v>
      </c>
      <c r="AU38" s="870">
        <v>10.199999999999999</v>
      </c>
      <c r="AV38" s="870"/>
      <c r="AW38" s="73" t="e">
        <f>+AU38/AV38</f>
        <v>#DIV/0!</v>
      </c>
      <c r="AX38" s="870">
        <f>(M38+P38+S38+V38+Y38+AB38+AG38+AJ38+AM38+AP38+AS38+AV38)/12</f>
        <v>0</v>
      </c>
      <c r="AY38" s="73"/>
    </row>
    <row r="39" spans="1:51" s="22" customFormat="1" ht="69.2" customHeight="1" thickTop="1" thickBot="1">
      <c r="A39" s="2861"/>
      <c r="B39" s="2956"/>
      <c r="C39" s="72" t="s">
        <v>452</v>
      </c>
      <c r="D39" s="236" t="s">
        <v>263</v>
      </c>
      <c r="E39" s="72" t="s">
        <v>264</v>
      </c>
      <c r="F39" s="424" t="s">
        <v>10</v>
      </c>
      <c r="G39" s="1099">
        <v>1</v>
      </c>
      <c r="H39" s="1100"/>
      <c r="I39" s="424"/>
      <c r="J39" s="1100"/>
      <c r="K39" s="870" t="s">
        <v>516</v>
      </c>
      <c r="L39" s="596">
        <v>0</v>
      </c>
      <c r="M39" s="596"/>
      <c r="N39" s="73" t="e">
        <f>+M39/L39</f>
        <v>#DIV/0!</v>
      </c>
      <c r="O39" s="596">
        <v>0</v>
      </c>
      <c r="P39" s="596"/>
      <c r="Q39" s="73" t="e">
        <f>+P39/O39</f>
        <v>#DIV/0!</v>
      </c>
      <c r="R39" s="596">
        <v>0</v>
      </c>
      <c r="S39" s="596"/>
      <c r="T39" s="73" t="e">
        <f>+S39/R39</f>
        <v>#DIV/0!</v>
      </c>
      <c r="U39" s="596">
        <v>0</v>
      </c>
      <c r="V39" s="596"/>
      <c r="W39" s="73" t="e">
        <f>+V39/U39</f>
        <v>#DIV/0!</v>
      </c>
      <c r="X39" s="596">
        <v>0</v>
      </c>
      <c r="Y39" s="596"/>
      <c r="Z39" s="73" t="e">
        <f>+Y39/X39</f>
        <v>#DIV/0!</v>
      </c>
      <c r="AA39" s="596">
        <v>0</v>
      </c>
      <c r="AB39" s="596"/>
      <c r="AC39" s="73" t="e">
        <f>+AB39/AA39</f>
        <v>#DIV/0!</v>
      </c>
      <c r="AD39" s="596">
        <f t="shared" si="18"/>
        <v>0</v>
      </c>
      <c r="AE39" s="73">
        <f t="shared" si="19"/>
        <v>0</v>
      </c>
      <c r="AF39" s="596">
        <v>0</v>
      </c>
      <c r="AG39" s="596"/>
      <c r="AH39" s="73" t="e">
        <f>+AG39/AF39</f>
        <v>#DIV/0!</v>
      </c>
      <c r="AI39" s="596">
        <v>0</v>
      </c>
      <c r="AJ39" s="596"/>
      <c r="AK39" s="73" t="e">
        <f>+AJ39/AI39</f>
        <v>#DIV/0!</v>
      </c>
      <c r="AL39" s="596">
        <v>0.5</v>
      </c>
      <c r="AM39" s="596"/>
      <c r="AN39" s="73">
        <f>+AM39/AL39</f>
        <v>0</v>
      </c>
      <c r="AO39" s="596">
        <v>0</v>
      </c>
      <c r="AP39" s="596">
        <v>0</v>
      </c>
      <c r="AQ39" s="73" t="e">
        <f>+AP39/AO39</f>
        <v>#DIV/0!</v>
      </c>
      <c r="AR39" s="596">
        <v>0</v>
      </c>
      <c r="AS39" s="596"/>
      <c r="AT39" s="73" t="e">
        <f>+AS39/AR39</f>
        <v>#DIV/0!</v>
      </c>
      <c r="AU39" s="596">
        <v>1</v>
      </c>
      <c r="AV39" s="596">
        <v>1</v>
      </c>
      <c r="AW39" s="73">
        <f>+AV39/AU39</f>
        <v>1</v>
      </c>
      <c r="AX39" s="596">
        <f>+AV39+AM39</f>
        <v>1</v>
      </c>
      <c r="AY39" s="73">
        <f>+AX39/G39</f>
        <v>1</v>
      </c>
    </row>
    <row r="40" spans="1:51" s="22" customFormat="1" ht="83.25" customHeight="1" thickTop="1" thickBot="1">
      <c r="A40" s="2861"/>
      <c r="B40" s="1101" t="s">
        <v>150</v>
      </c>
      <c r="C40" s="172" t="s">
        <v>151</v>
      </c>
      <c r="D40" s="224" t="s">
        <v>319</v>
      </c>
      <c r="E40" s="172" t="s">
        <v>495</v>
      </c>
      <c r="F40" s="398" t="s">
        <v>17</v>
      </c>
      <c r="G40" s="398">
        <v>37</v>
      </c>
      <c r="H40" s="1102"/>
      <c r="I40" s="1102"/>
      <c r="J40" s="1102"/>
      <c r="K40" s="782" t="s">
        <v>21</v>
      </c>
      <c r="L40" s="782">
        <v>0</v>
      </c>
      <c r="M40" s="782"/>
      <c r="N40" s="73" t="e">
        <f>+L40/M40</f>
        <v>#DIV/0!</v>
      </c>
      <c r="O40" s="782">
        <v>0</v>
      </c>
      <c r="P40" s="782"/>
      <c r="Q40" s="73" t="e">
        <f>+O40/P40</f>
        <v>#DIV/0!</v>
      </c>
      <c r="R40" s="782">
        <v>37</v>
      </c>
      <c r="S40" s="782">
        <v>37</v>
      </c>
      <c r="T40" s="73">
        <f>+R40/S40</f>
        <v>1</v>
      </c>
      <c r="U40" s="782">
        <v>37</v>
      </c>
      <c r="V40" s="782">
        <v>37</v>
      </c>
      <c r="W40" s="73">
        <f>+U40/V40</f>
        <v>1</v>
      </c>
      <c r="X40" s="782">
        <v>37</v>
      </c>
      <c r="Y40" s="782">
        <v>37</v>
      </c>
      <c r="Z40" s="73">
        <f>+X40/Y40</f>
        <v>1</v>
      </c>
      <c r="AA40" s="782">
        <v>37</v>
      </c>
      <c r="AB40" s="782">
        <v>37</v>
      </c>
      <c r="AC40" s="73">
        <f>+AA40/AB40</f>
        <v>1</v>
      </c>
      <c r="AD40" s="1087">
        <f>(AB40+Y40+V40+S40+P40+M40)/4</f>
        <v>37</v>
      </c>
      <c r="AE40" s="73">
        <f>+G40/AD40</f>
        <v>1</v>
      </c>
      <c r="AF40" s="782">
        <v>37</v>
      </c>
      <c r="AG40" s="782">
        <v>37</v>
      </c>
      <c r="AH40" s="73">
        <f>+AF40/AG40</f>
        <v>1</v>
      </c>
      <c r="AI40" s="782">
        <v>37</v>
      </c>
      <c r="AJ40" s="782">
        <v>37</v>
      </c>
      <c r="AK40" s="73">
        <f>+AI40/AJ40</f>
        <v>1</v>
      </c>
      <c r="AL40" s="782">
        <v>37</v>
      </c>
      <c r="AM40" s="782">
        <v>37</v>
      </c>
      <c r="AN40" s="73">
        <f>+AL40/AM40</f>
        <v>1</v>
      </c>
      <c r="AO40" s="782">
        <v>37</v>
      </c>
      <c r="AP40" s="782">
        <v>37</v>
      </c>
      <c r="AQ40" s="73">
        <f>+AO40/AP40</f>
        <v>1</v>
      </c>
      <c r="AR40" s="782">
        <v>37</v>
      </c>
      <c r="AS40" s="782">
        <v>37</v>
      </c>
      <c r="AT40" s="73">
        <f>+AR40/AS40</f>
        <v>1</v>
      </c>
      <c r="AU40" s="782">
        <v>37</v>
      </c>
      <c r="AV40" s="782">
        <v>37</v>
      </c>
      <c r="AW40" s="73">
        <f>+AU40/AV40</f>
        <v>1</v>
      </c>
      <c r="AX40" s="782">
        <f>(+M40+P40+S40+V40+Y40+AB40+AG40+AJ40+AM40+AP40+AS40+AV40)/10</f>
        <v>37</v>
      </c>
      <c r="AY40" s="73">
        <f>+G40/AX40</f>
        <v>1</v>
      </c>
    </row>
    <row r="41" spans="1:51" s="22" customFormat="1" ht="22.7" customHeight="1" thickTop="1" thickBot="1">
      <c r="A41" s="2842" t="s">
        <v>154</v>
      </c>
      <c r="B41" s="2843"/>
      <c r="C41" s="2843"/>
      <c r="D41" s="2843"/>
      <c r="E41" s="2843"/>
      <c r="F41" s="2843"/>
      <c r="G41" s="2843"/>
      <c r="H41" s="2843"/>
      <c r="I41" s="2843"/>
      <c r="J41" s="2843"/>
      <c r="K41" s="2844"/>
      <c r="L41" s="1039"/>
      <c r="M41" s="1040"/>
      <c r="N41" s="1103"/>
      <c r="O41" s="1040"/>
      <c r="P41" s="1040"/>
      <c r="Q41" s="1103"/>
      <c r="R41" s="1040"/>
      <c r="S41" s="1040"/>
      <c r="T41" s="1103"/>
      <c r="U41" s="1040"/>
      <c r="V41" s="1040"/>
      <c r="W41" s="1103"/>
      <c r="X41" s="1040"/>
      <c r="Y41" s="1040"/>
      <c r="Z41" s="1103"/>
      <c r="AA41" s="1040"/>
      <c r="AB41" s="1040"/>
      <c r="AC41" s="1103"/>
      <c r="AD41" s="1040"/>
      <c r="AE41" s="1104"/>
      <c r="AF41" s="1040"/>
      <c r="AG41" s="1040"/>
      <c r="AH41" s="1104"/>
      <c r="AI41" s="1040"/>
      <c r="AJ41" s="1040"/>
      <c r="AK41" s="1104"/>
      <c r="AL41" s="1040"/>
      <c r="AM41" s="1040"/>
      <c r="AN41" s="1104"/>
      <c r="AO41" s="1040"/>
      <c r="AP41" s="1040"/>
      <c r="AQ41" s="1104"/>
      <c r="AR41" s="1040"/>
      <c r="AS41" s="1040"/>
      <c r="AT41" s="1104"/>
      <c r="AU41" s="1040"/>
      <c r="AV41" s="1040"/>
      <c r="AW41" s="1104"/>
      <c r="AX41" s="1040"/>
      <c r="AY41" s="1105"/>
    </row>
    <row r="42" spans="1:51" s="132" customFormat="1" ht="93.4" customHeight="1" thickTop="1" thickBot="1">
      <c r="A42" s="100" t="s">
        <v>155</v>
      </c>
      <c r="B42" s="1101" t="s">
        <v>156</v>
      </c>
      <c r="C42" s="1106" t="s">
        <v>184</v>
      </c>
      <c r="D42" s="1107" t="s">
        <v>158</v>
      </c>
      <c r="E42" s="1106" t="s">
        <v>159</v>
      </c>
      <c r="F42" s="1106" t="s">
        <v>17</v>
      </c>
      <c r="G42" s="1108">
        <v>10</v>
      </c>
      <c r="H42" s="1106"/>
      <c r="I42" s="1108"/>
      <c r="J42" s="1106"/>
      <c r="K42" s="72" t="s">
        <v>27</v>
      </c>
      <c r="L42" s="119">
        <v>0</v>
      </c>
      <c r="M42" s="120"/>
      <c r="N42" s="73" t="e">
        <f>+M42/L42</f>
        <v>#DIV/0!</v>
      </c>
      <c r="O42" s="119">
        <v>0</v>
      </c>
      <c r="P42" s="120"/>
      <c r="Q42" s="73" t="e">
        <f>+P42/O42</f>
        <v>#DIV/0!</v>
      </c>
      <c r="R42" s="119">
        <v>0</v>
      </c>
      <c r="S42" s="120"/>
      <c r="T42" s="73" t="e">
        <f>+S42/R42</f>
        <v>#DIV/0!</v>
      </c>
      <c r="U42" s="119">
        <v>0</v>
      </c>
      <c r="V42" s="120"/>
      <c r="W42" s="73" t="e">
        <f>+V42/U42</f>
        <v>#DIV/0!</v>
      </c>
      <c r="X42" s="119">
        <v>2</v>
      </c>
      <c r="Y42" s="120">
        <v>2</v>
      </c>
      <c r="Z42" s="73">
        <f>+Y42/X42</f>
        <v>1</v>
      </c>
      <c r="AA42" s="119">
        <v>0</v>
      </c>
      <c r="AB42" s="120"/>
      <c r="AC42" s="73" t="e">
        <f>+AB42/AA42</f>
        <v>#DIV/0!</v>
      </c>
      <c r="AD42" s="1109">
        <f>+Y42</f>
        <v>2</v>
      </c>
      <c r="AE42" s="73">
        <f t="shared" si="19"/>
        <v>0.2</v>
      </c>
      <c r="AF42" s="119">
        <v>1</v>
      </c>
      <c r="AG42" s="120">
        <v>1</v>
      </c>
      <c r="AH42" s="73">
        <f>+AG42/AF42</f>
        <v>1</v>
      </c>
      <c r="AI42" s="119">
        <v>3</v>
      </c>
      <c r="AJ42" s="120">
        <v>3</v>
      </c>
      <c r="AK42" s="73">
        <f>+AJ42/AI42</f>
        <v>1</v>
      </c>
      <c r="AL42" s="119">
        <v>1</v>
      </c>
      <c r="AM42" s="120">
        <v>1</v>
      </c>
      <c r="AN42" s="73">
        <f>+AM42/AL42</f>
        <v>1</v>
      </c>
      <c r="AO42" s="119">
        <v>3</v>
      </c>
      <c r="AP42" s="120">
        <v>3</v>
      </c>
      <c r="AQ42" s="73">
        <f>+AP42/AO42</f>
        <v>1</v>
      </c>
      <c r="AR42" s="119">
        <v>0</v>
      </c>
      <c r="AS42" s="120"/>
      <c r="AT42" s="73" t="e">
        <f>+AS42/AR42</f>
        <v>#DIV/0!</v>
      </c>
      <c r="AU42" s="119">
        <v>0</v>
      </c>
      <c r="AV42" s="120"/>
      <c r="AW42" s="73" t="e">
        <f>+AV42/AU42</f>
        <v>#DIV/0!</v>
      </c>
      <c r="AX42" s="782">
        <f>+AP42+AM42+AJ42+AG42+Y42</f>
        <v>10</v>
      </c>
      <c r="AY42" s="73">
        <f>+AX42/G42</f>
        <v>1</v>
      </c>
    </row>
    <row r="43" spans="1:51" ht="17.25" thickTop="1"/>
  </sheetData>
  <sheetProtection algorithmName="SHA-512" hashValue="btWnZlHdMkJ5QT3uTr9qC6cXvzsqpWgWdGsFzJ1vpOSnPdhd1YRzoKbiCXw3nymbYl8F0Xw7H0/1JRIMEhb1Kw==" saltValue="DscJ1HA2mjkCjqvA7rjNtw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10:H10" name="Rango1"/>
    <protectedRange algorithmName="SHA-512" hashValue="Uds9cYMsxnQI1SjFHe8NNqfDC/fFeray9QhmtAdG/GCgT0L97QBkFAQ9tCw5vTy3J/lQFdDpBTyQoZDg0KZNmQ==" saltValue="0HoWkw5WsZ+PdZDtJpkerg==" spinCount="100000" sqref="K10" name="Rango1_1"/>
  </protectedRanges>
  <mergeCells count="39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36:K36"/>
    <mergeCell ref="A37:A40"/>
    <mergeCell ref="B37:B39"/>
    <mergeCell ref="A41:K41"/>
    <mergeCell ref="A9:A35"/>
    <mergeCell ref="B9:B10"/>
    <mergeCell ref="B11:B32"/>
    <mergeCell ref="C12:C18"/>
    <mergeCell ref="C22:C24"/>
    <mergeCell ref="C26:C32"/>
    <mergeCell ref="B33:B35"/>
  </mergeCells>
  <conditionalFormatting sqref="AE11 AE9">
    <cfRule type="cellIs" dxfId="7634" priority="191" operator="greaterThan">
      <formula>110%</formula>
    </cfRule>
    <cfRule type="cellIs" dxfId="7633" priority="192" operator="between">
      <formula>100.001%</formula>
      <formula>110%</formula>
    </cfRule>
    <cfRule type="cellIs" dxfId="7632" priority="193" operator="between">
      <formula>70.001%</formula>
      <formula>100%</formula>
    </cfRule>
    <cfRule type="cellIs" dxfId="7631" priority="194" operator="between">
      <formula>0.00001%</formula>
      <formula>70%</formula>
    </cfRule>
    <cfRule type="cellIs" dxfId="7630" priority="195" operator="equal">
      <formula>0</formula>
    </cfRule>
  </conditionalFormatting>
  <conditionalFormatting sqref="AE12:AE18 AE37:AE40 AE42 AE10 AE20:AE35">
    <cfRule type="cellIs" dxfId="7629" priority="186" operator="greaterThan">
      <formula>110%</formula>
    </cfRule>
    <cfRule type="cellIs" dxfId="7628" priority="187" operator="between">
      <formula>100.001%</formula>
      <formula>110%</formula>
    </cfRule>
    <cfRule type="cellIs" dxfId="7627" priority="188" operator="between">
      <formula>70.001%</formula>
      <formula>100%</formula>
    </cfRule>
    <cfRule type="cellIs" dxfId="7626" priority="189" operator="between">
      <formula>0.00001%</formula>
      <formula>70%</formula>
    </cfRule>
    <cfRule type="cellIs" dxfId="7625" priority="190" operator="equal">
      <formula>0</formula>
    </cfRule>
  </conditionalFormatting>
  <conditionalFormatting sqref="AY37:AY40 AY42 AY9:AY18 AY20:AY35">
    <cfRule type="cellIs" dxfId="7624" priority="181" operator="greaterThan">
      <formula>110%</formula>
    </cfRule>
    <cfRule type="cellIs" dxfId="7623" priority="182" operator="between">
      <formula>100.001%</formula>
      <formula>110%</formula>
    </cfRule>
    <cfRule type="cellIs" dxfId="7622" priority="183" operator="between">
      <formula>70.001%</formula>
      <formula>100%</formula>
    </cfRule>
    <cfRule type="cellIs" dxfId="7621" priority="184" operator="between">
      <formula>0.00001%</formula>
      <formula>70%</formula>
    </cfRule>
    <cfRule type="cellIs" dxfId="7620" priority="185" operator="equal">
      <formula>0</formula>
    </cfRule>
  </conditionalFormatting>
  <conditionalFormatting sqref="N11 N9">
    <cfRule type="cellIs" dxfId="7619" priority="176" operator="greaterThan">
      <formula>110%</formula>
    </cfRule>
    <cfRule type="cellIs" dxfId="7618" priority="177" operator="between">
      <formula>100.001%</formula>
      <formula>110%</formula>
    </cfRule>
    <cfRule type="cellIs" dxfId="7617" priority="178" operator="between">
      <formula>70.001%</formula>
      <formula>100%</formula>
    </cfRule>
    <cfRule type="cellIs" dxfId="7616" priority="179" operator="between">
      <formula>0.00001%</formula>
      <formula>70%</formula>
    </cfRule>
    <cfRule type="cellIs" dxfId="7615" priority="180" operator="equal">
      <formula>0</formula>
    </cfRule>
  </conditionalFormatting>
  <conditionalFormatting sqref="N12 N10">
    <cfRule type="cellIs" dxfId="7614" priority="171" operator="greaterThan">
      <formula>110%</formula>
    </cfRule>
    <cfRule type="cellIs" dxfId="7613" priority="172" operator="between">
      <formula>100.001%</formula>
      <formula>110%</formula>
    </cfRule>
    <cfRule type="cellIs" dxfId="7612" priority="173" operator="between">
      <formula>70.001%</formula>
      <formula>100%</formula>
    </cfRule>
    <cfRule type="cellIs" dxfId="7611" priority="174" operator="between">
      <formula>0.00001%</formula>
      <formula>70%</formula>
    </cfRule>
    <cfRule type="cellIs" dxfId="7610" priority="175" operator="equal">
      <formula>0</formula>
    </cfRule>
  </conditionalFormatting>
  <conditionalFormatting sqref="N13:N18 N37:N40 N42 N20:N35">
    <cfRule type="cellIs" dxfId="7609" priority="166" operator="greaterThan">
      <formula>110%</formula>
    </cfRule>
    <cfRule type="cellIs" dxfId="7608" priority="167" operator="between">
      <formula>100.001%</formula>
      <formula>110%</formula>
    </cfRule>
    <cfRule type="cellIs" dxfId="7607" priority="168" operator="between">
      <formula>70.001%</formula>
      <formula>100%</formula>
    </cfRule>
    <cfRule type="cellIs" dxfId="7606" priority="169" operator="between">
      <formula>0.00001%</formula>
      <formula>70%</formula>
    </cfRule>
    <cfRule type="cellIs" dxfId="7605" priority="170" operator="equal">
      <formula>0</formula>
    </cfRule>
  </conditionalFormatting>
  <conditionalFormatting sqref="Q11 Q9">
    <cfRule type="cellIs" dxfId="7604" priority="161" operator="greaterThan">
      <formula>110%</formula>
    </cfRule>
    <cfRule type="cellIs" dxfId="7603" priority="162" operator="between">
      <formula>100.001%</formula>
      <formula>110%</formula>
    </cfRule>
    <cfRule type="cellIs" dxfId="7602" priority="163" operator="between">
      <formula>70.001%</formula>
      <formula>100%</formula>
    </cfRule>
    <cfRule type="cellIs" dxfId="7601" priority="164" operator="between">
      <formula>0.00001%</formula>
      <formula>70%</formula>
    </cfRule>
    <cfRule type="cellIs" dxfId="7600" priority="165" operator="equal">
      <formula>0</formula>
    </cfRule>
  </conditionalFormatting>
  <conditionalFormatting sqref="Q12 Q10">
    <cfRule type="cellIs" dxfId="7599" priority="156" operator="greaterThan">
      <formula>110%</formula>
    </cfRule>
    <cfRule type="cellIs" dxfId="7598" priority="157" operator="between">
      <formula>100.001%</formula>
      <formula>110%</formula>
    </cfRule>
    <cfRule type="cellIs" dxfId="7597" priority="158" operator="between">
      <formula>70.001%</formula>
      <formula>100%</formula>
    </cfRule>
    <cfRule type="cellIs" dxfId="7596" priority="159" operator="between">
      <formula>0.00001%</formula>
      <formula>70%</formula>
    </cfRule>
    <cfRule type="cellIs" dxfId="7595" priority="160" operator="equal">
      <formula>0</formula>
    </cfRule>
  </conditionalFormatting>
  <conditionalFormatting sqref="Q13:Q18 Q37:Q40 Q42 Q20:Q35">
    <cfRule type="cellIs" dxfId="7594" priority="151" operator="greaterThan">
      <formula>110%</formula>
    </cfRule>
    <cfRule type="cellIs" dxfId="7593" priority="152" operator="between">
      <formula>100.001%</formula>
      <formula>110%</formula>
    </cfRule>
    <cfRule type="cellIs" dxfId="7592" priority="153" operator="between">
      <formula>70.001%</formula>
      <formula>100%</formula>
    </cfRule>
    <cfRule type="cellIs" dxfId="7591" priority="154" operator="between">
      <formula>0.00001%</formula>
      <formula>70%</formula>
    </cfRule>
    <cfRule type="cellIs" dxfId="7590" priority="155" operator="equal">
      <formula>0</formula>
    </cfRule>
  </conditionalFormatting>
  <conditionalFormatting sqref="T11 T9">
    <cfRule type="cellIs" dxfId="7589" priority="146" operator="greaterThan">
      <formula>110%</formula>
    </cfRule>
    <cfRule type="cellIs" dxfId="7588" priority="147" operator="between">
      <formula>100.001%</formula>
      <formula>110%</formula>
    </cfRule>
    <cfRule type="cellIs" dxfId="7587" priority="148" operator="between">
      <formula>70.001%</formula>
      <formula>100%</formula>
    </cfRule>
    <cfRule type="cellIs" dxfId="7586" priority="149" operator="between">
      <formula>0.00001%</formula>
      <formula>70%</formula>
    </cfRule>
    <cfRule type="cellIs" dxfId="7585" priority="150" operator="equal">
      <formula>0</formula>
    </cfRule>
  </conditionalFormatting>
  <conditionalFormatting sqref="T12 T10">
    <cfRule type="cellIs" dxfId="7584" priority="141" operator="greaterThan">
      <formula>110%</formula>
    </cfRule>
    <cfRule type="cellIs" dxfId="7583" priority="142" operator="between">
      <formula>100.001%</formula>
      <formula>110%</formula>
    </cfRule>
    <cfRule type="cellIs" dxfId="7582" priority="143" operator="between">
      <formula>70.001%</formula>
      <formula>100%</formula>
    </cfRule>
    <cfRule type="cellIs" dxfId="7581" priority="144" operator="between">
      <formula>0.00001%</formula>
      <formula>70%</formula>
    </cfRule>
    <cfRule type="cellIs" dxfId="7580" priority="145" operator="equal">
      <formula>0</formula>
    </cfRule>
  </conditionalFormatting>
  <conditionalFormatting sqref="T13:T18 T37:T40 T42 T20:T35">
    <cfRule type="cellIs" dxfId="7579" priority="136" operator="greaterThan">
      <formula>110%</formula>
    </cfRule>
    <cfRule type="cellIs" dxfId="7578" priority="137" operator="between">
      <formula>100.001%</formula>
      <formula>110%</formula>
    </cfRule>
    <cfRule type="cellIs" dxfId="7577" priority="138" operator="between">
      <formula>70.001%</formula>
      <formula>100%</formula>
    </cfRule>
    <cfRule type="cellIs" dxfId="7576" priority="139" operator="between">
      <formula>0.00001%</formula>
      <formula>70%</formula>
    </cfRule>
    <cfRule type="cellIs" dxfId="7575" priority="140" operator="equal">
      <formula>0</formula>
    </cfRule>
  </conditionalFormatting>
  <conditionalFormatting sqref="W11 W9">
    <cfRule type="cellIs" dxfId="7574" priority="131" operator="greaterThan">
      <formula>110%</formula>
    </cfRule>
    <cfRule type="cellIs" dxfId="7573" priority="132" operator="between">
      <formula>100.001%</formula>
      <formula>110%</formula>
    </cfRule>
    <cfRule type="cellIs" dxfId="7572" priority="133" operator="between">
      <formula>70.001%</formula>
      <formula>100%</formula>
    </cfRule>
    <cfRule type="cellIs" dxfId="7571" priority="134" operator="between">
      <formula>0.00001%</formula>
      <formula>70%</formula>
    </cfRule>
    <cfRule type="cellIs" dxfId="7570" priority="135" operator="equal">
      <formula>0</formula>
    </cfRule>
  </conditionalFormatting>
  <conditionalFormatting sqref="W12 W10">
    <cfRule type="cellIs" dxfId="7569" priority="126" operator="greaterThan">
      <formula>110%</formula>
    </cfRule>
    <cfRule type="cellIs" dxfId="7568" priority="127" operator="between">
      <formula>100.001%</formula>
      <formula>110%</formula>
    </cfRule>
    <cfRule type="cellIs" dxfId="7567" priority="128" operator="between">
      <formula>70.001%</formula>
      <formula>100%</formula>
    </cfRule>
    <cfRule type="cellIs" dxfId="7566" priority="129" operator="between">
      <formula>0.00001%</formula>
      <formula>70%</formula>
    </cfRule>
    <cfRule type="cellIs" dxfId="7565" priority="130" operator="equal">
      <formula>0</formula>
    </cfRule>
  </conditionalFormatting>
  <conditionalFormatting sqref="W13:W18 W37:W40 W42 W20:W35">
    <cfRule type="cellIs" dxfId="7564" priority="121" operator="greaterThan">
      <formula>110%</formula>
    </cfRule>
    <cfRule type="cellIs" dxfId="7563" priority="122" operator="between">
      <formula>100.001%</formula>
      <formula>110%</formula>
    </cfRule>
    <cfRule type="cellIs" dxfId="7562" priority="123" operator="between">
      <formula>70.001%</formula>
      <formula>100%</formula>
    </cfRule>
    <cfRule type="cellIs" dxfId="7561" priority="124" operator="between">
      <formula>0.00001%</formula>
      <formula>70%</formula>
    </cfRule>
    <cfRule type="cellIs" dxfId="7560" priority="125" operator="equal">
      <formula>0</formula>
    </cfRule>
  </conditionalFormatting>
  <conditionalFormatting sqref="Z11 Z9">
    <cfRule type="cellIs" dxfId="7559" priority="116" operator="greaterThan">
      <formula>110%</formula>
    </cfRule>
    <cfRule type="cellIs" dxfId="7558" priority="117" operator="between">
      <formula>100.001%</formula>
      <formula>110%</formula>
    </cfRule>
    <cfRule type="cellIs" dxfId="7557" priority="118" operator="between">
      <formula>70.001%</formula>
      <formula>100%</formula>
    </cfRule>
    <cfRule type="cellIs" dxfId="7556" priority="119" operator="between">
      <formula>0.00001%</formula>
      <formula>70%</formula>
    </cfRule>
    <cfRule type="cellIs" dxfId="7555" priority="120" operator="equal">
      <formula>0</formula>
    </cfRule>
  </conditionalFormatting>
  <conditionalFormatting sqref="Z12 Z10">
    <cfRule type="cellIs" dxfId="7554" priority="111" operator="greaterThan">
      <formula>110%</formula>
    </cfRule>
    <cfRule type="cellIs" dxfId="7553" priority="112" operator="between">
      <formula>100.001%</formula>
      <formula>110%</formula>
    </cfRule>
    <cfRule type="cellIs" dxfId="7552" priority="113" operator="between">
      <formula>70.001%</formula>
      <formula>100%</formula>
    </cfRule>
    <cfRule type="cellIs" dxfId="7551" priority="114" operator="between">
      <formula>0.00001%</formula>
      <formula>70%</formula>
    </cfRule>
    <cfRule type="cellIs" dxfId="7550" priority="115" operator="equal">
      <formula>0</formula>
    </cfRule>
  </conditionalFormatting>
  <conditionalFormatting sqref="Z13:Z18 Z37:Z40 Z42 Z20:Z35">
    <cfRule type="cellIs" dxfId="7549" priority="106" operator="greaterThan">
      <formula>110%</formula>
    </cfRule>
    <cfRule type="cellIs" dxfId="7548" priority="107" operator="between">
      <formula>100.001%</formula>
      <formula>110%</formula>
    </cfRule>
    <cfRule type="cellIs" dxfId="7547" priority="108" operator="between">
      <formula>70.001%</formula>
      <formula>100%</formula>
    </cfRule>
    <cfRule type="cellIs" dxfId="7546" priority="109" operator="between">
      <formula>0.00001%</formula>
      <formula>70%</formula>
    </cfRule>
    <cfRule type="cellIs" dxfId="7545" priority="110" operator="equal">
      <formula>0</formula>
    </cfRule>
  </conditionalFormatting>
  <conditionalFormatting sqref="AC11 AC9">
    <cfRule type="cellIs" dxfId="7544" priority="101" operator="greaterThan">
      <formula>110%</formula>
    </cfRule>
    <cfRule type="cellIs" dxfId="7543" priority="102" operator="between">
      <formula>100.001%</formula>
      <formula>110%</formula>
    </cfRule>
    <cfRule type="cellIs" dxfId="7542" priority="103" operator="between">
      <formula>70.001%</formula>
      <formula>100%</formula>
    </cfRule>
    <cfRule type="cellIs" dxfId="7541" priority="104" operator="between">
      <formula>0.00001%</formula>
      <formula>70%</formula>
    </cfRule>
    <cfRule type="cellIs" dxfId="7540" priority="105" operator="equal">
      <formula>0</formula>
    </cfRule>
  </conditionalFormatting>
  <conditionalFormatting sqref="AC12 AC10">
    <cfRule type="cellIs" dxfId="7539" priority="96" operator="greaterThan">
      <formula>110%</formula>
    </cfRule>
    <cfRule type="cellIs" dxfId="7538" priority="97" operator="between">
      <formula>100.001%</formula>
      <formula>110%</formula>
    </cfRule>
    <cfRule type="cellIs" dxfId="7537" priority="98" operator="between">
      <formula>70.001%</formula>
      <formula>100%</formula>
    </cfRule>
    <cfRule type="cellIs" dxfId="7536" priority="99" operator="between">
      <formula>0.00001%</formula>
      <formula>70%</formula>
    </cfRule>
    <cfRule type="cellIs" dxfId="7535" priority="100" operator="equal">
      <formula>0</formula>
    </cfRule>
  </conditionalFormatting>
  <conditionalFormatting sqref="AC13:AC18 AC37:AC40 AC42 AC20:AC35">
    <cfRule type="cellIs" dxfId="7534" priority="91" operator="greaterThan">
      <formula>110%</formula>
    </cfRule>
    <cfRule type="cellIs" dxfId="7533" priority="92" operator="between">
      <formula>100.001%</formula>
      <formula>110%</formula>
    </cfRule>
    <cfRule type="cellIs" dxfId="7532" priority="93" operator="between">
      <formula>70.001%</formula>
      <formula>100%</formula>
    </cfRule>
    <cfRule type="cellIs" dxfId="7531" priority="94" operator="between">
      <formula>0.00001%</formula>
      <formula>70%</formula>
    </cfRule>
    <cfRule type="cellIs" dxfId="7530" priority="95" operator="equal">
      <formula>0</formula>
    </cfRule>
  </conditionalFormatting>
  <conditionalFormatting sqref="AH11 AH9">
    <cfRule type="cellIs" dxfId="7529" priority="86" operator="greaterThan">
      <formula>110%</formula>
    </cfRule>
    <cfRule type="cellIs" dxfId="7528" priority="87" operator="between">
      <formula>100.001%</formula>
      <formula>110%</formula>
    </cfRule>
    <cfRule type="cellIs" dxfId="7527" priority="88" operator="between">
      <formula>70.001%</formula>
      <formula>100%</formula>
    </cfRule>
    <cfRule type="cellIs" dxfId="7526" priority="89" operator="between">
      <formula>0.00001%</formula>
      <formula>70%</formula>
    </cfRule>
    <cfRule type="cellIs" dxfId="7525" priority="90" operator="equal">
      <formula>0</formula>
    </cfRule>
  </conditionalFormatting>
  <conditionalFormatting sqref="AH12 AH10">
    <cfRule type="cellIs" dxfId="7524" priority="81" operator="greaterThan">
      <formula>110%</formula>
    </cfRule>
    <cfRule type="cellIs" dxfId="7523" priority="82" operator="between">
      <formula>100.001%</formula>
      <formula>110%</formula>
    </cfRule>
    <cfRule type="cellIs" dxfId="7522" priority="83" operator="between">
      <formula>70.001%</formula>
      <formula>100%</formula>
    </cfRule>
    <cfRule type="cellIs" dxfId="7521" priority="84" operator="between">
      <formula>0.00001%</formula>
      <formula>70%</formula>
    </cfRule>
    <cfRule type="cellIs" dxfId="7520" priority="85" operator="equal">
      <formula>0</formula>
    </cfRule>
  </conditionalFormatting>
  <conditionalFormatting sqref="AH13:AH18 AH37:AH40 AH42 AH20:AH35">
    <cfRule type="cellIs" dxfId="7519" priority="76" operator="greaterThan">
      <formula>110%</formula>
    </cfRule>
    <cfRule type="cellIs" dxfId="7518" priority="77" operator="between">
      <formula>100.001%</formula>
      <formula>110%</formula>
    </cfRule>
    <cfRule type="cellIs" dxfId="7517" priority="78" operator="between">
      <formula>70.001%</formula>
      <formula>100%</formula>
    </cfRule>
    <cfRule type="cellIs" dxfId="7516" priority="79" operator="between">
      <formula>0.00001%</formula>
      <formula>70%</formula>
    </cfRule>
    <cfRule type="cellIs" dxfId="7515" priority="80" operator="equal">
      <formula>0</formula>
    </cfRule>
  </conditionalFormatting>
  <conditionalFormatting sqref="AK11 AK9">
    <cfRule type="cellIs" dxfId="7514" priority="71" operator="greaterThan">
      <formula>110%</formula>
    </cfRule>
    <cfRule type="cellIs" dxfId="7513" priority="72" operator="between">
      <formula>100.001%</formula>
      <formula>110%</formula>
    </cfRule>
    <cfRule type="cellIs" dxfId="7512" priority="73" operator="between">
      <formula>70.001%</formula>
      <formula>100%</formula>
    </cfRule>
    <cfRule type="cellIs" dxfId="7511" priority="74" operator="between">
      <formula>0.00001%</formula>
      <formula>70%</formula>
    </cfRule>
    <cfRule type="cellIs" dxfId="7510" priority="75" operator="equal">
      <formula>0</formula>
    </cfRule>
  </conditionalFormatting>
  <conditionalFormatting sqref="AK12 AK10">
    <cfRule type="cellIs" dxfId="7509" priority="66" operator="greaterThan">
      <formula>110%</formula>
    </cfRule>
    <cfRule type="cellIs" dxfId="7508" priority="67" operator="between">
      <formula>100.001%</formula>
      <formula>110%</formula>
    </cfRule>
    <cfRule type="cellIs" dxfId="7507" priority="68" operator="between">
      <formula>70.001%</formula>
      <formula>100%</formula>
    </cfRule>
    <cfRule type="cellIs" dxfId="7506" priority="69" operator="between">
      <formula>0.00001%</formula>
      <formula>70%</formula>
    </cfRule>
    <cfRule type="cellIs" dxfId="7505" priority="70" operator="equal">
      <formula>0</formula>
    </cfRule>
  </conditionalFormatting>
  <conditionalFormatting sqref="AK13:AK18 AK37:AK40 AK42 AK20:AK35">
    <cfRule type="cellIs" dxfId="7504" priority="61" operator="greaterThan">
      <formula>110%</formula>
    </cfRule>
    <cfRule type="cellIs" dxfId="7503" priority="62" operator="between">
      <formula>100.001%</formula>
      <formula>110%</formula>
    </cfRule>
    <cfRule type="cellIs" dxfId="7502" priority="63" operator="between">
      <formula>70.001%</formula>
      <formula>100%</formula>
    </cfRule>
    <cfRule type="cellIs" dxfId="7501" priority="64" operator="between">
      <formula>0.00001%</formula>
      <formula>70%</formula>
    </cfRule>
    <cfRule type="cellIs" dxfId="7500" priority="65" operator="equal">
      <formula>0</formula>
    </cfRule>
  </conditionalFormatting>
  <conditionalFormatting sqref="AN11 AN9">
    <cfRule type="cellIs" dxfId="7499" priority="56" operator="greaterThan">
      <formula>110%</formula>
    </cfRule>
    <cfRule type="cellIs" dxfId="7498" priority="57" operator="between">
      <formula>100.001%</formula>
      <formula>110%</formula>
    </cfRule>
    <cfRule type="cellIs" dxfId="7497" priority="58" operator="between">
      <formula>70.001%</formula>
      <formula>100%</formula>
    </cfRule>
    <cfRule type="cellIs" dxfId="7496" priority="59" operator="between">
      <formula>0.00001%</formula>
      <formula>70%</formula>
    </cfRule>
    <cfRule type="cellIs" dxfId="7495" priority="60" operator="equal">
      <formula>0</formula>
    </cfRule>
  </conditionalFormatting>
  <conditionalFormatting sqref="AN12 AN10">
    <cfRule type="cellIs" dxfId="7494" priority="51" operator="greaterThan">
      <formula>110%</formula>
    </cfRule>
    <cfRule type="cellIs" dxfId="7493" priority="52" operator="between">
      <formula>100.001%</formula>
      <formula>110%</formula>
    </cfRule>
    <cfRule type="cellIs" dxfId="7492" priority="53" operator="between">
      <formula>70.001%</formula>
      <formula>100%</formula>
    </cfRule>
    <cfRule type="cellIs" dxfId="7491" priority="54" operator="between">
      <formula>0.00001%</formula>
      <formula>70%</formula>
    </cfRule>
    <cfRule type="cellIs" dxfId="7490" priority="55" operator="equal">
      <formula>0</formula>
    </cfRule>
  </conditionalFormatting>
  <conditionalFormatting sqref="AN13:AN18 AN37:AN40 AN42 AN20:AN35">
    <cfRule type="cellIs" dxfId="7489" priority="46" operator="greaterThan">
      <formula>110%</formula>
    </cfRule>
    <cfRule type="cellIs" dxfId="7488" priority="47" operator="between">
      <formula>100.001%</formula>
      <formula>110%</formula>
    </cfRule>
    <cfRule type="cellIs" dxfId="7487" priority="48" operator="between">
      <formula>70.001%</formula>
      <formula>100%</formula>
    </cfRule>
    <cfRule type="cellIs" dxfId="7486" priority="49" operator="between">
      <formula>0.00001%</formula>
      <formula>70%</formula>
    </cfRule>
    <cfRule type="cellIs" dxfId="7485" priority="50" operator="equal">
      <formula>0</formula>
    </cfRule>
  </conditionalFormatting>
  <conditionalFormatting sqref="AQ11 AQ9">
    <cfRule type="cellIs" dxfId="7484" priority="41" operator="greaterThan">
      <formula>110%</formula>
    </cfRule>
    <cfRule type="cellIs" dxfId="7483" priority="42" operator="between">
      <formula>100.001%</formula>
      <formula>110%</formula>
    </cfRule>
    <cfRule type="cellIs" dxfId="7482" priority="43" operator="between">
      <formula>70.001%</formula>
      <formula>100%</formula>
    </cfRule>
    <cfRule type="cellIs" dxfId="7481" priority="44" operator="between">
      <formula>0.00001%</formula>
      <formula>70%</formula>
    </cfRule>
    <cfRule type="cellIs" dxfId="7480" priority="45" operator="equal">
      <formula>0</formula>
    </cfRule>
  </conditionalFormatting>
  <conditionalFormatting sqref="AQ12 AQ10">
    <cfRule type="cellIs" dxfId="7479" priority="36" operator="greaterThan">
      <formula>110%</formula>
    </cfRule>
    <cfRule type="cellIs" dxfId="7478" priority="37" operator="between">
      <formula>100.001%</formula>
      <formula>110%</formula>
    </cfRule>
    <cfRule type="cellIs" dxfId="7477" priority="38" operator="between">
      <formula>70.001%</formula>
      <formula>100%</formula>
    </cfRule>
    <cfRule type="cellIs" dxfId="7476" priority="39" operator="between">
      <formula>0.00001%</formula>
      <formula>70%</formula>
    </cfRule>
    <cfRule type="cellIs" dxfId="7475" priority="40" operator="equal">
      <formula>0</formula>
    </cfRule>
  </conditionalFormatting>
  <conditionalFormatting sqref="AQ13:AQ18 AQ37:AQ40 AQ42 AQ20:AQ35">
    <cfRule type="cellIs" dxfId="7474" priority="31" operator="greaterThan">
      <formula>110%</formula>
    </cfRule>
    <cfRule type="cellIs" dxfId="7473" priority="32" operator="between">
      <formula>100.001%</formula>
      <formula>110%</formula>
    </cfRule>
    <cfRule type="cellIs" dxfId="7472" priority="33" operator="between">
      <formula>70.001%</formula>
      <formula>100%</formula>
    </cfRule>
    <cfRule type="cellIs" dxfId="7471" priority="34" operator="between">
      <formula>0.00001%</formula>
      <formula>70%</formula>
    </cfRule>
    <cfRule type="cellIs" dxfId="7470" priority="35" operator="equal">
      <formula>0</formula>
    </cfRule>
  </conditionalFormatting>
  <conditionalFormatting sqref="AT11 AT9">
    <cfRule type="cellIs" dxfId="7469" priority="26" operator="greaterThan">
      <formula>110%</formula>
    </cfRule>
    <cfRule type="cellIs" dxfId="7468" priority="27" operator="between">
      <formula>100.001%</formula>
      <formula>110%</formula>
    </cfRule>
    <cfRule type="cellIs" dxfId="7467" priority="28" operator="between">
      <formula>70.001%</formula>
      <formula>100%</formula>
    </cfRule>
    <cfRule type="cellIs" dxfId="7466" priority="29" operator="between">
      <formula>0.00001%</formula>
      <formula>70%</formula>
    </cfRule>
    <cfRule type="cellIs" dxfId="7465" priority="30" operator="equal">
      <formula>0</formula>
    </cfRule>
  </conditionalFormatting>
  <conditionalFormatting sqref="AT12 AT10">
    <cfRule type="cellIs" dxfId="7464" priority="21" operator="greaterThan">
      <formula>110%</formula>
    </cfRule>
    <cfRule type="cellIs" dxfId="7463" priority="22" operator="between">
      <formula>100.001%</formula>
      <formula>110%</formula>
    </cfRule>
    <cfRule type="cellIs" dxfId="7462" priority="23" operator="between">
      <formula>70.001%</formula>
      <formula>100%</formula>
    </cfRule>
    <cfRule type="cellIs" dxfId="7461" priority="24" operator="between">
      <formula>0.00001%</formula>
      <formula>70%</formula>
    </cfRule>
    <cfRule type="cellIs" dxfId="7460" priority="25" operator="equal">
      <formula>0</formula>
    </cfRule>
  </conditionalFormatting>
  <conditionalFormatting sqref="AT13:AT18 AT37:AT40 AT42 AT20:AT35">
    <cfRule type="cellIs" dxfId="7459" priority="16" operator="greaterThan">
      <formula>110%</formula>
    </cfRule>
    <cfRule type="cellIs" dxfId="7458" priority="17" operator="between">
      <formula>100.001%</formula>
      <formula>110%</formula>
    </cfRule>
    <cfRule type="cellIs" dxfId="7457" priority="18" operator="between">
      <formula>70.001%</formula>
      <formula>100%</formula>
    </cfRule>
    <cfRule type="cellIs" dxfId="7456" priority="19" operator="between">
      <formula>0.00001%</formula>
      <formula>70%</formula>
    </cfRule>
    <cfRule type="cellIs" dxfId="7455" priority="20" operator="equal">
      <formula>0</formula>
    </cfRule>
  </conditionalFormatting>
  <conditionalFormatting sqref="AW11 AW9">
    <cfRule type="cellIs" dxfId="7454" priority="11" operator="greaterThan">
      <formula>110%</formula>
    </cfRule>
    <cfRule type="cellIs" dxfId="7453" priority="12" operator="between">
      <formula>100.001%</formula>
      <formula>110%</formula>
    </cfRule>
    <cfRule type="cellIs" dxfId="7452" priority="13" operator="between">
      <formula>70.001%</formula>
      <formula>100%</formula>
    </cfRule>
    <cfRule type="cellIs" dxfId="7451" priority="14" operator="between">
      <formula>0.00001%</formula>
      <formula>70%</formula>
    </cfRule>
    <cfRule type="cellIs" dxfId="7450" priority="15" operator="equal">
      <formula>0</formula>
    </cfRule>
  </conditionalFormatting>
  <conditionalFormatting sqref="AW12 AW10">
    <cfRule type="cellIs" dxfId="7449" priority="6" operator="greaterThan">
      <formula>110%</formula>
    </cfRule>
    <cfRule type="cellIs" dxfId="7448" priority="7" operator="between">
      <formula>100.001%</formula>
      <formula>110%</formula>
    </cfRule>
    <cfRule type="cellIs" dxfId="7447" priority="8" operator="between">
      <formula>70.001%</formula>
      <formula>100%</formula>
    </cfRule>
    <cfRule type="cellIs" dxfId="7446" priority="9" operator="between">
      <formula>0.00001%</formula>
      <formula>70%</formula>
    </cfRule>
    <cfRule type="cellIs" dxfId="7445" priority="10" operator="equal">
      <formula>0</formula>
    </cfRule>
  </conditionalFormatting>
  <conditionalFormatting sqref="AW13:AW18 AW37:AW40 AW42 AW20:AW35">
    <cfRule type="cellIs" dxfId="7444" priority="1" operator="greaterThan">
      <formula>110%</formula>
    </cfRule>
    <cfRule type="cellIs" dxfId="7443" priority="2" operator="between">
      <formula>100.001%</formula>
      <formula>110%</formula>
    </cfRule>
    <cfRule type="cellIs" dxfId="7442" priority="3" operator="between">
      <formula>70.001%</formula>
      <formula>100%</formula>
    </cfRule>
    <cfRule type="cellIs" dxfId="7441" priority="4" operator="between">
      <formula>0.00001%</formula>
      <formula>70%</formula>
    </cfRule>
    <cfRule type="cellIs" dxfId="7440" priority="5" operator="equal">
      <formula>0</formula>
    </cfRule>
  </conditionalFormatting>
  <hyperlinks>
    <hyperlink ref="D11" location="'IN1-3'!A1" display="IN1-3 Recaudo Bruto" xr:uid="{00000000-0004-0000-0E00-000000000000}"/>
    <hyperlink ref="D12" location="'FIS-4'!A1" display="FIS-4 Gestión efectiva en fiscalización tributaria" xr:uid="{00000000-0004-0000-0E00-000001000000}"/>
    <hyperlink ref="D13" location="'FIS-7'!A1" display="FIS-7 Gestión efectiva de Control Cambiario" xr:uid="{00000000-0004-0000-0E00-000002000000}"/>
    <hyperlink ref="D14" location="'FIS-10'!A1" display="FIS-10 Gestión aceptada en fiscalización tributaria" xr:uid="{00000000-0004-0000-0E00-000003000000}"/>
    <hyperlink ref="D15" location="'FIS-11'!A1" display="FIS-11  Gestión aceptada cambiaria (Recaudo)" xr:uid="{00000000-0004-0000-0E00-000004000000}"/>
    <hyperlink ref="D16" location="'FIS-12'!A1" display="FIS-12 Gestión aceptada cambiaria (Resoluciones en firme)" xr:uid="{00000000-0004-0000-0E00-000005000000}"/>
    <hyperlink ref="D17" location="'FIS-27'!A1" display="FIS-27 Reclasificación de no responsables a responsables" xr:uid="{00000000-0004-0000-0E00-000006000000}"/>
    <hyperlink ref="D18" location="'FIS-17'!A1" display="FIS-17 Evacuación de expedientes en fiscalización tributaria" xr:uid="{00000000-0004-0000-0E00-000007000000}"/>
    <hyperlink ref="D19" location="'IN1-4'!A1" display="IN1-4 Recaudo por gestión de cartera" xr:uid="{00000000-0004-0000-0E00-000008000000}"/>
    <hyperlink ref="D20" location="'IN1-5'!A1" display="IN1-5 Inscritos en el Régimen Simple de Tributación - RST" xr:uid="{00000000-0004-0000-0E00-000009000000}"/>
    <hyperlink ref="D21" location="'IN-6.1'!A1" display="IN1-6.1 Grado de cumplimiento del cronograma de campañas del RST" xr:uid="{00000000-0004-0000-0E00-00000A000000}"/>
    <hyperlink ref="D22" location="'FIS-16'!A1" display="FIS-16 Visitas de control a personas que hacen la venta y compra de divisas sin estar autorizados" xr:uid="{00000000-0004-0000-0E00-00000B000000}"/>
    <hyperlink ref="D23" location="'FIS-15'!A1" display="FIS-15 Visitas de control a profesionales de cambio" xr:uid="{00000000-0004-0000-0E00-00000C000000}"/>
    <hyperlink ref="D24" location="'FIS-18'!A1" display="FIS-18 Evacuación de expedientes en fiscalización Cambiaria" xr:uid="{00000000-0004-0000-0E00-00000D000000}"/>
    <hyperlink ref="D25" location="'IN1-8'!A1" display="IN1-8 Contribuyentes habilitados como facturadores electrónicos" xr:uid="{00000000-0004-0000-0E00-00000E000000}"/>
    <hyperlink ref="D26" location="'JUR-3.1'!A1" display="JUR-3.1 Porcentaje de éxito de litigiosidad" xr:uid="{00000000-0004-0000-0E00-00000F000000}"/>
    <hyperlink ref="D27" location="'JUR-3.2'!A1" display="JUR-3.2 Porcentaje  procesos judiciales revisados con mayor riesgo en Ekogui" xr:uid="{00000000-0004-0000-0E00-000010000000}"/>
    <hyperlink ref="D28" location="'JUR-3.3'!A1" display="JUR-3.3 Porcentaje de análisis de jurisprudencia remitidos junto con la copia de la sentencia " xr:uid="{00000000-0004-0000-0E00-000011000000}"/>
    <hyperlink ref="D29" location="'JUR-3.4'!A1" display="JUR-3.4 Porcentaje  de procesos revisados con VoBo del Jefe " xr:uid="{00000000-0004-0000-0E00-000012000000}"/>
    <hyperlink ref="D30" location="'JUR-3.5'!A1" display="JUR-3.5 Porcentaje de requerimientos atendidos en oportunidad" xr:uid="{00000000-0004-0000-0E00-000013000000}"/>
    <hyperlink ref="D31" location="'JUR-3.6'!A1" display="JUR-3.6 Porcentaje funcionarios capacitaciones en cursos virtuales de la ANDJE" xr:uid="{00000000-0004-0000-0E00-000014000000}"/>
    <hyperlink ref="D32" location="'JUR-4'!A1" display="JUR-4 Porcentaje funcionarios que participaron en el concurso de escritura jurídica" xr:uid="{00000000-0004-0000-0E00-000015000000}"/>
    <hyperlink ref="D33" location="'FIS-24'!A1" display="FIS-24 Valor Decomisos de mercancías en firme" xr:uid="{00000000-0004-0000-0E00-000016000000}"/>
    <hyperlink ref="D34" location="'FIS-33'!A1" display="FIS-33 Cantidad aprehensiones sectores de Licores, Cigarrillos, hidrocarburos y agropecuario" xr:uid="{00000000-0004-0000-0E00-000017000000}"/>
    <hyperlink ref="D35" location="'POLFA-3'!A1" display="POLFA-3 Acciones de control de fiscalización contra el contrabando  " xr:uid="{00000000-0004-0000-0E00-000018000000}"/>
    <hyperlink ref="D36" location="'FIS-32'!A1" display="FIS-32 Valor Aprehensiones sectores de Licores, Cigarrillos, Calzado y Confecciones" xr:uid="{00000000-0004-0000-0E00-000019000000}"/>
    <hyperlink ref="D38" location="'JUR-7'!A1" display="JUR-7  Oportunidad en las decisiones de los recursos Tributarios hasta su remisión a notificaciones" xr:uid="{00000000-0004-0000-0E00-00001A000000}"/>
    <hyperlink ref="D39" location="'POLFA-8'!A1" display="POLFA-8 Porcentaje de cumplimiento programa semilleros de la legalidad" xr:uid="{00000000-0004-0000-0E00-00001B000000}"/>
    <hyperlink ref="D40" location="'IN1-15'!A1" display="IN1-15 Días en devoluciones ordinarias" xr:uid="{00000000-0004-0000-0E00-00001C000000}"/>
    <hyperlink ref="D37" location="'IN1-11'!A1" display="IN1-11  Nivel de cobertura de personas sensibilizadas por el plan de cultura. ACTUALMENTE. Cumplimiento al Plan de Acción de Cultura de la Contribución" xr:uid="{00000000-0004-0000-0E00-00001D000000}"/>
    <hyperlink ref="D9" location="'DGRAE-1'!Área_de_impresión" display="DGRAE-1 Nivel de Ejecución del presupuesto " xr:uid="{00000000-0004-0000-0E00-00001E000000}"/>
    <hyperlink ref="D42" location="'DGRAE-25'!Área_de_impresión" display="DGRAE-25 Actividades que componen el  PIC para la Dirección de Gestión" xr:uid="{00000000-0004-0000-0E00-00001F000000}"/>
    <hyperlink ref="D10" location="'DGRAE-2'!A1" display="DGRAE-2 Nivel de ejecución del PAA de la Dirección" xr:uid="{00000000-0004-0000-0E00-000020000000}"/>
    <hyperlink ref="AZ4" location="'Consolidado '!A1" display="VOLVER" xr:uid="{00000000-0004-0000-0E00-000021000000}"/>
  </hyperlink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46"/>
  <sheetViews>
    <sheetView topLeftCell="E1" zoomScale="80" zoomScaleNormal="80" workbookViewId="0">
      <selection activeCell="AZ6" sqref="AZ6"/>
    </sheetView>
  </sheetViews>
  <sheetFormatPr baseColWidth="10" defaultColWidth="11.42578125" defaultRowHeight="16.5"/>
  <cols>
    <col min="1" max="1" width="22.4257812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customWidth="1"/>
    <col min="8" max="9" width="10.7109375" style="8" hidden="1" customWidth="1"/>
    <col min="10" max="10" width="22.140625" style="8" hidden="1" customWidth="1"/>
    <col min="11" max="11" width="30.42578125" style="8" customWidth="1"/>
    <col min="12" max="30" width="20.7109375" style="8" hidden="1" customWidth="1"/>
    <col min="31" max="31" width="20.7109375" style="69" hidden="1" customWidth="1"/>
    <col min="32" max="49" width="20.7109375" style="8" hidden="1" customWidth="1"/>
    <col min="50" max="50" width="20.7109375" style="8" customWidth="1"/>
    <col min="51" max="51" width="19.5703125" style="69" customWidth="1"/>
    <col min="52" max="16384" width="11.42578125" style="8"/>
  </cols>
  <sheetData>
    <row r="1" spans="1:52" ht="29.25" customHeight="1">
      <c r="A1" s="101"/>
      <c r="B1" s="101"/>
      <c r="C1" s="2885" t="s">
        <v>517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</row>
    <row r="3" spans="1:52">
      <c r="A3" s="107"/>
      <c r="B3" s="108"/>
      <c r="C3" s="2866" t="s">
        <v>518</v>
      </c>
      <c r="D3" s="2867"/>
      <c r="E3" s="2867"/>
      <c r="F3" s="2867"/>
      <c r="G3" s="2867"/>
      <c r="H3" s="2867"/>
      <c r="I3" s="2867"/>
      <c r="J3" s="2867"/>
      <c r="K3" s="2867"/>
      <c r="AZ3" s="65" t="s">
        <v>185</v>
      </c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.75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  <c r="AZ6" s="66">
        <f>(+AY9+AY10+AY11+AY12+AY13+AY14+AY15+AY16+AY17+AY18+AY19+AY20+AY21+AY22+AY22+AY23+AY24+AY25+AY26+AY27+AY28+AY29+AY30+AY31+AY32+AY34+AY35+AY36+AY37+AY41+AY42+AY43+AY45)/33</f>
        <v>2.0646831551985123</v>
      </c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36"/>
      <c r="AY7" s="2837"/>
    </row>
    <row r="8" spans="1:52" customFormat="1" ht="29.25" customHeight="1" thickTop="1" thickBot="1">
      <c r="A8" s="3050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69"/>
      <c r="L8" s="13" t="s">
        <v>84</v>
      </c>
      <c r="M8" s="16" t="s">
        <v>85</v>
      </c>
      <c r="N8" s="16" t="s">
        <v>86</v>
      </c>
      <c r="O8" s="16" t="s">
        <v>84</v>
      </c>
      <c r="P8" s="13" t="s">
        <v>85</v>
      </c>
      <c r="Q8" s="16" t="s">
        <v>86</v>
      </c>
      <c r="R8" s="13" t="s">
        <v>84</v>
      </c>
      <c r="S8" s="13" t="s">
        <v>85</v>
      </c>
      <c r="T8" s="16" t="s">
        <v>86</v>
      </c>
      <c r="U8" s="14" t="s">
        <v>84</v>
      </c>
      <c r="V8" s="16" t="s">
        <v>85</v>
      </c>
      <c r="W8" s="16" t="s">
        <v>86</v>
      </c>
      <c r="X8" s="13" t="s">
        <v>84</v>
      </c>
      <c r="Y8" s="14" t="s">
        <v>85</v>
      </c>
      <c r="Z8" s="16" t="s">
        <v>86</v>
      </c>
      <c r="AA8" s="16" t="s">
        <v>84</v>
      </c>
      <c r="AB8" s="13" t="s">
        <v>85</v>
      </c>
      <c r="AC8" s="16" t="s">
        <v>86</v>
      </c>
      <c r="AD8" s="16" t="s">
        <v>87</v>
      </c>
      <c r="AE8" s="71" t="s">
        <v>6</v>
      </c>
      <c r="AF8" s="13" t="s">
        <v>84</v>
      </c>
      <c r="AG8" s="13" t="s">
        <v>85</v>
      </c>
      <c r="AH8" s="16" t="s">
        <v>86</v>
      </c>
      <c r="AI8" s="13" t="s">
        <v>84</v>
      </c>
      <c r="AJ8" s="14" t="s">
        <v>85</v>
      </c>
      <c r="AK8" s="16" t="s">
        <v>86</v>
      </c>
      <c r="AL8" s="13" t="s">
        <v>84</v>
      </c>
      <c r="AM8" s="14" t="s">
        <v>85</v>
      </c>
      <c r="AN8" s="16" t="s">
        <v>86</v>
      </c>
      <c r="AO8" s="16" t="s">
        <v>84</v>
      </c>
      <c r="AP8" s="13" t="s">
        <v>85</v>
      </c>
      <c r="AQ8" s="16" t="s">
        <v>86</v>
      </c>
      <c r="AR8" s="14" t="s">
        <v>84</v>
      </c>
      <c r="AS8" s="16" t="s">
        <v>85</v>
      </c>
      <c r="AT8" s="16" t="s">
        <v>86</v>
      </c>
      <c r="AU8" s="16" t="s">
        <v>84</v>
      </c>
      <c r="AV8" s="16" t="s">
        <v>85</v>
      </c>
      <c r="AW8" s="16" t="s">
        <v>86</v>
      </c>
      <c r="AX8" s="16" t="s">
        <v>87</v>
      </c>
      <c r="AY8" s="71" t="s">
        <v>6</v>
      </c>
    </row>
    <row r="9" spans="1:52" customFormat="1" ht="74.25" customHeight="1" thickTop="1" thickBot="1">
      <c r="A9" s="2907" t="s">
        <v>88</v>
      </c>
      <c r="B9" s="2928" t="s">
        <v>519</v>
      </c>
      <c r="C9" s="561" t="s">
        <v>167</v>
      </c>
      <c r="D9" s="1110" t="s">
        <v>90</v>
      </c>
      <c r="E9" s="561" t="s">
        <v>91</v>
      </c>
      <c r="F9" s="561" t="s">
        <v>168</v>
      </c>
      <c r="G9" s="1111">
        <v>255.8</v>
      </c>
      <c r="H9" s="1112"/>
      <c r="I9" s="1112"/>
      <c r="J9" s="1112"/>
      <c r="K9" s="1112" t="s">
        <v>25</v>
      </c>
      <c r="L9" s="58">
        <v>46.108040000000003</v>
      </c>
      <c r="M9" s="1113">
        <v>55.819000000000003</v>
      </c>
      <c r="N9" s="19">
        <f>+M9/L9</f>
        <v>1.2106131598740697</v>
      </c>
      <c r="O9" s="1114">
        <v>52.286459000000001</v>
      </c>
      <c r="P9" s="1115">
        <v>37.509</v>
      </c>
      <c r="Q9" s="19">
        <f>+P9/O9</f>
        <v>0.71737502820759003</v>
      </c>
      <c r="R9" s="1116">
        <v>11.602399</v>
      </c>
      <c r="S9" s="1115">
        <v>13.606</v>
      </c>
      <c r="T9" s="19">
        <f>+S9/R9</f>
        <v>1.1726885103675542</v>
      </c>
      <c r="U9" s="1116">
        <v>49.602398999999998</v>
      </c>
      <c r="V9" s="1117">
        <v>12.776</v>
      </c>
      <c r="W9" s="19">
        <f>+V9/U9</f>
        <v>0.25756818737738874</v>
      </c>
      <c r="X9" s="561">
        <v>17.25</v>
      </c>
      <c r="Y9" s="1118">
        <v>3.863</v>
      </c>
      <c r="Z9" s="19">
        <f>+Y9/X9</f>
        <v>0.22394202898550725</v>
      </c>
      <c r="AA9" s="1114">
        <v>10.122399</v>
      </c>
      <c r="AB9" s="1115">
        <v>17.152999999999999</v>
      </c>
      <c r="AC9" s="19">
        <f>+AB9/AA9</f>
        <v>1.6945587701097338</v>
      </c>
      <c r="AD9" s="1119">
        <f>+M9+P9+S9+V9+Y9+AB9</f>
        <v>140.726</v>
      </c>
      <c r="AE9" s="19">
        <f>+AD9/G9</f>
        <v>0.55014073494917903</v>
      </c>
      <c r="AF9" s="1120">
        <v>20.557563999999999</v>
      </c>
      <c r="AG9" s="1121">
        <v>5.7249999999999996</v>
      </c>
      <c r="AH9" s="19">
        <f>+AG9/AF9</f>
        <v>0.27848630314369932</v>
      </c>
      <c r="AI9" s="561">
        <v>10.25</v>
      </c>
      <c r="AJ9" s="1118">
        <v>6.3929999999999998</v>
      </c>
      <c r="AK9" s="19">
        <f>+AJ9/AI9</f>
        <v>0.62370731707317073</v>
      </c>
      <c r="AL9" s="1116">
        <v>9.6023990000000001</v>
      </c>
      <c r="AM9" s="1118">
        <v>32.856000000000002</v>
      </c>
      <c r="AN9" s="19">
        <f>+AM9/AL9</f>
        <v>3.4216449451850521</v>
      </c>
      <c r="AO9" s="1114">
        <v>9.6023990000000001</v>
      </c>
      <c r="AP9" s="1115">
        <v>45.351999999999997</v>
      </c>
      <c r="AQ9" s="19">
        <f>+AP9/AO9</f>
        <v>4.7229864120414069</v>
      </c>
      <c r="AR9" s="561">
        <v>10.25</v>
      </c>
      <c r="AS9" s="1117">
        <v>6.2409999999999997</v>
      </c>
      <c r="AT9" s="19">
        <f>+AS9/AR9</f>
        <v>0.60887804878048779</v>
      </c>
      <c r="AU9" s="1114">
        <v>8.6024010000000004</v>
      </c>
      <c r="AV9" s="1117">
        <v>9.6180000000000003</v>
      </c>
      <c r="AW9" s="19">
        <f>+AV9/AU9</f>
        <v>1.1180599462870888</v>
      </c>
      <c r="AX9" s="1119">
        <f t="shared" ref="AX9" si="0">+M9+P9+S9+V9+Y9+AB9+AG9+AJ9+AM9+AP9+AS9+AV9</f>
        <v>246.911</v>
      </c>
      <c r="AY9" s="19">
        <f>+AX9/G9</f>
        <v>0.96525019546520718</v>
      </c>
    </row>
    <row r="10" spans="1:52" customFormat="1" ht="47.25" customHeight="1" thickTop="1" thickBot="1">
      <c r="A10" s="2979"/>
      <c r="B10" s="2930"/>
      <c r="C10" s="371" t="s">
        <v>520</v>
      </c>
      <c r="D10" s="1122" t="s">
        <v>92</v>
      </c>
      <c r="E10" s="74" t="s">
        <v>170</v>
      </c>
      <c r="F10" s="74" t="s">
        <v>17</v>
      </c>
      <c r="G10" s="1123">
        <v>8</v>
      </c>
      <c r="H10" s="118" t="s">
        <v>26</v>
      </c>
      <c r="I10" s="79"/>
      <c r="J10" s="78"/>
      <c r="K10" s="76" t="s">
        <v>26</v>
      </c>
      <c r="L10" s="870">
        <v>0</v>
      </c>
      <c r="M10" s="120">
        <v>2</v>
      </c>
      <c r="N10" s="19" t="e">
        <f>+M10/L10</f>
        <v>#DIV/0!</v>
      </c>
      <c r="O10" s="870">
        <v>0</v>
      </c>
      <c r="P10" s="120">
        <v>0</v>
      </c>
      <c r="Q10" s="19" t="e">
        <f>+P10/O10</f>
        <v>#DIV/0!</v>
      </c>
      <c r="R10" s="870">
        <v>0</v>
      </c>
      <c r="S10" s="120">
        <v>1</v>
      </c>
      <c r="T10" s="19" t="e">
        <f>+S10/R10</f>
        <v>#DIV/0!</v>
      </c>
      <c r="U10" s="870">
        <v>0</v>
      </c>
      <c r="V10" s="120">
        <v>1</v>
      </c>
      <c r="W10" s="19" t="e">
        <f>+V10/U10</f>
        <v>#DIV/0!</v>
      </c>
      <c r="X10" s="870">
        <v>0</v>
      </c>
      <c r="Y10" s="120">
        <v>1</v>
      </c>
      <c r="Z10" s="19" t="e">
        <f>+Y10/X10</f>
        <v>#DIV/0!</v>
      </c>
      <c r="AA10" s="870">
        <v>0</v>
      </c>
      <c r="AB10" s="120">
        <v>1</v>
      </c>
      <c r="AC10" s="19" t="e">
        <f>+AB10/AA10</f>
        <v>#DIV/0!</v>
      </c>
      <c r="AD10" s="1119">
        <f t="shared" ref="AD10:AD39" si="1">+M10+P10+S10+V10+Y10+AB10</f>
        <v>6</v>
      </c>
      <c r="AE10" s="19">
        <f t="shared" ref="AE10" si="2">+AD10/G10</f>
        <v>0.75</v>
      </c>
      <c r="AF10" s="870">
        <v>0</v>
      </c>
      <c r="AG10" s="120">
        <v>0</v>
      </c>
      <c r="AH10" s="19" t="e">
        <f>+AG10/AF10</f>
        <v>#DIV/0!</v>
      </c>
      <c r="AI10" s="870">
        <v>0</v>
      </c>
      <c r="AJ10" s="120">
        <v>0</v>
      </c>
      <c r="AK10" s="19" t="e">
        <f>+AJ10/AI10</f>
        <v>#DIV/0!</v>
      </c>
      <c r="AL10" s="870">
        <v>0</v>
      </c>
      <c r="AM10" s="120">
        <v>2</v>
      </c>
      <c r="AN10" s="19" t="e">
        <f>+AM10/AL10</f>
        <v>#DIV/0!</v>
      </c>
      <c r="AO10" s="870">
        <v>0</v>
      </c>
      <c r="AP10" s="120">
        <v>0</v>
      </c>
      <c r="AQ10" s="19" t="e">
        <f>+AP10/AO10</f>
        <v>#DIV/0!</v>
      </c>
      <c r="AR10" s="870">
        <v>0</v>
      </c>
      <c r="AS10" s="120"/>
      <c r="AT10" s="19" t="e">
        <f>+AS10/AR10</f>
        <v>#DIV/0!</v>
      </c>
      <c r="AU10" s="870">
        <v>0</v>
      </c>
      <c r="AV10" s="120"/>
      <c r="AW10" s="19" t="e">
        <f>+AV10/AU10</f>
        <v>#DIV/0!</v>
      </c>
      <c r="AX10" s="1124">
        <f>+M10+P10+S10+V10+Y10+AB10+AG10+AJ10+AM10+AP10+AS10+AV10</f>
        <v>8</v>
      </c>
      <c r="AY10" s="19">
        <f>+AX10/G10</f>
        <v>1</v>
      </c>
    </row>
    <row r="11" spans="1:52" s="22" customFormat="1" ht="44.25" customHeight="1" thickTop="1" thickBot="1">
      <c r="A11" s="2979"/>
      <c r="B11" s="2848" t="s">
        <v>94</v>
      </c>
      <c r="C11" s="133" t="s">
        <v>521</v>
      </c>
      <c r="D11" s="224" t="s">
        <v>96</v>
      </c>
      <c r="E11" s="133" t="s">
        <v>97</v>
      </c>
      <c r="F11" s="133" t="s">
        <v>168</v>
      </c>
      <c r="G11" s="1125" t="s">
        <v>98</v>
      </c>
      <c r="H11" s="126"/>
      <c r="I11" s="952"/>
      <c r="J11" s="126"/>
      <c r="K11" s="133" t="s">
        <v>20</v>
      </c>
      <c r="L11" s="1126" t="s">
        <v>98</v>
      </c>
      <c r="M11" s="1127"/>
      <c r="N11" s="19" t="e">
        <f>+M11/L11</f>
        <v>#VALUE!</v>
      </c>
      <c r="O11" s="1126">
        <v>0</v>
      </c>
      <c r="P11" s="1127"/>
      <c r="Q11" s="19" t="e">
        <f>+P11/O11</f>
        <v>#DIV/0!</v>
      </c>
      <c r="R11" s="1126">
        <v>0</v>
      </c>
      <c r="S11" s="1127"/>
      <c r="T11" s="19" t="e">
        <f>+S11/R11</f>
        <v>#DIV/0!</v>
      </c>
      <c r="U11" s="1126">
        <v>0</v>
      </c>
      <c r="V11" s="1127"/>
      <c r="W11" s="19" t="e">
        <f>+V11/U11</f>
        <v>#DIV/0!</v>
      </c>
      <c r="X11" s="1126">
        <v>0</v>
      </c>
      <c r="Y11" s="1127"/>
      <c r="Z11" s="19" t="e">
        <f>+Y11/X11</f>
        <v>#DIV/0!</v>
      </c>
      <c r="AA11" s="1126">
        <v>0</v>
      </c>
      <c r="AB11" s="1127"/>
      <c r="AC11" s="19" t="e">
        <f>+AB11/AA11</f>
        <v>#DIV/0!</v>
      </c>
      <c r="AD11" s="1119">
        <f t="shared" si="1"/>
        <v>0</v>
      </c>
      <c r="AE11" s="19" t="e">
        <f>+AD11/G11</f>
        <v>#VALUE!</v>
      </c>
      <c r="AF11" s="1126">
        <v>0</v>
      </c>
      <c r="AG11" s="1127"/>
      <c r="AH11" s="19" t="e">
        <f>+AG11/AF11</f>
        <v>#DIV/0!</v>
      </c>
      <c r="AI11" s="1126">
        <v>0</v>
      </c>
      <c r="AJ11" s="1127"/>
      <c r="AK11" s="19" t="e">
        <f>+AJ11/AI11</f>
        <v>#DIV/0!</v>
      </c>
      <c r="AL11" s="1126">
        <v>0</v>
      </c>
      <c r="AM11" s="1127"/>
      <c r="AN11" s="19" t="e">
        <f>+AM11/AL11</f>
        <v>#DIV/0!</v>
      </c>
      <c r="AO11" s="1126">
        <v>0</v>
      </c>
      <c r="AP11" s="1127"/>
      <c r="AQ11" s="19" t="e">
        <f>+AP11/AO11</f>
        <v>#DIV/0!</v>
      </c>
      <c r="AR11" s="1126">
        <v>0</v>
      </c>
      <c r="AS11" s="1127"/>
      <c r="AT11" s="19" t="e">
        <f>+AS11/AR11</f>
        <v>#DIV/0!</v>
      </c>
      <c r="AU11" s="1126">
        <v>0</v>
      </c>
      <c r="AV11" s="1127"/>
      <c r="AW11" s="19" t="e">
        <f>+AV11/AU11</f>
        <v>#DIV/0!</v>
      </c>
      <c r="AX11" s="1125">
        <v>462453</v>
      </c>
      <c r="AY11" s="19">
        <v>1</v>
      </c>
    </row>
    <row r="12" spans="1:52" s="22" customFormat="1" ht="77.25" customHeight="1" thickTop="1" thickBot="1">
      <c r="A12" s="2979"/>
      <c r="B12" s="2849"/>
      <c r="C12" s="3038" t="s">
        <v>522</v>
      </c>
      <c r="D12" s="1122" t="s">
        <v>99</v>
      </c>
      <c r="E12" s="74" t="s">
        <v>100</v>
      </c>
      <c r="F12" s="74" t="s">
        <v>101</v>
      </c>
      <c r="G12" s="1128">
        <v>38710000000</v>
      </c>
      <c r="H12" s="130"/>
      <c r="I12" s="960"/>
      <c r="J12" s="130"/>
      <c r="K12" s="74" t="s">
        <v>523</v>
      </c>
      <c r="L12" s="1129">
        <v>3096800000</v>
      </c>
      <c r="M12" s="1130">
        <v>1556048350</v>
      </c>
      <c r="N12" s="19">
        <f t="shared" ref="N12:N39" si="3">+M12/L12</f>
        <v>0.50246975910617409</v>
      </c>
      <c r="O12" s="1129">
        <v>3096800000</v>
      </c>
      <c r="P12" s="1130">
        <v>1054808000</v>
      </c>
      <c r="Q12" s="19">
        <f t="shared" ref="Q12:Q39" si="4">+P12/O12</f>
        <v>0.34061224489795916</v>
      </c>
      <c r="R12" s="1129">
        <v>3096800000</v>
      </c>
      <c r="S12" s="1130">
        <v>363920750</v>
      </c>
      <c r="T12" s="19">
        <f t="shared" ref="T12:T39" si="5">+S12/R12</f>
        <v>0.11751509622836476</v>
      </c>
      <c r="U12" s="1129">
        <v>3483900000</v>
      </c>
      <c r="V12" s="1130">
        <v>5967000</v>
      </c>
      <c r="W12" s="19">
        <f t="shared" ref="W12:W36" si="6">+V12/U12</f>
        <v>1.7127357272022734E-3</v>
      </c>
      <c r="X12" s="1129">
        <v>3871000000</v>
      </c>
      <c r="Y12" s="1130">
        <v>76756000</v>
      </c>
      <c r="Z12" s="19">
        <f t="shared" ref="Z12:Z39" si="7">+Y12/X12</f>
        <v>1.98284680960992E-2</v>
      </c>
      <c r="AA12" s="1129">
        <v>3871000000</v>
      </c>
      <c r="AB12" s="1130">
        <v>6461963732</v>
      </c>
      <c r="AC12" s="19">
        <f t="shared" ref="AC12:AC39" si="8">+AB12/AA12</f>
        <v>1.6693267197106691</v>
      </c>
      <c r="AD12" s="1119">
        <f t="shared" si="1"/>
        <v>9519463832</v>
      </c>
      <c r="AE12" s="19">
        <f t="shared" ref="AE12:AE39" si="9">+AD12/G12</f>
        <v>0.24591743301472488</v>
      </c>
      <c r="AF12" s="1129">
        <v>3871000000</v>
      </c>
      <c r="AG12" s="1130">
        <v>2599420649</v>
      </c>
      <c r="AH12" s="19">
        <f t="shared" ref="AH12:AH39" si="10">+AG12/AF12</f>
        <v>0.6715114050632911</v>
      </c>
      <c r="AI12" s="1129">
        <v>3871000000</v>
      </c>
      <c r="AJ12" s="1130">
        <v>576021000</v>
      </c>
      <c r="AK12" s="19">
        <f t="shared" ref="AK12:AK39" si="11">+AJ12/AI12</f>
        <v>0.14880418496512529</v>
      </c>
      <c r="AL12" s="1129">
        <v>3871000000</v>
      </c>
      <c r="AM12" s="1130">
        <v>2649518000</v>
      </c>
      <c r="AN12" s="19">
        <f t="shared" ref="AN12:AN39" si="12">+AM12/AL12</f>
        <v>0.68445311289072586</v>
      </c>
      <c r="AO12" s="1129">
        <v>3871000000</v>
      </c>
      <c r="AP12" s="1130">
        <v>1231506580</v>
      </c>
      <c r="AQ12" s="19">
        <f t="shared" ref="AQ12:AQ39" si="13">+AP12/AO12</f>
        <v>0.31813654869542751</v>
      </c>
      <c r="AR12" s="1129">
        <v>1548400000</v>
      </c>
      <c r="AS12" s="1131">
        <v>3868607509</v>
      </c>
      <c r="AT12" s="19">
        <f t="shared" ref="AT12:AT41" si="14">+AS12/AR12</f>
        <v>2.4984548624386465</v>
      </c>
      <c r="AU12" s="1129">
        <v>1161300000</v>
      </c>
      <c r="AV12" s="1131">
        <v>3292727840</v>
      </c>
      <c r="AW12" s="19">
        <f t="shared" ref="AW12:AW41" si="15">+AV12/AU12</f>
        <v>2.8353809007147164</v>
      </c>
      <c r="AX12" s="1132">
        <f t="shared" ref="AX12:AX18" si="16">+M12+P12+S12+V12+Y12+AB12+AG12+AJ12+AM12+AP12+AS12+AV12</f>
        <v>23737265410</v>
      </c>
      <c r="AY12" s="19">
        <f t="shared" ref="AY12:AY37" si="17">+AX12/G12</f>
        <v>0.61320757969516926</v>
      </c>
    </row>
    <row r="13" spans="1:52" s="22" customFormat="1" ht="46.5" customHeight="1" thickTop="1" thickBot="1">
      <c r="A13" s="2979"/>
      <c r="B13" s="2849"/>
      <c r="C13" s="3039"/>
      <c r="D13" s="224" t="s">
        <v>456</v>
      </c>
      <c r="E13" s="133" t="s">
        <v>524</v>
      </c>
      <c r="F13" s="133" t="s">
        <v>101</v>
      </c>
      <c r="G13" s="1125">
        <v>1508794988</v>
      </c>
      <c r="H13" s="133"/>
      <c r="I13" s="133"/>
      <c r="J13" s="133"/>
      <c r="K13" s="1125" t="s">
        <v>196</v>
      </c>
      <c r="L13" s="1126">
        <v>50293166</v>
      </c>
      <c r="M13" s="1130">
        <v>0</v>
      </c>
      <c r="N13" s="19">
        <f t="shared" si="3"/>
        <v>0</v>
      </c>
      <c r="O13" s="1126">
        <v>50293166</v>
      </c>
      <c r="P13" s="1130">
        <v>0</v>
      </c>
      <c r="Q13" s="19">
        <f t="shared" si="4"/>
        <v>0</v>
      </c>
      <c r="R13" s="1126">
        <v>50293166</v>
      </c>
      <c r="S13" s="1130">
        <v>0</v>
      </c>
      <c r="T13" s="19">
        <f t="shared" si="5"/>
        <v>0</v>
      </c>
      <c r="U13" s="1126">
        <v>201172665</v>
      </c>
      <c r="V13" s="1130">
        <v>0</v>
      </c>
      <c r="W13" s="19">
        <f t="shared" si="6"/>
        <v>0</v>
      </c>
      <c r="X13" s="1126">
        <v>201172665</v>
      </c>
      <c r="Y13" s="1130">
        <v>0</v>
      </c>
      <c r="Z13" s="19">
        <f t="shared" si="7"/>
        <v>0</v>
      </c>
      <c r="AA13" s="1126">
        <v>201172665</v>
      </c>
      <c r="AB13" s="1130">
        <v>5925222601</v>
      </c>
      <c r="AC13" s="19">
        <f t="shared" si="8"/>
        <v>29.453418042655048</v>
      </c>
      <c r="AD13" s="1119">
        <f t="shared" si="1"/>
        <v>5925222601</v>
      </c>
      <c r="AE13" s="19">
        <f t="shared" si="9"/>
        <v>3.9271224043859299</v>
      </c>
      <c r="AF13" s="1126">
        <v>201172665</v>
      </c>
      <c r="AG13" s="1133">
        <v>0</v>
      </c>
      <c r="AH13" s="19">
        <f t="shared" si="10"/>
        <v>0</v>
      </c>
      <c r="AI13" s="1126">
        <v>201172665</v>
      </c>
      <c r="AJ13" s="1133">
        <v>0</v>
      </c>
      <c r="AK13" s="19">
        <f t="shared" si="11"/>
        <v>0</v>
      </c>
      <c r="AL13" s="1126">
        <v>201172665</v>
      </c>
      <c r="AM13" s="1133">
        <v>0</v>
      </c>
      <c r="AN13" s="19">
        <f t="shared" si="12"/>
        <v>0</v>
      </c>
      <c r="AO13" s="1126">
        <v>50293166</v>
      </c>
      <c r="AP13" s="1133">
        <v>0</v>
      </c>
      <c r="AQ13" s="19">
        <f t="shared" si="13"/>
        <v>0</v>
      </c>
      <c r="AR13" s="1126">
        <v>50293166</v>
      </c>
      <c r="AS13" s="1127"/>
      <c r="AT13" s="19">
        <f t="shared" si="14"/>
        <v>0</v>
      </c>
      <c r="AU13" s="1126">
        <v>50293166</v>
      </c>
      <c r="AV13" s="1127"/>
      <c r="AW13" s="19">
        <f t="shared" si="15"/>
        <v>0</v>
      </c>
      <c r="AX13" s="1125">
        <f t="shared" si="16"/>
        <v>5925222601</v>
      </c>
      <c r="AY13" s="19">
        <f t="shared" si="17"/>
        <v>3.9271224043859299</v>
      </c>
    </row>
    <row r="14" spans="1:52" s="22" customFormat="1" ht="130.5" customHeight="1" thickTop="1" thickBot="1">
      <c r="A14" s="2979"/>
      <c r="B14" s="2849"/>
      <c r="C14" s="3039"/>
      <c r="D14" s="1122" t="s">
        <v>525</v>
      </c>
      <c r="E14" s="74" t="s">
        <v>526</v>
      </c>
      <c r="F14" s="74" t="s">
        <v>101</v>
      </c>
      <c r="G14" s="1128">
        <v>307146269.87918901</v>
      </c>
      <c r="H14" s="130"/>
      <c r="I14" s="965"/>
      <c r="J14" s="130"/>
      <c r="K14" s="74" t="s">
        <v>140</v>
      </c>
      <c r="L14" s="1129">
        <v>20476417.9919459</v>
      </c>
      <c r="M14" s="1130">
        <v>0</v>
      </c>
      <c r="N14" s="19">
        <f t="shared" si="3"/>
        <v>0</v>
      </c>
      <c r="O14" s="1129">
        <v>20476417.991945941</v>
      </c>
      <c r="P14" s="1130">
        <v>3058000</v>
      </c>
      <c r="Q14" s="19">
        <f t="shared" si="4"/>
        <v>0.14934252666666667</v>
      </c>
      <c r="R14" s="1129">
        <v>20476417.991945941</v>
      </c>
      <c r="S14" s="1130">
        <v>0</v>
      </c>
      <c r="T14" s="19">
        <f t="shared" si="5"/>
        <v>0</v>
      </c>
      <c r="U14" s="1129">
        <v>30714626.987918898</v>
      </c>
      <c r="V14" s="1130">
        <v>0</v>
      </c>
      <c r="W14" s="19">
        <f t="shared" si="6"/>
        <v>0</v>
      </c>
      <c r="X14" s="1129">
        <v>30714626.987918913</v>
      </c>
      <c r="Y14" s="1130">
        <v>0</v>
      </c>
      <c r="Z14" s="19">
        <f t="shared" si="7"/>
        <v>0</v>
      </c>
      <c r="AA14" s="1129">
        <v>30714626.987918913</v>
      </c>
      <c r="AB14" s="1130">
        <v>38685000</v>
      </c>
      <c r="AC14" s="19">
        <f t="shared" si="8"/>
        <v>1.2594976333333334</v>
      </c>
      <c r="AD14" s="1119">
        <f t="shared" si="1"/>
        <v>41743000</v>
      </c>
      <c r="AE14" s="19">
        <f t="shared" si="9"/>
        <v>0.13590593177777782</v>
      </c>
      <c r="AF14" s="1129">
        <v>30714626.987918913</v>
      </c>
      <c r="AG14" s="1133">
        <v>59382000</v>
      </c>
      <c r="AH14" s="19">
        <f t="shared" si="10"/>
        <v>1.93334596</v>
      </c>
      <c r="AI14" s="1129">
        <v>30714626.987918913</v>
      </c>
      <c r="AJ14" s="1133">
        <v>0</v>
      </c>
      <c r="AK14" s="19">
        <f t="shared" si="11"/>
        <v>0</v>
      </c>
      <c r="AL14" s="1129">
        <v>30714626.987918913</v>
      </c>
      <c r="AM14" s="1133">
        <v>0</v>
      </c>
      <c r="AN14" s="19">
        <f t="shared" si="12"/>
        <v>0</v>
      </c>
      <c r="AO14" s="1129">
        <v>20476417.991945941</v>
      </c>
      <c r="AP14" s="1133">
        <v>0</v>
      </c>
      <c r="AQ14" s="19">
        <f t="shared" si="13"/>
        <v>0</v>
      </c>
      <c r="AR14" s="1129">
        <v>20476417.9919459</v>
      </c>
      <c r="AS14" s="1131">
        <v>9758000</v>
      </c>
      <c r="AT14" s="19">
        <f t="shared" si="14"/>
        <v>0.47654819333333431</v>
      </c>
      <c r="AU14" s="1129">
        <v>20476417.991945941</v>
      </c>
      <c r="AV14" s="1131">
        <v>4774000</v>
      </c>
      <c r="AW14" s="19">
        <f t="shared" si="15"/>
        <v>0.23314624666666667</v>
      </c>
      <c r="AX14" s="1132">
        <f t="shared" si="16"/>
        <v>115657000</v>
      </c>
      <c r="AY14" s="19">
        <f t="shared" si="17"/>
        <v>0.37655349044444458</v>
      </c>
    </row>
    <row r="15" spans="1:52" s="22" customFormat="1" ht="82.9" customHeight="1" thickTop="1" thickBot="1">
      <c r="A15" s="2979"/>
      <c r="B15" s="2849"/>
      <c r="C15" s="3039"/>
      <c r="D15" s="224" t="s">
        <v>102</v>
      </c>
      <c r="E15" s="133" t="s">
        <v>527</v>
      </c>
      <c r="F15" s="133" t="s">
        <v>101</v>
      </c>
      <c r="G15" s="1125">
        <v>29100000000</v>
      </c>
      <c r="H15" s="133"/>
      <c r="I15" s="133"/>
      <c r="J15" s="133"/>
      <c r="K15" s="1125" t="s">
        <v>523</v>
      </c>
      <c r="L15" s="1126">
        <v>2328000000</v>
      </c>
      <c r="M15" s="1130">
        <v>2354835000</v>
      </c>
      <c r="N15" s="19">
        <f t="shared" si="3"/>
        <v>1.0115270618556702</v>
      </c>
      <c r="O15" s="1126">
        <v>2328000000</v>
      </c>
      <c r="P15" s="1130">
        <v>370352000</v>
      </c>
      <c r="Q15" s="19">
        <f t="shared" si="4"/>
        <v>0.15908591065292096</v>
      </c>
      <c r="R15" s="1126">
        <v>2328000000</v>
      </c>
      <c r="S15" s="1130">
        <v>1205575000</v>
      </c>
      <c r="T15" s="19">
        <f t="shared" si="5"/>
        <v>0.51785867697594501</v>
      </c>
      <c r="U15" s="1126">
        <v>2619000000</v>
      </c>
      <c r="V15" s="1130">
        <v>5967000</v>
      </c>
      <c r="W15" s="19">
        <f t="shared" si="6"/>
        <v>2.2783505154639174E-3</v>
      </c>
      <c r="X15" s="1126">
        <v>2910000000</v>
      </c>
      <c r="Y15" s="1130">
        <v>76756000</v>
      </c>
      <c r="Z15" s="19">
        <f t="shared" si="7"/>
        <v>2.6376632302405497E-2</v>
      </c>
      <c r="AA15" s="1126">
        <v>2910000000</v>
      </c>
      <c r="AB15" s="1130">
        <v>1927179732</v>
      </c>
      <c r="AC15" s="19">
        <f t="shared" si="8"/>
        <v>0.66226107628865982</v>
      </c>
      <c r="AD15" s="1119">
        <f t="shared" si="1"/>
        <v>5940664732</v>
      </c>
      <c r="AE15" s="19">
        <f t="shared" si="9"/>
        <v>0.20414655436426116</v>
      </c>
      <c r="AF15" s="1126">
        <v>2910000000</v>
      </c>
      <c r="AG15" s="1133">
        <v>2020186000</v>
      </c>
      <c r="AH15" s="19">
        <f t="shared" si="10"/>
        <v>0.69422199312714772</v>
      </c>
      <c r="AI15" s="1126">
        <v>2910000000</v>
      </c>
      <c r="AJ15" s="1133">
        <v>2988600500</v>
      </c>
      <c r="AK15" s="19">
        <f t="shared" si="11"/>
        <v>1.0270104810996563</v>
      </c>
      <c r="AL15" s="1126">
        <v>2910000000</v>
      </c>
      <c r="AM15" s="1133">
        <v>1991501000</v>
      </c>
      <c r="AN15" s="19">
        <f t="shared" si="12"/>
        <v>0.68436460481099659</v>
      </c>
      <c r="AO15" s="1126">
        <v>2910000000</v>
      </c>
      <c r="AP15" s="1133">
        <v>1832519869</v>
      </c>
      <c r="AQ15" s="19">
        <f t="shared" si="13"/>
        <v>0.62973191374570447</v>
      </c>
      <c r="AR15" s="1126">
        <v>1164000000</v>
      </c>
      <c r="AS15" s="1127">
        <v>1854480064</v>
      </c>
      <c r="AT15" s="19">
        <f t="shared" si="14"/>
        <v>1.5931959312714776</v>
      </c>
      <c r="AU15" s="1126">
        <v>873000000</v>
      </c>
      <c r="AV15" s="1127">
        <v>3293274890</v>
      </c>
      <c r="AW15" s="19">
        <f t="shared" si="15"/>
        <v>3.7723652806414663</v>
      </c>
      <c r="AX15" s="1125">
        <f t="shared" si="16"/>
        <v>19921227055</v>
      </c>
      <c r="AY15" s="19">
        <f t="shared" si="17"/>
        <v>0.68457824931271483</v>
      </c>
    </row>
    <row r="16" spans="1:52" s="22" customFormat="1" ht="46.5" customHeight="1" thickTop="1" thickBot="1">
      <c r="A16" s="2979"/>
      <c r="B16" s="2849"/>
      <c r="C16" s="3039"/>
      <c r="D16" s="1122" t="s">
        <v>459</v>
      </c>
      <c r="E16" s="74" t="s">
        <v>274</v>
      </c>
      <c r="F16" s="74" t="s">
        <v>101</v>
      </c>
      <c r="G16" s="1128">
        <v>213400000</v>
      </c>
      <c r="H16" s="130"/>
      <c r="I16" s="965"/>
      <c r="J16" s="130"/>
      <c r="K16" s="74" t="s">
        <v>196</v>
      </c>
      <c r="L16" s="1129">
        <v>7113333</v>
      </c>
      <c r="M16" s="1130">
        <v>0</v>
      </c>
      <c r="N16" s="19">
        <f t="shared" si="3"/>
        <v>0</v>
      </c>
      <c r="O16" s="1129">
        <v>7113333</v>
      </c>
      <c r="P16" s="1130">
        <v>0</v>
      </c>
      <c r="Q16" s="19">
        <f t="shared" si="4"/>
        <v>0</v>
      </c>
      <c r="R16" s="1129">
        <v>7113334</v>
      </c>
      <c r="S16" s="1130">
        <v>0</v>
      </c>
      <c r="T16" s="19">
        <f t="shared" si="5"/>
        <v>0</v>
      </c>
      <c r="U16" s="1129">
        <v>28453333</v>
      </c>
      <c r="V16" s="1130">
        <v>0</v>
      </c>
      <c r="W16" s="19">
        <f t="shared" si="6"/>
        <v>0</v>
      </c>
      <c r="X16" s="1129">
        <v>28453333</v>
      </c>
      <c r="Y16" s="1130">
        <v>0</v>
      </c>
      <c r="Z16" s="19">
        <f t="shared" si="7"/>
        <v>0</v>
      </c>
      <c r="AA16" s="1129">
        <v>28453333</v>
      </c>
      <c r="AB16" s="1130">
        <v>0</v>
      </c>
      <c r="AC16" s="19">
        <f t="shared" si="8"/>
        <v>0</v>
      </c>
      <c r="AD16" s="1119">
        <f t="shared" si="1"/>
        <v>0</v>
      </c>
      <c r="AE16" s="19">
        <f t="shared" si="9"/>
        <v>0</v>
      </c>
      <c r="AF16" s="1129">
        <v>28453333</v>
      </c>
      <c r="AG16" s="1130">
        <v>0</v>
      </c>
      <c r="AH16" s="19">
        <f t="shared" si="10"/>
        <v>0</v>
      </c>
      <c r="AI16" s="1129">
        <v>28453333</v>
      </c>
      <c r="AJ16" s="1130">
        <v>48907000</v>
      </c>
      <c r="AK16" s="19">
        <f t="shared" si="11"/>
        <v>1.7188495983932708</v>
      </c>
      <c r="AL16" s="1129">
        <v>28453333</v>
      </c>
      <c r="AM16" s="1130">
        <v>13440000</v>
      </c>
      <c r="AN16" s="19">
        <f t="shared" si="12"/>
        <v>0.47235239541181345</v>
      </c>
      <c r="AO16" s="1129">
        <v>7113334</v>
      </c>
      <c r="AP16" s="1130">
        <v>10654000</v>
      </c>
      <c r="AQ16" s="19">
        <f t="shared" si="13"/>
        <v>1.4977505625350926</v>
      </c>
      <c r="AR16" s="1129">
        <v>7113334</v>
      </c>
      <c r="AS16" s="1131">
        <v>0</v>
      </c>
      <c r="AT16" s="19">
        <f t="shared" si="14"/>
        <v>0</v>
      </c>
      <c r="AU16" s="1129">
        <v>7113334</v>
      </c>
      <c r="AV16" s="1131">
        <v>25452000</v>
      </c>
      <c r="AW16" s="19">
        <f t="shared" si="15"/>
        <v>3.5780690179879082</v>
      </c>
      <c r="AX16" s="1132">
        <f t="shared" si="16"/>
        <v>98453000</v>
      </c>
      <c r="AY16" s="19">
        <f t="shared" si="17"/>
        <v>0.46135426429240861</v>
      </c>
    </row>
    <row r="17" spans="1:52" s="22" customFormat="1" ht="46.5" customHeight="1" thickTop="1" thickBot="1">
      <c r="A17" s="2979"/>
      <c r="B17" s="2849"/>
      <c r="C17" s="3039"/>
      <c r="D17" s="224" t="s">
        <v>203</v>
      </c>
      <c r="E17" s="133" t="s">
        <v>274</v>
      </c>
      <c r="F17" s="133" t="s">
        <v>101</v>
      </c>
      <c r="G17" s="1125">
        <v>981639981</v>
      </c>
      <c r="H17" s="133"/>
      <c r="I17" s="133"/>
      <c r="J17" s="133"/>
      <c r="K17" s="1125" t="s">
        <v>196</v>
      </c>
      <c r="L17" s="1126">
        <v>32721333</v>
      </c>
      <c r="M17" s="1133">
        <v>0</v>
      </c>
      <c r="N17" s="19">
        <f t="shared" si="3"/>
        <v>0</v>
      </c>
      <c r="O17" s="1126">
        <v>32721333</v>
      </c>
      <c r="P17" s="1133">
        <v>0</v>
      </c>
      <c r="Q17" s="19">
        <f t="shared" si="4"/>
        <v>0</v>
      </c>
      <c r="R17" s="1126">
        <v>32721333</v>
      </c>
      <c r="S17" s="1130">
        <v>0</v>
      </c>
      <c r="T17" s="19">
        <f t="shared" si="5"/>
        <v>0</v>
      </c>
      <c r="U17" s="1126">
        <v>130885331</v>
      </c>
      <c r="V17" s="1130">
        <v>0</v>
      </c>
      <c r="W17" s="19">
        <f t="shared" si="6"/>
        <v>0</v>
      </c>
      <c r="X17" s="1126">
        <v>130885331</v>
      </c>
      <c r="Y17" s="1130">
        <v>0</v>
      </c>
      <c r="Z17" s="19">
        <f t="shared" si="7"/>
        <v>0</v>
      </c>
      <c r="AA17" s="1126">
        <v>130885331</v>
      </c>
      <c r="AB17" s="1130">
        <v>12065869000</v>
      </c>
      <c r="AC17" s="19">
        <f t="shared" si="8"/>
        <v>92.186564436315635</v>
      </c>
      <c r="AD17" s="1119">
        <f t="shared" si="1"/>
        <v>12065869000</v>
      </c>
      <c r="AE17" s="19">
        <f t="shared" si="9"/>
        <v>12.291541943624239</v>
      </c>
      <c r="AF17" s="1126">
        <v>130885331</v>
      </c>
      <c r="AG17" s="1133">
        <v>0</v>
      </c>
      <c r="AH17" s="19">
        <f t="shared" si="10"/>
        <v>0</v>
      </c>
      <c r="AI17" s="1126">
        <v>130885331</v>
      </c>
      <c r="AJ17" s="1133"/>
      <c r="AK17" s="19">
        <f t="shared" si="11"/>
        <v>0</v>
      </c>
      <c r="AL17" s="1126">
        <v>130885331</v>
      </c>
      <c r="AM17" s="1133"/>
      <c r="AN17" s="19">
        <f t="shared" si="12"/>
        <v>0</v>
      </c>
      <c r="AO17" s="1126">
        <v>32721332</v>
      </c>
      <c r="AP17" s="1133"/>
      <c r="AQ17" s="19">
        <f t="shared" si="13"/>
        <v>0</v>
      </c>
      <c r="AR17" s="1126">
        <v>32721332</v>
      </c>
      <c r="AS17" s="1127"/>
      <c r="AT17" s="19">
        <f t="shared" si="14"/>
        <v>0</v>
      </c>
      <c r="AU17" s="1126">
        <v>32721332</v>
      </c>
      <c r="AV17" s="1127">
        <v>1481518000</v>
      </c>
      <c r="AW17" s="19">
        <f t="shared" si="15"/>
        <v>45.27682430531862</v>
      </c>
      <c r="AX17" s="1125">
        <f t="shared" si="16"/>
        <v>13547387000</v>
      </c>
      <c r="AY17" s="19">
        <f t="shared" si="17"/>
        <v>13.800769388181633</v>
      </c>
      <c r="AZ17" s="1091"/>
    </row>
    <row r="18" spans="1:52" s="22" customFormat="1" ht="76.5" customHeight="1" thickTop="1" thickBot="1">
      <c r="A18" s="2979"/>
      <c r="B18" s="2849"/>
      <c r="C18" s="3039"/>
      <c r="D18" s="236" t="s">
        <v>104</v>
      </c>
      <c r="E18" s="76" t="s">
        <v>105</v>
      </c>
      <c r="F18" s="76" t="s">
        <v>24</v>
      </c>
      <c r="G18" s="1134">
        <v>60</v>
      </c>
      <c r="H18" s="78"/>
      <c r="I18" s="91"/>
      <c r="J18" s="78"/>
      <c r="K18" s="76" t="s">
        <v>523</v>
      </c>
      <c r="L18" s="1135">
        <v>0</v>
      </c>
      <c r="M18" s="1136"/>
      <c r="N18" s="19" t="e">
        <f t="shared" si="3"/>
        <v>#DIV/0!</v>
      </c>
      <c r="O18" s="1135"/>
      <c r="P18" s="1136"/>
      <c r="Q18" s="19" t="e">
        <f t="shared" si="4"/>
        <v>#DIV/0!</v>
      </c>
      <c r="R18" s="1135">
        <v>15</v>
      </c>
      <c r="S18" s="1136">
        <v>5</v>
      </c>
      <c r="T18" s="19">
        <f t="shared" si="5"/>
        <v>0.33333333333333331</v>
      </c>
      <c r="U18" s="1135">
        <v>0</v>
      </c>
      <c r="V18" s="1136">
        <v>0</v>
      </c>
      <c r="W18" s="19" t="e">
        <f t="shared" si="6"/>
        <v>#DIV/0!</v>
      </c>
      <c r="X18" s="1135">
        <v>0</v>
      </c>
      <c r="Y18" s="1136">
        <v>0</v>
      </c>
      <c r="Z18" s="19" t="e">
        <f t="shared" si="7"/>
        <v>#DIV/0!</v>
      </c>
      <c r="AA18" s="1135">
        <v>15</v>
      </c>
      <c r="AB18" s="1136">
        <v>0</v>
      </c>
      <c r="AC18" s="19">
        <f t="shared" si="8"/>
        <v>0</v>
      </c>
      <c r="AD18" s="1119">
        <f t="shared" si="1"/>
        <v>5</v>
      </c>
      <c r="AE18" s="19">
        <f t="shared" si="9"/>
        <v>8.3333333333333329E-2</v>
      </c>
      <c r="AF18" s="1135">
        <v>0</v>
      </c>
      <c r="AG18" s="1136">
        <v>0</v>
      </c>
      <c r="AH18" s="19" t="e">
        <f t="shared" si="10"/>
        <v>#DIV/0!</v>
      </c>
      <c r="AI18" s="1135">
        <v>0</v>
      </c>
      <c r="AJ18" s="1136">
        <v>0</v>
      </c>
      <c r="AK18" s="19" t="e">
        <f t="shared" si="11"/>
        <v>#DIV/0!</v>
      </c>
      <c r="AL18" s="1135">
        <v>15</v>
      </c>
      <c r="AM18" s="1136">
        <v>1</v>
      </c>
      <c r="AN18" s="19">
        <f t="shared" si="12"/>
        <v>6.6666666666666666E-2</v>
      </c>
      <c r="AO18" s="1135">
        <v>0</v>
      </c>
      <c r="AP18" s="1136">
        <v>9</v>
      </c>
      <c r="AQ18" s="19" t="e">
        <f t="shared" si="13"/>
        <v>#DIV/0!</v>
      </c>
      <c r="AR18" s="1135">
        <v>0</v>
      </c>
      <c r="AS18" s="1136">
        <v>11</v>
      </c>
      <c r="AT18" s="19" t="e">
        <f t="shared" si="14"/>
        <v>#DIV/0!</v>
      </c>
      <c r="AU18" s="1135">
        <v>15</v>
      </c>
      <c r="AV18" s="1136">
        <v>27</v>
      </c>
      <c r="AW18" s="19">
        <f t="shared" si="15"/>
        <v>1.8</v>
      </c>
      <c r="AX18" s="1135">
        <f t="shared" si="16"/>
        <v>53</v>
      </c>
      <c r="AY18" s="19">
        <f t="shared" si="17"/>
        <v>0.8833333333333333</v>
      </c>
    </row>
    <row r="19" spans="1:52" s="22" customFormat="1" ht="80.25" customHeight="1" thickTop="1" thickBot="1">
      <c r="A19" s="2979"/>
      <c r="B19" s="2849"/>
      <c r="C19" s="3040"/>
      <c r="D19" s="24" t="s">
        <v>106</v>
      </c>
      <c r="E19" s="81" t="s">
        <v>173</v>
      </c>
      <c r="F19" s="81" t="s">
        <v>24</v>
      </c>
      <c r="G19" s="81">
        <v>90</v>
      </c>
      <c r="H19" s="81"/>
      <c r="I19" s="81"/>
      <c r="J19" s="81"/>
      <c r="K19" s="81" t="s">
        <v>523</v>
      </c>
      <c r="L19" s="1137">
        <v>0</v>
      </c>
      <c r="M19" s="1138"/>
      <c r="N19" s="19" t="e">
        <f t="shared" si="3"/>
        <v>#DIV/0!</v>
      </c>
      <c r="O19" s="1137">
        <v>0</v>
      </c>
      <c r="P19" s="1138"/>
      <c r="Q19" s="19" t="e">
        <f t="shared" si="4"/>
        <v>#DIV/0!</v>
      </c>
      <c r="R19" s="1137">
        <v>0</v>
      </c>
      <c r="S19" s="1138"/>
      <c r="T19" s="19" t="e">
        <f t="shared" si="5"/>
        <v>#DIV/0!</v>
      </c>
      <c r="U19" s="1137">
        <v>0</v>
      </c>
      <c r="V19" s="1138"/>
      <c r="W19" s="19" t="e">
        <f t="shared" si="6"/>
        <v>#DIV/0!</v>
      </c>
      <c r="X19" s="1137">
        <v>0</v>
      </c>
      <c r="Y19" s="1138"/>
      <c r="Z19" s="19" t="e">
        <f t="shared" si="7"/>
        <v>#DIV/0!</v>
      </c>
      <c r="AA19" s="1137">
        <v>0</v>
      </c>
      <c r="AB19" s="1138">
        <v>1</v>
      </c>
      <c r="AC19" s="19" t="e">
        <f t="shared" si="8"/>
        <v>#DIV/0!</v>
      </c>
      <c r="AD19" s="1119">
        <f t="shared" si="1"/>
        <v>1</v>
      </c>
      <c r="AE19" s="19">
        <f t="shared" si="9"/>
        <v>1.1111111111111112E-2</v>
      </c>
      <c r="AF19" s="1137">
        <v>45</v>
      </c>
      <c r="AG19" s="1138">
        <v>56</v>
      </c>
      <c r="AH19" s="19">
        <f t="shared" si="10"/>
        <v>1.2444444444444445</v>
      </c>
      <c r="AI19" s="1137">
        <v>0</v>
      </c>
      <c r="AJ19" s="1138">
        <v>8</v>
      </c>
      <c r="AK19" s="19" t="e">
        <f t="shared" si="11"/>
        <v>#DIV/0!</v>
      </c>
      <c r="AL19" s="1137">
        <v>0</v>
      </c>
      <c r="AM19" s="1138">
        <v>8</v>
      </c>
      <c r="AN19" s="19" t="e">
        <f t="shared" si="12"/>
        <v>#DIV/0!</v>
      </c>
      <c r="AO19" s="1137">
        <v>0</v>
      </c>
      <c r="AP19" s="1138">
        <v>6</v>
      </c>
      <c r="AQ19" s="19" t="e">
        <f t="shared" si="13"/>
        <v>#DIV/0!</v>
      </c>
      <c r="AR19" s="1137">
        <v>0</v>
      </c>
      <c r="AS19" s="1138">
        <v>3</v>
      </c>
      <c r="AT19" s="19" t="e">
        <f t="shared" si="14"/>
        <v>#DIV/0!</v>
      </c>
      <c r="AU19" s="1137">
        <v>45</v>
      </c>
      <c r="AV19" s="1138">
        <v>34</v>
      </c>
      <c r="AW19" s="19">
        <f t="shared" si="15"/>
        <v>0.75555555555555554</v>
      </c>
      <c r="AX19" s="1074">
        <f>+AG19+AV19+AS19+AP19+AM19+AJ19+AB19+Y19+V19+S19+P19+M19</f>
        <v>116</v>
      </c>
      <c r="AY19" s="19">
        <f t="shared" si="17"/>
        <v>1.288888888888889</v>
      </c>
    </row>
    <row r="20" spans="1:52" s="128" customFormat="1" ht="77.25" customHeight="1" thickTop="1" thickBot="1">
      <c r="A20" s="2979"/>
      <c r="B20" s="2849"/>
      <c r="C20" s="1139" t="s">
        <v>528</v>
      </c>
      <c r="D20" s="17" t="s">
        <v>109</v>
      </c>
      <c r="E20" s="76" t="s">
        <v>529</v>
      </c>
      <c r="F20" s="76" t="s">
        <v>168</v>
      </c>
      <c r="G20" s="1132">
        <v>68916</v>
      </c>
      <c r="H20" s="76"/>
      <c r="I20" s="76"/>
      <c r="J20" s="76"/>
      <c r="K20" s="76" t="s">
        <v>21</v>
      </c>
      <c r="L20" s="1140"/>
      <c r="M20" s="1141">
        <v>0</v>
      </c>
      <c r="N20" s="19" t="e">
        <f t="shared" si="3"/>
        <v>#DIV/0!</v>
      </c>
      <c r="O20" s="1140"/>
      <c r="P20" s="1141">
        <v>0</v>
      </c>
      <c r="Q20" s="19" t="e">
        <f t="shared" si="4"/>
        <v>#DIV/0!</v>
      </c>
      <c r="R20" s="1140">
        <v>17061.866664620436</v>
      </c>
      <c r="S20" s="1141">
        <v>17526</v>
      </c>
      <c r="T20" s="19">
        <f t="shared" si="5"/>
        <v>1.02720296345663</v>
      </c>
      <c r="U20" s="1140">
        <v>5067.5999403642245</v>
      </c>
      <c r="V20" s="1141">
        <v>2081</v>
      </c>
      <c r="W20" s="19">
        <f t="shared" si="6"/>
        <v>0.41064804335174726</v>
      </c>
      <c r="X20" s="1140">
        <v>7354.082365918719</v>
      </c>
      <c r="Y20" s="1141">
        <v>4255</v>
      </c>
      <c r="Z20" s="19">
        <f t="shared" si="7"/>
        <v>0.57859020177950349</v>
      </c>
      <c r="AA20" s="1140">
        <v>5815.3511362917834</v>
      </c>
      <c r="AB20" s="1141">
        <v>3875</v>
      </c>
      <c r="AC20" s="19">
        <f t="shared" si="8"/>
        <v>0.66633981494553951</v>
      </c>
      <c r="AD20" s="1119">
        <f t="shared" si="1"/>
        <v>27737</v>
      </c>
      <c r="AE20" s="19">
        <f t="shared" si="9"/>
        <v>0.40247547739276801</v>
      </c>
      <c r="AF20" s="1140">
        <v>6562.1453718602315</v>
      </c>
      <c r="AG20" s="1141">
        <v>4101</v>
      </c>
      <c r="AH20" s="19">
        <f t="shared" si="10"/>
        <v>0.62494805701591027</v>
      </c>
      <c r="AI20" s="1140">
        <v>4919.005281439885</v>
      </c>
      <c r="AJ20" s="1141">
        <v>3096</v>
      </c>
      <c r="AK20" s="19">
        <f t="shared" si="11"/>
        <v>0.62939554297322131</v>
      </c>
      <c r="AL20" s="1140">
        <v>8300.628884745498</v>
      </c>
      <c r="AM20" s="1141">
        <v>5602</v>
      </c>
      <c r="AN20" s="19">
        <f t="shared" si="12"/>
        <v>0.67488862323372745</v>
      </c>
      <c r="AO20" s="1140">
        <v>5630.6986200834417</v>
      </c>
      <c r="AP20" s="1141">
        <v>5356</v>
      </c>
      <c r="AQ20" s="19">
        <f t="shared" si="13"/>
        <v>0.95121411415918211</v>
      </c>
      <c r="AR20" s="1140">
        <v>5214.0284561086282</v>
      </c>
      <c r="AS20" s="1141">
        <v>6205.35</v>
      </c>
      <c r="AT20" s="19">
        <f t="shared" si="14"/>
        <v>1.1901258407460289</v>
      </c>
      <c r="AU20" s="1140">
        <v>2991.0086302781042</v>
      </c>
      <c r="AV20" s="1141">
        <v>6294.7</v>
      </c>
      <c r="AW20" s="19">
        <f t="shared" si="15"/>
        <v>2.1045409017809216</v>
      </c>
      <c r="AX20" s="1132">
        <f>+M20+P20+S20+V20+Y20+AB20+AG20+AJ20+AM20+AP20+AS20+AV20</f>
        <v>58392.049999999996</v>
      </c>
      <c r="AY20" s="19">
        <f t="shared" si="17"/>
        <v>0.8472930814324684</v>
      </c>
    </row>
    <row r="21" spans="1:52" s="22" customFormat="1" ht="77.25" customHeight="1" thickTop="1" thickBot="1">
      <c r="A21" s="2979"/>
      <c r="B21" s="2849"/>
      <c r="C21" s="1142" t="s">
        <v>386</v>
      </c>
      <c r="D21" s="24" t="s">
        <v>111</v>
      </c>
      <c r="E21" s="81" t="s">
        <v>112</v>
      </c>
      <c r="F21" s="81" t="s">
        <v>17</v>
      </c>
      <c r="G21" s="81">
        <v>250</v>
      </c>
      <c r="H21" s="81"/>
      <c r="I21" s="81"/>
      <c r="J21" s="81"/>
      <c r="K21" s="81" t="s">
        <v>20</v>
      </c>
      <c r="L21" s="1137">
        <v>0</v>
      </c>
      <c r="M21" s="1143"/>
      <c r="N21" s="19" t="e">
        <v>#DIV/0!</v>
      </c>
      <c r="O21" s="1137">
        <v>0</v>
      </c>
      <c r="P21" s="1143">
        <v>9</v>
      </c>
      <c r="Q21" s="19" t="e">
        <v>#DIV/0!</v>
      </c>
      <c r="R21" s="1137">
        <v>38</v>
      </c>
      <c r="S21" s="1143">
        <v>17</v>
      </c>
      <c r="T21" s="19">
        <v>0.44736842105263158</v>
      </c>
      <c r="U21" s="1137">
        <v>51</v>
      </c>
      <c r="V21" s="1143">
        <v>4</v>
      </c>
      <c r="W21" s="19">
        <v>7.8431372549019607E-2</v>
      </c>
      <c r="X21" s="1137">
        <v>55</v>
      </c>
      <c r="Y21" s="1143">
        <v>9</v>
      </c>
      <c r="Z21" s="19">
        <v>0.16363636363636364</v>
      </c>
      <c r="AA21" s="1137">
        <v>59</v>
      </c>
      <c r="AB21" s="1143">
        <v>5</v>
      </c>
      <c r="AC21" s="19">
        <v>8.4745762711864403E-2</v>
      </c>
      <c r="AD21" s="1119">
        <v>44</v>
      </c>
      <c r="AE21" s="19">
        <v>7.0853462157809979E-2</v>
      </c>
      <c r="AF21" s="1137">
        <v>157</v>
      </c>
      <c r="AG21" s="1143">
        <v>41</v>
      </c>
      <c r="AH21" s="19">
        <v>0.26114649681528662</v>
      </c>
      <c r="AI21" s="1137">
        <v>87</v>
      </c>
      <c r="AJ21" s="1143">
        <v>10</v>
      </c>
      <c r="AK21" s="19">
        <v>0.11494252873563218</v>
      </c>
      <c r="AL21" s="1137">
        <v>70</v>
      </c>
      <c r="AM21" s="1143">
        <v>0</v>
      </c>
      <c r="AN21" s="19">
        <v>0</v>
      </c>
      <c r="AO21" s="1137">
        <v>52</v>
      </c>
      <c r="AP21" s="1143">
        <v>21</v>
      </c>
      <c r="AQ21" s="19">
        <v>0.40384615384615385</v>
      </c>
      <c r="AR21" s="1137">
        <v>35</v>
      </c>
      <c r="AS21" s="1143">
        <v>3</v>
      </c>
      <c r="AT21" s="19">
        <f t="shared" si="14"/>
        <v>8.5714285714285715E-2</v>
      </c>
      <c r="AU21" s="1137">
        <v>17</v>
      </c>
      <c r="AV21" s="1143">
        <v>2</v>
      </c>
      <c r="AW21" s="19">
        <f t="shared" si="15"/>
        <v>0.11764705882352941</v>
      </c>
      <c r="AX21" s="1144">
        <f>+M21+P21+S21+V21+Y21+AB21+AG21+AJ21+AM21+AP21+AS21+AV21</f>
        <v>121</v>
      </c>
      <c r="AY21" s="19">
        <f t="shared" si="17"/>
        <v>0.48399999999999999</v>
      </c>
    </row>
    <row r="22" spans="1:52" s="128" customFormat="1" ht="77.25" customHeight="1" thickTop="1" thickBot="1">
      <c r="A22" s="2979"/>
      <c r="B22" s="2849"/>
      <c r="C22" s="1139" t="s">
        <v>332</v>
      </c>
      <c r="D22" s="17" t="s">
        <v>114</v>
      </c>
      <c r="E22" s="76" t="s">
        <v>115</v>
      </c>
      <c r="F22" s="76" t="s">
        <v>10</v>
      </c>
      <c r="G22" s="1093">
        <v>1</v>
      </c>
      <c r="H22" s="76"/>
      <c r="I22" s="76"/>
      <c r="J22" s="76"/>
      <c r="K22" s="76" t="s">
        <v>20</v>
      </c>
      <c r="L22" s="1145">
        <v>0</v>
      </c>
      <c r="M22" s="1146"/>
      <c r="N22" s="19" t="e">
        <v>#DIV/0!</v>
      </c>
      <c r="O22" s="1145">
        <v>0</v>
      </c>
      <c r="P22" s="1146"/>
      <c r="Q22" s="19" t="e">
        <v>#DIV/0!</v>
      </c>
      <c r="R22" s="1145">
        <v>0.25</v>
      </c>
      <c r="S22" s="1146">
        <v>0.25</v>
      </c>
      <c r="T22" s="19">
        <v>1</v>
      </c>
      <c r="U22" s="1145"/>
      <c r="V22" s="1146"/>
      <c r="W22" s="19" t="e">
        <v>#DIV/0!</v>
      </c>
      <c r="X22" s="1145">
        <v>0</v>
      </c>
      <c r="Y22" s="1146"/>
      <c r="Z22" s="19" t="e">
        <v>#DIV/0!</v>
      </c>
      <c r="AA22" s="1145">
        <v>0.25</v>
      </c>
      <c r="AB22" s="1146">
        <v>0.25</v>
      </c>
      <c r="AC22" s="19">
        <v>1</v>
      </c>
      <c r="AD22" s="1119">
        <v>0.5</v>
      </c>
      <c r="AE22" s="19">
        <v>0.5</v>
      </c>
      <c r="AF22" s="1145">
        <v>0</v>
      </c>
      <c r="AG22" s="1146"/>
      <c r="AH22" s="19" t="e">
        <v>#DIV/0!</v>
      </c>
      <c r="AI22" s="1145"/>
      <c r="AJ22" s="1146">
        <v>0</v>
      </c>
      <c r="AK22" s="19">
        <v>0</v>
      </c>
      <c r="AL22" s="1145">
        <v>0.25</v>
      </c>
      <c r="AM22" s="1146">
        <v>0.25</v>
      </c>
      <c r="AN22" s="19">
        <v>1</v>
      </c>
      <c r="AO22" s="1145">
        <v>0</v>
      </c>
      <c r="AP22" s="1146"/>
      <c r="AQ22" s="19" t="e">
        <v>#DIV/0!</v>
      </c>
      <c r="AR22" s="1145">
        <v>0</v>
      </c>
      <c r="AS22" s="1146"/>
      <c r="AT22" s="19" t="e">
        <f t="shared" si="14"/>
        <v>#DIV/0!</v>
      </c>
      <c r="AU22" s="1145">
        <v>0.25</v>
      </c>
      <c r="AV22" s="1146">
        <v>0.25</v>
      </c>
      <c r="AW22" s="19">
        <f t="shared" si="15"/>
        <v>1</v>
      </c>
      <c r="AX22" s="1093">
        <f>+S22+AB22+AM22+AV22+AS22+AP22+AJ22+AG22+Y22+V22+P22+M22</f>
        <v>1</v>
      </c>
      <c r="AY22" s="19">
        <f t="shared" si="17"/>
        <v>1</v>
      </c>
    </row>
    <row r="23" spans="1:52" s="22" customFormat="1" ht="77.25" customHeight="1" thickTop="1" thickBot="1">
      <c r="A23" s="2979"/>
      <c r="B23" s="2849"/>
      <c r="C23" s="3041" t="s">
        <v>530</v>
      </c>
      <c r="D23" s="24" t="s">
        <v>205</v>
      </c>
      <c r="E23" s="81" t="s">
        <v>531</v>
      </c>
      <c r="F23" s="81" t="s">
        <v>24</v>
      </c>
      <c r="G23" s="1147">
        <v>6</v>
      </c>
      <c r="H23" s="82"/>
      <c r="I23" s="88"/>
      <c r="J23" s="82"/>
      <c r="K23" s="81" t="s">
        <v>532</v>
      </c>
      <c r="L23" s="1137">
        <v>0</v>
      </c>
      <c r="M23" s="1143"/>
      <c r="N23" s="19" t="e">
        <f t="shared" ref="N23:N25" si="18">+M23/L23</f>
        <v>#DIV/0!</v>
      </c>
      <c r="O23" s="1137"/>
      <c r="P23" s="1143"/>
      <c r="Q23" s="19" t="e">
        <f t="shared" ref="Q23:Q25" si="19">+P23/O23</f>
        <v>#DIV/0!</v>
      </c>
      <c r="R23" s="1137">
        <v>0</v>
      </c>
      <c r="S23" s="1143"/>
      <c r="T23" s="19" t="e">
        <f t="shared" ref="T23:T25" si="20">+S23/R23</f>
        <v>#DIV/0!</v>
      </c>
      <c r="U23" s="1137">
        <v>0</v>
      </c>
      <c r="V23" s="1143"/>
      <c r="W23" s="19" t="e">
        <f t="shared" ref="W23:W25" si="21">+V23/U23</f>
        <v>#DIV/0!</v>
      </c>
      <c r="X23" s="1137">
        <v>3</v>
      </c>
      <c r="Y23" s="1143"/>
      <c r="Z23" s="19">
        <f t="shared" ref="Z23:Z25" si="22">+Y23/X23</f>
        <v>0</v>
      </c>
      <c r="AA23" s="1137">
        <v>0</v>
      </c>
      <c r="AB23" s="1143"/>
      <c r="AC23" s="19" t="e">
        <f t="shared" ref="AC23:AC24" si="23">+AB23/AA23</f>
        <v>#DIV/0!</v>
      </c>
      <c r="AD23" s="1119">
        <f t="shared" ref="AD23:AD25" si="24">+M23+P23+S23+V23+Y23+AB23</f>
        <v>0</v>
      </c>
      <c r="AE23" s="19">
        <f t="shared" ref="AE23:AE25" si="25">+AD23/G23</f>
        <v>0</v>
      </c>
      <c r="AF23" s="1137">
        <v>0</v>
      </c>
      <c r="AG23" s="1143"/>
      <c r="AH23" s="19" t="e">
        <f t="shared" ref="AH23:AH25" si="26">+AG23/AF23</f>
        <v>#DIV/0!</v>
      </c>
      <c r="AI23" s="1137">
        <v>0</v>
      </c>
      <c r="AJ23" s="1143"/>
      <c r="AK23" s="19" t="e">
        <f t="shared" ref="AK23:AK25" si="27">+AJ23/AI23</f>
        <v>#DIV/0!</v>
      </c>
      <c r="AL23" s="1137">
        <v>3</v>
      </c>
      <c r="AM23" s="1143">
        <v>3</v>
      </c>
      <c r="AN23" s="19">
        <f t="shared" ref="AN23:AN25" si="28">+AM23/AL23</f>
        <v>1</v>
      </c>
      <c r="AO23" s="1137">
        <v>0</v>
      </c>
      <c r="AP23" s="1143"/>
      <c r="AQ23" s="19" t="e">
        <f t="shared" ref="AQ23:AQ25" si="29">+AP23/AO23</f>
        <v>#DIV/0!</v>
      </c>
      <c r="AR23" s="1137">
        <v>0</v>
      </c>
      <c r="AS23" s="1143">
        <v>3</v>
      </c>
      <c r="AT23" s="19" t="e">
        <f t="shared" si="14"/>
        <v>#DIV/0!</v>
      </c>
      <c r="AU23" s="1137">
        <v>0</v>
      </c>
      <c r="AV23" s="1143"/>
      <c r="AW23" s="19" t="e">
        <f t="shared" si="15"/>
        <v>#DIV/0!</v>
      </c>
      <c r="AX23" s="1074">
        <f>+Y23+AM23+AV23+AS23+AP23+AJ23+AG23+AB23+V23+S23+P23+M23</f>
        <v>6</v>
      </c>
      <c r="AY23" s="19">
        <f t="shared" si="17"/>
        <v>1</v>
      </c>
    </row>
    <row r="24" spans="1:52" s="22" customFormat="1" ht="53.25" customHeight="1" thickTop="1" thickBot="1">
      <c r="A24" s="2979"/>
      <c r="B24" s="2849"/>
      <c r="C24" s="3042"/>
      <c r="D24" s="17" t="s">
        <v>207</v>
      </c>
      <c r="E24" s="76" t="s">
        <v>533</v>
      </c>
      <c r="F24" s="76" t="s">
        <v>24</v>
      </c>
      <c r="G24" s="1148">
        <v>4</v>
      </c>
      <c r="H24" s="76"/>
      <c r="I24" s="76"/>
      <c r="J24" s="76"/>
      <c r="K24" s="76" t="s">
        <v>196</v>
      </c>
      <c r="L24" s="1135">
        <v>0</v>
      </c>
      <c r="M24" s="1136"/>
      <c r="N24" s="19" t="e">
        <f t="shared" si="18"/>
        <v>#DIV/0!</v>
      </c>
      <c r="O24" s="1135"/>
      <c r="P24" s="1136"/>
      <c r="Q24" s="19" t="e">
        <f t="shared" si="19"/>
        <v>#DIV/0!</v>
      </c>
      <c r="R24" s="1135">
        <v>0</v>
      </c>
      <c r="S24" s="1136"/>
      <c r="T24" s="19" t="e">
        <f t="shared" si="20"/>
        <v>#DIV/0!</v>
      </c>
      <c r="U24" s="1135">
        <v>0</v>
      </c>
      <c r="V24" s="1136"/>
      <c r="W24" s="19" t="e">
        <f t="shared" si="21"/>
        <v>#DIV/0!</v>
      </c>
      <c r="X24" s="1135">
        <v>2</v>
      </c>
      <c r="Y24" s="1136"/>
      <c r="Z24" s="19">
        <f t="shared" si="22"/>
        <v>0</v>
      </c>
      <c r="AA24" s="1135">
        <v>0</v>
      </c>
      <c r="AB24" s="1136"/>
      <c r="AC24" s="19" t="e">
        <f t="shared" si="23"/>
        <v>#DIV/0!</v>
      </c>
      <c r="AD24" s="1119">
        <f t="shared" si="24"/>
        <v>0</v>
      </c>
      <c r="AE24" s="19">
        <f t="shared" si="25"/>
        <v>0</v>
      </c>
      <c r="AF24" s="1135">
        <v>0</v>
      </c>
      <c r="AG24" s="1136">
        <v>2</v>
      </c>
      <c r="AH24" s="19" t="e">
        <f t="shared" si="26"/>
        <v>#DIV/0!</v>
      </c>
      <c r="AI24" s="1135">
        <v>0</v>
      </c>
      <c r="AJ24" s="1136"/>
      <c r="AK24" s="19" t="e">
        <f t="shared" si="27"/>
        <v>#DIV/0!</v>
      </c>
      <c r="AL24" s="1135">
        <v>0</v>
      </c>
      <c r="AM24" s="1136"/>
      <c r="AN24" s="19" t="e">
        <f t="shared" si="28"/>
        <v>#DIV/0!</v>
      </c>
      <c r="AO24" s="1135">
        <v>2</v>
      </c>
      <c r="AP24" s="1136">
        <v>2</v>
      </c>
      <c r="AQ24" s="19">
        <f t="shared" si="29"/>
        <v>1</v>
      </c>
      <c r="AR24" s="1135">
        <v>0</v>
      </c>
      <c r="AS24" s="1136"/>
      <c r="AT24" s="19" t="e">
        <f t="shared" si="14"/>
        <v>#DIV/0!</v>
      </c>
      <c r="AU24" s="1135">
        <v>0</v>
      </c>
      <c r="AV24" s="1136"/>
      <c r="AW24" s="19" t="e">
        <f t="shared" si="15"/>
        <v>#DIV/0!</v>
      </c>
      <c r="AX24" s="1135">
        <f>+Y24+AP24+AV24+AS24+AM24+AJ24+AG24+AB24+V24+S24+P24+M24</f>
        <v>4</v>
      </c>
      <c r="AY24" s="19">
        <f t="shared" si="17"/>
        <v>1</v>
      </c>
    </row>
    <row r="25" spans="1:52" s="22" customFormat="1" ht="51.75" customHeight="1" thickTop="1" thickBot="1">
      <c r="A25" s="2979"/>
      <c r="B25" s="2849"/>
      <c r="C25" s="3043"/>
      <c r="D25" s="24" t="s">
        <v>433</v>
      </c>
      <c r="E25" s="81" t="s">
        <v>209</v>
      </c>
      <c r="F25" s="81" t="s">
        <v>10</v>
      </c>
      <c r="G25" s="88">
        <v>0.7</v>
      </c>
      <c r="H25" s="82"/>
      <c r="I25" s="88"/>
      <c r="J25" s="82"/>
      <c r="K25" s="81" t="s">
        <v>196</v>
      </c>
      <c r="L25" s="163">
        <v>0.7</v>
      </c>
      <c r="M25" s="164">
        <v>0</v>
      </c>
      <c r="N25" s="19">
        <f t="shared" si="18"/>
        <v>0</v>
      </c>
      <c r="O25" s="163">
        <v>0.7</v>
      </c>
      <c r="P25" s="164">
        <v>0</v>
      </c>
      <c r="Q25" s="19">
        <f t="shared" si="19"/>
        <v>0</v>
      </c>
      <c r="R25" s="163">
        <v>0.7</v>
      </c>
      <c r="S25" s="164">
        <v>0</v>
      </c>
      <c r="T25" s="19">
        <f t="shared" si="20"/>
        <v>0</v>
      </c>
      <c r="U25" s="163">
        <v>0.7</v>
      </c>
      <c r="V25" s="164">
        <v>0</v>
      </c>
      <c r="W25" s="19">
        <f t="shared" si="21"/>
        <v>0</v>
      </c>
      <c r="X25" s="163">
        <v>0.7</v>
      </c>
      <c r="Y25" s="164">
        <v>0</v>
      </c>
      <c r="Z25" s="19">
        <f t="shared" si="22"/>
        <v>0</v>
      </c>
      <c r="AA25" s="163">
        <v>0.7</v>
      </c>
      <c r="AB25" s="164">
        <v>1.78E-2</v>
      </c>
      <c r="AC25" s="121">
        <f>+AB25/AA25</f>
        <v>2.5428571428571429E-2</v>
      </c>
      <c r="AD25" s="1119">
        <f t="shared" si="24"/>
        <v>1.78E-2</v>
      </c>
      <c r="AE25" s="19">
        <f t="shared" si="25"/>
        <v>2.5428571428571429E-2</v>
      </c>
      <c r="AF25" s="163">
        <v>0.7</v>
      </c>
      <c r="AG25" s="164">
        <v>1.78E-2</v>
      </c>
      <c r="AH25" s="19">
        <f t="shared" si="26"/>
        <v>2.5428571428571429E-2</v>
      </c>
      <c r="AI25" s="163">
        <v>0.7</v>
      </c>
      <c r="AJ25" s="164">
        <v>0.19739999999999999</v>
      </c>
      <c r="AK25" s="19">
        <f t="shared" si="27"/>
        <v>0.28200000000000003</v>
      </c>
      <c r="AL25" s="163">
        <v>0.7</v>
      </c>
      <c r="AM25" s="164">
        <v>0.25969999999999999</v>
      </c>
      <c r="AN25" s="19">
        <f t="shared" si="28"/>
        <v>0.371</v>
      </c>
      <c r="AO25" s="163">
        <v>0.7</v>
      </c>
      <c r="AP25" s="164">
        <v>0.3246</v>
      </c>
      <c r="AQ25" s="19">
        <f t="shared" si="29"/>
        <v>0.46371428571428575</v>
      </c>
      <c r="AR25" s="163">
        <v>0.7</v>
      </c>
      <c r="AS25" s="164">
        <v>0.31430000000000002</v>
      </c>
      <c r="AT25" s="19">
        <f t="shared" si="14"/>
        <v>0.44900000000000007</v>
      </c>
      <c r="AU25" s="163">
        <v>0.7</v>
      </c>
      <c r="AV25" s="164">
        <v>0.4143</v>
      </c>
      <c r="AW25" s="19">
        <f t="shared" si="15"/>
        <v>0.59185714285714286</v>
      </c>
      <c r="AX25" s="357">
        <v>0.4143</v>
      </c>
      <c r="AY25" s="19">
        <v>0.4143</v>
      </c>
    </row>
    <row r="26" spans="1:52" s="22" customFormat="1" ht="77.25" customHeight="1" thickTop="1" thickBot="1">
      <c r="A26" s="2979"/>
      <c r="B26" s="2849"/>
      <c r="C26" s="1139" t="s">
        <v>534</v>
      </c>
      <c r="D26" s="17" t="s">
        <v>116</v>
      </c>
      <c r="E26" s="76" t="s">
        <v>535</v>
      </c>
      <c r="F26" s="76" t="s">
        <v>17</v>
      </c>
      <c r="G26" s="76">
        <v>3495</v>
      </c>
      <c r="H26" s="76"/>
      <c r="I26" s="76"/>
      <c r="J26" s="76"/>
      <c r="K26" s="76" t="s">
        <v>536</v>
      </c>
      <c r="L26" s="1135"/>
      <c r="M26" s="1136"/>
      <c r="N26" s="19" t="e">
        <f t="shared" si="3"/>
        <v>#DIV/0!</v>
      </c>
      <c r="O26" s="1135"/>
      <c r="P26" s="1136"/>
      <c r="Q26" s="19" t="e">
        <f t="shared" si="4"/>
        <v>#DIV/0!</v>
      </c>
      <c r="R26" s="1135">
        <v>664</v>
      </c>
      <c r="S26" s="1136">
        <v>685</v>
      </c>
      <c r="T26" s="19">
        <f t="shared" si="5"/>
        <v>1.0316265060240963</v>
      </c>
      <c r="U26" s="1135">
        <v>539</v>
      </c>
      <c r="V26" s="1136">
        <v>42</v>
      </c>
      <c r="W26" s="19">
        <f t="shared" si="6"/>
        <v>7.792207792207792E-2</v>
      </c>
      <c r="X26" s="1135">
        <v>157</v>
      </c>
      <c r="Y26" s="1136">
        <v>58</v>
      </c>
      <c r="Z26" s="19">
        <f t="shared" si="7"/>
        <v>0.36942675159235666</v>
      </c>
      <c r="AA26" s="1135">
        <v>176</v>
      </c>
      <c r="AB26" s="1136">
        <v>175</v>
      </c>
      <c r="AC26" s="19">
        <f t="shared" si="8"/>
        <v>0.99431818181818177</v>
      </c>
      <c r="AD26" s="1119">
        <f t="shared" si="1"/>
        <v>960</v>
      </c>
      <c r="AE26" s="19">
        <f t="shared" si="9"/>
        <v>0.27467811158798283</v>
      </c>
      <c r="AF26" s="1135">
        <v>325</v>
      </c>
      <c r="AG26" s="1136">
        <v>437</v>
      </c>
      <c r="AH26" s="19">
        <f t="shared" si="10"/>
        <v>1.3446153846153845</v>
      </c>
      <c r="AI26" s="1135">
        <v>496</v>
      </c>
      <c r="AJ26" s="1136">
        <v>519</v>
      </c>
      <c r="AK26" s="19">
        <f t="shared" si="11"/>
        <v>1.0463709677419355</v>
      </c>
      <c r="AL26" s="1135">
        <v>674</v>
      </c>
      <c r="AM26" s="1136">
        <v>722</v>
      </c>
      <c r="AN26" s="19">
        <f t="shared" si="12"/>
        <v>1.0712166172106825</v>
      </c>
      <c r="AO26" s="1135">
        <v>263</v>
      </c>
      <c r="AP26" s="1136">
        <v>705</v>
      </c>
      <c r="AQ26" s="19">
        <f t="shared" si="13"/>
        <v>2.6806083650190113</v>
      </c>
      <c r="AR26" s="1135">
        <v>181</v>
      </c>
      <c r="AS26" s="1136">
        <v>1601</v>
      </c>
      <c r="AT26" s="19">
        <f t="shared" si="14"/>
        <v>8.8453038674033149</v>
      </c>
      <c r="AU26" s="1135">
        <v>20</v>
      </c>
      <c r="AV26" s="1136">
        <v>362</v>
      </c>
      <c r="AW26" s="19">
        <f t="shared" si="15"/>
        <v>18.100000000000001</v>
      </c>
      <c r="AX26" s="1149">
        <f>+M26+P26+S26+V26+Y26+AB26+AG26+AJ26+AM26+AP26+AS26+AV26</f>
        <v>5306</v>
      </c>
      <c r="AY26" s="19">
        <f t="shared" si="17"/>
        <v>1.5181688125894135</v>
      </c>
    </row>
    <row r="27" spans="1:52" s="22" customFormat="1" ht="77.25" customHeight="1" thickTop="1" thickBot="1">
      <c r="A27" s="2979"/>
      <c r="B27" s="2849"/>
      <c r="C27" s="2917" t="s">
        <v>537</v>
      </c>
      <c r="D27" s="86" t="s">
        <v>120</v>
      </c>
      <c r="E27" s="87" t="s">
        <v>121</v>
      </c>
      <c r="F27" s="81" t="s">
        <v>10</v>
      </c>
      <c r="G27" s="595">
        <v>0.64100000000000001</v>
      </c>
      <c r="H27" s="82"/>
      <c r="I27" s="88"/>
      <c r="J27" s="82"/>
      <c r="K27" s="81" t="s">
        <v>7</v>
      </c>
      <c r="L27" s="163">
        <v>0</v>
      </c>
      <c r="M27" s="1150"/>
      <c r="N27" s="19" t="e">
        <f t="shared" si="3"/>
        <v>#DIV/0!</v>
      </c>
      <c r="O27" s="163">
        <v>0</v>
      </c>
      <c r="P27" s="1150"/>
      <c r="Q27" s="19" t="e">
        <f t="shared" si="4"/>
        <v>#DIV/0!</v>
      </c>
      <c r="R27" s="163">
        <v>0</v>
      </c>
      <c r="S27" s="1150"/>
      <c r="T27" s="19" t="e">
        <f t="shared" si="5"/>
        <v>#DIV/0!</v>
      </c>
      <c r="U27" s="163">
        <v>0</v>
      </c>
      <c r="V27" s="1150"/>
      <c r="W27" s="19" t="e">
        <f t="shared" si="6"/>
        <v>#DIV/0!</v>
      </c>
      <c r="X27" s="163">
        <v>0</v>
      </c>
      <c r="Y27" s="1150"/>
      <c r="Z27" s="19" t="e">
        <f t="shared" si="7"/>
        <v>#DIV/0!</v>
      </c>
      <c r="AA27" s="163">
        <v>0</v>
      </c>
      <c r="AB27" s="1150"/>
      <c r="AC27" s="19" t="e">
        <f t="shared" si="8"/>
        <v>#DIV/0!</v>
      </c>
      <c r="AD27" s="1119">
        <f t="shared" si="1"/>
        <v>0</v>
      </c>
      <c r="AE27" s="19">
        <f t="shared" si="9"/>
        <v>0</v>
      </c>
      <c r="AF27" s="163">
        <v>0</v>
      </c>
      <c r="AG27" s="1150"/>
      <c r="AH27" s="19" t="e">
        <f t="shared" si="10"/>
        <v>#DIV/0!</v>
      </c>
      <c r="AI27" s="163">
        <v>0</v>
      </c>
      <c r="AJ27" s="1150"/>
      <c r="AK27" s="19" t="e">
        <f t="shared" si="11"/>
        <v>#DIV/0!</v>
      </c>
      <c r="AL27" s="163">
        <v>0</v>
      </c>
      <c r="AM27" s="1150"/>
      <c r="AN27" s="19" t="e">
        <f t="shared" si="12"/>
        <v>#DIV/0!</v>
      </c>
      <c r="AO27" s="163">
        <v>0</v>
      </c>
      <c r="AP27" s="1150"/>
      <c r="AQ27" s="19" t="e">
        <f t="shared" si="13"/>
        <v>#DIV/0!</v>
      </c>
      <c r="AR27" s="163">
        <v>0</v>
      </c>
      <c r="AS27" s="164"/>
      <c r="AT27" s="19" t="e">
        <f t="shared" si="14"/>
        <v>#DIV/0!</v>
      </c>
      <c r="AU27" s="163">
        <v>0.64100000000000001</v>
      </c>
      <c r="AV27" s="164">
        <v>0.8</v>
      </c>
      <c r="AW27" s="19">
        <v>1.248</v>
      </c>
      <c r="AX27" s="1151">
        <v>0.8</v>
      </c>
      <c r="AY27" s="19">
        <v>1.248</v>
      </c>
    </row>
    <row r="28" spans="1:52" s="22" customFormat="1" ht="77.25" customHeight="1" thickTop="1" thickBot="1">
      <c r="A28" s="2979"/>
      <c r="B28" s="2849"/>
      <c r="C28" s="2918"/>
      <c r="D28" s="17" t="s">
        <v>175</v>
      </c>
      <c r="E28" s="76" t="s">
        <v>123</v>
      </c>
      <c r="F28" s="76" t="s">
        <v>10</v>
      </c>
      <c r="G28" s="1093">
        <v>1</v>
      </c>
      <c r="H28" s="76"/>
      <c r="I28" s="76"/>
      <c r="J28" s="76"/>
      <c r="K28" s="76" t="s">
        <v>7</v>
      </c>
      <c r="L28" s="1145">
        <v>0</v>
      </c>
      <c r="M28" s="1150"/>
      <c r="N28" s="19" t="e">
        <f t="shared" si="3"/>
        <v>#DIV/0!</v>
      </c>
      <c r="O28" s="1145">
        <v>0</v>
      </c>
      <c r="P28" s="1150"/>
      <c r="Q28" s="19" t="e">
        <f t="shared" si="4"/>
        <v>#DIV/0!</v>
      </c>
      <c r="R28" s="1145">
        <v>0</v>
      </c>
      <c r="S28" s="1150"/>
      <c r="T28" s="19" t="e">
        <f t="shared" si="5"/>
        <v>#DIV/0!</v>
      </c>
      <c r="U28" s="1145">
        <v>1</v>
      </c>
      <c r="V28" s="1152">
        <v>1</v>
      </c>
      <c r="W28" s="19">
        <f t="shared" si="6"/>
        <v>1</v>
      </c>
      <c r="X28" s="1145">
        <v>0</v>
      </c>
      <c r="Y28" s="1150"/>
      <c r="Z28" s="19" t="e">
        <f t="shared" si="7"/>
        <v>#DIV/0!</v>
      </c>
      <c r="AA28" s="1145">
        <v>0</v>
      </c>
      <c r="AB28" s="1150"/>
      <c r="AC28" s="19" t="e">
        <f t="shared" si="8"/>
        <v>#DIV/0!</v>
      </c>
      <c r="AD28" s="1119">
        <f t="shared" si="1"/>
        <v>1</v>
      </c>
      <c r="AE28" s="19">
        <f t="shared" si="9"/>
        <v>1</v>
      </c>
      <c r="AF28" s="1145">
        <v>0</v>
      </c>
      <c r="AG28" s="1150"/>
      <c r="AH28" s="19" t="e">
        <f t="shared" si="10"/>
        <v>#DIV/0!</v>
      </c>
      <c r="AI28" s="1145">
        <v>0</v>
      </c>
      <c r="AJ28" s="1150"/>
      <c r="AK28" s="19" t="e">
        <f t="shared" si="11"/>
        <v>#DIV/0!</v>
      </c>
      <c r="AL28" s="1145">
        <v>0</v>
      </c>
      <c r="AM28" s="1150"/>
      <c r="AN28" s="19" t="e">
        <f t="shared" si="12"/>
        <v>#DIV/0!</v>
      </c>
      <c r="AO28" s="1145">
        <v>1</v>
      </c>
      <c r="AP28" s="1152">
        <v>1</v>
      </c>
      <c r="AQ28" s="19">
        <f t="shared" si="13"/>
        <v>1</v>
      </c>
      <c r="AR28" s="1145">
        <v>0</v>
      </c>
      <c r="AS28" s="1146"/>
      <c r="AT28" s="19" t="e">
        <f t="shared" si="14"/>
        <v>#DIV/0!</v>
      </c>
      <c r="AU28" s="1145">
        <v>0</v>
      </c>
      <c r="AV28" s="1146"/>
      <c r="AW28" s="19" t="e">
        <f t="shared" ref="AW28:AW33" si="30">+AV28/AU28</f>
        <v>#DIV/0!</v>
      </c>
      <c r="AX28" s="1093">
        <f>+(V28+AP28+AV28+AS28+AM28+AJ28+AG28+AB28+Y28+S28+P28+M28)/2</f>
        <v>1</v>
      </c>
      <c r="AY28" s="19">
        <f t="shared" ref="AY28:AY32" si="31">+AX28/G28</f>
        <v>1</v>
      </c>
    </row>
    <row r="29" spans="1:52" s="22" customFormat="1" ht="77.25" customHeight="1" thickTop="1" thickBot="1">
      <c r="A29" s="2979"/>
      <c r="B29" s="2849"/>
      <c r="C29" s="2918"/>
      <c r="D29" s="86" t="s">
        <v>124</v>
      </c>
      <c r="E29" s="87" t="s">
        <v>125</v>
      </c>
      <c r="F29" s="81" t="s">
        <v>10</v>
      </c>
      <c r="G29" s="88">
        <v>1</v>
      </c>
      <c r="H29" s="82"/>
      <c r="I29" s="88"/>
      <c r="J29" s="82"/>
      <c r="K29" s="81" t="s">
        <v>7</v>
      </c>
      <c r="L29" s="163">
        <v>0</v>
      </c>
      <c r="M29" s="1150"/>
      <c r="N29" s="19" t="e">
        <f t="shared" si="3"/>
        <v>#DIV/0!</v>
      </c>
      <c r="O29" s="163">
        <v>0</v>
      </c>
      <c r="P29" s="1150"/>
      <c r="Q29" s="19" t="e">
        <f t="shared" si="4"/>
        <v>#DIV/0!</v>
      </c>
      <c r="R29" s="163">
        <v>1</v>
      </c>
      <c r="S29" s="1152">
        <v>1</v>
      </c>
      <c r="T29" s="19">
        <f t="shared" si="5"/>
        <v>1</v>
      </c>
      <c r="U29" s="163">
        <v>0</v>
      </c>
      <c r="V29" s="1150"/>
      <c r="W29" s="19" t="e">
        <f t="shared" si="6"/>
        <v>#DIV/0!</v>
      </c>
      <c r="X29" s="163">
        <v>0</v>
      </c>
      <c r="Y29" s="1150"/>
      <c r="Z29" s="19" t="e">
        <f t="shared" si="7"/>
        <v>#DIV/0!</v>
      </c>
      <c r="AA29" s="163">
        <v>1</v>
      </c>
      <c r="AB29" s="1152">
        <v>0</v>
      </c>
      <c r="AC29" s="19">
        <f t="shared" si="8"/>
        <v>0</v>
      </c>
      <c r="AD29" s="1153">
        <f t="shared" si="1"/>
        <v>1</v>
      </c>
      <c r="AE29" s="19">
        <f t="shared" si="9"/>
        <v>1</v>
      </c>
      <c r="AF29" s="163">
        <v>0</v>
      </c>
      <c r="AG29" s="1150"/>
      <c r="AH29" s="19" t="e">
        <f t="shared" si="10"/>
        <v>#DIV/0!</v>
      </c>
      <c r="AI29" s="163">
        <v>0</v>
      </c>
      <c r="AJ29" s="1150"/>
      <c r="AK29" s="19" t="e">
        <f t="shared" si="11"/>
        <v>#DIV/0!</v>
      </c>
      <c r="AL29" s="163">
        <v>1</v>
      </c>
      <c r="AM29" s="1152">
        <v>1</v>
      </c>
      <c r="AN29" s="19">
        <f t="shared" si="12"/>
        <v>1</v>
      </c>
      <c r="AO29" s="163">
        <v>0</v>
      </c>
      <c r="AP29" s="1150"/>
      <c r="AQ29" s="19" t="e">
        <f t="shared" si="13"/>
        <v>#DIV/0!</v>
      </c>
      <c r="AR29" s="163">
        <v>0</v>
      </c>
      <c r="AS29" s="164"/>
      <c r="AT29" s="19" t="e">
        <f t="shared" si="14"/>
        <v>#DIV/0!</v>
      </c>
      <c r="AU29" s="163">
        <v>1</v>
      </c>
      <c r="AV29" s="164">
        <v>1</v>
      </c>
      <c r="AW29" s="19">
        <f t="shared" si="30"/>
        <v>1</v>
      </c>
      <c r="AX29" s="357">
        <f>+(S29++AM29+AV29+AS29+AP29+AJ29+AG29+Y29+V29+P29+M29)/4</f>
        <v>0.75</v>
      </c>
      <c r="AY29" s="19">
        <f t="shared" si="31"/>
        <v>0.75</v>
      </c>
    </row>
    <row r="30" spans="1:52" s="22" customFormat="1" ht="77.25" customHeight="1" thickTop="1" thickBot="1">
      <c r="A30" s="2979"/>
      <c r="B30" s="2849"/>
      <c r="C30" s="2918"/>
      <c r="D30" s="17" t="s">
        <v>177</v>
      </c>
      <c r="E30" s="76" t="s">
        <v>127</v>
      </c>
      <c r="F30" s="76" t="s">
        <v>10</v>
      </c>
      <c r="G30" s="1093">
        <v>1</v>
      </c>
      <c r="H30" s="76"/>
      <c r="I30" s="76"/>
      <c r="J30" s="76"/>
      <c r="K30" s="76" t="s">
        <v>7</v>
      </c>
      <c r="L30" s="1145">
        <v>1</v>
      </c>
      <c r="M30" s="1152">
        <v>1</v>
      </c>
      <c r="N30" s="19">
        <f t="shared" si="3"/>
        <v>1</v>
      </c>
      <c r="O30" s="1145">
        <v>1</v>
      </c>
      <c r="P30" s="1152">
        <v>1</v>
      </c>
      <c r="Q30" s="19">
        <f t="shared" si="4"/>
        <v>1</v>
      </c>
      <c r="R30" s="1145">
        <v>1</v>
      </c>
      <c r="S30" s="1152">
        <v>1</v>
      </c>
      <c r="T30" s="19">
        <f t="shared" si="5"/>
        <v>1</v>
      </c>
      <c r="U30" s="1145">
        <v>1</v>
      </c>
      <c r="V30" s="1152">
        <v>1</v>
      </c>
      <c r="W30" s="19">
        <f t="shared" si="6"/>
        <v>1</v>
      </c>
      <c r="X30" s="1145">
        <v>1</v>
      </c>
      <c r="Y30" s="1152">
        <v>1</v>
      </c>
      <c r="Z30" s="19">
        <f t="shared" si="7"/>
        <v>1</v>
      </c>
      <c r="AA30" s="1145">
        <v>1</v>
      </c>
      <c r="AB30" s="1152">
        <v>0</v>
      </c>
      <c r="AC30" s="19">
        <f t="shared" si="8"/>
        <v>0</v>
      </c>
      <c r="AD30" s="1153">
        <f>(+M30+P30+S30+V30+Y30+AB30)/6</f>
        <v>0.83333333333333337</v>
      </c>
      <c r="AE30" s="19">
        <f t="shared" si="9"/>
        <v>0.83333333333333337</v>
      </c>
      <c r="AF30" s="1145">
        <v>1</v>
      </c>
      <c r="AG30" s="1152">
        <v>1</v>
      </c>
      <c r="AH30" s="19">
        <f t="shared" si="10"/>
        <v>1</v>
      </c>
      <c r="AI30" s="1145">
        <v>1</v>
      </c>
      <c r="AJ30" s="1152">
        <v>1</v>
      </c>
      <c r="AK30" s="19">
        <f t="shared" si="11"/>
        <v>1</v>
      </c>
      <c r="AL30" s="1145">
        <v>1</v>
      </c>
      <c r="AM30" s="1152">
        <v>1</v>
      </c>
      <c r="AN30" s="19">
        <f t="shared" si="12"/>
        <v>1</v>
      </c>
      <c r="AO30" s="1145">
        <v>1</v>
      </c>
      <c r="AP30" s="1152">
        <v>1</v>
      </c>
      <c r="AQ30" s="19">
        <f t="shared" si="13"/>
        <v>1</v>
      </c>
      <c r="AR30" s="1145">
        <v>1</v>
      </c>
      <c r="AS30" s="1146">
        <v>1</v>
      </c>
      <c r="AT30" s="19">
        <f t="shared" si="14"/>
        <v>1</v>
      </c>
      <c r="AU30" s="1145">
        <v>1</v>
      </c>
      <c r="AV30" s="1146">
        <v>1</v>
      </c>
      <c r="AW30" s="19">
        <f t="shared" si="30"/>
        <v>1</v>
      </c>
      <c r="AX30" s="1093">
        <f>(M30+P30+S30+V30+Y30+AB30+AG30+AJ30+AM30+AP30+AS30+AV30)/12</f>
        <v>0.91666666666666663</v>
      </c>
      <c r="AY30" s="19">
        <f t="shared" si="31"/>
        <v>0.91666666666666663</v>
      </c>
    </row>
    <row r="31" spans="1:52" s="22" customFormat="1" ht="77.25" customHeight="1" thickTop="1" thickBot="1">
      <c r="A31" s="2979"/>
      <c r="B31" s="2849"/>
      <c r="C31" s="2918"/>
      <c r="D31" s="86" t="s">
        <v>128</v>
      </c>
      <c r="E31" s="87" t="s">
        <v>178</v>
      </c>
      <c r="F31" s="81" t="s">
        <v>10</v>
      </c>
      <c r="G31" s="88">
        <v>1</v>
      </c>
      <c r="H31" s="82"/>
      <c r="I31" s="88"/>
      <c r="J31" s="82"/>
      <c r="K31" s="81" t="s">
        <v>7</v>
      </c>
      <c r="L31" s="163">
        <v>1</v>
      </c>
      <c r="M31" s="1152">
        <v>1</v>
      </c>
      <c r="N31" s="19">
        <f t="shared" si="3"/>
        <v>1</v>
      </c>
      <c r="O31" s="163">
        <v>1</v>
      </c>
      <c r="P31" s="1152">
        <v>1</v>
      </c>
      <c r="Q31" s="19">
        <f t="shared" si="4"/>
        <v>1</v>
      </c>
      <c r="R31" s="163">
        <v>1</v>
      </c>
      <c r="S31" s="1152">
        <v>1</v>
      </c>
      <c r="T31" s="19">
        <f t="shared" si="5"/>
        <v>1</v>
      </c>
      <c r="U31" s="163">
        <v>1</v>
      </c>
      <c r="V31" s="1152">
        <v>1</v>
      </c>
      <c r="W31" s="19">
        <f t="shared" si="6"/>
        <v>1</v>
      </c>
      <c r="X31" s="163">
        <v>1</v>
      </c>
      <c r="Y31" s="1152">
        <v>0</v>
      </c>
      <c r="Z31" s="19">
        <f t="shared" si="7"/>
        <v>0</v>
      </c>
      <c r="AA31" s="163">
        <v>1</v>
      </c>
      <c r="AB31" s="1152">
        <v>0</v>
      </c>
      <c r="AC31" s="19">
        <f t="shared" si="8"/>
        <v>0</v>
      </c>
      <c r="AD31" s="1119">
        <f t="shared" si="1"/>
        <v>4</v>
      </c>
      <c r="AE31" s="19">
        <f t="shared" si="9"/>
        <v>4</v>
      </c>
      <c r="AF31" s="163">
        <v>1</v>
      </c>
      <c r="AG31" s="1152">
        <v>1</v>
      </c>
      <c r="AH31" s="19">
        <f t="shared" si="10"/>
        <v>1</v>
      </c>
      <c r="AI31" s="163">
        <v>1</v>
      </c>
      <c r="AJ31" s="1152">
        <v>1</v>
      </c>
      <c r="AK31" s="19">
        <f t="shared" si="11"/>
        <v>1</v>
      </c>
      <c r="AL31" s="163">
        <v>1</v>
      </c>
      <c r="AM31" s="1152">
        <v>1</v>
      </c>
      <c r="AN31" s="19">
        <f t="shared" si="12"/>
        <v>1</v>
      </c>
      <c r="AO31" s="163">
        <v>1</v>
      </c>
      <c r="AP31" s="1152">
        <v>1</v>
      </c>
      <c r="AQ31" s="19">
        <f t="shared" si="13"/>
        <v>1</v>
      </c>
      <c r="AR31" s="163">
        <v>1</v>
      </c>
      <c r="AS31" s="164">
        <v>1</v>
      </c>
      <c r="AT31" s="19">
        <f t="shared" si="14"/>
        <v>1</v>
      </c>
      <c r="AU31" s="163">
        <v>1</v>
      </c>
      <c r="AV31" s="164">
        <v>1</v>
      </c>
      <c r="AW31" s="19">
        <f t="shared" si="30"/>
        <v>1</v>
      </c>
      <c r="AX31" s="357">
        <f>(S31+AS31+AV31)/3</f>
        <v>1</v>
      </c>
      <c r="AY31" s="19">
        <f t="shared" si="31"/>
        <v>1</v>
      </c>
    </row>
    <row r="32" spans="1:52" s="22" customFormat="1" ht="77.25" customHeight="1" thickTop="1" thickBot="1">
      <c r="A32" s="2979"/>
      <c r="B32" s="2849"/>
      <c r="C32" s="2918"/>
      <c r="D32" s="17" t="s">
        <v>179</v>
      </c>
      <c r="E32" s="76" t="s">
        <v>131</v>
      </c>
      <c r="F32" s="76" t="s">
        <v>10</v>
      </c>
      <c r="G32" s="724">
        <v>1</v>
      </c>
      <c r="H32" s="76"/>
      <c r="I32" s="76"/>
      <c r="J32" s="76"/>
      <c r="K32" s="76" t="s">
        <v>7</v>
      </c>
      <c r="L32" s="1145">
        <v>1</v>
      </c>
      <c r="M32" s="1152">
        <v>0</v>
      </c>
      <c r="N32" s="19">
        <f t="shared" si="3"/>
        <v>0</v>
      </c>
      <c r="O32" s="1145">
        <v>1</v>
      </c>
      <c r="P32" s="1152">
        <v>0</v>
      </c>
      <c r="Q32" s="19">
        <f t="shared" si="4"/>
        <v>0</v>
      </c>
      <c r="R32" s="1145">
        <v>1</v>
      </c>
      <c r="S32" s="1152">
        <v>1</v>
      </c>
      <c r="T32" s="19">
        <f t="shared" si="5"/>
        <v>1</v>
      </c>
      <c r="U32" s="1145">
        <v>1</v>
      </c>
      <c r="V32" s="1152">
        <v>0</v>
      </c>
      <c r="W32" s="19">
        <f t="shared" si="6"/>
        <v>0</v>
      </c>
      <c r="X32" s="1145">
        <v>1</v>
      </c>
      <c r="Y32" s="1152">
        <v>0.86</v>
      </c>
      <c r="Z32" s="19">
        <f t="shared" si="7"/>
        <v>0.86</v>
      </c>
      <c r="AA32" s="1145">
        <v>1</v>
      </c>
      <c r="AB32" s="1152">
        <v>0.72</v>
      </c>
      <c r="AC32" s="19">
        <f t="shared" si="8"/>
        <v>0.72</v>
      </c>
      <c r="AD32" s="1119">
        <f t="shared" si="1"/>
        <v>2.58</v>
      </c>
      <c r="AE32" s="19">
        <f t="shared" si="9"/>
        <v>2.58</v>
      </c>
      <c r="AF32" s="1145">
        <v>1</v>
      </c>
      <c r="AG32" s="1152">
        <v>1</v>
      </c>
      <c r="AH32" s="19">
        <f t="shared" si="10"/>
        <v>1</v>
      </c>
      <c r="AI32" s="1145">
        <v>1</v>
      </c>
      <c r="AJ32" s="1152">
        <v>1</v>
      </c>
      <c r="AK32" s="19">
        <f t="shared" si="11"/>
        <v>1</v>
      </c>
      <c r="AL32" s="1145">
        <v>1</v>
      </c>
      <c r="AM32" s="1152">
        <v>1</v>
      </c>
      <c r="AN32" s="19">
        <f t="shared" si="12"/>
        <v>1</v>
      </c>
      <c r="AO32" s="1145">
        <v>1</v>
      </c>
      <c r="AP32" s="1152">
        <v>1</v>
      </c>
      <c r="AQ32" s="19">
        <f t="shared" si="13"/>
        <v>1</v>
      </c>
      <c r="AR32" s="1145">
        <v>1</v>
      </c>
      <c r="AS32" s="1146">
        <v>1</v>
      </c>
      <c r="AT32" s="19">
        <f t="shared" si="14"/>
        <v>1</v>
      </c>
      <c r="AU32" s="1145">
        <v>1</v>
      </c>
      <c r="AV32" s="1146">
        <v>1.2</v>
      </c>
      <c r="AW32" s="19">
        <v>1.2</v>
      </c>
      <c r="AX32" s="1093">
        <v>1.2</v>
      </c>
      <c r="AY32" s="19">
        <f t="shared" si="31"/>
        <v>1.2</v>
      </c>
    </row>
    <row r="33" spans="1:51" s="22" customFormat="1" ht="95.25" customHeight="1" thickTop="1" thickBot="1">
      <c r="A33" s="2979"/>
      <c r="B33" s="2849"/>
      <c r="C33" s="2919"/>
      <c r="D33" s="86" t="s">
        <v>132</v>
      </c>
      <c r="E33" s="87" t="s">
        <v>133</v>
      </c>
      <c r="F33" s="81" t="s">
        <v>10</v>
      </c>
      <c r="G33" s="88">
        <v>1</v>
      </c>
      <c r="H33" s="81"/>
      <c r="I33" s="88"/>
      <c r="J33" s="81"/>
      <c r="K33" s="81" t="s">
        <v>7</v>
      </c>
      <c r="L33" s="163">
        <v>0</v>
      </c>
      <c r="M33" s="1150">
        <v>0</v>
      </c>
      <c r="N33" s="19" t="e">
        <f t="shared" si="3"/>
        <v>#DIV/0!</v>
      </c>
      <c r="O33" s="163">
        <v>0</v>
      </c>
      <c r="P33" s="1150">
        <v>0</v>
      </c>
      <c r="Q33" s="19" t="e">
        <f t="shared" si="4"/>
        <v>#DIV/0!</v>
      </c>
      <c r="R33" s="163">
        <v>0</v>
      </c>
      <c r="S33" s="1152">
        <v>0</v>
      </c>
      <c r="T33" s="19" t="e">
        <f t="shared" si="5"/>
        <v>#DIV/0!</v>
      </c>
      <c r="U33" s="163">
        <v>0</v>
      </c>
      <c r="V33" s="1150">
        <v>0</v>
      </c>
      <c r="W33" s="19" t="e">
        <f t="shared" si="6"/>
        <v>#DIV/0!</v>
      </c>
      <c r="X33" s="163">
        <v>0</v>
      </c>
      <c r="Y33" s="1150">
        <v>0</v>
      </c>
      <c r="Z33" s="19" t="e">
        <f t="shared" si="7"/>
        <v>#DIV/0!</v>
      </c>
      <c r="AA33" s="163">
        <v>0</v>
      </c>
      <c r="AB33" s="1152">
        <v>0</v>
      </c>
      <c r="AC33" s="19" t="e">
        <f t="shared" si="8"/>
        <v>#DIV/0!</v>
      </c>
      <c r="AD33" s="1119">
        <f t="shared" si="1"/>
        <v>0</v>
      </c>
      <c r="AE33" s="19">
        <f t="shared" si="9"/>
        <v>0</v>
      </c>
      <c r="AF33" s="163">
        <v>0</v>
      </c>
      <c r="AG33" s="1150">
        <v>0</v>
      </c>
      <c r="AH33" s="19" t="e">
        <f t="shared" si="10"/>
        <v>#DIV/0!</v>
      </c>
      <c r="AI33" s="163">
        <v>1</v>
      </c>
      <c r="AJ33" s="1152">
        <v>0</v>
      </c>
      <c r="AK33" s="19">
        <f t="shared" si="11"/>
        <v>0</v>
      </c>
      <c r="AL33" s="163">
        <v>0</v>
      </c>
      <c r="AM33" s="1152"/>
      <c r="AN33" s="19" t="e">
        <f t="shared" si="12"/>
        <v>#DIV/0!</v>
      </c>
      <c r="AO33" s="163">
        <v>0</v>
      </c>
      <c r="AP33" s="1150"/>
      <c r="AQ33" s="19" t="e">
        <f t="shared" si="13"/>
        <v>#DIV/0!</v>
      </c>
      <c r="AR33" s="163">
        <v>0</v>
      </c>
      <c r="AS33" s="164"/>
      <c r="AT33" s="19" t="e">
        <f t="shared" si="14"/>
        <v>#DIV/0!</v>
      </c>
      <c r="AU33" s="163">
        <v>0</v>
      </c>
      <c r="AV33" s="164"/>
      <c r="AW33" s="19" t="e">
        <f t="shared" si="30"/>
        <v>#DIV/0!</v>
      </c>
      <c r="AX33" s="357">
        <f>+AJ33+AV33+AS33+AP33+AM33++AG33+AB33+Y33+V33+S33+M33+P33</f>
        <v>0</v>
      </c>
      <c r="AY33" s="19"/>
    </row>
    <row r="34" spans="1:51" s="22" customFormat="1" ht="95.25" customHeight="1" thickTop="1" thickBot="1">
      <c r="A34" s="2979"/>
      <c r="B34" s="2850"/>
      <c r="C34" s="76" t="s">
        <v>538</v>
      </c>
      <c r="D34" s="17" t="s">
        <v>539</v>
      </c>
      <c r="E34" s="76" t="s">
        <v>22</v>
      </c>
      <c r="F34" s="76" t="s">
        <v>300</v>
      </c>
      <c r="G34" s="76" t="s">
        <v>540</v>
      </c>
      <c r="H34" s="76"/>
      <c r="I34" s="76"/>
      <c r="J34" s="76"/>
      <c r="K34" s="76" t="s">
        <v>23</v>
      </c>
      <c r="L34" s="1140">
        <v>0</v>
      </c>
      <c r="M34" s="1141"/>
      <c r="N34" s="19" t="e">
        <f t="shared" si="3"/>
        <v>#DIV/0!</v>
      </c>
      <c r="O34" s="1140">
        <v>0</v>
      </c>
      <c r="P34" s="1141"/>
      <c r="Q34" s="19" t="e">
        <f t="shared" si="4"/>
        <v>#DIV/0!</v>
      </c>
      <c r="R34" s="1140">
        <v>0</v>
      </c>
      <c r="S34" s="1141"/>
      <c r="T34" s="19" t="e">
        <f t="shared" si="5"/>
        <v>#DIV/0!</v>
      </c>
      <c r="U34" s="1140">
        <v>0</v>
      </c>
      <c r="V34" s="1141"/>
      <c r="W34" s="19" t="e">
        <f t="shared" si="6"/>
        <v>#DIV/0!</v>
      </c>
      <c r="X34" s="1140">
        <v>0</v>
      </c>
      <c r="Y34" s="1141"/>
      <c r="Z34" s="19" t="e">
        <f t="shared" si="7"/>
        <v>#DIV/0!</v>
      </c>
      <c r="AA34" s="1140">
        <v>0</v>
      </c>
      <c r="AB34" s="1141"/>
      <c r="AC34" s="19" t="e">
        <f t="shared" si="8"/>
        <v>#DIV/0!</v>
      </c>
      <c r="AD34" s="1119">
        <f t="shared" si="1"/>
        <v>0</v>
      </c>
      <c r="AE34" s="19" t="e">
        <f t="shared" si="9"/>
        <v>#VALUE!</v>
      </c>
      <c r="AF34" s="1140">
        <v>0</v>
      </c>
      <c r="AG34" s="1141"/>
      <c r="AH34" s="19" t="e">
        <f t="shared" si="10"/>
        <v>#DIV/0!</v>
      </c>
      <c r="AI34" s="1140">
        <v>0</v>
      </c>
      <c r="AJ34" s="1141"/>
      <c r="AK34" s="19" t="e">
        <f t="shared" si="11"/>
        <v>#DIV/0!</v>
      </c>
      <c r="AL34" s="1140">
        <v>0</v>
      </c>
      <c r="AM34" s="1141"/>
      <c r="AN34" s="19" t="e">
        <f t="shared" si="12"/>
        <v>#DIV/0!</v>
      </c>
      <c r="AO34" s="1140">
        <v>0</v>
      </c>
      <c r="AP34" s="1141"/>
      <c r="AQ34" s="19" t="e">
        <f t="shared" si="13"/>
        <v>#DIV/0!</v>
      </c>
      <c r="AR34" s="1140">
        <v>0</v>
      </c>
      <c r="AS34" s="1141"/>
      <c r="AT34" s="19" t="e">
        <f t="shared" si="14"/>
        <v>#DIV/0!</v>
      </c>
      <c r="AU34" s="1140">
        <v>0</v>
      </c>
      <c r="AV34" s="1141"/>
      <c r="AW34" s="19" t="e">
        <f t="shared" si="15"/>
        <v>#DIV/0!</v>
      </c>
      <c r="AX34" s="1132">
        <v>32004</v>
      </c>
      <c r="AY34" s="19">
        <v>1</v>
      </c>
    </row>
    <row r="35" spans="1:51" s="22" customFormat="1" ht="95.25" customHeight="1" thickTop="1" thickBot="1">
      <c r="A35" s="2979"/>
      <c r="B35" s="3044" t="s">
        <v>541</v>
      </c>
      <c r="C35" s="1154" t="s">
        <v>510</v>
      </c>
      <c r="D35" s="24" t="s">
        <v>443</v>
      </c>
      <c r="E35" s="81" t="s">
        <v>231</v>
      </c>
      <c r="F35" s="81" t="s">
        <v>101</v>
      </c>
      <c r="G35" s="1155">
        <v>205886950</v>
      </c>
      <c r="H35" s="82"/>
      <c r="I35" s="1156"/>
      <c r="J35" s="82"/>
      <c r="K35" s="81" t="s">
        <v>140</v>
      </c>
      <c r="L35" s="1157">
        <v>13725796.6666667</v>
      </c>
      <c r="M35" s="1158">
        <v>38024809</v>
      </c>
      <c r="N35" s="19">
        <f t="shared" si="3"/>
        <v>2.7703170842056704</v>
      </c>
      <c r="O35" s="1157">
        <v>13725796.666666666</v>
      </c>
      <c r="P35" s="1158">
        <v>299008879</v>
      </c>
      <c r="Q35" s="19">
        <f t="shared" si="4"/>
        <v>21.784446197294194</v>
      </c>
      <c r="R35" s="1157">
        <v>13725796.666666666</v>
      </c>
      <c r="S35" s="1158">
        <v>164647874</v>
      </c>
      <c r="T35" s="19">
        <f t="shared" si="5"/>
        <v>11.995505834634008</v>
      </c>
      <c r="U35" s="1157">
        <v>20588695</v>
      </c>
      <c r="V35" s="1158">
        <v>13795643</v>
      </c>
      <c r="W35" s="19">
        <f t="shared" si="6"/>
        <v>0.67005912710834759</v>
      </c>
      <c r="X35" s="1157">
        <v>20588695</v>
      </c>
      <c r="Y35" s="1158">
        <v>38760503</v>
      </c>
      <c r="Z35" s="19">
        <f t="shared" si="7"/>
        <v>1.8826109668436974</v>
      </c>
      <c r="AA35" s="1157">
        <v>20588695</v>
      </c>
      <c r="AB35" s="1158">
        <v>69093146</v>
      </c>
      <c r="AC35" s="19">
        <f t="shared" si="8"/>
        <v>3.355877873755476</v>
      </c>
      <c r="AD35" s="1119">
        <f t="shared" si="1"/>
        <v>623330854</v>
      </c>
      <c r="AE35" s="19">
        <f t="shared" si="9"/>
        <v>3.0275394045130106</v>
      </c>
      <c r="AF35" s="1157">
        <v>20588695</v>
      </c>
      <c r="AG35" s="1158">
        <v>129755234</v>
      </c>
      <c r="AH35" s="19">
        <f t="shared" si="10"/>
        <v>6.3022563596187133</v>
      </c>
      <c r="AI35" s="1157">
        <v>20588695</v>
      </c>
      <c r="AJ35" s="1158">
        <v>78447666</v>
      </c>
      <c r="AK35" s="19">
        <f t="shared" si="11"/>
        <v>3.8102301287186973</v>
      </c>
      <c r="AL35" s="1157">
        <v>20588695</v>
      </c>
      <c r="AM35" s="1158">
        <v>130556274</v>
      </c>
      <c r="AN35" s="19">
        <f t="shared" si="12"/>
        <v>6.3411631480285662</v>
      </c>
      <c r="AO35" s="1157">
        <v>13725796.666666666</v>
      </c>
      <c r="AP35" s="1158">
        <v>106248094</v>
      </c>
      <c r="AQ35" s="19">
        <f t="shared" si="13"/>
        <v>7.7407597227507621</v>
      </c>
      <c r="AR35" s="1157">
        <v>13725796.666666666</v>
      </c>
      <c r="AS35" s="1158">
        <v>487730160</v>
      </c>
      <c r="AT35" s="19">
        <f t="shared" si="14"/>
        <v>35.533832523139523</v>
      </c>
      <c r="AU35" s="1157">
        <v>13725796.6666667</v>
      </c>
      <c r="AV35" s="1159">
        <v>224625945</v>
      </c>
      <c r="AW35" s="19">
        <f t="shared" si="15"/>
        <v>16.365239151874327</v>
      </c>
      <c r="AX35" s="1125">
        <f>+M35+P35+S35+V35+Y35+AB35+AG35+AJ35+AM35+AP35+AS35+AV35</f>
        <v>1780694227</v>
      </c>
      <c r="AY35" s="19">
        <f t="shared" si="17"/>
        <v>8.6488931280005854</v>
      </c>
    </row>
    <row r="36" spans="1:51" s="22" customFormat="1" ht="75.75" customHeight="1" thickTop="1" thickBot="1">
      <c r="A36" s="2979"/>
      <c r="B36" s="3045"/>
      <c r="C36" s="1160" t="s">
        <v>542</v>
      </c>
      <c r="D36" s="17" t="s">
        <v>543</v>
      </c>
      <c r="E36" s="76" t="s">
        <v>544</v>
      </c>
      <c r="F36" s="76" t="s">
        <v>101</v>
      </c>
      <c r="G36" s="1132">
        <f>+'[4]FIS-24'!$D$16</f>
        <v>4200000000</v>
      </c>
      <c r="H36" s="78"/>
      <c r="I36" s="77"/>
      <c r="J36" s="78"/>
      <c r="K36" s="76" t="s">
        <v>140</v>
      </c>
      <c r="L36" s="1140">
        <v>333333333.33333331</v>
      </c>
      <c r="M36" s="1141">
        <v>360422387</v>
      </c>
      <c r="N36" s="19">
        <f t="shared" si="3"/>
        <v>1.081267161</v>
      </c>
      <c r="O36" s="1140">
        <v>333333333.33333331</v>
      </c>
      <c r="P36" s="1141">
        <v>95176196</v>
      </c>
      <c r="Q36" s="19">
        <f t="shared" si="4"/>
        <v>0.28552858800000003</v>
      </c>
      <c r="R36" s="1140">
        <v>333333333.33333331</v>
      </c>
      <c r="S36" s="1141">
        <v>89911097</v>
      </c>
      <c r="T36" s="19">
        <f t="shared" si="5"/>
        <v>0.26973329100000004</v>
      </c>
      <c r="U36" s="1140">
        <v>661111111</v>
      </c>
      <c r="V36" s="1141">
        <v>0</v>
      </c>
      <c r="W36" s="19">
        <f t="shared" si="6"/>
        <v>0</v>
      </c>
      <c r="X36" s="1140">
        <v>661111111</v>
      </c>
      <c r="Y36" s="1141">
        <v>0</v>
      </c>
      <c r="Z36" s="19">
        <f t="shared" si="7"/>
        <v>0</v>
      </c>
      <c r="AA36" s="1140">
        <v>661111111</v>
      </c>
      <c r="AB36" s="1141">
        <v>183824415</v>
      </c>
      <c r="AC36" s="19">
        <f t="shared" si="8"/>
        <v>0.27805373702152164</v>
      </c>
      <c r="AD36" s="1119">
        <f t="shared" si="1"/>
        <v>729334095</v>
      </c>
      <c r="AE36" s="19">
        <f t="shared" si="9"/>
        <v>0.17365097500000001</v>
      </c>
      <c r="AF36" s="1140">
        <v>661111111</v>
      </c>
      <c r="AG36" s="1141">
        <v>418605120</v>
      </c>
      <c r="AH36" s="19">
        <f t="shared" si="10"/>
        <v>0.63318421523246793</v>
      </c>
      <c r="AI36" s="1140">
        <v>127777777.88</v>
      </c>
      <c r="AJ36" s="1141">
        <v>473730425</v>
      </c>
      <c r="AK36" s="19">
        <f t="shared" si="11"/>
        <v>3.7074554970340357</v>
      </c>
      <c r="AL36" s="1140">
        <v>127777777.88</v>
      </c>
      <c r="AM36" s="1141">
        <v>239809136</v>
      </c>
      <c r="AN36" s="19">
        <f t="shared" si="12"/>
        <v>1.8767671498029341</v>
      </c>
      <c r="AO36" s="1140">
        <v>127777777.88</v>
      </c>
      <c r="AP36" s="1141">
        <v>250160921</v>
      </c>
      <c r="AQ36" s="19">
        <f t="shared" si="13"/>
        <v>1.9577811193033403</v>
      </c>
      <c r="AR36" s="1140">
        <v>86111111.180000007</v>
      </c>
      <c r="AS36" s="1141">
        <v>124728477</v>
      </c>
      <c r="AT36" s="19">
        <f t="shared" si="14"/>
        <v>1.4484597317444579</v>
      </c>
      <c r="AU36" s="1140">
        <v>86111111.180000007</v>
      </c>
      <c r="AV36" s="1161">
        <v>264246854</v>
      </c>
      <c r="AW36" s="19">
        <f t="shared" si="15"/>
        <v>3.0686731407708678</v>
      </c>
      <c r="AX36" s="1132">
        <f>+M36+P36+S36+V36+Y36+AB36+AG36+AJ36+AM36+AP36+AS36+AV36</f>
        <v>2500615028</v>
      </c>
      <c r="AY36" s="19">
        <f t="shared" si="17"/>
        <v>0.59538453047619044</v>
      </c>
    </row>
    <row r="37" spans="1:51" s="22" customFormat="1" ht="75.75" customHeight="1" thickTop="1" thickBot="1">
      <c r="A37" s="2979"/>
      <c r="B37" s="3045"/>
      <c r="C37" s="3047" t="s">
        <v>545</v>
      </c>
      <c r="D37" s="86" t="s">
        <v>236</v>
      </c>
      <c r="E37" s="81" t="s">
        <v>237</v>
      </c>
      <c r="F37" s="88" t="s">
        <v>10</v>
      </c>
      <c r="G37" s="167">
        <v>0.02</v>
      </c>
      <c r="H37" s="88"/>
      <c r="I37" s="81"/>
      <c r="J37" s="81"/>
      <c r="K37" s="87" t="s">
        <v>23</v>
      </c>
      <c r="L37" s="163">
        <v>0</v>
      </c>
      <c r="M37" s="164">
        <v>0.15</v>
      </c>
      <c r="N37" s="19" t="e">
        <f t="shared" si="3"/>
        <v>#DIV/0!</v>
      </c>
      <c r="O37" s="163">
        <v>0</v>
      </c>
      <c r="P37" s="164">
        <v>0.2</v>
      </c>
      <c r="Q37" s="19" t="e">
        <f t="shared" si="4"/>
        <v>#DIV/0!</v>
      </c>
      <c r="R37" s="163">
        <v>0</v>
      </c>
      <c r="S37" s="164">
        <v>0.18</v>
      </c>
      <c r="T37" s="19" t="e">
        <f t="shared" si="5"/>
        <v>#DIV/0!</v>
      </c>
      <c r="U37" s="163">
        <v>0.03</v>
      </c>
      <c r="V37" s="164">
        <v>0.2</v>
      </c>
      <c r="W37" s="19">
        <f>+V37/U37</f>
        <v>6.666666666666667</v>
      </c>
      <c r="X37" s="163">
        <v>0.03</v>
      </c>
      <c r="Y37" s="164">
        <v>0.17</v>
      </c>
      <c r="Z37" s="19">
        <f t="shared" si="7"/>
        <v>5.666666666666667</v>
      </c>
      <c r="AA37" s="163">
        <v>0.03</v>
      </c>
      <c r="AB37" s="164">
        <v>0.15</v>
      </c>
      <c r="AC37" s="19">
        <f t="shared" si="8"/>
        <v>5</v>
      </c>
      <c r="AD37" s="1119">
        <f t="shared" si="1"/>
        <v>1.05</v>
      </c>
      <c r="AE37" s="19">
        <f t="shared" si="9"/>
        <v>52.5</v>
      </c>
      <c r="AF37" s="163">
        <v>0.03</v>
      </c>
      <c r="AG37" s="164">
        <v>0.15</v>
      </c>
      <c r="AH37" s="19">
        <f t="shared" si="10"/>
        <v>5</v>
      </c>
      <c r="AI37" s="163">
        <v>0.03</v>
      </c>
      <c r="AJ37" s="164">
        <v>0.21</v>
      </c>
      <c r="AK37" s="19">
        <f t="shared" si="11"/>
        <v>7</v>
      </c>
      <c r="AL37" s="163">
        <v>0.02</v>
      </c>
      <c r="AM37" s="164">
        <v>0.18</v>
      </c>
      <c r="AN37" s="19">
        <f t="shared" si="12"/>
        <v>9</v>
      </c>
      <c r="AO37" s="163">
        <v>0.02</v>
      </c>
      <c r="AP37" s="164">
        <v>0.18</v>
      </c>
      <c r="AQ37" s="19">
        <f t="shared" si="13"/>
        <v>9</v>
      </c>
      <c r="AR37" s="163">
        <v>0.02</v>
      </c>
      <c r="AS37" s="164"/>
      <c r="AT37" s="19">
        <f t="shared" si="14"/>
        <v>0</v>
      </c>
      <c r="AU37" s="163">
        <v>0.02</v>
      </c>
      <c r="AV37" s="164"/>
      <c r="AW37" s="19">
        <f t="shared" si="15"/>
        <v>0</v>
      </c>
      <c r="AX37" s="1093">
        <f>(+M37+P37+S37+V37+Y37+AB37+AG37+AJ37+AM37+AP37+AS37+AV37)/12</f>
        <v>0.14749999999999999</v>
      </c>
      <c r="AY37" s="19">
        <f t="shared" si="17"/>
        <v>7.3749999999999991</v>
      </c>
    </row>
    <row r="38" spans="1:51" s="22" customFormat="1" ht="75.75" customHeight="1" thickTop="1" thickBot="1">
      <c r="A38" s="2979"/>
      <c r="B38" s="3045"/>
      <c r="C38" s="3048"/>
      <c r="D38" s="86" t="s">
        <v>238</v>
      </c>
      <c r="E38" s="81" t="s">
        <v>239</v>
      </c>
      <c r="F38" s="88" t="s">
        <v>10</v>
      </c>
      <c r="G38" s="167">
        <v>0.01</v>
      </c>
      <c r="H38" s="88"/>
      <c r="I38" s="81"/>
      <c r="J38" s="81"/>
      <c r="K38" s="87" t="s">
        <v>23</v>
      </c>
      <c r="L38" s="163">
        <v>0</v>
      </c>
      <c r="M38" s="164"/>
      <c r="N38" s="19" t="e">
        <f t="shared" si="3"/>
        <v>#DIV/0!</v>
      </c>
      <c r="O38" s="163">
        <v>0</v>
      </c>
      <c r="P38" s="164"/>
      <c r="Q38" s="19" t="e">
        <f t="shared" si="4"/>
        <v>#DIV/0!</v>
      </c>
      <c r="R38" s="163">
        <v>0</v>
      </c>
      <c r="S38" s="164"/>
      <c r="T38" s="19" t="e">
        <f t="shared" si="5"/>
        <v>#DIV/0!</v>
      </c>
      <c r="U38" s="163">
        <v>0</v>
      </c>
      <c r="V38" s="164"/>
      <c r="W38" s="19" t="e">
        <f t="shared" ref="W38:W39" si="32">+V38/U38</f>
        <v>#DIV/0!</v>
      </c>
      <c r="X38" s="163">
        <v>0</v>
      </c>
      <c r="Y38" s="164"/>
      <c r="Z38" s="19" t="e">
        <f t="shared" si="7"/>
        <v>#DIV/0!</v>
      </c>
      <c r="AA38" s="163">
        <v>0</v>
      </c>
      <c r="AB38" s="164"/>
      <c r="AC38" s="19" t="e">
        <f t="shared" si="8"/>
        <v>#DIV/0!</v>
      </c>
      <c r="AD38" s="1119">
        <f t="shared" si="1"/>
        <v>0</v>
      </c>
      <c r="AE38" s="19">
        <f>+AD38/G38</f>
        <v>0</v>
      </c>
      <c r="AF38" s="163">
        <v>0</v>
      </c>
      <c r="AG38" s="164"/>
      <c r="AH38" s="19" t="e">
        <f t="shared" si="10"/>
        <v>#DIV/0!</v>
      </c>
      <c r="AI38" s="163">
        <v>0</v>
      </c>
      <c r="AJ38" s="164"/>
      <c r="AK38" s="19" t="e">
        <f t="shared" si="11"/>
        <v>#DIV/0!</v>
      </c>
      <c r="AL38" s="163">
        <v>0.01</v>
      </c>
      <c r="AM38" s="164"/>
      <c r="AN38" s="19">
        <f t="shared" si="12"/>
        <v>0</v>
      </c>
      <c r="AO38" s="163">
        <v>0.01</v>
      </c>
      <c r="AP38" s="164"/>
      <c r="AQ38" s="19">
        <f t="shared" si="13"/>
        <v>0</v>
      </c>
      <c r="AR38" s="163">
        <v>0.01</v>
      </c>
      <c r="AS38" s="164"/>
      <c r="AT38" s="19">
        <f t="shared" si="14"/>
        <v>0</v>
      </c>
      <c r="AU38" s="163">
        <v>0.01</v>
      </c>
      <c r="AV38" s="164"/>
      <c r="AW38" s="19">
        <f t="shared" si="15"/>
        <v>0</v>
      </c>
      <c r="AX38" s="1093">
        <f>(+M38+P38+S38+V38+Y38+AB38+AG38+AJ38+AM38+AP38+AS38+AV38)/12</f>
        <v>0</v>
      </c>
      <c r="AY38" s="19"/>
    </row>
    <row r="39" spans="1:51" s="22" customFormat="1" ht="188.25" customHeight="1" thickTop="1" thickBot="1">
      <c r="A39" s="2980"/>
      <c r="B39" s="3046"/>
      <c r="C39" s="3049"/>
      <c r="D39" s="86" t="s">
        <v>247</v>
      </c>
      <c r="E39" s="81" t="s">
        <v>546</v>
      </c>
      <c r="F39" s="88" t="s">
        <v>547</v>
      </c>
      <c r="G39" s="1162">
        <v>16</v>
      </c>
      <c r="H39" s="88"/>
      <c r="I39" s="81"/>
      <c r="J39" s="81"/>
      <c r="K39" s="87" t="s">
        <v>249</v>
      </c>
      <c r="L39" s="1137"/>
      <c r="M39" s="1143"/>
      <c r="N39" s="19" t="e">
        <f t="shared" si="3"/>
        <v>#DIV/0!</v>
      </c>
      <c r="O39" s="1137">
        <v>0</v>
      </c>
      <c r="P39" s="1143"/>
      <c r="Q39" s="19" t="e">
        <f t="shared" si="4"/>
        <v>#DIV/0!</v>
      </c>
      <c r="R39" s="1137">
        <v>0</v>
      </c>
      <c r="S39" s="1143"/>
      <c r="T39" s="19" t="e">
        <f t="shared" si="5"/>
        <v>#DIV/0!</v>
      </c>
      <c r="U39" s="1137">
        <v>0</v>
      </c>
      <c r="V39" s="1143"/>
      <c r="W39" s="19" t="e">
        <f t="shared" si="32"/>
        <v>#DIV/0!</v>
      </c>
      <c r="X39" s="1137">
        <v>2</v>
      </c>
      <c r="Y39" s="1143"/>
      <c r="Z39" s="19">
        <f t="shared" si="7"/>
        <v>0</v>
      </c>
      <c r="AA39" s="1137">
        <v>2</v>
      </c>
      <c r="AB39" s="1143"/>
      <c r="AC39" s="19">
        <f t="shared" si="8"/>
        <v>0</v>
      </c>
      <c r="AD39" s="1119">
        <f t="shared" si="1"/>
        <v>0</v>
      </c>
      <c r="AE39" s="19">
        <f t="shared" si="9"/>
        <v>0</v>
      </c>
      <c r="AF39" s="1137">
        <v>2</v>
      </c>
      <c r="AG39" s="1143"/>
      <c r="AH39" s="19">
        <f t="shared" si="10"/>
        <v>0</v>
      </c>
      <c r="AI39" s="1137">
        <v>2</v>
      </c>
      <c r="AJ39" s="1143"/>
      <c r="AK39" s="19">
        <f t="shared" si="11"/>
        <v>0</v>
      </c>
      <c r="AL39" s="1137">
        <v>2</v>
      </c>
      <c r="AM39" s="1143"/>
      <c r="AN39" s="19">
        <f t="shared" si="12"/>
        <v>0</v>
      </c>
      <c r="AO39" s="1137">
        <v>2</v>
      </c>
      <c r="AP39" s="1143"/>
      <c r="AQ39" s="19">
        <f t="shared" si="13"/>
        <v>0</v>
      </c>
      <c r="AR39" s="1137">
        <v>2</v>
      </c>
      <c r="AS39" s="1143"/>
      <c r="AT39" s="19">
        <f t="shared" si="14"/>
        <v>0</v>
      </c>
      <c r="AU39" s="1137">
        <v>2</v>
      </c>
      <c r="AV39" s="1143"/>
      <c r="AW39" s="19">
        <f>+AV39/AU39</f>
        <v>0</v>
      </c>
      <c r="AX39" s="1163">
        <f>(+M39+P39+S39+V39+Y39+AB39+AG39+AJ39+AM39+AP39+AS39+AV39)</f>
        <v>0</v>
      </c>
      <c r="AY39" s="19"/>
    </row>
    <row r="40" spans="1:51" s="22" customFormat="1" ht="22.5" customHeight="1" thickTop="1" thickBot="1">
      <c r="A40" s="2857" t="s">
        <v>141</v>
      </c>
      <c r="B40" s="2858"/>
      <c r="C40" s="2858"/>
      <c r="D40" s="2858"/>
      <c r="E40" s="2858"/>
      <c r="F40" s="2858"/>
      <c r="G40" s="2858"/>
      <c r="H40" s="2858"/>
      <c r="I40" s="2858"/>
      <c r="J40" s="2858"/>
      <c r="K40" s="2859"/>
      <c r="L40" s="897"/>
      <c r="M40" s="897"/>
      <c r="N40" s="897"/>
      <c r="O40" s="897"/>
      <c r="P40" s="897"/>
      <c r="Q40" s="897"/>
      <c r="R40" s="897"/>
      <c r="S40" s="897"/>
      <c r="T40" s="897"/>
      <c r="U40" s="897"/>
      <c r="V40" s="897"/>
      <c r="W40" s="897"/>
      <c r="X40" s="897"/>
      <c r="Y40" s="897"/>
      <c r="Z40" s="897"/>
      <c r="AA40" s="897"/>
      <c r="AB40" s="897"/>
      <c r="AC40" s="897"/>
      <c r="AD40" s="897"/>
      <c r="AE40" s="897"/>
      <c r="AF40" s="897"/>
      <c r="AG40" s="897"/>
      <c r="AH40" s="897"/>
      <c r="AI40" s="897"/>
      <c r="AJ40" s="897"/>
      <c r="AK40" s="897"/>
      <c r="AL40" s="897"/>
      <c r="AM40" s="897"/>
      <c r="AN40" s="897"/>
      <c r="AO40" s="897"/>
      <c r="AP40" s="897"/>
      <c r="AQ40" s="897"/>
      <c r="AR40" s="897"/>
      <c r="AS40" s="897"/>
      <c r="AT40" s="897"/>
      <c r="AU40" s="897"/>
      <c r="AV40" s="897"/>
      <c r="AW40" s="897"/>
      <c r="AX40" s="897"/>
      <c r="AY40" s="897"/>
    </row>
    <row r="41" spans="1:51" s="22" customFormat="1" ht="245.25" customHeight="1" thickTop="1" thickBot="1">
      <c r="A41" s="2939" t="s">
        <v>181</v>
      </c>
      <c r="B41" s="2848" t="s">
        <v>314</v>
      </c>
      <c r="C41" s="90" t="s">
        <v>336</v>
      </c>
      <c r="D41" s="423" t="s">
        <v>548</v>
      </c>
      <c r="E41" s="90" t="s">
        <v>145</v>
      </c>
      <c r="F41" s="90" t="s">
        <v>17</v>
      </c>
      <c r="G41" s="90">
        <v>150</v>
      </c>
      <c r="H41" s="90"/>
      <c r="I41" s="90"/>
      <c r="J41" s="90"/>
      <c r="K41" s="90" t="s">
        <v>146</v>
      </c>
      <c r="L41" s="1164">
        <v>0</v>
      </c>
      <c r="M41" s="1165"/>
      <c r="N41" s="19" t="e">
        <v>#DIV/0!</v>
      </c>
      <c r="O41" s="1164">
        <v>0</v>
      </c>
      <c r="P41" s="1165"/>
      <c r="Q41" s="19" t="e">
        <v>#DIV/0!</v>
      </c>
      <c r="R41" s="1164">
        <v>0</v>
      </c>
      <c r="S41" s="1165"/>
      <c r="T41" s="19" t="e">
        <v>#DIV/0!</v>
      </c>
      <c r="U41" s="1164">
        <v>30</v>
      </c>
      <c r="V41" s="1165">
        <v>76</v>
      </c>
      <c r="W41" s="19">
        <v>2.5333333333333332</v>
      </c>
      <c r="X41" s="1164">
        <v>0</v>
      </c>
      <c r="Y41" s="1165">
        <v>329</v>
      </c>
      <c r="Z41" s="19" t="e">
        <v>#DIV/0!</v>
      </c>
      <c r="AA41" s="1164">
        <v>0</v>
      </c>
      <c r="AB41" s="1165"/>
      <c r="AC41" s="19" t="e">
        <v>#DIV/0!</v>
      </c>
      <c r="AD41" s="185">
        <v>405</v>
      </c>
      <c r="AE41" s="19">
        <v>2.7</v>
      </c>
      <c r="AF41" s="1164">
        <v>0</v>
      </c>
      <c r="AG41" s="1165"/>
      <c r="AH41" s="19" t="e">
        <v>#DIV/0!</v>
      </c>
      <c r="AI41" s="1164">
        <v>45</v>
      </c>
      <c r="AJ41" s="1165">
        <v>248</v>
      </c>
      <c r="AK41" s="19">
        <v>5.5111111111111111</v>
      </c>
      <c r="AL41" s="1164">
        <v>0</v>
      </c>
      <c r="AM41" s="1165">
        <v>67</v>
      </c>
      <c r="AN41" s="19" t="e">
        <v>#DIV/0!</v>
      </c>
      <c r="AO41" s="1164">
        <v>0</v>
      </c>
      <c r="AP41" s="1165">
        <v>188</v>
      </c>
      <c r="AQ41" s="19" t="e">
        <v>#DIV/0!</v>
      </c>
      <c r="AR41" s="1164">
        <v>0</v>
      </c>
      <c r="AS41" s="1165"/>
      <c r="AT41" s="19" t="e">
        <f t="shared" si="14"/>
        <v>#DIV/0!</v>
      </c>
      <c r="AU41" s="1164">
        <v>75</v>
      </c>
      <c r="AV41" s="1165">
        <v>0</v>
      </c>
      <c r="AW41" s="19">
        <f t="shared" si="15"/>
        <v>0</v>
      </c>
      <c r="AX41" s="185">
        <f>+M41+P41+S41+V41+Y41+AB41+AG41+AJ41+AM41+AP41+AS41+AV41</f>
        <v>908</v>
      </c>
      <c r="AY41" s="19">
        <f>+AX41/G41</f>
        <v>6.0533333333333337</v>
      </c>
    </row>
    <row r="42" spans="1:51" s="22" customFormat="1" ht="74.25" customHeight="1" thickTop="1" thickBot="1">
      <c r="A42" s="2940"/>
      <c r="B42" s="2850"/>
      <c r="C42" s="81" t="s">
        <v>549</v>
      </c>
      <c r="D42" s="24" t="s">
        <v>550</v>
      </c>
      <c r="E42" s="81" t="s">
        <v>551</v>
      </c>
      <c r="F42" s="81" t="s">
        <v>8</v>
      </c>
      <c r="G42" s="1166">
        <v>10.199999999999999</v>
      </c>
      <c r="H42" s="81"/>
      <c r="I42" s="81"/>
      <c r="J42" s="81"/>
      <c r="K42" s="81" t="s">
        <v>9</v>
      </c>
      <c r="L42" s="1167">
        <v>10.199999999999999</v>
      </c>
      <c r="M42" s="1168">
        <v>8.4700000000000006</v>
      </c>
      <c r="N42" s="19">
        <f>+L42/M42</f>
        <v>1.2042502951593859</v>
      </c>
      <c r="O42" s="1167">
        <v>10.199999999999999</v>
      </c>
      <c r="P42" s="1168">
        <v>0</v>
      </c>
      <c r="Q42" s="19" t="e">
        <f>+O42/P42</f>
        <v>#DIV/0!</v>
      </c>
      <c r="R42" s="1167">
        <v>10.199999999999999</v>
      </c>
      <c r="S42" s="1168">
        <v>0</v>
      </c>
      <c r="T42" s="19" t="e">
        <f>+R42/S42</f>
        <v>#DIV/0!</v>
      </c>
      <c r="U42" s="1167">
        <v>10.199999999999999</v>
      </c>
      <c r="V42" s="1168">
        <v>0</v>
      </c>
      <c r="W42" s="19" t="e">
        <f>+U42/V42</f>
        <v>#DIV/0!</v>
      </c>
      <c r="X42" s="1167">
        <v>10.199999999999999</v>
      </c>
      <c r="Y42" s="1168">
        <v>0</v>
      </c>
      <c r="Z42" s="19" t="e">
        <f>+X42/Y42</f>
        <v>#DIV/0!</v>
      </c>
      <c r="AA42" s="1167">
        <v>10.199999999999999</v>
      </c>
      <c r="AB42" s="1168">
        <v>9.2799999999999994</v>
      </c>
      <c r="AC42" s="19">
        <f>+AA42/AB42</f>
        <v>1.0991379310344827</v>
      </c>
      <c r="AD42" s="81">
        <f>(M42+P42+S42+V42+Y42+AB42)/6</f>
        <v>2.9583333333333335</v>
      </c>
      <c r="AE42" s="19">
        <f>+G42/AD42</f>
        <v>3.4478873239436614</v>
      </c>
      <c r="AF42" s="1167">
        <v>10.199999999999999</v>
      </c>
      <c r="AG42" s="1168">
        <v>9.8699999999999992</v>
      </c>
      <c r="AH42" s="19">
        <f>+AF42/AG42</f>
        <v>1.0334346504559271</v>
      </c>
      <c r="AI42" s="1167">
        <v>10.199999999999999</v>
      </c>
      <c r="AJ42" s="1168">
        <v>0</v>
      </c>
      <c r="AK42" s="19" t="e">
        <f>+AI42/AJ42</f>
        <v>#DIV/0!</v>
      </c>
      <c r="AL42" s="1167">
        <v>10.199999999999999</v>
      </c>
      <c r="AM42" s="1168">
        <v>0</v>
      </c>
      <c r="AN42" s="19" t="e">
        <f>+AL42/AM42</f>
        <v>#DIV/0!</v>
      </c>
      <c r="AO42" s="1167">
        <v>10.199999999999999</v>
      </c>
      <c r="AP42" s="1168">
        <v>8.24</v>
      </c>
      <c r="AQ42" s="19">
        <f>+AO42/AP42</f>
        <v>1.2378640776699028</v>
      </c>
      <c r="AR42" s="1167">
        <v>10.199999999999999</v>
      </c>
      <c r="AS42" s="1168">
        <v>0</v>
      </c>
      <c r="AT42" s="19" t="e">
        <f>+AR42/AS42</f>
        <v>#DIV/0!</v>
      </c>
      <c r="AU42" s="1167">
        <v>10.199999999999999</v>
      </c>
      <c r="AV42" s="1168"/>
      <c r="AW42" s="19" t="e">
        <f>+AU42/AV42</f>
        <v>#DIV/0!</v>
      </c>
      <c r="AX42" s="538">
        <f>(M42+P42+S42+V42+Y42+AB42+AG42+AJ42+AM42+AP42+AS42+AV42)/12</f>
        <v>2.9883333333333333</v>
      </c>
      <c r="AY42" s="19">
        <f>+G42/AX42</f>
        <v>3.4132738427216953</v>
      </c>
    </row>
    <row r="43" spans="1:51" s="22" customFormat="1" ht="81" customHeight="1" thickTop="1" thickBot="1">
      <c r="A43" s="2941"/>
      <c r="B43" s="1169" t="s">
        <v>552</v>
      </c>
      <c r="C43" s="90" t="s">
        <v>553</v>
      </c>
      <c r="D43" s="89" t="s">
        <v>319</v>
      </c>
      <c r="E43" s="90" t="s">
        <v>554</v>
      </c>
      <c r="F43" s="90" t="s">
        <v>17</v>
      </c>
      <c r="G43" s="185">
        <v>37</v>
      </c>
      <c r="H43" s="90"/>
      <c r="I43" s="185"/>
      <c r="J43" s="90"/>
      <c r="K43" s="76" t="s">
        <v>21</v>
      </c>
      <c r="L43" s="1164">
        <v>20</v>
      </c>
      <c r="M43" s="1165">
        <v>30</v>
      </c>
      <c r="N43" s="19">
        <f>+L43/M43</f>
        <v>0.66666666666666663</v>
      </c>
      <c r="O43" s="1164">
        <v>20</v>
      </c>
      <c r="P43" s="1165">
        <v>29</v>
      </c>
      <c r="Q43" s="19">
        <f>+O43/P43</f>
        <v>0.68965517241379315</v>
      </c>
      <c r="R43" s="1164">
        <v>37</v>
      </c>
      <c r="S43" s="1165">
        <v>23</v>
      </c>
      <c r="T43" s="19">
        <f>+R43/S43</f>
        <v>1.6086956521739131</v>
      </c>
      <c r="U43" s="1164">
        <v>37</v>
      </c>
      <c r="V43" s="1165">
        <v>20</v>
      </c>
      <c r="W43" s="19">
        <f>+U43/V43</f>
        <v>1.85</v>
      </c>
      <c r="X43" s="1164">
        <v>37</v>
      </c>
      <c r="Y43" s="1165">
        <v>12</v>
      </c>
      <c r="Z43" s="19">
        <f>+X43/Y43</f>
        <v>3.0833333333333335</v>
      </c>
      <c r="AA43" s="1164">
        <v>37</v>
      </c>
      <c r="AB43" s="1165">
        <v>10</v>
      </c>
      <c r="AC43" s="19">
        <f>+AA43/AB43</f>
        <v>3.7</v>
      </c>
      <c r="AD43" s="76">
        <f>(S43+V43+Y43+AB43)/4</f>
        <v>16.25</v>
      </c>
      <c r="AE43" s="19">
        <f>+G43/AD43</f>
        <v>2.2769230769230768</v>
      </c>
      <c r="AF43" s="1164">
        <v>37</v>
      </c>
      <c r="AG43" s="1165">
        <v>12</v>
      </c>
      <c r="AH43" s="19">
        <f>+AF43/AG43</f>
        <v>3.0833333333333335</v>
      </c>
      <c r="AI43" s="1164">
        <v>37</v>
      </c>
      <c r="AJ43" s="1165">
        <v>18</v>
      </c>
      <c r="AK43" s="19">
        <f>+AI43/AJ43</f>
        <v>2.0555555555555554</v>
      </c>
      <c r="AL43" s="1164">
        <v>37</v>
      </c>
      <c r="AM43" s="1165">
        <v>27</v>
      </c>
      <c r="AN43" s="19">
        <f>+AL43/AM43</f>
        <v>1.3703703703703705</v>
      </c>
      <c r="AO43" s="1164">
        <v>37</v>
      </c>
      <c r="AP43" s="1165">
        <v>28</v>
      </c>
      <c r="AQ43" s="19">
        <f>+AO43/AP43</f>
        <v>1.3214285714285714</v>
      </c>
      <c r="AR43" s="1164">
        <v>37</v>
      </c>
      <c r="AS43" s="1165">
        <v>27</v>
      </c>
      <c r="AT43" s="19">
        <f>+AR43/AS43</f>
        <v>1.3703703703703705</v>
      </c>
      <c r="AU43" s="1164">
        <v>37</v>
      </c>
      <c r="AV43" s="1165">
        <v>30</v>
      </c>
      <c r="AW43" s="19">
        <f>+AU43/AV43</f>
        <v>1.2333333333333334</v>
      </c>
      <c r="AX43" s="538">
        <f>(M43+P43+S43+V43+Y43+AB43+AG43+AJ43+AM43+AP43+AS43+AV43)/12</f>
        <v>22.166666666666668</v>
      </c>
      <c r="AY43" s="19">
        <f>+G43/AX43</f>
        <v>1.6691729323308271</v>
      </c>
    </row>
    <row r="44" spans="1:51" s="22" customFormat="1" ht="22.5" customHeight="1" thickTop="1" thickBot="1">
      <c r="A44" s="2842" t="s">
        <v>154</v>
      </c>
      <c r="B44" s="2843"/>
      <c r="C44" s="2843"/>
      <c r="D44" s="2843"/>
      <c r="E44" s="2843"/>
      <c r="F44" s="2843"/>
      <c r="G44" s="2843"/>
      <c r="H44" s="2843"/>
      <c r="I44" s="2843"/>
      <c r="J44" s="2843"/>
      <c r="K44" s="2844"/>
      <c r="L44" s="1041"/>
      <c r="M44" s="1170"/>
      <c r="N44" s="1171"/>
      <c r="O44" s="1171"/>
      <c r="P44" s="1171"/>
      <c r="Q44" s="1171"/>
      <c r="R44" s="1171"/>
      <c r="S44" s="1171"/>
      <c r="T44" s="1171"/>
      <c r="U44" s="1171"/>
      <c r="V44" s="1171"/>
      <c r="W44" s="1171"/>
      <c r="X44" s="1171"/>
      <c r="Y44" s="1171"/>
      <c r="Z44" s="1171"/>
      <c r="AA44" s="1171"/>
      <c r="AB44" s="1171"/>
      <c r="AC44" s="1171"/>
      <c r="AD44" s="1171"/>
      <c r="AE44" s="1171"/>
      <c r="AF44" s="1171"/>
      <c r="AG44" s="1171"/>
      <c r="AH44" s="1171"/>
      <c r="AI44" s="1171"/>
      <c r="AJ44" s="1171"/>
      <c r="AK44" s="1171"/>
      <c r="AL44" s="1171"/>
      <c r="AM44" s="1171"/>
      <c r="AN44" s="1171"/>
      <c r="AO44" s="1171"/>
      <c r="AP44" s="1171"/>
      <c r="AQ44" s="1171"/>
      <c r="AR44" s="1171"/>
      <c r="AS44" s="1171"/>
      <c r="AT44" s="1171"/>
      <c r="AU44" s="1171"/>
      <c r="AV44" s="1171"/>
      <c r="AW44" s="1171"/>
      <c r="AX44" s="1171"/>
      <c r="AY44" s="1171"/>
    </row>
    <row r="45" spans="1:51" s="22" customFormat="1" ht="159" customHeight="1" thickTop="1" thickBot="1">
      <c r="A45" s="738" t="s">
        <v>155</v>
      </c>
      <c r="B45" s="1169" t="s">
        <v>156</v>
      </c>
      <c r="C45" s="87" t="s">
        <v>369</v>
      </c>
      <c r="D45" s="24" t="s">
        <v>158</v>
      </c>
      <c r="E45" s="87" t="s">
        <v>393</v>
      </c>
      <c r="F45" s="87" t="s">
        <v>17</v>
      </c>
      <c r="G45" s="87">
        <v>10</v>
      </c>
      <c r="H45" s="87"/>
      <c r="I45" s="87"/>
      <c r="J45" s="87"/>
      <c r="K45" s="87" t="s">
        <v>555</v>
      </c>
      <c r="L45" s="1167">
        <v>0</v>
      </c>
      <c r="M45" s="1168"/>
      <c r="N45" s="19" t="e">
        <f t="shared" ref="N45" si="33">+M45/L45</f>
        <v>#DIV/0!</v>
      </c>
      <c r="O45" s="1167">
        <v>0</v>
      </c>
      <c r="P45" s="1168"/>
      <c r="Q45" s="19" t="e">
        <f t="shared" ref="Q45" si="34">+P45/O45</f>
        <v>#DIV/0!</v>
      </c>
      <c r="R45" s="1167">
        <v>0</v>
      </c>
      <c r="S45" s="1168"/>
      <c r="T45" s="19" t="e">
        <f t="shared" ref="T45" si="35">+S45/R45</f>
        <v>#DIV/0!</v>
      </c>
      <c r="U45" s="1167">
        <v>0</v>
      </c>
      <c r="V45" s="1168"/>
      <c r="W45" s="19" t="e">
        <f t="shared" ref="W45" si="36">+V45/U45</f>
        <v>#DIV/0!</v>
      </c>
      <c r="X45" s="1167">
        <v>2</v>
      </c>
      <c r="Y45" s="1168">
        <v>2</v>
      </c>
      <c r="Z45" s="19">
        <f t="shared" ref="Z45" si="37">+Y45/X45</f>
        <v>1</v>
      </c>
      <c r="AA45" s="1167">
        <v>0</v>
      </c>
      <c r="AB45" s="1168"/>
      <c r="AC45" s="19" t="e">
        <f t="shared" ref="AC45" si="38">+AB45/AA45</f>
        <v>#DIV/0!</v>
      </c>
      <c r="AD45" s="1172">
        <f>+Y45</f>
        <v>2</v>
      </c>
      <c r="AE45" s="19">
        <f t="shared" ref="AE45" si="39">+AD45/G45</f>
        <v>0.2</v>
      </c>
      <c r="AF45" s="1167">
        <v>1</v>
      </c>
      <c r="AG45" s="1168">
        <v>1</v>
      </c>
      <c r="AH45" s="19">
        <f t="shared" ref="AH45" si="40">+AG45/AF45</f>
        <v>1</v>
      </c>
      <c r="AI45" s="1167">
        <v>3</v>
      </c>
      <c r="AJ45" s="1168">
        <v>3</v>
      </c>
      <c r="AK45" s="19">
        <f t="shared" ref="AK45" si="41">+AJ45/AI45</f>
        <v>1</v>
      </c>
      <c r="AL45" s="1167">
        <v>1</v>
      </c>
      <c r="AM45" s="1168">
        <v>1</v>
      </c>
      <c r="AN45" s="19">
        <f t="shared" ref="AN45" si="42">+AM45/AL45</f>
        <v>1</v>
      </c>
      <c r="AO45" s="1167">
        <v>3</v>
      </c>
      <c r="AP45" s="1168">
        <v>3</v>
      </c>
      <c r="AQ45" s="19">
        <f t="shared" ref="AQ45" si="43">+AP45/AO45</f>
        <v>1</v>
      </c>
      <c r="AR45" s="1167">
        <v>0</v>
      </c>
      <c r="AS45" s="1168"/>
      <c r="AT45" s="19" t="e">
        <f t="shared" ref="AT45" si="44">+AS45/AR45</f>
        <v>#DIV/0!</v>
      </c>
      <c r="AU45" s="1167">
        <v>0</v>
      </c>
      <c r="AV45" s="1168"/>
      <c r="AW45" s="19" t="e">
        <f t="shared" ref="AW45" si="45">+AV45/AU45</f>
        <v>#DIV/0!</v>
      </c>
      <c r="AX45" s="1172">
        <f>+Y45+AG45+AJ45+AM45+AP45+AV45+AS45+AB45+V45+S45+P45+M45</f>
        <v>10</v>
      </c>
      <c r="AY45" s="19">
        <f>+AX45/G45</f>
        <v>1</v>
      </c>
    </row>
    <row r="46" spans="1:51" ht="17.25" thickTop="1"/>
  </sheetData>
  <sheetProtection algorithmName="SHA-512" hashValue="DW1VeMb5meBBO2/LbFdjcOq6dkriAHxpDtJINnrYyGUqxDh240+gzdJnJy1X+IQr8XwNg3wofaKhuuLlaWsimw==" saltValue="Hn9IRxVcGkpoFY/wZEk0zQ==" spinCount="100000" sheet="1" objects="1" scenarios="1"/>
  <mergeCells count="40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40:K40"/>
    <mergeCell ref="A41:A43"/>
    <mergeCell ref="B41:B42"/>
    <mergeCell ref="A44:K44"/>
    <mergeCell ref="A9:A39"/>
    <mergeCell ref="B9:B10"/>
    <mergeCell ref="B11:B34"/>
    <mergeCell ref="C12:C19"/>
    <mergeCell ref="C23:C25"/>
    <mergeCell ref="C27:C33"/>
    <mergeCell ref="B35:B39"/>
    <mergeCell ref="C37:C39"/>
  </mergeCells>
  <conditionalFormatting sqref="N11:N22 N41:N43 N45 N26:N36">
    <cfRule type="cellIs" dxfId="7439" priority="326" operator="greaterThan">
      <formula>110%</formula>
    </cfRule>
    <cfRule type="cellIs" dxfId="7438" priority="327" operator="between">
      <formula>100.001%</formula>
      <formula>110%</formula>
    </cfRule>
    <cfRule type="cellIs" dxfId="7437" priority="328" operator="between">
      <formula>70.001%</formula>
      <formula>100%</formula>
    </cfRule>
    <cfRule type="cellIs" dxfId="7436" priority="329" operator="between">
      <formula>0.00001%</formula>
      <formula>70%</formula>
    </cfRule>
    <cfRule type="cellIs" dxfId="7435" priority="330" operator="equal">
      <formula>0%</formula>
    </cfRule>
  </conditionalFormatting>
  <conditionalFormatting sqref="Q11:Q22 Q41:Q43 Q45 Q26:Q36">
    <cfRule type="cellIs" dxfId="7434" priority="321" operator="greaterThan">
      <formula>110%</formula>
    </cfRule>
    <cfRule type="cellIs" dxfId="7433" priority="322" operator="between">
      <formula>100.001%</formula>
      <formula>110%</formula>
    </cfRule>
    <cfRule type="cellIs" dxfId="7432" priority="323" operator="between">
      <formula>70.001%</formula>
      <formula>100%</formula>
    </cfRule>
    <cfRule type="cellIs" dxfId="7431" priority="324" operator="between">
      <formula>0.00001%</formula>
      <formula>70%</formula>
    </cfRule>
    <cfRule type="cellIs" dxfId="7430" priority="325" operator="equal">
      <formula>0%</formula>
    </cfRule>
  </conditionalFormatting>
  <conditionalFormatting sqref="T11:T22 T41:T43 T45 T26:T36">
    <cfRule type="cellIs" dxfId="7429" priority="316" operator="greaterThan">
      <formula>110%</formula>
    </cfRule>
    <cfRule type="cellIs" dxfId="7428" priority="317" operator="between">
      <formula>100.001%</formula>
      <formula>110%</formula>
    </cfRule>
    <cfRule type="cellIs" dxfId="7427" priority="318" operator="between">
      <formula>70.001%</formula>
      <formula>100%</formula>
    </cfRule>
    <cfRule type="cellIs" dxfId="7426" priority="319" operator="between">
      <formula>0.00001%</formula>
      <formula>70%</formula>
    </cfRule>
    <cfRule type="cellIs" dxfId="7425" priority="320" operator="equal">
      <formula>0%</formula>
    </cfRule>
  </conditionalFormatting>
  <conditionalFormatting sqref="W11:W22 W41:W43 W45 W26:W36">
    <cfRule type="cellIs" dxfId="7424" priority="311" operator="greaterThan">
      <formula>110%</formula>
    </cfRule>
    <cfRule type="cellIs" dxfId="7423" priority="312" operator="between">
      <formula>100.001%</formula>
      <formula>110%</formula>
    </cfRule>
    <cfRule type="cellIs" dxfId="7422" priority="313" operator="between">
      <formula>70.001%</formula>
      <formula>100%</formula>
    </cfRule>
    <cfRule type="cellIs" dxfId="7421" priority="314" operator="between">
      <formula>0.00001%</formula>
      <formula>70%</formula>
    </cfRule>
    <cfRule type="cellIs" dxfId="7420" priority="315" operator="equal">
      <formula>0%</formula>
    </cfRule>
  </conditionalFormatting>
  <conditionalFormatting sqref="Z11:Z22 Z41:Z43 Z45 Z26:Z36">
    <cfRule type="cellIs" dxfId="7419" priority="306" operator="greaterThan">
      <formula>110%</formula>
    </cfRule>
    <cfRule type="cellIs" dxfId="7418" priority="307" operator="between">
      <formula>100.001%</formula>
      <formula>110%</formula>
    </cfRule>
    <cfRule type="cellIs" dxfId="7417" priority="308" operator="between">
      <formula>70.001%</formula>
      <formula>100%</formula>
    </cfRule>
    <cfRule type="cellIs" dxfId="7416" priority="309" operator="between">
      <formula>0.00001%</formula>
      <formula>70%</formula>
    </cfRule>
    <cfRule type="cellIs" dxfId="7415" priority="310" operator="equal">
      <formula>0%</formula>
    </cfRule>
  </conditionalFormatting>
  <conditionalFormatting sqref="AC11:AC22 AC41:AC43 AC45 AC26:AC36">
    <cfRule type="cellIs" dxfId="7414" priority="301" operator="greaterThan">
      <formula>110%</formula>
    </cfRule>
    <cfRule type="cellIs" dxfId="7413" priority="302" operator="between">
      <formula>100.001%</formula>
      <formula>110%</formula>
    </cfRule>
    <cfRule type="cellIs" dxfId="7412" priority="303" operator="between">
      <formula>70.001%</formula>
      <formula>100%</formula>
    </cfRule>
    <cfRule type="cellIs" dxfId="7411" priority="304" operator="between">
      <formula>0.00001%</formula>
      <formula>70%</formula>
    </cfRule>
    <cfRule type="cellIs" dxfId="7410" priority="305" operator="equal">
      <formula>0%</formula>
    </cfRule>
  </conditionalFormatting>
  <conditionalFormatting sqref="AE11:AE22 AE41:AE43 AE45 AE26:AE36">
    <cfRule type="cellIs" dxfId="7409" priority="296" operator="greaterThan">
      <formula>110%</formula>
    </cfRule>
    <cfRule type="cellIs" dxfId="7408" priority="297" operator="between">
      <formula>100.001%</formula>
      <formula>110%</formula>
    </cfRule>
    <cfRule type="cellIs" dxfId="7407" priority="298" operator="between">
      <formula>70.001%</formula>
      <formula>100%</formula>
    </cfRule>
    <cfRule type="cellIs" dxfId="7406" priority="299" operator="between">
      <formula>0.00001%</formula>
      <formula>70%</formula>
    </cfRule>
    <cfRule type="cellIs" dxfId="7405" priority="300" operator="equal">
      <formula>0%</formula>
    </cfRule>
  </conditionalFormatting>
  <conditionalFormatting sqref="AH11:AH22 AH41:AH43 AH45 AH26:AH36">
    <cfRule type="cellIs" dxfId="7404" priority="291" operator="greaterThan">
      <formula>110%</formula>
    </cfRule>
    <cfRule type="cellIs" dxfId="7403" priority="292" operator="between">
      <formula>100.001%</formula>
      <formula>110%</formula>
    </cfRule>
    <cfRule type="cellIs" dxfId="7402" priority="293" operator="between">
      <formula>70.001%</formula>
      <formula>100%</formula>
    </cfRule>
    <cfRule type="cellIs" dxfId="7401" priority="294" operator="between">
      <formula>0.00001%</formula>
      <formula>70%</formula>
    </cfRule>
    <cfRule type="cellIs" dxfId="7400" priority="295" operator="equal">
      <formula>0%</formula>
    </cfRule>
  </conditionalFormatting>
  <conditionalFormatting sqref="AK11:AK22 AK41:AK43 AK45 AK26:AK36">
    <cfRule type="cellIs" dxfId="7399" priority="286" operator="greaterThan">
      <formula>110%</formula>
    </cfRule>
    <cfRule type="cellIs" dxfId="7398" priority="287" operator="between">
      <formula>100.001%</formula>
      <formula>110%</formula>
    </cfRule>
    <cfRule type="cellIs" dxfId="7397" priority="288" operator="between">
      <formula>70.001%</formula>
      <formula>100%</formula>
    </cfRule>
    <cfRule type="cellIs" dxfId="7396" priority="289" operator="between">
      <formula>0.00001%</formula>
      <formula>70%</formula>
    </cfRule>
    <cfRule type="cellIs" dxfId="7395" priority="290" operator="equal">
      <formula>0%</formula>
    </cfRule>
  </conditionalFormatting>
  <conditionalFormatting sqref="AN11:AN22 AN41:AN43 AN45 AN26:AN36">
    <cfRule type="cellIs" dxfId="7394" priority="281" operator="greaterThan">
      <formula>110%</formula>
    </cfRule>
    <cfRule type="cellIs" dxfId="7393" priority="282" operator="between">
      <formula>100.001%</formula>
      <formula>110%</formula>
    </cfRule>
    <cfRule type="cellIs" dxfId="7392" priority="283" operator="between">
      <formula>70.001%</formula>
      <formula>100%</formula>
    </cfRule>
    <cfRule type="cellIs" dxfId="7391" priority="284" operator="between">
      <formula>0.00001%</formula>
      <formula>70%</formula>
    </cfRule>
    <cfRule type="cellIs" dxfId="7390" priority="285" operator="equal">
      <formula>0%</formula>
    </cfRule>
  </conditionalFormatting>
  <conditionalFormatting sqref="AQ11:AQ22 AQ41:AQ43 AQ45 AQ26:AQ36">
    <cfRule type="cellIs" dxfId="7389" priority="276" operator="greaterThan">
      <formula>110%</formula>
    </cfRule>
    <cfRule type="cellIs" dxfId="7388" priority="277" operator="between">
      <formula>100.001%</formula>
      <formula>110%</formula>
    </cfRule>
    <cfRule type="cellIs" dxfId="7387" priority="278" operator="between">
      <formula>70.001%</formula>
      <formula>100%</formula>
    </cfRule>
    <cfRule type="cellIs" dxfId="7386" priority="279" operator="between">
      <formula>0.00001%</formula>
      <formula>70%</formula>
    </cfRule>
    <cfRule type="cellIs" dxfId="7385" priority="280" operator="equal">
      <formula>0%</formula>
    </cfRule>
  </conditionalFormatting>
  <conditionalFormatting sqref="AT11:AT22 AT41:AT43 AT45 AT39 AT26:AT37">
    <cfRule type="cellIs" dxfId="7384" priority="271" operator="greaterThan">
      <formula>110%</formula>
    </cfRule>
    <cfRule type="cellIs" dxfId="7383" priority="272" operator="between">
      <formula>100.001%</formula>
      <formula>110%</formula>
    </cfRule>
    <cfRule type="cellIs" dxfId="7382" priority="273" operator="between">
      <formula>70.001%</formula>
      <formula>100%</formula>
    </cfRule>
    <cfRule type="cellIs" dxfId="7381" priority="274" operator="between">
      <formula>0.00001%</formula>
      <formula>70%</formula>
    </cfRule>
    <cfRule type="cellIs" dxfId="7380" priority="275" operator="equal">
      <formula>0%</formula>
    </cfRule>
  </conditionalFormatting>
  <conditionalFormatting sqref="AW41:AW43 AW45 AW39 AW9:AW26 AW34:AW37">
    <cfRule type="cellIs" dxfId="7379" priority="266" operator="greaterThan">
      <formula>110%</formula>
    </cfRule>
    <cfRule type="cellIs" dxfId="7378" priority="267" operator="between">
      <formula>100.001%</formula>
      <formula>110%</formula>
    </cfRule>
    <cfRule type="cellIs" dxfId="7377" priority="268" operator="between">
      <formula>70.001%</formula>
      <formula>100%</formula>
    </cfRule>
    <cfRule type="cellIs" dxfId="7376" priority="269" operator="between">
      <formula>0.00001%</formula>
      <formula>70%</formula>
    </cfRule>
    <cfRule type="cellIs" dxfId="7375" priority="270" operator="equal">
      <formula>0%</formula>
    </cfRule>
  </conditionalFormatting>
  <conditionalFormatting sqref="AY9:AY26 AY41:AY43 AY45 AY39 AY34:AY37">
    <cfRule type="cellIs" dxfId="7374" priority="261" operator="greaterThan">
      <formula>110%</formula>
    </cfRule>
    <cfRule type="cellIs" dxfId="7373" priority="262" operator="between">
      <formula>100.001%</formula>
      <formula>110%</formula>
    </cfRule>
    <cfRule type="cellIs" dxfId="7372" priority="263" operator="between">
      <formula>70.001%</formula>
      <formula>100%</formula>
    </cfRule>
    <cfRule type="cellIs" dxfId="7371" priority="264" operator="between">
      <formula>0.00001%</formula>
      <formula>70%</formula>
    </cfRule>
    <cfRule type="cellIs" dxfId="7370" priority="265" operator="equal">
      <formula>0%</formula>
    </cfRule>
  </conditionalFormatting>
  <conditionalFormatting sqref="AT38">
    <cfRule type="cellIs" dxfId="7369" priority="256" operator="greaterThan">
      <formula>110%</formula>
    </cfRule>
    <cfRule type="cellIs" dxfId="7368" priority="257" operator="between">
      <formula>100.001%</formula>
      <formula>110%</formula>
    </cfRule>
    <cfRule type="cellIs" dxfId="7367" priority="258" operator="between">
      <formula>70.001%</formula>
      <formula>100%</formula>
    </cfRule>
    <cfRule type="cellIs" dxfId="7366" priority="259" operator="between">
      <formula>0.00001%</formula>
      <formula>70%</formula>
    </cfRule>
    <cfRule type="cellIs" dxfId="7365" priority="260" operator="equal">
      <formula>0%</formula>
    </cfRule>
  </conditionalFormatting>
  <conditionalFormatting sqref="AW38">
    <cfRule type="cellIs" dxfId="7364" priority="251" operator="greaterThan">
      <formula>110%</formula>
    </cfRule>
    <cfRule type="cellIs" dxfId="7363" priority="252" operator="between">
      <formula>100.001%</formula>
      <formula>110%</formula>
    </cfRule>
    <cfRule type="cellIs" dxfId="7362" priority="253" operator="between">
      <formula>70.001%</formula>
      <formula>100%</formula>
    </cfRule>
    <cfRule type="cellIs" dxfId="7361" priority="254" operator="between">
      <formula>0.00001%</formula>
      <formula>70%</formula>
    </cfRule>
    <cfRule type="cellIs" dxfId="7360" priority="255" operator="equal">
      <formula>0%</formula>
    </cfRule>
  </conditionalFormatting>
  <conditionalFormatting sqref="AY38">
    <cfRule type="cellIs" dxfId="7359" priority="246" operator="greaterThan">
      <formula>110%</formula>
    </cfRule>
    <cfRule type="cellIs" dxfId="7358" priority="247" operator="between">
      <formula>100.001%</formula>
      <formula>110%</formula>
    </cfRule>
    <cfRule type="cellIs" dxfId="7357" priority="248" operator="between">
      <formula>70.001%</formula>
      <formula>100%</formula>
    </cfRule>
    <cfRule type="cellIs" dxfId="7356" priority="249" operator="between">
      <formula>0.00001%</formula>
      <formula>70%</formula>
    </cfRule>
    <cfRule type="cellIs" dxfId="7355" priority="250" operator="equal">
      <formula>0%</formula>
    </cfRule>
  </conditionalFormatting>
  <conditionalFormatting sqref="N37 N39">
    <cfRule type="cellIs" dxfId="7354" priority="241" operator="greaterThan">
      <formula>110%</formula>
    </cfRule>
    <cfRule type="cellIs" dxfId="7353" priority="242" operator="between">
      <formula>100.001%</formula>
      <formula>110%</formula>
    </cfRule>
    <cfRule type="cellIs" dxfId="7352" priority="243" operator="between">
      <formula>70.001%</formula>
      <formula>100%</formula>
    </cfRule>
    <cfRule type="cellIs" dxfId="7351" priority="244" operator="between">
      <formula>0.00001%</formula>
      <formula>70%</formula>
    </cfRule>
    <cfRule type="cellIs" dxfId="7350" priority="245" operator="equal">
      <formula>0%</formula>
    </cfRule>
  </conditionalFormatting>
  <conditionalFormatting sqref="Q37 Q39">
    <cfRule type="cellIs" dxfId="7349" priority="236" operator="greaterThan">
      <formula>110%</formula>
    </cfRule>
    <cfRule type="cellIs" dxfId="7348" priority="237" operator="between">
      <formula>100.001%</formula>
      <formula>110%</formula>
    </cfRule>
    <cfRule type="cellIs" dxfId="7347" priority="238" operator="between">
      <formula>70.001%</formula>
      <formula>100%</formula>
    </cfRule>
    <cfRule type="cellIs" dxfId="7346" priority="239" operator="between">
      <formula>0.00001%</formula>
      <formula>70%</formula>
    </cfRule>
    <cfRule type="cellIs" dxfId="7345" priority="240" operator="equal">
      <formula>0%</formula>
    </cfRule>
  </conditionalFormatting>
  <conditionalFormatting sqref="T37 T39">
    <cfRule type="cellIs" dxfId="7344" priority="231" operator="greaterThan">
      <formula>110%</formula>
    </cfRule>
    <cfRule type="cellIs" dxfId="7343" priority="232" operator="between">
      <formula>100.001%</formula>
      <formula>110%</formula>
    </cfRule>
    <cfRule type="cellIs" dxfId="7342" priority="233" operator="between">
      <formula>70.001%</formula>
      <formula>100%</formula>
    </cfRule>
    <cfRule type="cellIs" dxfId="7341" priority="234" operator="between">
      <formula>0.00001%</formula>
      <formula>70%</formula>
    </cfRule>
    <cfRule type="cellIs" dxfId="7340" priority="235" operator="equal">
      <formula>0%</formula>
    </cfRule>
  </conditionalFormatting>
  <conditionalFormatting sqref="W37 W39">
    <cfRule type="cellIs" dxfId="7339" priority="226" operator="greaterThan">
      <formula>110%</formula>
    </cfRule>
    <cfRule type="cellIs" dxfId="7338" priority="227" operator="between">
      <formula>100.001%</formula>
      <formula>110%</formula>
    </cfRule>
    <cfRule type="cellIs" dxfId="7337" priority="228" operator="between">
      <formula>70.001%</formula>
      <formula>100%</formula>
    </cfRule>
    <cfRule type="cellIs" dxfId="7336" priority="229" operator="between">
      <formula>0.00001%</formula>
      <formula>70%</formula>
    </cfRule>
    <cfRule type="cellIs" dxfId="7335" priority="230" operator="equal">
      <formula>0%</formula>
    </cfRule>
  </conditionalFormatting>
  <conditionalFormatting sqref="Z37 Z39">
    <cfRule type="cellIs" dxfId="7334" priority="221" operator="greaterThan">
      <formula>110%</formula>
    </cfRule>
    <cfRule type="cellIs" dxfId="7333" priority="222" operator="between">
      <formula>100.001%</formula>
      <formula>110%</formula>
    </cfRule>
    <cfRule type="cellIs" dxfId="7332" priority="223" operator="between">
      <formula>70.001%</formula>
      <formula>100%</formula>
    </cfRule>
    <cfRule type="cellIs" dxfId="7331" priority="224" operator="between">
      <formula>0.00001%</formula>
      <formula>70%</formula>
    </cfRule>
    <cfRule type="cellIs" dxfId="7330" priority="225" operator="equal">
      <formula>0%</formula>
    </cfRule>
  </conditionalFormatting>
  <conditionalFormatting sqref="AC37 AC39">
    <cfRule type="cellIs" dxfId="7329" priority="216" operator="greaterThan">
      <formula>110%</formula>
    </cfRule>
    <cfRule type="cellIs" dxfId="7328" priority="217" operator="between">
      <formula>100.001%</formula>
      <formula>110%</formula>
    </cfRule>
    <cfRule type="cellIs" dxfId="7327" priority="218" operator="between">
      <formula>70.001%</formula>
      <formula>100%</formula>
    </cfRule>
    <cfRule type="cellIs" dxfId="7326" priority="219" operator="between">
      <formula>0.00001%</formula>
      <formula>70%</formula>
    </cfRule>
    <cfRule type="cellIs" dxfId="7325" priority="220" operator="equal">
      <formula>0%</formula>
    </cfRule>
  </conditionalFormatting>
  <conditionalFormatting sqref="AE37 AE39">
    <cfRule type="cellIs" dxfId="7324" priority="211" operator="greaterThan">
      <formula>110%</formula>
    </cfRule>
    <cfRule type="cellIs" dxfId="7323" priority="212" operator="between">
      <formula>100.001%</formula>
      <formula>110%</formula>
    </cfRule>
    <cfRule type="cellIs" dxfId="7322" priority="213" operator="between">
      <formula>70.001%</formula>
      <formula>100%</formula>
    </cfRule>
    <cfRule type="cellIs" dxfId="7321" priority="214" operator="between">
      <formula>0.00001%</formula>
      <formula>70%</formula>
    </cfRule>
    <cfRule type="cellIs" dxfId="7320" priority="215" operator="equal">
      <formula>0%</formula>
    </cfRule>
  </conditionalFormatting>
  <conditionalFormatting sqref="AH37 AH39">
    <cfRule type="cellIs" dxfId="7319" priority="206" operator="greaterThan">
      <formula>110%</formula>
    </cfRule>
    <cfRule type="cellIs" dxfId="7318" priority="207" operator="between">
      <formula>100.001%</formula>
      <formula>110%</formula>
    </cfRule>
    <cfRule type="cellIs" dxfId="7317" priority="208" operator="between">
      <formula>70.001%</formula>
      <formula>100%</formula>
    </cfRule>
    <cfRule type="cellIs" dxfId="7316" priority="209" operator="between">
      <formula>0.00001%</formula>
      <formula>70%</formula>
    </cfRule>
    <cfRule type="cellIs" dxfId="7315" priority="210" operator="equal">
      <formula>0%</formula>
    </cfRule>
  </conditionalFormatting>
  <conditionalFormatting sqref="AK37 AK39">
    <cfRule type="cellIs" dxfId="7314" priority="201" operator="greaterThan">
      <formula>110%</formula>
    </cfRule>
    <cfRule type="cellIs" dxfId="7313" priority="202" operator="between">
      <formula>100.001%</formula>
      <formula>110%</formula>
    </cfRule>
    <cfRule type="cellIs" dxfId="7312" priority="203" operator="between">
      <formula>70.001%</formula>
      <formula>100%</formula>
    </cfRule>
    <cfRule type="cellIs" dxfId="7311" priority="204" operator="between">
      <formula>0.00001%</formula>
      <formula>70%</formula>
    </cfRule>
    <cfRule type="cellIs" dxfId="7310" priority="205" operator="equal">
      <formula>0%</formula>
    </cfRule>
  </conditionalFormatting>
  <conditionalFormatting sqref="AN37 AN39">
    <cfRule type="cellIs" dxfId="7309" priority="196" operator="greaterThan">
      <formula>110%</formula>
    </cfRule>
    <cfRule type="cellIs" dxfId="7308" priority="197" operator="between">
      <formula>100.001%</formula>
      <formula>110%</formula>
    </cfRule>
    <cfRule type="cellIs" dxfId="7307" priority="198" operator="between">
      <formula>70.001%</formula>
      <formula>100%</formula>
    </cfRule>
    <cfRule type="cellIs" dxfId="7306" priority="199" operator="between">
      <formula>0.00001%</formula>
      <formula>70%</formula>
    </cfRule>
    <cfRule type="cellIs" dxfId="7305" priority="200" operator="equal">
      <formula>0%</formula>
    </cfRule>
  </conditionalFormatting>
  <conditionalFormatting sqref="AQ37 AQ39">
    <cfRule type="cellIs" dxfId="7304" priority="191" operator="greaterThan">
      <formula>110%</formula>
    </cfRule>
    <cfRule type="cellIs" dxfId="7303" priority="192" operator="between">
      <formula>100.001%</formula>
      <formula>110%</formula>
    </cfRule>
    <cfRule type="cellIs" dxfId="7302" priority="193" operator="between">
      <formula>70.001%</formula>
      <formula>100%</formula>
    </cfRule>
    <cfRule type="cellIs" dxfId="7301" priority="194" operator="between">
      <formula>0.00001%</formula>
      <formula>70%</formula>
    </cfRule>
    <cfRule type="cellIs" dxfId="7300" priority="195" operator="equal">
      <formula>0%</formula>
    </cfRule>
  </conditionalFormatting>
  <conditionalFormatting sqref="N38">
    <cfRule type="cellIs" dxfId="7299" priority="186" operator="greaterThan">
      <formula>110%</formula>
    </cfRule>
    <cfRule type="cellIs" dxfId="7298" priority="187" operator="between">
      <formula>100.001%</formula>
      <formula>110%</formula>
    </cfRule>
    <cfRule type="cellIs" dxfId="7297" priority="188" operator="between">
      <formula>70.001%</formula>
      <formula>100%</formula>
    </cfRule>
    <cfRule type="cellIs" dxfId="7296" priority="189" operator="between">
      <formula>0.00001%</formula>
      <formula>70%</formula>
    </cfRule>
    <cfRule type="cellIs" dxfId="7295" priority="190" operator="equal">
      <formula>0%</formula>
    </cfRule>
  </conditionalFormatting>
  <conditionalFormatting sqref="Q38">
    <cfRule type="cellIs" dxfId="7294" priority="181" operator="greaterThan">
      <formula>110%</formula>
    </cfRule>
    <cfRule type="cellIs" dxfId="7293" priority="182" operator="between">
      <formula>100.001%</formula>
      <formula>110%</formula>
    </cfRule>
    <cfRule type="cellIs" dxfId="7292" priority="183" operator="between">
      <formula>70.001%</formula>
      <formula>100%</formula>
    </cfRule>
    <cfRule type="cellIs" dxfId="7291" priority="184" operator="between">
      <formula>0.00001%</formula>
      <formula>70%</formula>
    </cfRule>
    <cfRule type="cellIs" dxfId="7290" priority="185" operator="equal">
      <formula>0%</formula>
    </cfRule>
  </conditionalFormatting>
  <conditionalFormatting sqref="T38">
    <cfRule type="cellIs" dxfId="7289" priority="176" operator="greaterThan">
      <formula>110%</formula>
    </cfRule>
    <cfRule type="cellIs" dxfId="7288" priority="177" operator="between">
      <formula>100.001%</formula>
      <formula>110%</formula>
    </cfRule>
    <cfRule type="cellIs" dxfId="7287" priority="178" operator="between">
      <formula>70.001%</formula>
      <formula>100%</formula>
    </cfRule>
    <cfRule type="cellIs" dxfId="7286" priority="179" operator="between">
      <formula>0.00001%</formula>
      <formula>70%</formula>
    </cfRule>
    <cfRule type="cellIs" dxfId="7285" priority="180" operator="equal">
      <formula>0%</formula>
    </cfRule>
  </conditionalFormatting>
  <conditionalFormatting sqref="W38">
    <cfRule type="cellIs" dxfId="7284" priority="171" operator="greaterThan">
      <formula>110%</formula>
    </cfRule>
    <cfRule type="cellIs" dxfId="7283" priority="172" operator="between">
      <formula>100.001%</formula>
      <formula>110%</formula>
    </cfRule>
    <cfRule type="cellIs" dxfId="7282" priority="173" operator="between">
      <formula>70.001%</formula>
      <formula>100%</formula>
    </cfRule>
    <cfRule type="cellIs" dxfId="7281" priority="174" operator="between">
      <formula>0.00001%</formula>
      <formula>70%</formula>
    </cfRule>
    <cfRule type="cellIs" dxfId="7280" priority="175" operator="equal">
      <formula>0%</formula>
    </cfRule>
  </conditionalFormatting>
  <conditionalFormatting sqref="Z38">
    <cfRule type="cellIs" dxfId="7279" priority="166" operator="greaterThan">
      <formula>110%</formula>
    </cfRule>
    <cfRule type="cellIs" dxfId="7278" priority="167" operator="between">
      <formula>100.001%</formula>
      <formula>110%</formula>
    </cfRule>
    <cfRule type="cellIs" dxfId="7277" priority="168" operator="between">
      <formula>70.001%</formula>
      <formula>100%</formula>
    </cfRule>
    <cfRule type="cellIs" dxfId="7276" priority="169" operator="between">
      <formula>0.00001%</formula>
      <formula>70%</formula>
    </cfRule>
    <cfRule type="cellIs" dxfId="7275" priority="170" operator="equal">
      <formula>0%</formula>
    </cfRule>
  </conditionalFormatting>
  <conditionalFormatting sqref="AC38">
    <cfRule type="cellIs" dxfId="7274" priority="161" operator="greaterThan">
      <formula>110%</formula>
    </cfRule>
    <cfRule type="cellIs" dxfId="7273" priority="162" operator="between">
      <formula>100.001%</formula>
      <formula>110%</formula>
    </cfRule>
    <cfRule type="cellIs" dxfId="7272" priority="163" operator="between">
      <formula>70.001%</formula>
      <formula>100%</formula>
    </cfRule>
    <cfRule type="cellIs" dxfId="7271" priority="164" operator="between">
      <formula>0.00001%</formula>
      <formula>70%</formula>
    </cfRule>
    <cfRule type="cellIs" dxfId="7270" priority="165" operator="equal">
      <formula>0%</formula>
    </cfRule>
  </conditionalFormatting>
  <conditionalFormatting sqref="AE38">
    <cfRule type="cellIs" dxfId="7269" priority="156" operator="greaterThan">
      <formula>110%</formula>
    </cfRule>
    <cfRule type="cellIs" dxfId="7268" priority="157" operator="between">
      <formula>100.001%</formula>
      <formula>110%</formula>
    </cfRule>
    <cfRule type="cellIs" dxfId="7267" priority="158" operator="between">
      <formula>70.001%</formula>
      <formula>100%</formula>
    </cfRule>
    <cfRule type="cellIs" dxfId="7266" priority="159" operator="between">
      <formula>0.00001%</formula>
      <formula>70%</formula>
    </cfRule>
    <cfRule type="cellIs" dxfId="7265" priority="160" operator="equal">
      <formula>0%</formula>
    </cfRule>
  </conditionalFormatting>
  <conditionalFormatting sqref="AH38">
    <cfRule type="cellIs" dxfId="7264" priority="151" operator="greaterThan">
      <formula>110%</formula>
    </cfRule>
    <cfRule type="cellIs" dxfId="7263" priority="152" operator="between">
      <formula>100.001%</formula>
      <formula>110%</formula>
    </cfRule>
    <cfRule type="cellIs" dxfId="7262" priority="153" operator="between">
      <formula>70.001%</formula>
      <formula>100%</formula>
    </cfRule>
    <cfRule type="cellIs" dxfId="7261" priority="154" operator="between">
      <formula>0.00001%</formula>
      <formula>70%</formula>
    </cfRule>
    <cfRule type="cellIs" dxfId="7260" priority="155" operator="equal">
      <formula>0%</formula>
    </cfRule>
  </conditionalFormatting>
  <conditionalFormatting sqref="AK38">
    <cfRule type="cellIs" dxfId="7259" priority="146" operator="greaterThan">
      <formula>110%</formula>
    </cfRule>
    <cfRule type="cellIs" dxfId="7258" priority="147" operator="between">
      <formula>100.001%</formula>
      <formula>110%</formula>
    </cfRule>
    <cfRule type="cellIs" dxfId="7257" priority="148" operator="between">
      <formula>70.001%</formula>
      <formula>100%</formula>
    </cfRule>
    <cfRule type="cellIs" dxfId="7256" priority="149" operator="between">
      <formula>0.00001%</formula>
      <formula>70%</formula>
    </cfRule>
    <cfRule type="cellIs" dxfId="7255" priority="150" operator="equal">
      <formula>0%</formula>
    </cfRule>
  </conditionalFormatting>
  <conditionalFormatting sqref="AN38">
    <cfRule type="cellIs" dxfId="7254" priority="141" operator="greaterThan">
      <formula>110%</formula>
    </cfRule>
    <cfRule type="cellIs" dxfId="7253" priority="142" operator="between">
      <formula>100.001%</formula>
      <formula>110%</formula>
    </cfRule>
    <cfRule type="cellIs" dxfId="7252" priority="143" operator="between">
      <formula>70.001%</formula>
      <formula>100%</formula>
    </cfRule>
    <cfRule type="cellIs" dxfId="7251" priority="144" operator="between">
      <formula>0.00001%</formula>
      <formula>70%</formula>
    </cfRule>
    <cfRule type="cellIs" dxfId="7250" priority="145" operator="equal">
      <formula>0%</formula>
    </cfRule>
  </conditionalFormatting>
  <conditionalFormatting sqref="AQ38">
    <cfRule type="cellIs" dxfId="7249" priority="136" operator="greaterThan">
      <formula>110%</formula>
    </cfRule>
    <cfRule type="cellIs" dxfId="7248" priority="137" operator="between">
      <formula>100.001%</formula>
      <formula>110%</formula>
    </cfRule>
    <cfRule type="cellIs" dxfId="7247" priority="138" operator="between">
      <formula>70.001%</formula>
      <formula>100%</formula>
    </cfRule>
    <cfRule type="cellIs" dxfId="7246" priority="139" operator="between">
      <formula>0.00001%</formula>
      <formula>70%</formula>
    </cfRule>
    <cfRule type="cellIs" dxfId="7245" priority="140" operator="equal">
      <formula>0%</formula>
    </cfRule>
  </conditionalFormatting>
  <conditionalFormatting sqref="N9">
    <cfRule type="cellIs" dxfId="7244" priority="131" operator="greaterThan">
      <formula>110%</formula>
    </cfRule>
    <cfRule type="cellIs" dxfId="7243" priority="132" operator="between">
      <formula>100.001%</formula>
      <formula>110%</formula>
    </cfRule>
    <cfRule type="cellIs" dxfId="7242" priority="133" operator="between">
      <formula>70.001%</formula>
      <formula>100%</formula>
    </cfRule>
    <cfRule type="cellIs" dxfId="7241" priority="134" operator="between">
      <formula>0.00001%</formula>
      <formula>70%</formula>
    </cfRule>
    <cfRule type="cellIs" dxfId="7240" priority="135" operator="equal">
      <formula>0%</formula>
    </cfRule>
  </conditionalFormatting>
  <conditionalFormatting sqref="N10">
    <cfRule type="cellIs" dxfId="7239" priority="126" operator="greaterThan">
      <formula>110%</formula>
    </cfRule>
    <cfRule type="cellIs" dxfId="7238" priority="127" operator="between">
      <formula>100.001%</formula>
      <formula>110%</formula>
    </cfRule>
    <cfRule type="cellIs" dxfId="7237" priority="128" operator="between">
      <formula>70.001%</formula>
      <formula>100%</formula>
    </cfRule>
    <cfRule type="cellIs" dxfId="7236" priority="129" operator="between">
      <formula>0.00001%</formula>
      <formula>70%</formula>
    </cfRule>
    <cfRule type="cellIs" dxfId="7235" priority="130" operator="equal">
      <formula>0%</formula>
    </cfRule>
  </conditionalFormatting>
  <conditionalFormatting sqref="Q9:Q10">
    <cfRule type="cellIs" dxfId="7234" priority="121" operator="greaterThan">
      <formula>110%</formula>
    </cfRule>
    <cfRule type="cellIs" dxfId="7233" priority="122" operator="between">
      <formula>100.001%</formula>
      <formula>110%</formula>
    </cfRule>
    <cfRule type="cellIs" dxfId="7232" priority="123" operator="between">
      <formula>70.001%</formula>
      <formula>100%</formula>
    </cfRule>
    <cfRule type="cellIs" dxfId="7231" priority="124" operator="between">
      <formula>0.00001%</formula>
      <formula>70%</formula>
    </cfRule>
    <cfRule type="cellIs" dxfId="7230" priority="125" operator="equal">
      <formula>0%</formula>
    </cfRule>
  </conditionalFormatting>
  <conditionalFormatting sqref="T9:T10">
    <cfRule type="cellIs" dxfId="7229" priority="116" operator="greaterThan">
      <formula>110%</formula>
    </cfRule>
    <cfRule type="cellIs" dxfId="7228" priority="117" operator="between">
      <formula>100.001%</formula>
      <formula>110%</formula>
    </cfRule>
    <cfRule type="cellIs" dxfId="7227" priority="118" operator="between">
      <formula>70.001%</formula>
      <formula>100%</formula>
    </cfRule>
    <cfRule type="cellIs" dxfId="7226" priority="119" operator="between">
      <formula>0.00001%</formula>
      <formula>70%</formula>
    </cfRule>
    <cfRule type="cellIs" dxfId="7225" priority="120" operator="equal">
      <formula>0%</formula>
    </cfRule>
  </conditionalFormatting>
  <conditionalFormatting sqref="W9:W10">
    <cfRule type="cellIs" dxfId="7224" priority="111" operator="greaterThan">
      <formula>110%</formula>
    </cfRule>
    <cfRule type="cellIs" dxfId="7223" priority="112" operator="between">
      <formula>100.001%</formula>
      <formula>110%</formula>
    </cfRule>
    <cfRule type="cellIs" dxfId="7222" priority="113" operator="between">
      <formula>70.001%</formula>
      <formula>100%</formula>
    </cfRule>
    <cfRule type="cellIs" dxfId="7221" priority="114" operator="between">
      <formula>0.00001%</formula>
      <formula>70%</formula>
    </cfRule>
    <cfRule type="cellIs" dxfId="7220" priority="115" operator="equal">
      <formula>0%</formula>
    </cfRule>
  </conditionalFormatting>
  <conditionalFormatting sqref="Z9:Z10">
    <cfRule type="cellIs" dxfId="7219" priority="106" operator="greaterThan">
      <formula>110%</formula>
    </cfRule>
    <cfRule type="cellIs" dxfId="7218" priority="107" operator="between">
      <formula>100.001%</formula>
      <formula>110%</formula>
    </cfRule>
    <cfRule type="cellIs" dxfId="7217" priority="108" operator="between">
      <formula>70.001%</formula>
      <formula>100%</formula>
    </cfRule>
    <cfRule type="cellIs" dxfId="7216" priority="109" operator="between">
      <formula>0.00001%</formula>
      <formula>70%</formula>
    </cfRule>
    <cfRule type="cellIs" dxfId="7215" priority="110" operator="equal">
      <formula>0%</formula>
    </cfRule>
  </conditionalFormatting>
  <conditionalFormatting sqref="AC9:AC10">
    <cfRule type="cellIs" dxfId="7214" priority="101" operator="greaterThan">
      <formula>110%</formula>
    </cfRule>
    <cfRule type="cellIs" dxfId="7213" priority="102" operator="between">
      <formula>100.001%</formula>
      <formula>110%</formula>
    </cfRule>
    <cfRule type="cellIs" dxfId="7212" priority="103" operator="between">
      <formula>70.001%</formula>
      <formula>100%</formula>
    </cfRule>
    <cfRule type="cellIs" dxfId="7211" priority="104" operator="between">
      <formula>0.00001%</formula>
      <formula>70%</formula>
    </cfRule>
    <cfRule type="cellIs" dxfId="7210" priority="105" operator="equal">
      <formula>0%</formula>
    </cfRule>
  </conditionalFormatting>
  <conditionalFormatting sqref="AE9:AE10">
    <cfRule type="cellIs" dxfId="7209" priority="96" operator="greaterThan">
      <formula>110%</formula>
    </cfRule>
    <cfRule type="cellIs" dxfId="7208" priority="97" operator="between">
      <formula>100.001%</formula>
      <formula>110%</formula>
    </cfRule>
    <cfRule type="cellIs" dxfId="7207" priority="98" operator="between">
      <formula>70.001%</formula>
      <formula>100%</formula>
    </cfRule>
    <cfRule type="cellIs" dxfId="7206" priority="99" operator="between">
      <formula>0.00001%</formula>
      <formula>70%</formula>
    </cfRule>
    <cfRule type="cellIs" dxfId="7205" priority="100" operator="equal">
      <formula>0%</formula>
    </cfRule>
  </conditionalFormatting>
  <conditionalFormatting sqref="AH9:AH10">
    <cfRule type="cellIs" dxfId="7204" priority="91" operator="greaterThan">
      <formula>110%</formula>
    </cfRule>
    <cfRule type="cellIs" dxfId="7203" priority="92" operator="between">
      <formula>100.001%</formula>
      <formula>110%</formula>
    </cfRule>
    <cfRule type="cellIs" dxfId="7202" priority="93" operator="between">
      <formula>70.001%</formula>
      <formula>100%</formula>
    </cfRule>
    <cfRule type="cellIs" dxfId="7201" priority="94" operator="between">
      <formula>0.00001%</formula>
      <formula>70%</formula>
    </cfRule>
    <cfRule type="cellIs" dxfId="7200" priority="95" operator="equal">
      <formula>0%</formula>
    </cfRule>
  </conditionalFormatting>
  <conditionalFormatting sqref="AK9:AK10">
    <cfRule type="cellIs" dxfId="7199" priority="86" operator="greaterThan">
      <formula>110%</formula>
    </cfRule>
    <cfRule type="cellIs" dxfId="7198" priority="87" operator="between">
      <formula>100.001%</formula>
      <formula>110%</formula>
    </cfRule>
    <cfRule type="cellIs" dxfId="7197" priority="88" operator="between">
      <formula>70.001%</formula>
      <formula>100%</formula>
    </cfRule>
    <cfRule type="cellIs" dxfId="7196" priority="89" operator="between">
      <formula>0.00001%</formula>
      <formula>70%</formula>
    </cfRule>
    <cfRule type="cellIs" dxfId="7195" priority="90" operator="equal">
      <formula>0%</formula>
    </cfRule>
  </conditionalFormatting>
  <conditionalFormatting sqref="AN9:AN10">
    <cfRule type="cellIs" dxfId="7194" priority="81" operator="greaterThan">
      <formula>110%</formula>
    </cfRule>
    <cfRule type="cellIs" dxfId="7193" priority="82" operator="between">
      <formula>100.001%</formula>
      <formula>110%</formula>
    </cfRule>
    <cfRule type="cellIs" dxfId="7192" priority="83" operator="between">
      <formula>70.001%</formula>
      <formula>100%</formula>
    </cfRule>
    <cfRule type="cellIs" dxfId="7191" priority="84" operator="between">
      <formula>0.00001%</formula>
      <formula>70%</formula>
    </cfRule>
    <cfRule type="cellIs" dxfId="7190" priority="85" operator="equal">
      <formula>0%</formula>
    </cfRule>
  </conditionalFormatting>
  <conditionalFormatting sqref="AQ9:AQ10">
    <cfRule type="cellIs" dxfId="7189" priority="76" operator="greaterThan">
      <formula>110%</formula>
    </cfRule>
    <cfRule type="cellIs" dxfId="7188" priority="77" operator="between">
      <formula>100.001%</formula>
      <formula>110%</formula>
    </cfRule>
    <cfRule type="cellIs" dxfId="7187" priority="78" operator="between">
      <formula>70.001%</formula>
      <formula>100%</formula>
    </cfRule>
    <cfRule type="cellIs" dxfId="7186" priority="79" operator="between">
      <formula>0.00001%</formula>
      <formula>70%</formula>
    </cfRule>
    <cfRule type="cellIs" dxfId="7185" priority="80" operator="equal">
      <formula>0%</formula>
    </cfRule>
  </conditionalFormatting>
  <conditionalFormatting sqref="AT9:AT10">
    <cfRule type="cellIs" dxfId="7184" priority="71" operator="greaterThan">
      <formula>110%</formula>
    </cfRule>
    <cfRule type="cellIs" dxfId="7183" priority="72" operator="between">
      <formula>100.001%</formula>
      <formula>110%</formula>
    </cfRule>
    <cfRule type="cellIs" dxfId="7182" priority="73" operator="between">
      <formula>70.001%</formula>
      <formula>100%</formula>
    </cfRule>
    <cfRule type="cellIs" dxfId="7181" priority="74" operator="between">
      <formula>0.00001%</formula>
      <formula>70%</formula>
    </cfRule>
    <cfRule type="cellIs" dxfId="7180" priority="75" operator="equal">
      <formula>0%</formula>
    </cfRule>
  </conditionalFormatting>
  <conditionalFormatting sqref="N23:N25">
    <cfRule type="cellIs" dxfId="7179" priority="66" operator="greaterThan">
      <formula>110%</formula>
    </cfRule>
    <cfRule type="cellIs" dxfId="7178" priority="67" operator="between">
      <formula>100.001%</formula>
      <formula>110%</formula>
    </cfRule>
    <cfRule type="cellIs" dxfId="7177" priority="68" operator="between">
      <formula>70.001%</formula>
      <formula>100%</formula>
    </cfRule>
    <cfRule type="cellIs" dxfId="7176" priority="69" operator="between">
      <formula>0.00001%</formula>
      <formula>70%</formula>
    </cfRule>
    <cfRule type="cellIs" dxfId="7175" priority="70" operator="equal">
      <formula>0%</formula>
    </cfRule>
  </conditionalFormatting>
  <conditionalFormatting sqref="Q23:Q25">
    <cfRule type="cellIs" dxfId="7174" priority="61" operator="greaterThan">
      <formula>110%</formula>
    </cfRule>
    <cfRule type="cellIs" dxfId="7173" priority="62" operator="between">
      <formula>100.001%</formula>
      <formula>110%</formula>
    </cfRule>
    <cfRule type="cellIs" dxfId="7172" priority="63" operator="between">
      <formula>70.001%</formula>
      <formula>100%</formula>
    </cfRule>
    <cfRule type="cellIs" dxfId="7171" priority="64" operator="between">
      <formula>0.00001%</formula>
      <formula>70%</formula>
    </cfRule>
    <cfRule type="cellIs" dxfId="7170" priority="65" operator="equal">
      <formula>0%</formula>
    </cfRule>
  </conditionalFormatting>
  <conditionalFormatting sqref="T23:T25">
    <cfRule type="cellIs" dxfId="7169" priority="56" operator="greaterThan">
      <formula>110%</formula>
    </cfRule>
    <cfRule type="cellIs" dxfId="7168" priority="57" operator="between">
      <formula>100.001%</formula>
      <formula>110%</formula>
    </cfRule>
    <cfRule type="cellIs" dxfId="7167" priority="58" operator="between">
      <formula>70.001%</formula>
      <formula>100%</formula>
    </cfRule>
    <cfRule type="cellIs" dxfId="7166" priority="59" operator="between">
      <formula>0.00001%</formula>
      <formula>70%</formula>
    </cfRule>
    <cfRule type="cellIs" dxfId="7165" priority="60" operator="equal">
      <formula>0%</formula>
    </cfRule>
  </conditionalFormatting>
  <conditionalFormatting sqref="W23:W25">
    <cfRule type="cellIs" dxfId="7164" priority="51" operator="greaterThan">
      <formula>110%</formula>
    </cfRule>
    <cfRule type="cellIs" dxfId="7163" priority="52" operator="between">
      <formula>100.001%</formula>
      <formula>110%</formula>
    </cfRule>
    <cfRule type="cellIs" dxfId="7162" priority="53" operator="between">
      <formula>70.001%</formula>
      <formula>100%</formula>
    </cfRule>
    <cfRule type="cellIs" dxfId="7161" priority="54" operator="between">
      <formula>0.00001%</formula>
      <formula>70%</formula>
    </cfRule>
    <cfRule type="cellIs" dxfId="7160" priority="55" operator="equal">
      <formula>0%</formula>
    </cfRule>
  </conditionalFormatting>
  <conditionalFormatting sqref="Z23:Z25">
    <cfRule type="cellIs" dxfId="7159" priority="46" operator="greaterThan">
      <formula>110%</formula>
    </cfRule>
    <cfRule type="cellIs" dxfId="7158" priority="47" operator="between">
      <formula>100.001%</formula>
      <formula>110%</formula>
    </cfRule>
    <cfRule type="cellIs" dxfId="7157" priority="48" operator="between">
      <formula>70.001%</formula>
      <formula>100%</formula>
    </cfRule>
    <cfRule type="cellIs" dxfId="7156" priority="49" operator="between">
      <formula>0.00001%</formula>
      <formula>70%</formula>
    </cfRule>
    <cfRule type="cellIs" dxfId="7155" priority="50" operator="equal">
      <formula>0%</formula>
    </cfRule>
  </conditionalFormatting>
  <conditionalFormatting sqref="AC23:AC25">
    <cfRule type="cellIs" dxfId="7154" priority="41" operator="greaterThan">
      <formula>110%</formula>
    </cfRule>
    <cfRule type="cellIs" dxfId="7153" priority="42" operator="between">
      <formula>100.001%</formula>
      <formula>110%</formula>
    </cfRule>
    <cfRule type="cellIs" dxfId="7152" priority="43" operator="between">
      <formula>70.001%</formula>
      <formula>100%</formula>
    </cfRule>
    <cfRule type="cellIs" dxfId="7151" priority="44" operator="between">
      <formula>0.00001%</formula>
      <formula>70%</formula>
    </cfRule>
    <cfRule type="cellIs" dxfId="7150" priority="45" operator="equal">
      <formula>0%</formula>
    </cfRule>
  </conditionalFormatting>
  <conditionalFormatting sqref="AE23:AE25">
    <cfRule type="cellIs" dxfId="7149" priority="36" operator="greaterThan">
      <formula>110%</formula>
    </cfRule>
    <cfRule type="cellIs" dxfId="7148" priority="37" operator="between">
      <formula>100.001%</formula>
      <formula>110%</formula>
    </cfRule>
    <cfRule type="cellIs" dxfId="7147" priority="38" operator="between">
      <formula>70.001%</formula>
      <formula>100%</formula>
    </cfRule>
    <cfRule type="cellIs" dxfId="7146" priority="39" operator="between">
      <formula>0.00001%</formula>
      <formula>70%</formula>
    </cfRule>
    <cfRule type="cellIs" dxfId="7145" priority="40" operator="equal">
      <formula>0%</formula>
    </cfRule>
  </conditionalFormatting>
  <conditionalFormatting sqref="AH23:AH25">
    <cfRule type="cellIs" dxfId="7144" priority="31" operator="greaterThan">
      <formula>110%</formula>
    </cfRule>
    <cfRule type="cellIs" dxfId="7143" priority="32" operator="between">
      <formula>100.001%</formula>
      <formula>110%</formula>
    </cfRule>
    <cfRule type="cellIs" dxfId="7142" priority="33" operator="between">
      <formula>70.001%</formula>
      <formula>100%</formula>
    </cfRule>
    <cfRule type="cellIs" dxfId="7141" priority="34" operator="between">
      <formula>0.00001%</formula>
      <formula>70%</formula>
    </cfRule>
    <cfRule type="cellIs" dxfId="7140" priority="35" operator="equal">
      <formula>0%</formula>
    </cfRule>
  </conditionalFormatting>
  <conditionalFormatting sqref="AK23:AK25">
    <cfRule type="cellIs" dxfId="7139" priority="26" operator="greaterThan">
      <formula>110%</formula>
    </cfRule>
    <cfRule type="cellIs" dxfId="7138" priority="27" operator="between">
      <formula>100.001%</formula>
      <formula>110%</formula>
    </cfRule>
    <cfRule type="cellIs" dxfId="7137" priority="28" operator="between">
      <formula>70.001%</formula>
      <formula>100%</formula>
    </cfRule>
    <cfRule type="cellIs" dxfId="7136" priority="29" operator="between">
      <formula>0.00001%</formula>
      <formula>70%</formula>
    </cfRule>
    <cfRule type="cellIs" dxfId="7135" priority="30" operator="equal">
      <formula>0%</formula>
    </cfRule>
  </conditionalFormatting>
  <conditionalFormatting sqref="AN23:AN25">
    <cfRule type="cellIs" dxfId="7134" priority="21" operator="greaterThan">
      <formula>110%</formula>
    </cfRule>
    <cfRule type="cellIs" dxfId="7133" priority="22" operator="between">
      <formula>100.001%</formula>
      <formula>110%</formula>
    </cfRule>
    <cfRule type="cellIs" dxfId="7132" priority="23" operator="between">
      <formula>70.001%</formula>
      <formula>100%</formula>
    </cfRule>
    <cfRule type="cellIs" dxfId="7131" priority="24" operator="between">
      <formula>0.00001%</formula>
      <formula>70%</formula>
    </cfRule>
    <cfRule type="cellIs" dxfId="7130" priority="25" operator="equal">
      <formula>0%</formula>
    </cfRule>
  </conditionalFormatting>
  <conditionalFormatting sqref="AQ23:AQ25">
    <cfRule type="cellIs" dxfId="7129" priority="16" operator="greaterThan">
      <formula>110%</formula>
    </cfRule>
    <cfRule type="cellIs" dxfId="7128" priority="17" operator="between">
      <formula>100.001%</formula>
      <formula>110%</formula>
    </cfRule>
    <cfRule type="cellIs" dxfId="7127" priority="18" operator="between">
      <formula>70.001%</formula>
      <formula>100%</formula>
    </cfRule>
    <cfRule type="cellIs" dxfId="7126" priority="19" operator="between">
      <formula>0.00001%</formula>
      <formula>70%</formula>
    </cfRule>
    <cfRule type="cellIs" dxfId="7125" priority="20" operator="equal">
      <formula>0%</formula>
    </cfRule>
  </conditionalFormatting>
  <conditionalFormatting sqref="AT23:AT25">
    <cfRule type="cellIs" dxfId="7124" priority="11" operator="greaterThan">
      <formula>110%</formula>
    </cfRule>
    <cfRule type="cellIs" dxfId="7123" priority="12" operator="between">
      <formula>100.001%</formula>
      <formula>110%</formula>
    </cfRule>
    <cfRule type="cellIs" dxfId="7122" priority="13" operator="between">
      <formula>70.001%</formula>
      <formula>100%</formula>
    </cfRule>
    <cfRule type="cellIs" dxfId="7121" priority="14" operator="between">
      <formula>0.00001%</formula>
      <formula>70%</formula>
    </cfRule>
    <cfRule type="cellIs" dxfId="7120" priority="15" operator="equal">
      <formula>0%</formula>
    </cfRule>
  </conditionalFormatting>
  <conditionalFormatting sqref="AW27:AW33">
    <cfRule type="cellIs" dxfId="7119" priority="6" operator="greaterThan">
      <formula>110%</formula>
    </cfRule>
    <cfRule type="cellIs" dxfId="7118" priority="7" operator="between">
      <formula>100.001%</formula>
      <formula>110%</formula>
    </cfRule>
    <cfRule type="cellIs" dxfId="7117" priority="8" operator="between">
      <formula>70.001%</formula>
      <formula>100%</formula>
    </cfRule>
    <cfRule type="cellIs" dxfId="7116" priority="9" operator="between">
      <formula>0.00001%</formula>
      <formula>70%</formula>
    </cfRule>
    <cfRule type="cellIs" dxfId="7115" priority="10" operator="equal">
      <formula>0%</formula>
    </cfRule>
  </conditionalFormatting>
  <conditionalFormatting sqref="AY27:AY33">
    <cfRule type="cellIs" dxfId="7114" priority="1" operator="greaterThan">
      <formula>110%</formula>
    </cfRule>
    <cfRule type="cellIs" dxfId="7113" priority="2" operator="between">
      <formula>100.001%</formula>
      <formula>110%</formula>
    </cfRule>
    <cfRule type="cellIs" dxfId="7112" priority="3" operator="between">
      <formula>70.001%</formula>
      <formula>100%</formula>
    </cfRule>
    <cfRule type="cellIs" dxfId="7111" priority="4" operator="between">
      <formula>0.00001%</formula>
      <formula>70%</formula>
    </cfRule>
    <cfRule type="cellIs" dxfId="7110" priority="5" operator="equal">
      <formula>0%</formula>
    </cfRule>
  </conditionalFormatting>
  <hyperlinks>
    <hyperlink ref="D11" location="'IN1-3'!A1" display="IN1-3 Recaudo Bruto" xr:uid="{00000000-0004-0000-0F00-000000000000}"/>
    <hyperlink ref="D12" location="'FIS-4'!A1" display="FIS-4 Gestión efectiva en fiscalización tributaria" xr:uid="{00000000-0004-0000-0F00-000001000000}"/>
    <hyperlink ref="D13" location="'FIS-7'!A1" display="FIS-7 Gestión efectiva de Control Cambiario" xr:uid="{00000000-0004-0000-0F00-000002000000}"/>
    <hyperlink ref="D14" location="'FIS-8'!A1" display="FIS-8 Gestión aceptada de Fiscalización aduanera (Recaudo)" xr:uid="{00000000-0004-0000-0F00-000003000000}"/>
    <hyperlink ref="D15" location="'FIS-10'!A1" display="FIS-10 Gestión aceptada en fiscalización tributaria" xr:uid="{00000000-0004-0000-0F00-000004000000}"/>
    <hyperlink ref="D16" location="'FIS-11'!A1" display="FIS-11 Gestión aceptada cambiaria (Recaudo)" xr:uid="{00000000-0004-0000-0F00-000005000000}"/>
    <hyperlink ref="D17" location="'FIS-12'!A1" display="FIS-12 Gestión aceptada cambiaria (Resoluciones en firme)" xr:uid="{00000000-0004-0000-0F00-000006000000}"/>
    <hyperlink ref="D18" location="'FIS-27'!A1" display="FIS-27 Reclasificación de no responsables a responsables" xr:uid="{00000000-0004-0000-0F00-000007000000}"/>
    <hyperlink ref="D19" location="'FIS-17'!A1" display="FIS-17 Evacuación de expedientes en fiscalización tributaria" xr:uid="{00000000-0004-0000-0F00-000008000000}"/>
    <hyperlink ref="D20" location="'IN1-4'!A1" display="IN1-4 Recaudo por gestión de cartera" xr:uid="{00000000-0004-0000-0F00-000009000000}"/>
    <hyperlink ref="D21" location="'IN1-5'!A1" display="IN1-5 Inscritos en el Régimen Simple de Tributación - RST" xr:uid="{00000000-0004-0000-0F00-00000A000000}"/>
    <hyperlink ref="D22" location="'IN1-6.1'!A1" display="IN1-6.1 Grado de cumplimiento del cronograma de campañas del RST" xr:uid="{00000000-0004-0000-0F00-00000B000000}"/>
    <hyperlink ref="D23" location="'FIS-16'!A1" display="FIS-16 Visitas de control a personas que hacen la venta y compra de divisas sin estar autorizados" xr:uid="{00000000-0004-0000-0F00-00000C000000}"/>
    <hyperlink ref="D24" location="'FIS-15'!A1" display="FIS-15 Visitas de control a profesionales de cambio" xr:uid="{00000000-0004-0000-0F00-00000D000000}"/>
    <hyperlink ref="D25" location="'FIS-18'!A1" display="FIS-18 Evacuación de expedientes en fiscalización cambiaria" xr:uid="{00000000-0004-0000-0F00-00000E000000}"/>
    <hyperlink ref="D26" location="'IN1-8'!A1" display="IN1-8 Contribuyentes habilitados como facturadores electrónicos" xr:uid="{00000000-0004-0000-0F00-00000F000000}"/>
    <hyperlink ref="D27" location="'JUR-3.1'!A1" display="JUR-3.1 Porcentaje de éxito de litigiosidad" xr:uid="{00000000-0004-0000-0F00-000010000000}"/>
    <hyperlink ref="D28" location="'JUR-3.2'!A1" display="JUR-3.2 Porcentaje  procesos judiciales revisados con mayor riesgo en Ekogui" xr:uid="{00000000-0004-0000-0F00-000011000000}"/>
    <hyperlink ref="D29" location="'JUR-3.3'!A1" display="JUR-3.3 Porcentaje de análisis de jurisprudencia remitidos junto con la copia de la sentencia " xr:uid="{00000000-0004-0000-0F00-000012000000}"/>
    <hyperlink ref="D30" location="'JUR-3.4'!A1" display="JUR-3.4 Porcentaje  de procesos revisados con VoBo del Jefe " xr:uid="{00000000-0004-0000-0F00-000013000000}"/>
    <hyperlink ref="D31" location="'JUR-3.5'!A1" display="JUR-3.5 Porcentaje de requerimientos atendidos en oportunidad" xr:uid="{00000000-0004-0000-0F00-000014000000}"/>
    <hyperlink ref="D32" location="'JUR-3.6'!A1" display="JUR-3.6 Porcentaje funcionarios capacitaciones en cursos virtuales de la ANDJE" xr:uid="{00000000-0004-0000-0F00-000015000000}"/>
    <hyperlink ref="D33" location="'JUR-4'!A1" display="JUR-4 Porcentaje funcionarios que participaron en el concurso de escritura jurídica" xr:uid="{00000000-0004-0000-0F00-000016000000}"/>
    <hyperlink ref="D34" location="'ADU-3'!A1" display="ADU-3 Monto de la recaudación total de Aduanas" xr:uid="{00000000-0004-0000-0F00-000017000000}"/>
    <hyperlink ref="D35" location="'FIS-32'!A1" display="FIS-32 Valor aprehensiones sectores de licores, cigarrillos, calzado y confecciones" xr:uid="{00000000-0004-0000-0F00-000018000000}"/>
    <hyperlink ref="D36" location="'FIS-24'!A1" display="FIS-24 Valor decomisos de mercancias en firme" xr:uid="{00000000-0004-0000-0F00-000019000000}"/>
    <hyperlink ref="D37" location="'ADU-9'!A1" display="ADU-9 Efectividad en el control simultaneo - Lucha contra el Contrabando" xr:uid="{00000000-0004-0000-0F00-00001A000000}"/>
    <hyperlink ref="D39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0F00-00001B000000}"/>
    <hyperlink ref="D41" location="'IN1-11'!A1" display="IN1-11  Nivel de cobertura de personas sensibilizadas por el plan de cultura. ACTUALMENTE. Cumplimiento al Plan de Acción de Cultura de la Contribución. " xr:uid="{00000000-0004-0000-0F00-00001C000000}"/>
    <hyperlink ref="D42" location="'JUR-7'!A1" display="JUR-7  Oportunidad en las decisiones de los recursos Tributarios. " xr:uid="{00000000-0004-0000-0F00-00001D000000}"/>
    <hyperlink ref="D43" location="'IN1-15'!A1" display="IN1-15 Días en devoluciones ordinarias" xr:uid="{00000000-0004-0000-0F00-00001E000000}"/>
    <hyperlink ref="D9" location="'DGRAE-1'!A1" display="DGRAE-1 Nivel de Ejecución del presupuesto " xr:uid="{00000000-0004-0000-0F00-00001F000000}"/>
    <hyperlink ref="D45" location="'DGRAE-25'!A1" display="DGRAE-25 Actividades que componen el  PIC para la Dirección de Gestión" xr:uid="{00000000-0004-0000-0F00-000020000000}"/>
    <hyperlink ref="D10" location="'DGRAE-2'!A1" display="DGRAE-2 Nivel de ejecución del PAA de la Dirección" xr:uid="{00000000-0004-0000-0F00-000021000000}"/>
    <hyperlink ref="D38" location="'ADU-9.1'!A1" display="ADU-9.1 Efectividad en el control simultaneo - Lucha contra el Contrabando - Documental" xr:uid="{00000000-0004-0000-0F00-000022000000}"/>
    <hyperlink ref="AZ3" location="'Consolidado '!A1" display="VOLVER" xr:uid="{00000000-0004-0000-0F00-000023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Y34"/>
  <sheetViews>
    <sheetView topLeftCell="B1" zoomScale="80" zoomScaleNormal="80" workbookViewId="0">
      <selection activeCell="AY4" sqref="AY4"/>
    </sheetView>
  </sheetViews>
  <sheetFormatPr baseColWidth="10" defaultColWidth="11.42578125" defaultRowHeight="16.5"/>
  <cols>
    <col min="1" max="1" width="21.42578125" style="8" customWidth="1"/>
    <col min="2" max="2" width="34" style="8" customWidth="1"/>
    <col min="3" max="3" width="33.7109375" style="63" customWidth="1"/>
    <col min="4" max="4" width="25.85546875" style="8" bestFit="1" customWidth="1"/>
    <col min="5" max="5" width="65.28515625" style="8" hidden="1" customWidth="1"/>
    <col min="6" max="6" width="23.85546875" style="8" hidden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7.42578125" style="8" hidden="1" customWidth="1"/>
    <col min="11" max="11" width="25.85546875" style="8" customWidth="1"/>
    <col min="12" max="12" width="21.7109375" style="1173" hidden="1" customWidth="1"/>
    <col min="13" max="13" width="21.7109375" style="8" hidden="1" customWidth="1"/>
    <col min="14" max="14" width="21.7109375" style="444" hidden="1" customWidth="1"/>
    <col min="15" max="16" width="21.7109375" style="8" hidden="1" customWidth="1"/>
    <col min="17" max="17" width="21.7109375" style="444" hidden="1" customWidth="1"/>
    <col min="18" max="19" width="21.7109375" style="8" hidden="1" customWidth="1"/>
    <col min="20" max="20" width="21.7109375" style="444" hidden="1" customWidth="1"/>
    <col min="21" max="22" width="21.7109375" style="8" hidden="1" customWidth="1"/>
    <col min="23" max="23" width="21.7109375" style="444" hidden="1" customWidth="1"/>
    <col min="24" max="25" width="21.7109375" style="8" hidden="1" customWidth="1"/>
    <col min="26" max="26" width="21.7109375" style="444" hidden="1" customWidth="1"/>
    <col min="27" max="28" width="21.7109375" style="8" hidden="1" customWidth="1"/>
    <col min="29" max="29" width="21.7109375" style="444" hidden="1" customWidth="1"/>
    <col min="30" max="30" width="21.7109375" style="8" hidden="1" customWidth="1"/>
    <col min="31" max="31" width="21.7109375" style="444" hidden="1" customWidth="1"/>
    <col min="32" max="33" width="21.7109375" style="8" hidden="1" customWidth="1"/>
    <col min="34" max="34" width="21.7109375" style="444" hidden="1" customWidth="1"/>
    <col min="35" max="36" width="21.7109375" style="8" hidden="1" customWidth="1"/>
    <col min="37" max="37" width="21.7109375" style="444" hidden="1" customWidth="1"/>
    <col min="38" max="39" width="21.7109375" style="8" hidden="1" customWidth="1"/>
    <col min="40" max="40" width="21.7109375" style="444" hidden="1" customWidth="1"/>
    <col min="41" max="42" width="21.7109375" style="8" hidden="1" customWidth="1"/>
    <col min="43" max="43" width="21.7109375" style="444" hidden="1" customWidth="1"/>
    <col min="44" max="45" width="21.7109375" style="8" hidden="1" customWidth="1"/>
    <col min="46" max="46" width="21.7109375" style="444" hidden="1" customWidth="1"/>
    <col min="47" max="48" width="21.7109375" style="8" hidden="1" customWidth="1"/>
    <col min="49" max="49" width="21.7109375" style="444" hidden="1" customWidth="1"/>
    <col min="50" max="50" width="21.7109375" style="8" customWidth="1"/>
    <col min="51" max="51" width="11.42578125" style="842"/>
    <col min="52" max="16384" width="11.42578125" style="8"/>
  </cols>
  <sheetData>
    <row r="1" spans="1:51" ht="26.25">
      <c r="A1" s="3056" t="s">
        <v>556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</row>
    <row r="2" spans="1:51" ht="18.75" customHeight="1">
      <c r="A2" s="105"/>
      <c r="B2" s="105"/>
      <c r="C2" s="2819" t="s">
        <v>69</v>
      </c>
      <c r="D2" s="2819"/>
      <c r="E2" s="2819"/>
      <c r="F2" s="2819"/>
      <c r="G2" s="2819"/>
      <c r="H2" s="2819"/>
      <c r="I2" s="2819"/>
      <c r="J2" s="2819"/>
      <c r="K2" s="2819"/>
      <c r="AY2" s="1197" t="s">
        <v>185</v>
      </c>
    </row>
    <row r="3" spans="1:51">
      <c r="A3" s="107"/>
      <c r="B3" s="108"/>
      <c r="C3" s="2820" t="s">
        <v>557</v>
      </c>
      <c r="D3" s="2821"/>
      <c r="E3" s="2821"/>
      <c r="F3" s="2821"/>
      <c r="G3" s="2821"/>
      <c r="H3" s="2821"/>
      <c r="I3" s="2821"/>
      <c r="J3" s="2821"/>
      <c r="K3" s="2821"/>
      <c r="AY3" s="842">
        <f>+(AY9+AY10+AY11+AY12+AY13+AY14+AY15+AY16+AY17+AY18+AY19+AY20+AY21+AY22+AY23+AY24+AY25+AY26+AY27+AY29+AY31+AY33)/22</f>
        <v>0.99627307386347119</v>
      </c>
    </row>
    <row r="4" spans="1:51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1" ht="18" thickTop="1" thickBot="1">
      <c r="A5" s="2823" t="s">
        <v>0</v>
      </c>
      <c r="B5" s="2830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1" ht="18" thickTop="1" thickBot="1">
      <c r="A6" s="2823"/>
      <c r="B6" s="2831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1" s="12" customFormat="1" ht="18.75" thickTop="1" thickBot="1">
      <c r="A7" s="2823"/>
      <c r="B7" s="2832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1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</row>
    <row r="9" spans="1:51" s="132" customFormat="1" ht="46.5" thickTop="1" thickBot="1">
      <c r="A9" s="2943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752">
        <f>+(199642545/1000000)</f>
        <v>199.64254500000001</v>
      </c>
      <c r="H9" s="72"/>
      <c r="I9" s="72"/>
      <c r="J9" s="72"/>
      <c r="K9" s="72" t="s">
        <v>25</v>
      </c>
      <c r="L9" s="1063">
        <v>67.12</v>
      </c>
      <c r="M9" s="1064">
        <v>67</v>
      </c>
      <c r="N9" s="73">
        <f>+M9/L9</f>
        <v>0.99821215733015489</v>
      </c>
      <c r="O9" s="1063">
        <v>27.279164999999999</v>
      </c>
      <c r="P9" s="1064">
        <v>26</v>
      </c>
      <c r="Q9" s="73">
        <f>+P9/O9</f>
        <v>0.95310835210681855</v>
      </c>
      <c r="R9" s="1063">
        <v>16.093</v>
      </c>
      <c r="S9" s="1064">
        <v>14</v>
      </c>
      <c r="T9" s="73">
        <f>+S9/R9</f>
        <v>0.86994345367551107</v>
      </c>
      <c r="U9" s="1063">
        <v>17.279667</v>
      </c>
      <c r="V9" s="1064">
        <v>4</v>
      </c>
      <c r="W9" s="73">
        <f>+V9/U9</f>
        <v>0.23148594240849665</v>
      </c>
      <c r="X9" s="1063">
        <v>16.913</v>
      </c>
      <c r="Y9" s="1064">
        <v>17</v>
      </c>
      <c r="Z9" s="73">
        <f>+Y9/X9</f>
        <v>1.0051439720924733</v>
      </c>
      <c r="AA9" s="1063">
        <v>14.613</v>
      </c>
      <c r="AB9" s="1064">
        <v>7</v>
      </c>
      <c r="AC9" s="73">
        <f>+AB9/AA9</f>
        <v>0.47902552521727232</v>
      </c>
      <c r="AD9" s="566">
        <f>+M9+P9+S9+V9+Y9+AB9</f>
        <v>135</v>
      </c>
      <c r="AE9" s="73">
        <f>+AD9/G9</f>
        <v>0.67620857067314977</v>
      </c>
      <c r="AF9" s="1063">
        <v>14.613</v>
      </c>
      <c r="AG9" s="1064">
        <v>6</v>
      </c>
      <c r="AH9" s="73">
        <f>+AG9/AF9</f>
        <v>0.41059330732909055</v>
      </c>
      <c r="AI9" s="1063">
        <v>15.029667</v>
      </c>
      <c r="AJ9" s="1064">
        <v>10</v>
      </c>
      <c r="AK9" s="73">
        <f>+AJ9/AI9</f>
        <v>0.66535073598104333</v>
      </c>
      <c r="AL9" s="1063">
        <v>14.613</v>
      </c>
      <c r="AM9" s="1064">
        <v>8</v>
      </c>
      <c r="AN9" s="73">
        <f>+AM9/AL9</f>
        <v>0.54745774310545403</v>
      </c>
      <c r="AO9" s="1063">
        <v>15.029666000000001</v>
      </c>
      <c r="AP9" s="1064">
        <v>10</v>
      </c>
      <c r="AQ9" s="73">
        <f>+AP9/AO9</f>
        <v>0.66535078025020644</v>
      </c>
      <c r="AR9" s="1063">
        <v>14.613</v>
      </c>
      <c r="AS9" s="1064">
        <v>10</v>
      </c>
      <c r="AT9" s="73">
        <f>+AS9/AR9</f>
        <v>0.68432217888181757</v>
      </c>
      <c r="AU9" s="1063">
        <v>14.49</v>
      </c>
      <c r="AV9" s="1064">
        <v>20</v>
      </c>
      <c r="AW9" s="73">
        <f>+AV9/AU9</f>
        <v>1.3802622498274673</v>
      </c>
      <c r="AX9" s="765">
        <f>+M9+P9+S9+V9+Y9+AB9+AG9+AJ9+AM9+AP9+AS9+AV9</f>
        <v>199</v>
      </c>
      <c r="AY9" s="73">
        <f>+AX9/G9</f>
        <v>0.99678152269597642</v>
      </c>
    </row>
    <row r="10" spans="1:51" s="1015" customFormat="1" ht="256.5" thickTop="1" thickBot="1">
      <c r="A10" s="2944"/>
      <c r="B10" s="2947"/>
      <c r="C10" s="74" t="s">
        <v>169</v>
      </c>
      <c r="D10" s="458" t="s">
        <v>92</v>
      </c>
      <c r="E10" s="459" t="s">
        <v>170</v>
      </c>
      <c r="F10" s="459" t="s">
        <v>17</v>
      </c>
      <c r="G10" s="1174">
        <v>8</v>
      </c>
      <c r="H10" s="459" t="s">
        <v>326</v>
      </c>
      <c r="I10" s="1010"/>
      <c r="J10" s="1010"/>
      <c r="K10" s="459" t="s">
        <v>26</v>
      </c>
      <c r="L10" s="1011">
        <v>0</v>
      </c>
      <c r="M10" s="1012">
        <v>2</v>
      </c>
      <c r="N10" s="73" t="e">
        <f t="shared" ref="N10:N33" si="0">+M10/L10</f>
        <v>#DIV/0!</v>
      </c>
      <c r="O10" s="1011">
        <v>0</v>
      </c>
      <c r="P10" s="1012">
        <v>2</v>
      </c>
      <c r="Q10" s="73" t="e">
        <f t="shared" ref="Q10:Q33" si="1">+P10/O10</f>
        <v>#DIV/0!</v>
      </c>
      <c r="R10" s="1011">
        <v>0</v>
      </c>
      <c r="S10" s="1012">
        <v>2</v>
      </c>
      <c r="T10" s="73" t="e">
        <f t="shared" ref="T10:T33" si="2">+S10/R10</f>
        <v>#DIV/0!</v>
      </c>
      <c r="U10" s="1011"/>
      <c r="V10" s="1012">
        <v>0</v>
      </c>
      <c r="W10" s="73" t="e">
        <f t="shared" ref="W10:W33" si="3">+V10/U10</f>
        <v>#DIV/0!</v>
      </c>
      <c r="X10" s="1011">
        <v>0</v>
      </c>
      <c r="Y10" s="1012">
        <v>1</v>
      </c>
      <c r="Z10" s="73" t="e">
        <f t="shared" ref="Z10:Z33" si="4">+Y10/X10</f>
        <v>#DIV/0!</v>
      </c>
      <c r="AA10" s="1011">
        <v>0</v>
      </c>
      <c r="AB10" s="1012">
        <v>1</v>
      </c>
      <c r="AC10" s="73" t="e">
        <f t="shared" ref="AC10:AC29" si="5">+AB10/AA10</f>
        <v>#DIV/0!</v>
      </c>
      <c r="AD10" s="245">
        <f t="shared" ref="AD10:AD29" si="6">+M10+P10+S10+V10+Y10+AB10</f>
        <v>8</v>
      </c>
      <c r="AE10" s="73">
        <f t="shared" ref="AE10:AE29" si="7">+AD10/G10</f>
        <v>1</v>
      </c>
      <c r="AF10" s="1011">
        <v>0</v>
      </c>
      <c r="AG10" s="1012">
        <v>0</v>
      </c>
      <c r="AH10" s="73" t="e">
        <f t="shared" ref="AH10:AH33" si="8">+AG10/AF10</f>
        <v>#DIV/0!</v>
      </c>
      <c r="AI10" s="1011">
        <v>0</v>
      </c>
      <c r="AJ10" s="1012">
        <v>0</v>
      </c>
      <c r="AK10" s="73" t="e">
        <f t="shared" ref="AK10:AK33" si="9">+AJ10/AI10</f>
        <v>#DIV/0!</v>
      </c>
      <c r="AL10" s="1011">
        <v>0</v>
      </c>
      <c r="AM10" s="1012">
        <v>0</v>
      </c>
      <c r="AN10" s="73" t="e">
        <f t="shared" ref="AN10:AN33" si="10">+AM10/AL10</f>
        <v>#DIV/0!</v>
      </c>
      <c r="AO10" s="1011">
        <v>0</v>
      </c>
      <c r="AP10" s="1012">
        <v>1</v>
      </c>
      <c r="AQ10" s="73" t="e">
        <f t="shared" ref="AQ10:AQ33" si="11">+AP10/AO10</f>
        <v>#DIV/0!</v>
      </c>
      <c r="AR10" s="1011">
        <v>0</v>
      </c>
      <c r="AS10" s="1012"/>
      <c r="AT10" s="73" t="e">
        <f t="shared" ref="AT10:AT33" si="12">+AS10/AR10</f>
        <v>#DIV/0!</v>
      </c>
      <c r="AU10" s="1011">
        <v>0</v>
      </c>
      <c r="AV10" s="1012"/>
      <c r="AW10" s="73" t="e">
        <f t="shared" ref="AW10" si="13">+AV10/AU10</f>
        <v>#DIV/0!</v>
      </c>
      <c r="AX10" s="1175">
        <f t="shared" ref="AX10" si="14">+M10+P10+S10+V10+Y10+AB10+AG10+AJ10+AM10+AP10+AS10+AV10</f>
        <v>9</v>
      </c>
      <c r="AY10" s="73">
        <f t="shared" ref="AY10" si="15">+AX10/G10</f>
        <v>1.125</v>
      </c>
    </row>
    <row r="11" spans="1:51" s="22" customFormat="1" ht="46.5" thickTop="1" thickBot="1">
      <c r="A11" s="2944"/>
      <c r="B11" s="2954" t="s">
        <v>94</v>
      </c>
      <c r="C11" s="125" t="s">
        <v>491</v>
      </c>
      <c r="D11" s="171" t="s">
        <v>96</v>
      </c>
      <c r="E11" s="133" t="s">
        <v>97</v>
      </c>
      <c r="F11" s="133" t="s">
        <v>300</v>
      </c>
      <c r="G11" s="946">
        <v>203459</v>
      </c>
      <c r="H11" s="126"/>
      <c r="I11" s="946"/>
      <c r="J11" s="126"/>
      <c r="K11" s="133" t="s">
        <v>20</v>
      </c>
      <c r="L11" s="765"/>
      <c r="M11" s="567"/>
      <c r="N11" s="73" t="e">
        <f>+M11/L11</f>
        <v>#DIV/0!</v>
      </c>
      <c r="O11" s="765">
        <v>0</v>
      </c>
      <c r="P11" s="567"/>
      <c r="Q11" s="73" t="e">
        <f>+P11/O11</f>
        <v>#DIV/0!</v>
      </c>
      <c r="R11" s="765">
        <v>0</v>
      </c>
      <c r="S11" s="567"/>
      <c r="T11" s="73" t="e">
        <f>+S11/R11</f>
        <v>#DIV/0!</v>
      </c>
      <c r="U11" s="765">
        <v>0</v>
      </c>
      <c r="V11" s="567"/>
      <c r="W11" s="73" t="e">
        <f>+V11/U11</f>
        <v>#DIV/0!</v>
      </c>
      <c r="X11" s="765">
        <v>0</v>
      </c>
      <c r="Y11" s="567"/>
      <c r="Z11" s="73" t="e">
        <f>+Y11/X11</f>
        <v>#DIV/0!</v>
      </c>
      <c r="AA11" s="765">
        <v>0</v>
      </c>
      <c r="AB11" s="567"/>
      <c r="AC11" s="73" t="e">
        <f>+AB11/AA11</f>
        <v>#DIV/0!</v>
      </c>
      <c r="AD11" s="566">
        <f>+M11+P11+S11+V11+Y11+AB11</f>
        <v>0</v>
      </c>
      <c r="AE11" s="73">
        <f>+AD11/G11</f>
        <v>0</v>
      </c>
      <c r="AF11" s="765">
        <v>0</v>
      </c>
      <c r="AG11" s="567"/>
      <c r="AH11" s="73" t="e">
        <f>+AG11/AF11</f>
        <v>#DIV/0!</v>
      </c>
      <c r="AI11" s="765">
        <v>0</v>
      </c>
      <c r="AJ11" s="567"/>
      <c r="AK11" s="73" t="e">
        <f>+AJ11/AI11</f>
        <v>#DIV/0!</v>
      </c>
      <c r="AL11" s="765">
        <v>0</v>
      </c>
      <c r="AM11" s="567"/>
      <c r="AN11" s="73" t="e">
        <f>+AM11/AL11</f>
        <v>#DIV/0!</v>
      </c>
      <c r="AO11" s="765">
        <v>0</v>
      </c>
      <c r="AP11" s="567"/>
      <c r="AQ11" s="73" t="e">
        <f>+AP11/AO11</f>
        <v>#DIV/0!</v>
      </c>
      <c r="AR11" s="765">
        <v>0</v>
      </c>
      <c r="AS11" s="567"/>
      <c r="AT11" s="73" t="e">
        <f>+AS11/AR11</f>
        <v>#DIV/0!</v>
      </c>
      <c r="AU11" s="765">
        <v>0</v>
      </c>
      <c r="AV11" s="567">
        <v>203459</v>
      </c>
      <c r="AW11" s="73" t="e">
        <f>+AV11/AU11</f>
        <v>#DIV/0!</v>
      </c>
      <c r="AX11" s="765">
        <f>+M11+P11+S11+V11+Y11+AB11+AG11+AJ11+AM11+AP11+AS11+AV11</f>
        <v>203459</v>
      </c>
      <c r="AY11" s="73">
        <f>+AX11/G11</f>
        <v>1</v>
      </c>
    </row>
    <row r="12" spans="1:51" s="22" customFormat="1" ht="76.5" thickTop="1" thickBot="1">
      <c r="A12" s="2944"/>
      <c r="B12" s="3052"/>
      <c r="C12" s="3053" t="s">
        <v>558</v>
      </c>
      <c r="D12" s="111" t="s">
        <v>99</v>
      </c>
      <c r="E12" s="74" t="s">
        <v>100</v>
      </c>
      <c r="F12" s="74" t="s">
        <v>101</v>
      </c>
      <c r="G12" s="1176">
        <v>18130000000</v>
      </c>
      <c r="H12" s="1177"/>
      <c r="I12" s="1178"/>
      <c r="J12" s="1177"/>
      <c r="K12" s="74" t="s">
        <v>559</v>
      </c>
      <c r="L12" s="776">
        <v>1450400000</v>
      </c>
      <c r="M12" s="769">
        <v>418944834</v>
      </c>
      <c r="N12" s="73">
        <f t="shared" si="0"/>
        <v>0.28884778957528956</v>
      </c>
      <c r="O12" s="776">
        <v>1450400000</v>
      </c>
      <c r="P12" s="769">
        <v>797720000</v>
      </c>
      <c r="Q12" s="73">
        <f t="shared" si="1"/>
        <v>0.55000000000000004</v>
      </c>
      <c r="R12" s="776">
        <v>1450400000</v>
      </c>
      <c r="S12" s="769">
        <v>450593000</v>
      </c>
      <c r="T12" s="73">
        <f t="shared" si="2"/>
        <v>0.31066809156094871</v>
      </c>
      <c r="U12" s="776">
        <v>1631700000</v>
      </c>
      <c r="V12" s="769">
        <v>475514000</v>
      </c>
      <c r="W12" s="73">
        <f t="shared" si="3"/>
        <v>0.29142244285101426</v>
      </c>
      <c r="X12" s="776">
        <v>1813000000</v>
      </c>
      <c r="Y12" s="769">
        <v>317713000</v>
      </c>
      <c r="Z12" s="73">
        <f t="shared" si="4"/>
        <v>0.17524158852730282</v>
      </c>
      <c r="AA12" s="776">
        <v>1813000000</v>
      </c>
      <c r="AB12" s="769">
        <v>2207161000</v>
      </c>
      <c r="AC12" s="73">
        <f t="shared" si="5"/>
        <v>1.2174081632653062</v>
      </c>
      <c r="AD12" s="566">
        <f t="shared" si="6"/>
        <v>4667645834</v>
      </c>
      <c r="AE12" s="73">
        <f t="shared" si="7"/>
        <v>0.25745426552675121</v>
      </c>
      <c r="AF12" s="776">
        <v>1813000000</v>
      </c>
      <c r="AG12" s="769">
        <v>888791000</v>
      </c>
      <c r="AH12" s="73">
        <f t="shared" si="8"/>
        <v>0.49023221180364035</v>
      </c>
      <c r="AI12" s="776">
        <v>1813000000</v>
      </c>
      <c r="AJ12" s="769">
        <v>834263000</v>
      </c>
      <c r="AK12" s="73">
        <f t="shared" si="9"/>
        <v>0.46015609487038056</v>
      </c>
      <c r="AL12" s="776">
        <v>1813000000</v>
      </c>
      <c r="AM12" s="769">
        <v>1509012000</v>
      </c>
      <c r="AN12" s="73">
        <f t="shared" si="10"/>
        <v>0.83232873690016551</v>
      </c>
      <c r="AO12" s="776">
        <v>1813000000</v>
      </c>
      <c r="AP12" s="769">
        <v>652182000</v>
      </c>
      <c r="AQ12" s="73">
        <f t="shared" si="11"/>
        <v>0.35972531715388856</v>
      </c>
      <c r="AR12" s="776">
        <v>725200000</v>
      </c>
      <c r="AS12" s="1179">
        <v>10292512873</v>
      </c>
      <c r="AT12" s="73">
        <f t="shared" si="12"/>
        <v>14.192654265030336</v>
      </c>
      <c r="AU12" s="776">
        <v>543900000</v>
      </c>
      <c r="AV12" s="769">
        <v>538900000</v>
      </c>
      <c r="AW12" s="73">
        <f t="shared" ref="AW12:AW29" si="16">+AV12/AU12</f>
        <v>0.99080713366427653</v>
      </c>
      <c r="AX12" s="776">
        <f t="shared" ref="AX12:AX29" si="17">+M12+P12+S12+V12+Y12+AB12+AG12+AJ12+AM12+AP12+AS12+AV12</f>
        <v>19383306707</v>
      </c>
      <c r="AY12" s="73">
        <f t="shared" ref="AY12:AY29" si="18">+AX12/G12</f>
        <v>1.0691288862107005</v>
      </c>
    </row>
    <row r="13" spans="1:51" s="22" customFormat="1" ht="76.5" thickTop="1" thickBot="1">
      <c r="A13" s="2944"/>
      <c r="B13" s="3052"/>
      <c r="C13" s="3054"/>
      <c r="D13" s="171" t="s">
        <v>102</v>
      </c>
      <c r="E13" s="133" t="s">
        <v>359</v>
      </c>
      <c r="F13" s="133" t="s">
        <v>101</v>
      </c>
      <c r="G13" s="1180">
        <v>13700000000</v>
      </c>
      <c r="H13" s="126"/>
      <c r="I13" s="946"/>
      <c r="J13" s="126"/>
      <c r="K13" s="133" t="s">
        <v>559</v>
      </c>
      <c r="L13" s="765">
        <v>1096000000</v>
      </c>
      <c r="M13" s="567">
        <v>226846000</v>
      </c>
      <c r="N13" s="73">
        <f t="shared" si="0"/>
        <v>0.20697627737226276</v>
      </c>
      <c r="O13" s="765">
        <v>1096000000</v>
      </c>
      <c r="P13" s="567">
        <v>209906000</v>
      </c>
      <c r="Q13" s="73">
        <f t="shared" si="1"/>
        <v>0.19152007299270074</v>
      </c>
      <c r="R13" s="765">
        <v>1096000000</v>
      </c>
      <c r="S13" s="567">
        <v>450679000</v>
      </c>
      <c r="T13" s="73">
        <f t="shared" si="2"/>
        <v>0.41120346715328465</v>
      </c>
      <c r="U13" s="765">
        <v>1233000000</v>
      </c>
      <c r="V13" s="567">
        <v>481369000</v>
      </c>
      <c r="W13" s="73">
        <f t="shared" si="3"/>
        <v>0.39040470397404703</v>
      </c>
      <c r="X13" s="765">
        <v>1370000000</v>
      </c>
      <c r="Y13" s="567">
        <v>324342000</v>
      </c>
      <c r="Z13" s="73">
        <f t="shared" si="4"/>
        <v>0.23674598540145986</v>
      </c>
      <c r="AA13" s="765">
        <v>1370000000</v>
      </c>
      <c r="AB13" s="567">
        <v>2133618000</v>
      </c>
      <c r="AC13" s="73">
        <f t="shared" si="5"/>
        <v>1.557385401459854</v>
      </c>
      <c r="AD13" s="566">
        <f t="shared" si="6"/>
        <v>3826760000</v>
      </c>
      <c r="AE13" s="73">
        <f t="shared" si="7"/>
        <v>0.27932554744525545</v>
      </c>
      <c r="AF13" s="765">
        <v>1370000000</v>
      </c>
      <c r="AG13" s="567">
        <v>968850000</v>
      </c>
      <c r="AH13" s="73">
        <f t="shared" si="8"/>
        <v>0.70718978102189778</v>
      </c>
      <c r="AI13" s="765">
        <v>1370000000</v>
      </c>
      <c r="AJ13" s="567">
        <v>456362000</v>
      </c>
      <c r="AK13" s="73">
        <f t="shared" si="9"/>
        <v>0.33311094890510951</v>
      </c>
      <c r="AL13" s="765">
        <v>1370000000</v>
      </c>
      <c r="AM13" s="567">
        <v>1519873000</v>
      </c>
      <c r="AN13" s="73">
        <f t="shared" si="10"/>
        <v>1.1093963503649635</v>
      </c>
      <c r="AO13" s="765">
        <v>1370000000</v>
      </c>
      <c r="AP13" s="567">
        <v>627169000</v>
      </c>
      <c r="AQ13" s="73">
        <f t="shared" si="11"/>
        <v>0.45778759124087592</v>
      </c>
      <c r="AR13" s="765">
        <v>548000000</v>
      </c>
      <c r="AS13" s="567">
        <v>6669803474</v>
      </c>
      <c r="AT13" s="73">
        <f t="shared" si="12"/>
        <v>12.171174222627737</v>
      </c>
      <c r="AU13" s="765">
        <v>411000000</v>
      </c>
      <c r="AV13" s="567">
        <v>1013622000</v>
      </c>
      <c r="AW13" s="73">
        <f t="shared" si="16"/>
        <v>2.4662335766423356</v>
      </c>
      <c r="AX13" s="765">
        <f t="shared" si="17"/>
        <v>15082439474</v>
      </c>
      <c r="AY13" s="73">
        <f t="shared" si="18"/>
        <v>1.1009079908029198</v>
      </c>
    </row>
    <row r="14" spans="1:51" s="22" customFormat="1" ht="76.5" thickTop="1" thickBot="1">
      <c r="A14" s="2944"/>
      <c r="B14" s="3052"/>
      <c r="C14" s="3054"/>
      <c r="D14" s="111" t="s">
        <v>104</v>
      </c>
      <c r="E14" s="74" t="s">
        <v>105</v>
      </c>
      <c r="F14" s="74" t="s">
        <v>24</v>
      </c>
      <c r="G14" s="1181">
        <v>40</v>
      </c>
      <c r="H14" s="1177"/>
      <c r="I14" s="1178"/>
      <c r="J14" s="1177"/>
      <c r="K14" s="74" t="s">
        <v>559</v>
      </c>
      <c r="L14" s="1182">
        <v>0</v>
      </c>
      <c r="M14" s="862"/>
      <c r="N14" s="73" t="e">
        <f t="shared" si="0"/>
        <v>#DIV/0!</v>
      </c>
      <c r="O14" s="1182">
        <v>0</v>
      </c>
      <c r="P14" s="862"/>
      <c r="Q14" s="73" t="e">
        <f t="shared" si="1"/>
        <v>#DIV/0!</v>
      </c>
      <c r="R14" s="1182">
        <v>10</v>
      </c>
      <c r="S14" s="862">
        <v>14</v>
      </c>
      <c r="T14" s="73">
        <f t="shared" si="2"/>
        <v>1.4</v>
      </c>
      <c r="U14" s="1182">
        <v>0</v>
      </c>
      <c r="V14" s="862"/>
      <c r="W14" s="73" t="e">
        <f t="shared" si="3"/>
        <v>#DIV/0!</v>
      </c>
      <c r="X14" s="1182">
        <v>0</v>
      </c>
      <c r="Y14" s="862"/>
      <c r="Z14" s="73" t="e">
        <f t="shared" si="4"/>
        <v>#DIV/0!</v>
      </c>
      <c r="AA14" s="1182">
        <v>10</v>
      </c>
      <c r="AB14" s="862">
        <v>2</v>
      </c>
      <c r="AC14" s="73">
        <f t="shared" si="5"/>
        <v>0.2</v>
      </c>
      <c r="AD14" s="782">
        <f>+AB14+S14</f>
        <v>16</v>
      </c>
      <c r="AE14" s="73">
        <f t="shared" si="7"/>
        <v>0.4</v>
      </c>
      <c r="AF14" s="1182">
        <v>0</v>
      </c>
      <c r="AG14" s="862"/>
      <c r="AH14" s="73" t="e">
        <f t="shared" si="8"/>
        <v>#DIV/0!</v>
      </c>
      <c r="AI14" s="1182">
        <v>0</v>
      </c>
      <c r="AJ14" s="862"/>
      <c r="AK14" s="73" t="e">
        <f t="shared" si="9"/>
        <v>#DIV/0!</v>
      </c>
      <c r="AL14" s="1182">
        <v>10</v>
      </c>
      <c r="AM14" s="862"/>
      <c r="AN14" s="73">
        <f t="shared" si="10"/>
        <v>0</v>
      </c>
      <c r="AO14" s="1182">
        <v>0</v>
      </c>
      <c r="AP14" s="862"/>
      <c r="AQ14" s="73" t="e">
        <f t="shared" si="11"/>
        <v>#DIV/0!</v>
      </c>
      <c r="AR14" s="1182">
        <v>0</v>
      </c>
      <c r="AS14" s="862"/>
      <c r="AT14" s="73" t="e">
        <f t="shared" si="12"/>
        <v>#DIV/0!</v>
      </c>
      <c r="AU14" s="1182">
        <v>10</v>
      </c>
      <c r="AV14" s="862">
        <v>26</v>
      </c>
      <c r="AW14" s="73">
        <f t="shared" si="16"/>
        <v>2.6</v>
      </c>
      <c r="AX14" s="461">
        <f t="shared" si="17"/>
        <v>42</v>
      </c>
      <c r="AY14" s="73">
        <f t="shared" si="18"/>
        <v>1.05</v>
      </c>
    </row>
    <row r="15" spans="1:51" s="22" customFormat="1" ht="76.5" thickTop="1" thickBot="1">
      <c r="A15" s="2944"/>
      <c r="B15" s="3052"/>
      <c r="C15" s="3055"/>
      <c r="D15" s="171" t="s">
        <v>106</v>
      </c>
      <c r="E15" s="133" t="s">
        <v>173</v>
      </c>
      <c r="F15" s="133" t="s">
        <v>24</v>
      </c>
      <c r="G15" s="1183">
        <v>14</v>
      </c>
      <c r="H15" s="126"/>
      <c r="I15" s="946"/>
      <c r="J15" s="126"/>
      <c r="K15" s="133" t="s">
        <v>559</v>
      </c>
      <c r="L15" s="514">
        <v>0</v>
      </c>
      <c r="M15" s="496"/>
      <c r="N15" s="73" t="e">
        <f t="shared" si="0"/>
        <v>#DIV/0!</v>
      </c>
      <c r="O15" s="514">
        <v>0</v>
      </c>
      <c r="P15" s="496"/>
      <c r="Q15" s="73" t="e">
        <f t="shared" si="1"/>
        <v>#DIV/0!</v>
      </c>
      <c r="R15" s="514">
        <v>0</v>
      </c>
      <c r="S15" s="496"/>
      <c r="T15" s="73" t="e">
        <f t="shared" si="2"/>
        <v>#DIV/0!</v>
      </c>
      <c r="U15" s="514">
        <v>0</v>
      </c>
      <c r="V15" s="496"/>
      <c r="W15" s="73" t="e">
        <f t="shared" si="3"/>
        <v>#DIV/0!</v>
      </c>
      <c r="X15" s="514">
        <v>0</v>
      </c>
      <c r="Y15" s="496"/>
      <c r="Z15" s="73" t="e">
        <f t="shared" si="4"/>
        <v>#DIV/0!</v>
      </c>
      <c r="AA15" s="514">
        <v>0</v>
      </c>
      <c r="AB15" s="496"/>
      <c r="AC15" s="73" t="e">
        <f t="shared" si="5"/>
        <v>#DIV/0!</v>
      </c>
      <c r="AD15" s="782">
        <f t="shared" si="6"/>
        <v>0</v>
      </c>
      <c r="AE15" s="73">
        <f t="shared" si="7"/>
        <v>0</v>
      </c>
      <c r="AF15" s="514">
        <v>7</v>
      </c>
      <c r="AG15" s="496">
        <v>9</v>
      </c>
      <c r="AH15" s="73">
        <f t="shared" si="8"/>
        <v>1.2857142857142858</v>
      </c>
      <c r="AI15" s="514">
        <v>0</v>
      </c>
      <c r="AJ15" s="496"/>
      <c r="AK15" s="73" t="e">
        <f t="shared" si="9"/>
        <v>#DIV/0!</v>
      </c>
      <c r="AL15" s="514">
        <v>0</v>
      </c>
      <c r="AM15" s="496"/>
      <c r="AN15" s="73" t="e">
        <f t="shared" si="10"/>
        <v>#DIV/0!</v>
      </c>
      <c r="AO15" s="514">
        <v>0</v>
      </c>
      <c r="AP15" s="496"/>
      <c r="AQ15" s="73" t="e">
        <f t="shared" si="11"/>
        <v>#DIV/0!</v>
      </c>
      <c r="AR15" s="514">
        <v>0</v>
      </c>
      <c r="AS15" s="496"/>
      <c r="AT15" s="73" t="e">
        <f t="shared" si="12"/>
        <v>#DIV/0!</v>
      </c>
      <c r="AU15" s="514">
        <v>7</v>
      </c>
      <c r="AV15" s="496">
        <v>5</v>
      </c>
      <c r="AW15" s="73">
        <f t="shared" si="16"/>
        <v>0.7142857142857143</v>
      </c>
      <c r="AX15" s="514">
        <f>+AV15+AG15</f>
        <v>14</v>
      </c>
      <c r="AY15" s="73">
        <f t="shared" si="18"/>
        <v>1</v>
      </c>
    </row>
    <row r="16" spans="1:51" s="22" customFormat="1" ht="46.5" thickTop="1" thickBot="1">
      <c r="A16" s="2944"/>
      <c r="B16" s="3052"/>
      <c r="C16" s="1184" t="s">
        <v>360</v>
      </c>
      <c r="D16" s="111" t="s">
        <v>109</v>
      </c>
      <c r="E16" s="74" t="s">
        <v>110</v>
      </c>
      <c r="F16" s="74" t="s">
        <v>18</v>
      </c>
      <c r="G16" s="1176">
        <v>60827</v>
      </c>
      <c r="H16" s="1177"/>
      <c r="I16" s="1178"/>
      <c r="J16" s="1177"/>
      <c r="K16" s="74" t="s">
        <v>361</v>
      </c>
      <c r="L16" s="1185">
        <v>0</v>
      </c>
      <c r="M16" s="847"/>
      <c r="N16" s="73" t="e">
        <f t="shared" si="0"/>
        <v>#DIV/0!</v>
      </c>
      <c r="O16" s="1185">
        <v>0</v>
      </c>
      <c r="P16" s="847"/>
      <c r="Q16" s="73" t="e">
        <f t="shared" si="1"/>
        <v>#DIV/0!</v>
      </c>
      <c r="R16" s="1185">
        <v>16552.75591288296</v>
      </c>
      <c r="S16" s="847"/>
      <c r="T16" s="73">
        <f t="shared" si="2"/>
        <v>0</v>
      </c>
      <c r="U16" s="1185">
        <v>4448.8861917358245</v>
      </c>
      <c r="V16" s="847"/>
      <c r="W16" s="73">
        <f t="shared" si="3"/>
        <v>0</v>
      </c>
      <c r="X16" s="1185">
        <v>5435.8381918412761</v>
      </c>
      <c r="Y16" s="847"/>
      <c r="Z16" s="73">
        <f t="shared" si="4"/>
        <v>0</v>
      </c>
      <c r="AA16" s="1185">
        <v>5315.7369605369822</v>
      </c>
      <c r="AB16" s="847"/>
      <c r="AC16" s="73">
        <f t="shared" si="5"/>
        <v>0</v>
      </c>
      <c r="AD16" s="566">
        <f t="shared" si="6"/>
        <v>0</v>
      </c>
      <c r="AE16" s="73">
        <f t="shared" si="7"/>
        <v>0</v>
      </c>
      <c r="AF16" s="1185">
        <v>4811.5399657557246</v>
      </c>
      <c r="AG16" s="847"/>
      <c r="AH16" s="73">
        <f t="shared" si="8"/>
        <v>0</v>
      </c>
      <c r="AI16" s="1185">
        <v>3850.6364223926512</v>
      </c>
      <c r="AJ16" s="847"/>
      <c r="AK16" s="73">
        <f t="shared" si="9"/>
        <v>0</v>
      </c>
      <c r="AL16" s="1185">
        <v>5976.104567507452</v>
      </c>
      <c r="AM16" s="847"/>
      <c r="AN16" s="73">
        <f t="shared" si="10"/>
        <v>0</v>
      </c>
      <c r="AO16" s="1185">
        <v>6153.3060740734363</v>
      </c>
      <c r="AP16" s="847">
        <v>44149</v>
      </c>
      <c r="AQ16" s="73">
        <f t="shared" si="11"/>
        <v>7.1748421854097266</v>
      </c>
      <c r="AR16" s="1185">
        <v>5192.9178120776323</v>
      </c>
      <c r="AS16" s="847">
        <v>5444</v>
      </c>
      <c r="AT16" s="73">
        <f t="shared" si="12"/>
        <v>1.0483508880765267</v>
      </c>
      <c r="AU16" s="1185">
        <v>3089.1663296271554</v>
      </c>
      <c r="AV16" s="847">
        <v>7015</v>
      </c>
      <c r="AW16" s="73">
        <f t="shared" si="16"/>
        <v>2.2708392010884926</v>
      </c>
      <c r="AX16" s="907">
        <f t="shared" si="17"/>
        <v>56608</v>
      </c>
      <c r="AY16" s="73">
        <f t="shared" si="18"/>
        <v>0.93063935423413946</v>
      </c>
    </row>
    <row r="17" spans="1:51" s="22" customFormat="1" ht="76.5" thickTop="1" thickBot="1">
      <c r="A17" s="2944"/>
      <c r="B17" s="3052"/>
      <c r="C17" s="1186" t="s">
        <v>362</v>
      </c>
      <c r="D17" s="171" t="s">
        <v>111</v>
      </c>
      <c r="E17" s="133" t="s">
        <v>112</v>
      </c>
      <c r="F17" s="133" t="s">
        <v>17</v>
      </c>
      <c r="G17" s="1183">
        <v>132</v>
      </c>
      <c r="H17" s="126"/>
      <c r="I17" s="946"/>
      <c r="J17" s="126"/>
      <c r="K17" s="133" t="s">
        <v>20</v>
      </c>
      <c r="L17" s="1182">
        <v>0</v>
      </c>
      <c r="M17" s="862"/>
      <c r="N17" s="73" t="e">
        <f t="shared" si="0"/>
        <v>#DIV/0!</v>
      </c>
      <c r="O17" s="1182">
        <v>0</v>
      </c>
      <c r="P17" s="862"/>
      <c r="Q17" s="73" t="e">
        <f t="shared" si="1"/>
        <v>#DIV/0!</v>
      </c>
      <c r="R17" s="1182">
        <v>0</v>
      </c>
      <c r="S17" s="862"/>
      <c r="T17" s="73" t="e">
        <f t="shared" si="2"/>
        <v>#DIV/0!</v>
      </c>
      <c r="U17" s="1182">
        <v>0</v>
      </c>
      <c r="V17" s="862"/>
      <c r="W17" s="73" t="e">
        <f t="shared" si="3"/>
        <v>#DIV/0!</v>
      </c>
      <c r="X17" s="1182">
        <v>0</v>
      </c>
      <c r="Y17" s="862"/>
      <c r="Z17" s="73" t="e">
        <f t="shared" si="4"/>
        <v>#DIV/0!</v>
      </c>
      <c r="AA17" s="1182">
        <v>0</v>
      </c>
      <c r="AB17" s="862"/>
      <c r="AC17" s="73" t="e">
        <f t="shared" si="5"/>
        <v>#DIV/0!</v>
      </c>
      <c r="AD17" s="782">
        <f>+M17+P17+S17+V17+Y17+AB17</f>
        <v>0</v>
      </c>
      <c r="AE17" s="73">
        <f t="shared" si="7"/>
        <v>0</v>
      </c>
      <c r="AF17" s="1182">
        <v>0</v>
      </c>
      <c r="AG17" s="862"/>
      <c r="AH17" s="73" t="e">
        <f t="shared" si="8"/>
        <v>#DIV/0!</v>
      </c>
      <c r="AI17" s="1182">
        <v>0</v>
      </c>
      <c r="AJ17" s="862"/>
      <c r="AK17" s="73" t="e">
        <f>+AJ17/AI17</f>
        <v>#DIV/0!</v>
      </c>
      <c r="AL17" s="1182">
        <v>0</v>
      </c>
      <c r="AM17" s="862"/>
      <c r="AN17" s="73" t="e">
        <f t="shared" si="10"/>
        <v>#DIV/0!</v>
      </c>
      <c r="AO17" s="1182">
        <v>129</v>
      </c>
      <c r="AP17" s="862">
        <v>85</v>
      </c>
      <c r="AQ17" s="73">
        <f t="shared" si="11"/>
        <v>0.65891472868217049</v>
      </c>
      <c r="AR17" s="1182">
        <v>129</v>
      </c>
      <c r="AS17" s="862">
        <v>2</v>
      </c>
      <c r="AT17" s="73">
        <f t="shared" si="12"/>
        <v>1.5503875968992248E-2</v>
      </c>
      <c r="AU17" s="1182">
        <v>3</v>
      </c>
      <c r="AV17" s="862"/>
      <c r="AW17" s="73">
        <f t="shared" si="16"/>
        <v>0</v>
      </c>
      <c r="AX17" s="912">
        <f t="shared" si="17"/>
        <v>87</v>
      </c>
      <c r="AY17" s="73">
        <f t="shared" si="18"/>
        <v>0.65909090909090906</v>
      </c>
    </row>
    <row r="18" spans="1:51" s="22" customFormat="1" ht="76.5" thickTop="1" thickBot="1">
      <c r="A18" s="2944"/>
      <c r="B18" s="3052"/>
      <c r="C18" s="137" t="s">
        <v>332</v>
      </c>
      <c r="D18" s="129" t="s">
        <v>114</v>
      </c>
      <c r="E18" s="137" t="s">
        <v>502</v>
      </c>
      <c r="F18" s="137" t="s">
        <v>10</v>
      </c>
      <c r="G18" s="1187">
        <v>1</v>
      </c>
      <c r="H18" s="1083"/>
      <c r="I18" s="1188"/>
      <c r="J18" s="1083"/>
      <c r="K18" s="137" t="s">
        <v>20</v>
      </c>
      <c r="L18" s="529">
        <v>0</v>
      </c>
      <c r="M18" s="527"/>
      <c r="N18" s="73" t="e">
        <f t="shared" si="0"/>
        <v>#DIV/0!</v>
      </c>
      <c r="O18" s="529">
        <v>0</v>
      </c>
      <c r="P18" s="527"/>
      <c r="Q18" s="73" t="e">
        <f t="shared" si="1"/>
        <v>#DIV/0!</v>
      </c>
      <c r="R18" s="529">
        <v>0.25</v>
      </c>
      <c r="S18" s="527">
        <v>0.25</v>
      </c>
      <c r="T18" s="73">
        <f t="shared" si="2"/>
        <v>1</v>
      </c>
      <c r="U18" s="529">
        <v>0</v>
      </c>
      <c r="V18" s="527"/>
      <c r="W18" s="73" t="e">
        <f t="shared" si="3"/>
        <v>#DIV/0!</v>
      </c>
      <c r="X18" s="529">
        <v>0</v>
      </c>
      <c r="Y18" s="527"/>
      <c r="Z18" s="73" t="e">
        <f t="shared" si="4"/>
        <v>#DIV/0!</v>
      </c>
      <c r="AA18" s="529">
        <v>0.25</v>
      </c>
      <c r="AB18" s="527">
        <v>0.25</v>
      </c>
      <c r="AC18" s="73">
        <f t="shared" si="5"/>
        <v>1</v>
      </c>
      <c r="AD18" s="596">
        <f t="shared" si="6"/>
        <v>0.5</v>
      </c>
      <c r="AE18" s="73">
        <f t="shared" si="7"/>
        <v>0.5</v>
      </c>
      <c r="AF18" s="529">
        <v>0</v>
      </c>
      <c r="AG18" s="527"/>
      <c r="AH18" s="73" t="e">
        <f t="shared" si="8"/>
        <v>#DIV/0!</v>
      </c>
      <c r="AI18" s="529">
        <v>0</v>
      </c>
      <c r="AJ18" s="527"/>
      <c r="AK18" s="73" t="e">
        <f t="shared" si="9"/>
        <v>#DIV/0!</v>
      </c>
      <c r="AL18" s="529">
        <v>0.25</v>
      </c>
      <c r="AM18" s="527">
        <v>0.25</v>
      </c>
      <c r="AN18" s="73">
        <f t="shared" si="10"/>
        <v>1</v>
      </c>
      <c r="AO18" s="529">
        <v>0</v>
      </c>
      <c r="AP18" s="527"/>
      <c r="AQ18" s="73" t="e">
        <f t="shared" si="11"/>
        <v>#DIV/0!</v>
      </c>
      <c r="AR18" s="529">
        <v>0</v>
      </c>
      <c r="AS18" s="527"/>
      <c r="AT18" s="73" t="e">
        <f t="shared" si="12"/>
        <v>#DIV/0!</v>
      </c>
      <c r="AU18" s="529">
        <v>0.25</v>
      </c>
      <c r="AV18" s="527">
        <v>0.25</v>
      </c>
      <c r="AW18" s="73">
        <f t="shared" si="16"/>
        <v>1</v>
      </c>
      <c r="AX18" s="529">
        <f t="shared" si="17"/>
        <v>1</v>
      </c>
      <c r="AY18" s="73">
        <f t="shared" si="18"/>
        <v>1</v>
      </c>
    </row>
    <row r="19" spans="1:51" s="22" customFormat="1" ht="46.5" thickTop="1" thickBot="1">
      <c r="A19" s="2944"/>
      <c r="B19" s="3052"/>
      <c r="C19" s="1186" t="s">
        <v>560</v>
      </c>
      <c r="D19" s="171" t="s">
        <v>116</v>
      </c>
      <c r="E19" s="133" t="s">
        <v>117</v>
      </c>
      <c r="F19" s="133" t="s">
        <v>17</v>
      </c>
      <c r="G19" s="1183">
        <v>2280</v>
      </c>
      <c r="H19" s="126"/>
      <c r="I19" s="946"/>
      <c r="J19" s="126"/>
      <c r="K19" s="133" t="s">
        <v>118</v>
      </c>
      <c r="L19" s="1182">
        <v>0</v>
      </c>
      <c r="M19" s="862"/>
      <c r="N19" s="73" t="e">
        <f t="shared" si="0"/>
        <v>#DIV/0!</v>
      </c>
      <c r="O19" s="1182">
        <v>0</v>
      </c>
      <c r="P19" s="862"/>
      <c r="Q19" s="73" t="e">
        <f t="shared" si="1"/>
        <v>#DIV/0!</v>
      </c>
      <c r="R19" s="1182">
        <v>433</v>
      </c>
      <c r="S19" s="862"/>
      <c r="T19" s="73">
        <f t="shared" si="2"/>
        <v>0</v>
      </c>
      <c r="U19" s="1182">
        <v>352</v>
      </c>
      <c r="V19" s="862"/>
      <c r="W19" s="73">
        <f t="shared" si="3"/>
        <v>0</v>
      </c>
      <c r="X19" s="1182">
        <v>102</v>
      </c>
      <c r="Y19" s="862"/>
      <c r="Z19" s="73">
        <f t="shared" si="4"/>
        <v>0</v>
      </c>
      <c r="AA19" s="1182">
        <v>115</v>
      </c>
      <c r="AB19" s="862"/>
      <c r="AC19" s="73">
        <f t="shared" si="5"/>
        <v>0</v>
      </c>
      <c r="AD19" s="782">
        <f t="shared" si="6"/>
        <v>0</v>
      </c>
      <c r="AE19" s="73">
        <f t="shared" si="7"/>
        <v>0</v>
      </c>
      <c r="AF19" s="1182">
        <v>212</v>
      </c>
      <c r="AG19" s="862"/>
      <c r="AH19" s="73">
        <f t="shared" si="8"/>
        <v>0</v>
      </c>
      <c r="AI19" s="1182">
        <v>324</v>
      </c>
      <c r="AJ19" s="862"/>
      <c r="AK19" s="73">
        <f t="shared" si="9"/>
        <v>0</v>
      </c>
      <c r="AL19" s="1182">
        <v>439</v>
      </c>
      <c r="AM19" s="862"/>
      <c r="AN19" s="73">
        <f t="shared" si="10"/>
        <v>0</v>
      </c>
      <c r="AO19" s="1182">
        <v>172</v>
      </c>
      <c r="AP19" s="862">
        <v>1349</v>
      </c>
      <c r="AQ19" s="73">
        <f t="shared" si="11"/>
        <v>7.8430232558139537</v>
      </c>
      <c r="AR19" s="1182">
        <v>118</v>
      </c>
      <c r="AS19" s="862">
        <v>1104</v>
      </c>
      <c r="AT19" s="73">
        <f t="shared" si="12"/>
        <v>9.3559322033898304</v>
      </c>
      <c r="AU19" s="1182">
        <v>13</v>
      </c>
      <c r="AV19" s="862">
        <v>391</v>
      </c>
      <c r="AW19" s="73">
        <f t="shared" si="16"/>
        <v>30.076923076923077</v>
      </c>
      <c r="AX19" s="912">
        <f t="shared" si="17"/>
        <v>2844</v>
      </c>
      <c r="AY19" s="73">
        <f t="shared" si="18"/>
        <v>1.2473684210526317</v>
      </c>
    </row>
    <row r="20" spans="1:51" s="22" customFormat="1" ht="61.5" thickTop="1" thickBot="1">
      <c r="A20" s="2944"/>
      <c r="B20" s="3052"/>
      <c r="C20" s="2967" t="s">
        <v>507</v>
      </c>
      <c r="D20" s="129" t="s">
        <v>120</v>
      </c>
      <c r="E20" s="137" t="s">
        <v>218</v>
      </c>
      <c r="F20" s="137" t="s">
        <v>10</v>
      </c>
      <c r="G20" s="1187">
        <v>0.64100000000000001</v>
      </c>
      <c r="H20" s="1083"/>
      <c r="I20" s="1188"/>
      <c r="J20" s="1083"/>
      <c r="K20" s="137" t="s">
        <v>7</v>
      </c>
      <c r="L20" s="529">
        <v>0</v>
      </c>
      <c r="M20" s="527"/>
      <c r="N20" s="73" t="e">
        <f t="shared" si="0"/>
        <v>#DIV/0!</v>
      </c>
      <c r="O20" s="529">
        <v>0</v>
      </c>
      <c r="P20" s="527"/>
      <c r="Q20" s="73" t="e">
        <f t="shared" si="1"/>
        <v>#DIV/0!</v>
      </c>
      <c r="R20" s="529">
        <v>0</v>
      </c>
      <c r="S20" s="527"/>
      <c r="T20" s="73" t="e">
        <f t="shared" si="2"/>
        <v>#DIV/0!</v>
      </c>
      <c r="U20" s="529">
        <v>0</v>
      </c>
      <c r="V20" s="527"/>
      <c r="W20" s="73" t="e">
        <f t="shared" si="3"/>
        <v>#DIV/0!</v>
      </c>
      <c r="X20" s="529">
        <v>0</v>
      </c>
      <c r="Y20" s="527"/>
      <c r="Z20" s="73" t="e">
        <f t="shared" si="4"/>
        <v>#DIV/0!</v>
      </c>
      <c r="AA20" s="529">
        <v>0</v>
      </c>
      <c r="AB20" s="527"/>
      <c r="AC20" s="73" t="e">
        <f t="shared" si="5"/>
        <v>#DIV/0!</v>
      </c>
      <c r="AD20" s="596">
        <f t="shared" si="6"/>
        <v>0</v>
      </c>
      <c r="AE20" s="73">
        <f t="shared" si="7"/>
        <v>0</v>
      </c>
      <c r="AF20" s="529">
        <v>0</v>
      </c>
      <c r="AG20" s="527"/>
      <c r="AH20" s="73" t="e">
        <f t="shared" si="8"/>
        <v>#DIV/0!</v>
      </c>
      <c r="AI20" s="529">
        <v>0</v>
      </c>
      <c r="AJ20" s="527"/>
      <c r="AK20" s="73" t="e">
        <f t="shared" si="9"/>
        <v>#DIV/0!</v>
      </c>
      <c r="AL20" s="529">
        <v>0</v>
      </c>
      <c r="AM20" s="527"/>
      <c r="AN20" s="73" t="e">
        <f t="shared" si="10"/>
        <v>#DIV/0!</v>
      </c>
      <c r="AO20" s="529">
        <v>0</v>
      </c>
      <c r="AP20" s="527"/>
      <c r="AQ20" s="73" t="e">
        <f t="shared" si="11"/>
        <v>#DIV/0!</v>
      </c>
      <c r="AR20" s="529">
        <v>0</v>
      </c>
      <c r="AS20" s="527"/>
      <c r="AT20" s="73" t="e">
        <f t="shared" si="12"/>
        <v>#DIV/0!</v>
      </c>
      <c r="AU20" s="529">
        <v>0.64100000000000001</v>
      </c>
      <c r="AV20" s="527">
        <v>0.64100000000000001</v>
      </c>
      <c r="AW20" s="73">
        <f t="shared" si="16"/>
        <v>1</v>
      </c>
      <c r="AX20" s="529">
        <f>+AV20</f>
        <v>0.64100000000000001</v>
      </c>
      <c r="AY20" s="73">
        <f t="shared" si="18"/>
        <v>1</v>
      </c>
    </row>
    <row r="21" spans="1:51" s="22" customFormat="1" ht="61.5" thickTop="1" thickBot="1">
      <c r="A21" s="2944"/>
      <c r="B21" s="3052"/>
      <c r="C21" s="2968"/>
      <c r="D21" s="171" t="s">
        <v>122</v>
      </c>
      <c r="E21" s="133" t="s">
        <v>123</v>
      </c>
      <c r="F21" s="133" t="s">
        <v>10</v>
      </c>
      <c r="G21" s="1028">
        <v>1</v>
      </c>
      <c r="H21" s="126"/>
      <c r="I21" s="946"/>
      <c r="J21" s="126"/>
      <c r="K21" s="133" t="s">
        <v>7</v>
      </c>
      <c r="L21" s="144">
        <v>0</v>
      </c>
      <c r="M21" s="145">
        <v>0</v>
      </c>
      <c r="N21" s="73" t="e">
        <f t="shared" si="0"/>
        <v>#DIV/0!</v>
      </c>
      <c r="O21" s="144">
        <v>0</v>
      </c>
      <c r="P21" s="145">
        <v>0</v>
      </c>
      <c r="Q21" s="73" t="e">
        <f t="shared" si="1"/>
        <v>#DIV/0!</v>
      </c>
      <c r="R21" s="144">
        <v>0</v>
      </c>
      <c r="S21" s="145">
        <v>0</v>
      </c>
      <c r="T21" s="73" t="e">
        <f t="shared" si="2"/>
        <v>#DIV/0!</v>
      </c>
      <c r="U21" s="144">
        <v>1</v>
      </c>
      <c r="V21" s="145">
        <v>1</v>
      </c>
      <c r="W21" s="73">
        <f t="shared" si="3"/>
        <v>1</v>
      </c>
      <c r="X21" s="144">
        <v>0</v>
      </c>
      <c r="Y21" s="145">
        <v>0</v>
      </c>
      <c r="Z21" s="73" t="e">
        <f t="shared" si="4"/>
        <v>#DIV/0!</v>
      </c>
      <c r="AA21" s="144">
        <v>0</v>
      </c>
      <c r="AB21" s="145">
        <v>0</v>
      </c>
      <c r="AC21" s="73" t="e">
        <f t="shared" si="5"/>
        <v>#DIV/0!</v>
      </c>
      <c r="AD21" s="596">
        <f t="shared" si="6"/>
        <v>1</v>
      </c>
      <c r="AE21" s="73">
        <f t="shared" si="7"/>
        <v>1</v>
      </c>
      <c r="AF21" s="144">
        <v>0</v>
      </c>
      <c r="AG21" s="145">
        <v>0</v>
      </c>
      <c r="AH21" s="73" t="e">
        <f t="shared" si="8"/>
        <v>#DIV/0!</v>
      </c>
      <c r="AI21" s="144">
        <v>0</v>
      </c>
      <c r="AJ21" s="145">
        <v>0</v>
      </c>
      <c r="AK21" s="73" t="e">
        <f t="shared" si="9"/>
        <v>#DIV/0!</v>
      </c>
      <c r="AL21" s="144">
        <v>0</v>
      </c>
      <c r="AM21" s="145">
        <v>0</v>
      </c>
      <c r="AN21" s="73" t="e">
        <f t="shared" si="10"/>
        <v>#DIV/0!</v>
      </c>
      <c r="AO21" s="144">
        <v>1</v>
      </c>
      <c r="AP21" s="145">
        <v>1</v>
      </c>
      <c r="AQ21" s="73">
        <f t="shared" si="11"/>
        <v>1</v>
      </c>
      <c r="AR21" s="144">
        <v>0</v>
      </c>
      <c r="AS21" s="145"/>
      <c r="AT21" s="73" t="e">
        <f t="shared" si="12"/>
        <v>#DIV/0!</v>
      </c>
      <c r="AU21" s="144">
        <v>0</v>
      </c>
      <c r="AV21" s="145"/>
      <c r="AW21" s="73" t="e">
        <f t="shared" si="16"/>
        <v>#DIV/0!</v>
      </c>
      <c r="AX21" s="144">
        <f>(+AP21+V21)/2</f>
        <v>1</v>
      </c>
      <c r="AY21" s="73">
        <f t="shared" si="18"/>
        <v>1</v>
      </c>
    </row>
    <row r="22" spans="1:51" s="22" customFormat="1" ht="61.5" thickTop="1" thickBot="1">
      <c r="A22" s="2944"/>
      <c r="B22" s="3052"/>
      <c r="C22" s="2968"/>
      <c r="D22" s="129" t="s">
        <v>124</v>
      </c>
      <c r="E22" s="137" t="s">
        <v>176</v>
      </c>
      <c r="F22" s="137" t="s">
        <v>10</v>
      </c>
      <c r="G22" s="1187">
        <v>1</v>
      </c>
      <c r="H22" s="1083"/>
      <c r="I22" s="1188"/>
      <c r="J22" s="1083"/>
      <c r="K22" s="137" t="s">
        <v>7</v>
      </c>
      <c r="L22" s="529">
        <v>0</v>
      </c>
      <c r="M22" s="527">
        <v>0</v>
      </c>
      <c r="N22" s="73" t="e">
        <f t="shared" si="0"/>
        <v>#DIV/0!</v>
      </c>
      <c r="O22" s="529">
        <v>0</v>
      </c>
      <c r="P22" s="527">
        <v>0</v>
      </c>
      <c r="Q22" s="73" t="e">
        <f t="shared" si="1"/>
        <v>#DIV/0!</v>
      </c>
      <c r="R22" s="529">
        <v>1</v>
      </c>
      <c r="S22" s="527">
        <v>1</v>
      </c>
      <c r="T22" s="73">
        <f t="shared" si="2"/>
        <v>1</v>
      </c>
      <c r="U22" s="529">
        <v>0</v>
      </c>
      <c r="V22" s="527">
        <v>0</v>
      </c>
      <c r="W22" s="73" t="e">
        <f t="shared" si="3"/>
        <v>#DIV/0!</v>
      </c>
      <c r="X22" s="529">
        <v>0</v>
      </c>
      <c r="Y22" s="527">
        <v>0</v>
      </c>
      <c r="Z22" s="73" t="e">
        <f t="shared" si="4"/>
        <v>#DIV/0!</v>
      </c>
      <c r="AA22" s="529">
        <v>1</v>
      </c>
      <c r="AB22" s="527">
        <v>1</v>
      </c>
      <c r="AC22" s="73">
        <f t="shared" si="5"/>
        <v>1</v>
      </c>
      <c r="AD22" s="596">
        <f t="shared" si="6"/>
        <v>2</v>
      </c>
      <c r="AE22" s="73">
        <f t="shared" si="7"/>
        <v>2</v>
      </c>
      <c r="AF22" s="529">
        <v>0</v>
      </c>
      <c r="AG22" s="527">
        <v>0</v>
      </c>
      <c r="AH22" s="73" t="e">
        <f t="shared" si="8"/>
        <v>#DIV/0!</v>
      </c>
      <c r="AI22" s="529">
        <v>0</v>
      </c>
      <c r="AJ22" s="527">
        <v>0</v>
      </c>
      <c r="AK22" s="73" t="e">
        <f t="shared" si="9"/>
        <v>#DIV/0!</v>
      </c>
      <c r="AL22" s="529">
        <v>1</v>
      </c>
      <c r="AM22" s="527">
        <v>1</v>
      </c>
      <c r="AN22" s="73">
        <f t="shared" si="10"/>
        <v>1</v>
      </c>
      <c r="AO22" s="529">
        <v>0</v>
      </c>
      <c r="AP22" s="527">
        <v>1</v>
      </c>
      <c r="AQ22" s="73" t="e">
        <f t="shared" si="11"/>
        <v>#DIV/0!</v>
      </c>
      <c r="AR22" s="529">
        <v>0</v>
      </c>
      <c r="AS22" s="527">
        <v>1</v>
      </c>
      <c r="AT22" s="73" t="e">
        <f t="shared" si="12"/>
        <v>#DIV/0!</v>
      </c>
      <c r="AU22" s="529">
        <v>1</v>
      </c>
      <c r="AV22" s="527">
        <v>1</v>
      </c>
      <c r="AW22" s="73">
        <f t="shared" si="16"/>
        <v>1</v>
      </c>
      <c r="AX22" s="529">
        <f>(+AV22+AM22+AB22+S22)/4</f>
        <v>1</v>
      </c>
      <c r="AY22" s="73">
        <f t="shared" si="18"/>
        <v>1</v>
      </c>
    </row>
    <row r="23" spans="1:51" s="22" customFormat="1" ht="46.5" thickTop="1" thickBot="1">
      <c r="A23" s="2944"/>
      <c r="B23" s="3052"/>
      <c r="C23" s="2968"/>
      <c r="D23" s="171" t="s">
        <v>561</v>
      </c>
      <c r="E23" s="133" t="s">
        <v>127</v>
      </c>
      <c r="F23" s="133" t="s">
        <v>10</v>
      </c>
      <c r="G23" s="1028">
        <v>1</v>
      </c>
      <c r="H23" s="126"/>
      <c r="I23" s="946"/>
      <c r="J23" s="126"/>
      <c r="K23" s="133" t="s">
        <v>7</v>
      </c>
      <c r="L23" s="144">
        <v>1</v>
      </c>
      <c r="M23" s="145">
        <v>1</v>
      </c>
      <c r="N23" s="73">
        <f t="shared" si="0"/>
        <v>1</v>
      </c>
      <c r="O23" s="144">
        <v>1</v>
      </c>
      <c r="P23" s="145">
        <v>1</v>
      </c>
      <c r="Q23" s="73">
        <f t="shared" si="1"/>
        <v>1</v>
      </c>
      <c r="R23" s="144">
        <v>1</v>
      </c>
      <c r="S23" s="145">
        <v>1</v>
      </c>
      <c r="T23" s="73">
        <f t="shared" si="2"/>
        <v>1</v>
      </c>
      <c r="U23" s="144">
        <v>1</v>
      </c>
      <c r="V23" s="145">
        <v>1</v>
      </c>
      <c r="W23" s="73">
        <f t="shared" si="3"/>
        <v>1</v>
      </c>
      <c r="X23" s="144">
        <v>1</v>
      </c>
      <c r="Y23" s="145">
        <v>1</v>
      </c>
      <c r="Z23" s="73">
        <f t="shared" si="4"/>
        <v>1</v>
      </c>
      <c r="AA23" s="144">
        <v>1</v>
      </c>
      <c r="AB23" s="145">
        <v>1</v>
      </c>
      <c r="AC23" s="73">
        <f t="shared" si="5"/>
        <v>1</v>
      </c>
      <c r="AD23" s="596">
        <f>(+M23+P23+S23+V23+Y23+AB23)/6</f>
        <v>1</v>
      </c>
      <c r="AE23" s="73">
        <f t="shared" si="7"/>
        <v>1</v>
      </c>
      <c r="AF23" s="144">
        <v>1</v>
      </c>
      <c r="AG23" s="145">
        <v>1</v>
      </c>
      <c r="AH23" s="73">
        <f t="shared" si="8"/>
        <v>1</v>
      </c>
      <c r="AI23" s="144">
        <v>1</v>
      </c>
      <c r="AJ23" s="145">
        <v>1</v>
      </c>
      <c r="AK23" s="73">
        <f t="shared" si="9"/>
        <v>1</v>
      </c>
      <c r="AL23" s="144">
        <v>1</v>
      </c>
      <c r="AM23" s="145">
        <v>1</v>
      </c>
      <c r="AN23" s="73">
        <f t="shared" si="10"/>
        <v>1</v>
      </c>
      <c r="AO23" s="144">
        <v>1</v>
      </c>
      <c r="AP23" s="145">
        <v>1</v>
      </c>
      <c r="AQ23" s="73">
        <f t="shared" si="11"/>
        <v>1</v>
      </c>
      <c r="AR23" s="144">
        <v>1</v>
      </c>
      <c r="AS23" s="145">
        <v>1</v>
      </c>
      <c r="AT23" s="73">
        <f t="shared" si="12"/>
        <v>1</v>
      </c>
      <c r="AU23" s="144">
        <v>1</v>
      </c>
      <c r="AV23" s="145">
        <v>1</v>
      </c>
      <c r="AW23" s="73">
        <f t="shared" si="16"/>
        <v>1</v>
      </c>
      <c r="AX23" s="144">
        <f>(+M23+P23+S23+V23+Y23+AB23+AG23+AJ23+AM23+AP23+AS23+AV23)/12</f>
        <v>1</v>
      </c>
      <c r="AY23" s="73">
        <f t="shared" si="18"/>
        <v>1</v>
      </c>
    </row>
    <row r="24" spans="1:51" s="22" customFormat="1" ht="61.5" thickTop="1" thickBot="1">
      <c r="A24" s="2944"/>
      <c r="B24" s="3052"/>
      <c r="C24" s="2968"/>
      <c r="D24" s="129" t="s">
        <v>128</v>
      </c>
      <c r="E24" s="137" t="s">
        <v>220</v>
      </c>
      <c r="F24" s="137" t="s">
        <v>10</v>
      </c>
      <c r="G24" s="1187">
        <v>1</v>
      </c>
      <c r="H24" s="1083"/>
      <c r="I24" s="1188"/>
      <c r="J24" s="1083"/>
      <c r="K24" s="137" t="s">
        <v>7</v>
      </c>
      <c r="L24" s="529">
        <v>1</v>
      </c>
      <c r="M24" s="527">
        <v>1</v>
      </c>
      <c r="N24" s="73">
        <f t="shared" si="0"/>
        <v>1</v>
      </c>
      <c r="O24" s="529">
        <v>1</v>
      </c>
      <c r="P24" s="527">
        <v>1</v>
      </c>
      <c r="Q24" s="73">
        <f t="shared" si="1"/>
        <v>1</v>
      </c>
      <c r="R24" s="529">
        <v>1</v>
      </c>
      <c r="S24" s="527">
        <v>1</v>
      </c>
      <c r="T24" s="73">
        <f t="shared" si="2"/>
        <v>1</v>
      </c>
      <c r="U24" s="529">
        <v>1</v>
      </c>
      <c r="V24" s="527">
        <v>1</v>
      </c>
      <c r="W24" s="73">
        <f t="shared" si="3"/>
        <v>1</v>
      </c>
      <c r="X24" s="529">
        <v>1</v>
      </c>
      <c r="Y24" s="527">
        <v>1</v>
      </c>
      <c r="Z24" s="73">
        <f t="shared" si="4"/>
        <v>1</v>
      </c>
      <c r="AA24" s="529">
        <v>1</v>
      </c>
      <c r="AB24" s="527">
        <v>1</v>
      </c>
      <c r="AC24" s="73">
        <f t="shared" si="5"/>
        <v>1</v>
      </c>
      <c r="AD24" s="596">
        <f>(+M24+P24+S24+V24+Y24+AB24)/6</f>
        <v>1</v>
      </c>
      <c r="AE24" s="73">
        <f t="shared" si="7"/>
        <v>1</v>
      </c>
      <c r="AF24" s="529">
        <v>1</v>
      </c>
      <c r="AG24" s="527">
        <v>1</v>
      </c>
      <c r="AH24" s="73">
        <f t="shared" si="8"/>
        <v>1</v>
      </c>
      <c r="AI24" s="529">
        <v>1</v>
      </c>
      <c r="AJ24" s="527">
        <v>1</v>
      </c>
      <c r="AK24" s="73">
        <f t="shared" si="9"/>
        <v>1</v>
      </c>
      <c r="AL24" s="529">
        <v>1</v>
      </c>
      <c r="AM24" s="527">
        <v>1</v>
      </c>
      <c r="AN24" s="73">
        <f t="shared" si="10"/>
        <v>1</v>
      </c>
      <c r="AO24" s="529">
        <v>1</v>
      </c>
      <c r="AP24" s="527">
        <v>1</v>
      </c>
      <c r="AQ24" s="73">
        <f t="shared" si="11"/>
        <v>1</v>
      </c>
      <c r="AR24" s="529">
        <v>1</v>
      </c>
      <c r="AS24" s="527">
        <v>1</v>
      </c>
      <c r="AT24" s="73">
        <f t="shared" si="12"/>
        <v>1</v>
      </c>
      <c r="AU24" s="529">
        <v>1</v>
      </c>
      <c r="AV24" s="527">
        <v>1</v>
      </c>
      <c r="AW24" s="73">
        <f t="shared" si="16"/>
        <v>1</v>
      </c>
      <c r="AX24" s="529">
        <f>(+M24+P24+S24+V24+Y24+AB24+AG24+AJ24+AM24+AP24+AS24+AV24)/12</f>
        <v>1</v>
      </c>
      <c r="AY24" s="73">
        <f t="shared" si="18"/>
        <v>1</v>
      </c>
    </row>
    <row r="25" spans="1:51" s="22" customFormat="1" ht="61.5" thickTop="1" thickBot="1">
      <c r="A25" s="2944"/>
      <c r="B25" s="3052"/>
      <c r="C25" s="2968"/>
      <c r="D25" s="171" t="s">
        <v>179</v>
      </c>
      <c r="E25" s="133" t="s">
        <v>131</v>
      </c>
      <c r="F25" s="133" t="s">
        <v>10</v>
      </c>
      <c r="G25" s="1028">
        <v>1</v>
      </c>
      <c r="H25" s="126"/>
      <c r="I25" s="946"/>
      <c r="J25" s="126"/>
      <c r="K25" s="133" t="s">
        <v>7</v>
      </c>
      <c r="L25" s="144">
        <v>1</v>
      </c>
      <c r="M25" s="145">
        <v>0</v>
      </c>
      <c r="N25" s="73">
        <f t="shared" si="0"/>
        <v>0</v>
      </c>
      <c r="O25" s="144">
        <v>1</v>
      </c>
      <c r="P25" s="145">
        <v>0</v>
      </c>
      <c r="Q25" s="73">
        <f t="shared" si="1"/>
        <v>0</v>
      </c>
      <c r="R25" s="144">
        <v>1</v>
      </c>
      <c r="S25" s="145">
        <v>0</v>
      </c>
      <c r="T25" s="73">
        <f t="shared" si="2"/>
        <v>0</v>
      </c>
      <c r="U25" s="144">
        <v>1</v>
      </c>
      <c r="V25" s="145">
        <v>0</v>
      </c>
      <c r="W25" s="73">
        <f t="shared" si="3"/>
        <v>0</v>
      </c>
      <c r="X25" s="144">
        <v>1</v>
      </c>
      <c r="Y25" s="145">
        <v>0.1</v>
      </c>
      <c r="Z25" s="73">
        <f t="shared" si="4"/>
        <v>0.1</v>
      </c>
      <c r="AA25" s="144">
        <v>1</v>
      </c>
      <c r="AB25" s="145">
        <v>0</v>
      </c>
      <c r="AC25" s="73">
        <f t="shared" si="5"/>
        <v>0</v>
      </c>
      <c r="AD25" s="596">
        <f>(+M25+P25+S25+V25+Y25+AB25)/6</f>
        <v>1.6666666666666666E-2</v>
      </c>
      <c r="AE25" s="73">
        <f t="shared" si="7"/>
        <v>1.6666666666666666E-2</v>
      </c>
      <c r="AF25" s="144">
        <v>1</v>
      </c>
      <c r="AG25" s="145">
        <v>0.05</v>
      </c>
      <c r="AH25" s="73">
        <f t="shared" si="8"/>
        <v>0.05</v>
      </c>
      <c r="AI25" s="144">
        <v>1</v>
      </c>
      <c r="AJ25" s="145">
        <v>0</v>
      </c>
      <c r="AK25" s="73">
        <f t="shared" si="9"/>
        <v>0</v>
      </c>
      <c r="AL25" s="144">
        <v>1</v>
      </c>
      <c r="AM25" s="145">
        <v>0.05</v>
      </c>
      <c r="AN25" s="73">
        <f t="shared" si="10"/>
        <v>0.05</v>
      </c>
      <c r="AO25" s="144">
        <v>1</v>
      </c>
      <c r="AP25" s="145">
        <v>0.1</v>
      </c>
      <c r="AQ25" s="73">
        <f t="shared" si="11"/>
        <v>0.1</v>
      </c>
      <c r="AR25" s="144">
        <v>1</v>
      </c>
      <c r="AS25" s="145">
        <v>0.58240000000000003</v>
      </c>
      <c r="AT25" s="73">
        <f t="shared" si="12"/>
        <v>0.58240000000000003</v>
      </c>
      <c r="AU25" s="144">
        <v>1</v>
      </c>
      <c r="AV25" s="145">
        <v>0.35289999999999999</v>
      </c>
      <c r="AW25" s="73">
        <f t="shared" si="16"/>
        <v>0.35289999999999999</v>
      </c>
      <c r="AX25" s="144">
        <f>(+M25+P25+S25+V25+Y25+AB25+AG25+AJ25+AM25+AP25+AS25+AV25)</f>
        <v>1.2353000000000001</v>
      </c>
      <c r="AY25" s="73">
        <f t="shared" si="18"/>
        <v>1.2353000000000001</v>
      </c>
    </row>
    <row r="26" spans="1:51" s="22" customFormat="1" ht="61.5" thickTop="1" thickBot="1">
      <c r="A26" s="2944"/>
      <c r="B26" s="2955"/>
      <c r="C26" s="2969"/>
      <c r="D26" s="129" t="s">
        <v>562</v>
      </c>
      <c r="E26" s="137" t="s">
        <v>133</v>
      </c>
      <c r="F26" s="137" t="s">
        <v>10</v>
      </c>
      <c r="G26" s="1187">
        <v>1</v>
      </c>
      <c r="H26" s="1083"/>
      <c r="I26" s="1188"/>
      <c r="J26" s="1083"/>
      <c r="K26" s="137" t="s">
        <v>7</v>
      </c>
      <c r="L26" s="529">
        <v>0</v>
      </c>
      <c r="M26" s="527">
        <v>0</v>
      </c>
      <c r="N26" s="73" t="e">
        <f t="shared" si="0"/>
        <v>#DIV/0!</v>
      </c>
      <c r="O26" s="529">
        <v>0</v>
      </c>
      <c r="P26" s="527">
        <v>0</v>
      </c>
      <c r="Q26" s="73" t="e">
        <f t="shared" si="1"/>
        <v>#DIV/0!</v>
      </c>
      <c r="R26" s="529">
        <v>0</v>
      </c>
      <c r="S26" s="527">
        <v>0</v>
      </c>
      <c r="T26" s="73" t="e">
        <f t="shared" si="2"/>
        <v>#DIV/0!</v>
      </c>
      <c r="U26" s="529">
        <v>0</v>
      </c>
      <c r="V26" s="527">
        <v>0</v>
      </c>
      <c r="W26" s="73" t="e">
        <f t="shared" si="3"/>
        <v>#DIV/0!</v>
      </c>
      <c r="X26" s="529">
        <v>0</v>
      </c>
      <c r="Y26" s="527">
        <v>0</v>
      </c>
      <c r="Z26" s="73" t="e">
        <f t="shared" si="4"/>
        <v>#DIV/0!</v>
      </c>
      <c r="AA26" s="529">
        <v>0</v>
      </c>
      <c r="AB26" s="527">
        <v>1</v>
      </c>
      <c r="AC26" s="73" t="e">
        <f t="shared" si="5"/>
        <v>#DIV/0!</v>
      </c>
      <c r="AD26" s="596">
        <f t="shared" si="6"/>
        <v>1</v>
      </c>
      <c r="AE26" s="73">
        <f t="shared" si="7"/>
        <v>1</v>
      </c>
      <c r="AF26" s="529">
        <v>0</v>
      </c>
      <c r="AG26" s="527">
        <v>0</v>
      </c>
      <c r="AH26" s="73" t="e">
        <f t="shared" si="8"/>
        <v>#DIV/0!</v>
      </c>
      <c r="AI26" s="529">
        <v>1</v>
      </c>
      <c r="AJ26" s="527">
        <v>1</v>
      </c>
      <c r="AK26" s="73">
        <f t="shared" si="9"/>
        <v>1</v>
      </c>
      <c r="AL26" s="529">
        <v>0</v>
      </c>
      <c r="AM26" s="527">
        <v>0</v>
      </c>
      <c r="AN26" s="73" t="e">
        <f t="shared" si="10"/>
        <v>#DIV/0!</v>
      </c>
      <c r="AO26" s="529">
        <v>0</v>
      </c>
      <c r="AP26" s="527">
        <v>0</v>
      </c>
      <c r="AQ26" s="73" t="e">
        <f t="shared" si="11"/>
        <v>#DIV/0!</v>
      </c>
      <c r="AR26" s="529">
        <v>0</v>
      </c>
      <c r="AS26" s="527">
        <v>0</v>
      </c>
      <c r="AT26" s="73" t="e">
        <f t="shared" si="12"/>
        <v>#DIV/0!</v>
      </c>
      <c r="AU26" s="529">
        <v>0</v>
      </c>
      <c r="AV26" s="527"/>
      <c r="AW26" s="73" t="e">
        <f t="shared" si="16"/>
        <v>#DIV/0!</v>
      </c>
      <c r="AX26" s="529">
        <f>+AJ26</f>
        <v>1</v>
      </c>
      <c r="AY26" s="73">
        <f t="shared" si="18"/>
        <v>1</v>
      </c>
    </row>
    <row r="27" spans="1:51" s="22" customFormat="1" ht="114" thickTop="1" thickBot="1">
      <c r="A27" s="2945"/>
      <c r="B27" s="1189" t="s">
        <v>418</v>
      </c>
      <c r="C27" s="133" t="s">
        <v>563</v>
      </c>
      <c r="D27" s="171" t="s">
        <v>467</v>
      </c>
      <c r="E27" s="133" t="s">
        <v>228</v>
      </c>
      <c r="F27" s="133" t="s">
        <v>101</v>
      </c>
      <c r="G27" s="1190">
        <f>+'[4]FIS-24'!$CJ$16</f>
        <v>60000000.000000007</v>
      </c>
      <c r="H27" s="133"/>
      <c r="I27" s="133"/>
      <c r="J27" s="133"/>
      <c r="K27" s="133" t="s">
        <v>140</v>
      </c>
      <c r="L27" s="765">
        <v>3333333.3333333335</v>
      </c>
      <c r="M27" s="567">
        <v>8226159</v>
      </c>
      <c r="N27" s="73">
        <f t="shared" si="0"/>
        <v>2.4678477000000001</v>
      </c>
      <c r="O27" s="765">
        <v>3333333.3333333335</v>
      </c>
      <c r="P27" s="567">
        <v>125653</v>
      </c>
      <c r="Q27" s="73">
        <f t="shared" si="1"/>
        <v>3.7695899999999997E-2</v>
      </c>
      <c r="R27" s="765">
        <v>3333333.3333333335</v>
      </c>
      <c r="S27" s="567">
        <v>0</v>
      </c>
      <c r="T27" s="73">
        <f t="shared" si="2"/>
        <v>0</v>
      </c>
      <c r="U27" s="765">
        <v>6611111</v>
      </c>
      <c r="V27" s="567">
        <v>0</v>
      </c>
      <c r="W27" s="73">
        <f t="shared" si="3"/>
        <v>0</v>
      </c>
      <c r="X27" s="765">
        <v>6611111</v>
      </c>
      <c r="Y27" s="567">
        <v>0</v>
      </c>
      <c r="Z27" s="73">
        <f t="shared" si="4"/>
        <v>0</v>
      </c>
      <c r="AA27" s="765">
        <v>6611111</v>
      </c>
      <c r="AB27" s="567">
        <v>0</v>
      </c>
      <c r="AC27" s="73">
        <f t="shared" si="5"/>
        <v>0</v>
      </c>
      <c r="AD27" s="566">
        <f t="shared" si="6"/>
        <v>8351812</v>
      </c>
      <c r="AE27" s="73">
        <f t="shared" si="7"/>
        <v>0.13919686666666664</v>
      </c>
      <c r="AF27" s="765">
        <v>6611111</v>
      </c>
      <c r="AG27" s="567">
        <v>1845497</v>
      </c>
      <c r="AH27" s="73">
        <f t="shared" si="8"/>
        <v>0.27915081141429937</v>
      </c>
      <c r="AI27" s="765">
        <v>5417777.8800000008</v>
      </c>
      <c r="AJ27" s="567">
        <v>2829914</v>
      </c>
      <c r="AK27" s="73">
        <f t="shared" si="9"/>
        <v>0.52233850532093051</v>
      </c>
      <c r="AL27" s="765">
        <v>5417777.8800000008</v>
      </c>
      <c r="AM27" s="567">
        <v>4839176</v>
      </c>
      <c r="AN27" s="73">
        <f t="shared" si="10"/>
        <v>0.89320310045638107</v>
      </c>
      <c r="AO27" s="765">
        <v>5417777.8800000008</v>
      </c>
      <c r="AP27" s="567">
        <v>3918270</v>
      </c>
      <c r="AQ27" s="73">
        <f t="shared" si="11"/>
        <v>0.72322455567336763</v>
      </c>
      <c r="AR27" s="765">
        <v>3651111.1800000011</v>
      </c>
      <c r="AS27" s="567">
        <v>1847641</v>
      </c>
      <c r="AT27" s="73">
        <f t="shared" si="12"/>
        <v>0.50604895575927089</v>
      </c>
      <c r="AU27" s="765">
        <v>3651111.1800000011</v>
      </c>
      <c r="AV27" s="567">
        <v>16140577</v>
      </c>
      <c r="AW27" s="73">
        <f t="shared" si="16"/>
        <v>4.4207300748371061</v>
      </c>
      <c r="AX27" s="765">
        <f t="shared" si="17"/>
        <v>39772887</v>
      </c>
      <c r="AY27" s="73">
        <f t="shared" si="18"/>
        <v>0.66288144999999987</v>
      </c>
    </row>
    <row r="28" spans="1:51" s="22" customFormat="1" ht="22.5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93"/>
      <c r="M28" s="896"/>
      <c r="N28" s="1191"/>
      <c r="O28" s="896"/>
      <c r="P28" s="896"/>
      <c r="Q28" s="1191"/>
      <c r="R28" s="896"/>
      <c r="S28" s="896"/>
      <c r="T28" s="1191"/>
      <c r="U28" s="896"/>
      <c r="V28" s="896"/>
      <c r="W28" s="1191"/>
      <c r="X28" s="896"/>
      <c r="Y28" s="896"/>
      <c r="Z28" s="1191"/>
      <c r="AA28" s="896"/>
      <c r="AB28" s="896"/>
      <c r="AC28" s="1191"/>
      <c r="AD28" s="896"/>
      <c r="AE28" s="1095"/>
      <c r="AF28" s="896"/>
      <c r="AG28" s="896"/>
      <c r="AH28" s="1191"/>
      <c r="AI28" s="896"/>
      <c r="AJ28" s="896"/>
      <c r="AK28" s="1191"/>
      <c r="AL28" s="896"/>
      <c r="AM28" s="896"/>
      <c r="AN28" s="1191"/>
      <c r="AO28" s="896"/>
      <c r="AP28" s="896"/>
      <c r="AQ28" s="1191"/>
      <c r="AR28" s="896"/>
      <c r="AS28" s="896"/>
      <c r="AT28" s="1191"/>
      <c r="AU28" s="896"/>
      <c r="AV28" s="896"/>
      <c r="AW28" s="1191"/>
      <c r="AX28" s="896"/>
      <c r="AY28" s="1192"/>
    </row>
    <row r="29" spans="1:51" s="22" customFormat="1" ht="106.5" thickTop="1" thickBot="1">
      <c r="A29" s="2905" t="s">
        <v>181</v>
      </c>
      <c r="B29" s="2991" t="s">
        <v>314</v>
      </c>
      <c r="C29" s="734" t="s">
        <v>564</v>
      </c>
      <c r="D29" s="731" t="s">
        <v>144</v>
      </c>
      <c r="E29" s="671" t="s">
        <v>145</v>
      </c>
      <c r="F29" s="671" t="s">
        <v>17</v>
      </c>
      <c r="G29" s="671">
        <v>120</v>
      </c>
      <c r="H29" s="837"/>
      <c r="I29" s="1193"/>
      <c r="J29" s="837"/>
      <c r="K29" s="671" t="s">
        <v>146</v>
      </c>
      <c r="L29" s="119">
        <v>0</v>
      </c>
      <c r="M29" s="120"/>
      <c r="N29" s="73" t="e">
        <f t="shared" si="0"/>
        <v>#DIV/0!</v>
      </c>
      <c r="O29" s="119">
        <v>0</v>
      </c>
      <c r="P29" s="120"/>
      <c r="Q29" s="73" t="e">
        <f t="shared" si="1"/>
        <v>#DIV/0!</v>
      </c>
      <c r="R29" s="119">
        <v>0</v>
      </c>
      <c r="S29" s="120"/>
      <c r="T29" s="73" t="e">
        <f t="shared" si="2"/>
        <v>#DIV/0!</v>
      </c>
      <c r="U29" s="119">
        <v>30</v>
      </c>
      <c r="V29" s="120">
        <v>30</v>
      </c>
      <c r="W29" s="73">
        <f t="shared" si="3"/>
        <v>1</v>
      </c>
      <c r="X29" s="119">
        <v>0</v>
      </c>
      <c r="Y29" s="120"/>
      <c r="Z29" s="73" t="e">
        <f t="shared" si="4"/>
        <v>#DIV/0!</v>
      </c>
      <c r="AA29" s="119">
        <v>0</v>
      </c>
      <c r="AB29" s="120"/>
      <c r="AC29" s="73" t="e">
        <f t="shared" si="5"/>
        <v>#DIV/0!</v>
      </c>
      <c r="AD29" s="782">
        <f t="shared" si="6"/>
        <v>30</v>
      </c>
      <c r="AE29" s="73">
        <f t="shared" si="7"/>
        <v>0.25</v>
      </c>
      <c r="AF29" s="119">
        <v>0</v>
      </c>
      <c r="AG29" s="120"/>
      <c r="AH29" s="73" t="e">
        <f t="shared" si="8"/>
        <v>#DIV/0!</v>
      </c>
      <c r="AI29" s="119">
        <v>40</v>
      </c>
      <c r="AJ29" s="120">
        <v>0</v>
      </c>
      <c r="AK29" s="73">
        <f t="shared" si="9"/>
        <v>0</v>
      </c>
      <c r="AL29" s="119">
        <v>0</v>
      </c>
      <c r="AM29" s="120"/>
      <c r="AN29" s="73" t="e">
        <f t="shared" si="10"/>
        <v>#DIV/0!</v>
      </c>
      <c r="AO29" s="119">
        <v>0</v>
      </c>
      <c r="AP29" s="120"/>
      <c r="AQ29" s="73" t="e">
        <f t="shared" si="11"/>
        <v>#DIV/0!</v>
      </c>
      <c r="AR29" s="119">
        <v>0</v>
      </c>
      <c r="AS29" s="120"/>
      <c r="AT29" s="73" t="e">
        <f t="shared" si="12"/>
        <v>#DIV/0!</v>
      </c>
      <c r="AU29" s="119">
        <v>50</v>
      </c>
      <c r="AV29" s="120">
        <v>90</v>
      </c>
      <c r="AW29" s="73">
        <f t="shared" si="16"/>
        <v>1.8</v>
      </c>
      <c r="AX29" s="119">
        <f t="shared" si="17"/>
        <v>120</v>
      </c>
      <c r="AY29" s="73">
        <f t="shared" si="18"/>
        <v>1</v>
      </c>
    </row>
    <row r="30" spans="1:51" s="22" customFormat="1" ht="61.5" thickTop="1" thickBot="1">
      <c r="A30" s="2906"/>
      <c r="B30" s="3051"/>
      <c r="C30" s="561" t="s">
        <v>317</v>
      </c>
      <c r="D30" s="623" t="s">
        <v>148</v>
      </c>
      <c r="E30" s="561" t="s">
        <v>149</v>
      </c>
      <c r="F30" s="561" t="s">
        <v>8</v>
      </c>
      <c r="G30" s="1116">
        <v>10.199999999999999</v>
      </c>
      <c r="H30" s="837"/>
      <c r="I30" s="1193"/>
      <c r="J30" s="837"/>
      <c r="K30" s="1033" t="s">
        <v>9</v>
      </c>
      <c r="L30" s="514">
        <v>10.199999999999999</v>
      </c>
      <c r="M30" s="496"/>
      <c r="N30" s="73" t="e">
        <f>+L30/M30</f>
        <v>#DIV/0!</v>
      </c>
      <c r="O30" s="514">
        <v>10.199999999999999</v>
      </c>
      <c r="P30" s="496"/>
      <c r="Q30" s="73" t="e">
        <f>+O30/P30</f>
        <v>#DIV/0!</v>
      </c>
      <c r="R30" s="514">
        <v>10.199999999999999</v>
      </c>
      <c r="S30" s="496"/>
      <c r="T30" s="73" t="e">
        <f>+R30/S30</f>
        <v>#DIV/0!</v>
      </c>
      <c r="U30" s="514">
        <v>10.199999999999999</v>
      </c>
      <c r="V30" s="496"/>
      <c r="W30" s="73" t="e">
        <f>+U30/V30</f>
        <v>#DIV/0!</v>
      </c>
      <c r="X30" s="514">
        <v>10.199999999999999</v>
      </c>
      <c r="Y30" s="496"/>
      <c r="Z30" s="73" t="e">
        <f>+X30/Y30</f>
        <v>#DIV/0!</v>
      </c>
      <c r="AA30" s="514">
        <v>10.199999999999999</v>
      </c>
      <c r="AB30" s="496"/>
      <c r="AC30" s="73" t="e">
        <f>+AA30/AB30</f>
        <v>#DIV/0!</v>
      </c>
      <c r="AD30" s="782">
        <f>(+M30+P30+S30+V30+Y30+AB30)/6</f>
        <v>0</v>
      </c>
      <c r="AE30" s="73" t="e">
        <f>+G30/AD30</f>
        <v>#DIV/0!</v>
      </c>
      <c r="AF30" s="514">
        <v>10.199999999999999</v>
      </c>
      <c r="AG30" s="496"/>
      <c r="AH30" s="73" t="e">
        <f>+AF30/AG30</f>
        <v>#DIV/0!</v>
      </c>
      <c r="AI30" s="514">
        <v>10.199999999999999</v>
      </c>
      <c r="AJ30" s="496"/>
      <c r="AK30" s="73" t="e">
        <f>+AI30/AJ30</f>
        <v>#DIV/0!</v>
      </c>
      <c r="AL30" s="514">
        <v>10.199999999999999</v>
      </c>
      <c r="AM30" s="496"/>
      <c r="AN30" s="73" t="e">
        <f>+AL30/AM30</f>
        <v>#DIV/0!</v>
      </c>
      <c r="AO30" s="514">
        <v>10.199999999999999</v>
      </c>
      <c r="AP30" s="496"/>
      <c r="AQ30" s="73" t="e">
        <f>+AO30/AP30</f>
        <v>#DIV/0!</v>
      </c>
      <c r="AR30" s="514">
        <v>10.199999999999999</v>
      </c>
      <c r="AS30" s="496"/>
      <c r="AT30" s="73" t="e">
        <f>+AR30/AS30</f>
        <v>#DIV/0!</v>
      </c>
      <c r="AU30" s="514">
        <v>10.199999999999999</v>
      </c>
      <c r="AV30" s="496"/>
      <c r="AW30" s="73" t="e">
        <f>+AU30/AV30</f>
        <v>#DIV/0!</v>
      </c>
      <c r="AX30" s="514">
        <f>(+M30+P30+S30+V30+Y30+AB30+AG30+AJ30+AM30+AP30+AS30+AV30)/12</f>
        <v>0</v>
      </c>
      <c r="AY30" s="73"/>
    </row>
    <row r="31" spans="1:51" s="22" customFormat="1" ht="61.5" thickTop="1" thickBot="1">
      <c r="A31" s="2906"/>
      <c r="B31" s="97" t="s">
        <v>150</v>
      </c>
      <c r="C31" s="734" t="s">
        <v>318</v>
      </c>
      <c r="D31" s="735" t="s">
        <v>319</v>
      </c>
      <c r="E31" s="671" t="s">
        <v>183</v>
      </c>
      <c r="F31" s="671" t="s">
        <v>17</v>
      </c>
      <c r="G31" s="605">
        <v>37</v>
      </c>
      <c r="H31" s="837"/>
      <c r="I31" s="1193"/>
      <c r="J31" s="837"/>
      <c r="K31" s="671" t="s">
        <v>21</v>
      </c>
      <c r="L31" s="514">
        <v>0</v>
      </c>
      <c r="M31" s="496"/>
      <c r="N31" s="73" t="e">
        <f>+L31/M31</f>
        <v>#DIV/0!</v>
      </c>
      <c r="O31" s="514">
        <v>0</v>
      </c>
      <c r="P31" s="496"/>
      <c r="Q31" s="73" t="e">
        <f>+O31/P31</f>
        <v>#DIV/0!</v>
      </c>
      <c r="R31" s="514">
        <v>37</v>
      </c>
      <c r="S31" s="496"/>
      <c r="T31" s="73" t="e">
        <f>+R31/S31</f>
        <v>#DIV/0!</v>
      </c>
      <c r="U31" s="514">
        <v>37</v>
      </c>
      <c r="V31" s="496"/>
      <c r="W31" s="73" t="e">
        <f>+U31/V31</f>
        <v>#DIV/0!</v>
      </c>
      <c r="X31" s="514">
        <v>37</v>
      </c>
      <c r="Y31" s="496"/>
      <c r="Z31" s="73" t="e">
        <f>+X31/Y31</f>
        <v>#DIV/0!</v>
      </c>
      <c r="AA31" s="514">
        <v>37</v>
      </c>
      <c r="AB31" s="496"/>
      <c r="AC31" s="73" t="e">
        <f>+AA31/AB31</f>
        <v>#DIV/0!</v>
      </c>
      <c r="AD31" s="782">
        <f>(+M31+P31+S31+V31+Y31+AB31)/4</f>
        <v>0</v>
      </c>
      <c r="AE31" s="73" t="e">
        <f>+G31/AD31</f>
        <v>#DIV/0!</v>
      </c>
      <c r="AF31" s="514">
        <v>37</v>
      </c>
      <c r="AG31" s="496"/>
      <c r="AH31" s="73" t="e">
        <f>+AF31/AG31</f>
        <v>#DIV/0!</v>
      </c>
      <c r="AI31" s="514">
        <v>37</v>
      </c>
      <c r="AJ31" s="496"/>
      <c r="AK31" s="73" t="e">
        <f>+AI31/AJ31</f>
        <v>#DIV/0!</v>
      </c>
      <c r="AL31" s="514">
        <v>37</v>
      </c>
      <c r="AM31" s="496"/>
      <c r="AN31" s="73" t="e">
        <f>+AL31/AM31</f>
        <v>#DIV/0!</v>
      </c>
      <c r="AO31" s="514">
        <v>37</v>
      </c>
      <c r="AP31" s="496">
        <v>44</v>
      </c>
      <c r="AQ31" s="73">
        <f>+AO31/AP31</f>
        <v>0.84090909090909094</v>
      </c>
      <c r="AR31" s="514">
        <v>37</v>
      </c>
      <c r="AS31" s="496">
        <v>34</v>
      </c>
      <c r="AT31" s="73">
        <f>+AR31/AS31</f>
        <v>1.088235294117647</v>
      </c>
      <c r="AU31" s="514">
        <v>37</v>
      </c>
      <c r="AV31" s="496">
        <v>41</v>
      </c>
      <c r="AW31" s="73">
        <f>+AU31/AV31</f>
        <v>0.90243902439024393</v>
      </c>
      <c r="AX31" s="514">
        <f>+AP31</f>
        <v>44</v>
      </c>
      <c r="AY31" s="73">
        <f>+G31/AX31</f>
        <v>0.84090909090909094</v>
      </c>
    </row>
    <row r="32" spans="1:51" s="22" customFormat="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1103"/>
      <c r="O32" s="1040"/>
      <c r="P32" s="1040"/>
      <c r="Q32" s="1103"/>
      <c r="R32" s="1040"/>
      <c r="S32" s="1040"/>
      <c r="T32" s="1103"/>
      <c r="U32" s="1040"/>
      <c r="V32" s="1040"/>
      <c r="W32" s="1103"/>
      <c r="X32" s="1040"/>
      <c r="Y32" s="1040"/>
      <c r="Z32" s="1103"/>
      <c r="AA32" s="1040"/>
      <c r="AB32" s="1040"/>
      <c r="AC32" s="1103"/>
      <c r="AD32" s="1040"/>
      <c r="AE32" s="1194"/>
      <c r="AF32" s="1040"/>
      <c r="AG32" s="1040"/>
      <c r="AH32" s="1103"/>
      <c r="AI32" s="1040"/>
      <c r="AJ32" s="1040"/>
      <c r="AK32" s="1103"/>
      <c r="AL32" s="1040"/>
      <c r="AM32" s="1040"/>
      <c r="AN32" s="1103"/>
      <c r="AO32" s="1040"/>
      <c r="AP32" s="1040"/>
      <c r="AQ32" s="1103"/>
      <c r="AR32" s="1040"/>
      <c r="AS32" s="1040"/>
      <c r="AT32" s="1103"/>
      <c r="AU32" s="1040"/>
      <c r="AV32" s="1040"/>
      <c r="AW32" s="1103"/>
      <c r="AX32" s="1040"/>
      <c r="AY32" s="1195"/>
    </row>
    <row r="33" spans="1:51" s="132" customFormat="1" ht="64.5" thickTop="1" thickBot="1">
      <c r="A33" s="100" t="s">
        <v>155</v>
      </c>
      <c r="B33" s="1101" t="s">
        <v>156</v>
      </c>
      <c r="C33" s="1106" t="s">
        <v>184</v>
      </c>
      <c r="D33" s="1107" t="s">
        <v>158</v>
      </c>
      <c r="E33" s="1106" t="s">
        <v>159</v>
      </c>
      <c r="F33" s="1106" t="s">
        <v>17</v>
      </c>
      <c r="G33" s="1196">
        <v>10</v>
      </c>
      <c r="H33" s="1106"/>
      <c r="I33" s="1108"/>
      <c r="J33" s="1106"/>
      <c r="K33" s="72" t="s">
        <v>27</v>
      </c>
      <c r="L33" s="119">
        <v>0</v>
      </c>
      <c r="M33" s="120"/>
      <c r="N33" s="73" t="e">
        <f t="shared" si="0"/>
        <v>#DIV/0!</v>
      </c>
      <c r="O33" s="119">
        <v>0</v>
      </c>
      <c r="P33" s="120"/>
      <c r="Q33" s="73" t="e">
        <f t="shared" si="1"/>
        <v>#DIV/0!</v>
      </c>
      <c r="R33" s="119">
        <v>0</v>
      </c>
      <c r="S33" s="120"/>
      <c r="T33" s="73" t="e">
        <f t="shared" si="2"/>
        <v>#DIV/0!</v>
      </c>
      <c r="U33" s="119">
        <v>0</v>
      </c>
      <c r="V33" s="120"/>
      <c r="W33" s="73" t="e">
        <f t="shared" si="3"/>
        <v>#DIV/0!</v>
      </c>
      <c r="X33" s="119">
        <v>2</v>
      </c>
      <c r="Y33" s="120">
        <v>2</v>
      </c>
      <c r="Z33" s="73">
        <f t="shared" si="4"/>
        <v>1</v>
      </c>
      <c r="AA33" s="119">
        <v>0</v>
      </c>
      <c r="AB33" s="120"/>
      <c r="AC33" s="73" t="e">
        <f t="shared" ref="AC33" si="19">+AB33/AA33</f>
        <v>#DIV/0!</v>
      </c>
      <c r="AD33" s="782">
        <f>+Y33</f>
        <v>2</v>
      </c>
      <c r="AE33" s="73">
        <f t="shared" ref="AE33" si="20">+AD33/G33</f>
        <v>0.2</v>
      </c>
      <c r="AF33" s="119">
        <v>1</v>
      </c>
      <c r="AG33" s="120">
        <v>1</v>
      </c>
      <c r="AH33" s="73">
        <f t="shared" si="8"/>
        <v>1</v>
      </c>
      <c r="AI33" s="119">
        <v>3</v>
      </c>
      <c r="AJ33" s="120">
        <v>3</v>
      </c>
      <c r="AK33" s="73">
        <f t="shared" si="9"/>
        <v>1</v>
      </c>
      <c r="AL33" s="119">
        <v>1</v>
      </c>
      <c r="AM33" s="120">
        <v>1</v>
      </c>
      <c r="AN33" s="73">
        <f t="shared" si="10"/>
        <v>1</v>
      </c>
      <c r="AO33" s="119">
        <v>3</v>
      </c>
      <c r="AP33" s="120">
        <v>3</v>
      </c>
      <c r="AQ33" s="73">
        <f t="shared" si="11"/>
        <v>1</v>
      </c>
      <c r="AR33" s="119">
        <v>0</v>
      </c>
      <c r="AS33" s="120"/>
      <c r="AT33" s="73" t="e">
        <f t="shared" si="12"/>
        <v>#DIV/0!</v>
      </c>
      <c r="AU33" s="119">
        <v>0</v>
      </c>
      <c r="AV33" s="120"/>
      <c r="AW33" s="73" t="e">
        <f t="shared" ref="AW33" si="21">+AV33/AU33</f>
        <v>#DIV/0!</v>
      </c>
      <c r="AX33" s="514">
        <f>+AP33+AM33+AJ33+AG33+Y33</f>
        <v>10</v>
      </c>
      <c r="AY33" s="73">
        <f t="shared" ref="AY33" si="22">+AX33/G33</f>
        <v>1</v>
      </c>
    </row>
    <row r="34" spans="1:51" ht="17.25" thickTop="1"/>
  </sheetData>
  <sheetProtection algorithmName="SHA-512" hashValue="brPMTVSG7gInFSfWFw2ptorB3q9D5olbpm3JqhyaYJU7gU8sCPTL/tMr31TSfmwCpnhp+Px+OtZirhc25ECwVA==" saltValue="lgCeeA8mOSErUNHv7444W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10:H10" name="Rango1"/>
    <protectedRange algorithmName="SHA-512" hashValue="Uds9cYMsxnQI1SjFHe8NNqfDC/fFeray9QhmtAdG/GCgT0L97QBkFAQ9tCw5vTy3J/lQFdDpBTyQoZDg0KZNmQ==" saltValue="0HoWkw5WsZ+PdZDtJpkerg==" spinCount="100000" sqref="K10" name="Rango1_1"/>
  </protectedRanges>
  <mergeCells count="36">
    <mergeCell ref="A1:K1"/>
    <mergeCell ref="C2:K2"/>
    <mergeCell ref="C3:K3"/>
    <mergeCell ref="A5:A7"/>
    <mergeCell ref="B5:B7"/>
    <mergeCell ref="C5:C7"/>
    <mergeCell ref="D5:D7"/>
    <mergeCell ref="E5:E7"/>
    <mergeCell ref="F5:F7"/>
    <mergeCell ref="G5:G7"/>
    <mergeCell ref="AR5:AT7"/>
    <mergeCell ref="AU5:AW7"/>
    <mergeCell ref="AX5:AY7"/>
    <mergeCell ref="A8:K8"/>
    <mergeCell ref="A9:A27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A28:K28"/>
    <mergeCell ref="A29:A31"/>
    <mergeCell ref="B29:B30"/>
    <mergeCell ref="A32:K32"/>
    <mergeCell ref="AO5:AQ7"/>
    <mergeCell ref="K5:K7"/>
    <mergeCell ref="L5:N7"/>
    <mergeCell ref="O5:Q7"/>
    <mergeCell ref="R5:T7"/>
    <mergeCell ref="U5:W7"/>
  </mergeCells>
  <conditionalFormatting sqref="N11 N9">
    <cfRule type="cellIs" dxfId="7109" priority="196" operator="greaterThan">
      <formula>110%</formula>
    </cfRule>
    <cfRule type="cellIs" dxfId="7108" priority="197" operator="between">
      <formula>100.001%</formula>
      <formula>110%</formula>
    </cfRule>
    <cfRule type="cellIs" dxfId="7107" priority="198" operator="between">
      <formula>70.001%</formula>
      <formula>100%</formula>
    </cfRule>
    <cfRule type="cellIs" dxfId="7106" priority="199" operator="between">
      <formula>0.00001%</formula>
      <formula>70%</formula>
    </cfRule>
    <cfRule type="cellIs" dxfId="7105" priority="200" operator="equal">
      <formula>0</formula>
    </cfRule>
  </conditionalFormatting>
  <conditionalFormatting sqref="N12:N27 N10">
    <cfRule type="cellIs" dxfId="7104" priority="191" operator="greaterThan">
      <formula>110%</formula>
    </cfRule>
    <cfRule type="cellIs" dxfId="7103" priority="192" operator="between">
      <formula>100.001%</formula>
      <formula>110%</formula>
    </cfRule>
    <cfRule type="cellIs" dxfId="7102" priority="193" operator="between">
      <formula>70.001%</formula>
      <formula>100%</formula>
    </cfRule>
    <cfRule type="cellIs" dxfId="7101" priority="194" operator="between">
      <formula>0.00001%</formula>
      <formula>70%</formula>
    </cfRule>
    <cfRule type="cellIs" dxfId="7100" priority="195" operator="equal">
      <formula>0</formula>
    </cfRule>
  </conditionalFormatting>
  <conditionalFormatting sqref="N33 N29:N31">
    <cfRule type="cellIs" dxfId="7099" priority="186" operator="greaterThan">
      <formula>110%</formula>
    </cfRule>
    <cfRule type="cellIs" dxfId="7098" priority="187" operator="between">
      <formula>100.001%</formula>
      <formula>110%</formula>
    </cfRule>
    <cfRule type="cellIs" dxfId="7097" priority="188" operator="between">
      <formula>70.001%</formula>
      <formula>100%</formula>
    </cfRule>
    <cfRule type="cellIs" dxfId="7096" priority="189" operator="between">
      <formula>0.00001%</formula>
      <formula>70%</formula>
    </cfRule>
    <cfRule type="cellIs" dxfId="7095" priority="190" operator="equal">
      <formula>0</formula>
    </cfRule>
  </conditionalFormatting>
  <conditionalFormatting sqref="Q11 Q9">
    <cfRule type="cellIs" dxfId="7094" priority="181" operator="greaterThan">
      <formula>110%</formula>
    </cfRule>
    <cfRule type="cellIs" dxfId="7093" priority="182" operator="between">
      <formula>100.001%</formula>
      <formula>110%</formula>
    </cfRule>
    <cfRule type="cellIs" dxfId="7092" priority="183" operator="between">
      <formula>70.001%</formula>
      <formula>100%</formula>
    </cfRule>
    <cfRule type="cellIs" dxfId="7091" priority="184" operator="between">
      <formula>0.00001%</formula>
      <formula>70%</formula>
    </cfRule>
    <cfRule type="cellIs" dxfId="7090" priority="185" operator="equal">
      <formula>0</formula>
    </cfRule>
  </conditionalFormatting>
  <conditionalFormatting sqref="Q12:Q27 Q10">
    <cfRule type="cellIs" dxfId="7089" priority="176" operator="greaterThan">
      <formula>110%</formula>
    </cfRule>
    <cfRule type="cellIs" dxfId="7088" priority="177" operator="between">
      <formula>100.001%</formula>
      <formula>110%</formula>
    </cfRule>
    <cfRule type="cellIs" dxfId="7087" priority="178" operator="between">
      <formula>70.001%</formula>
      <formula>100%</formula>
    </cfRule>
    <cfRule type="cellIs" dxfId="7086" priority="179" operator="between">
      <formula>0.00001%</formula>
      <formula>70%</formula>
    </cfRule>
    <cfRule type="cellIs" dxfId="7085" priority="180" operator="equal">
      <formula>0</formula>
    </cfRule>
  </conditionalFormatting>
  <conditionalFormatting sqref="Q33 Q29:Q31">
    <cfRule type="cellIs" dxfId="7084" priority="171" operator="greaterThan">
      <formula>110%</formula>
    </cfRule>
    <cfRule type="cellIs" dxfId="7083" priority="172" operator="between">
      <formula>100.001%</formula>
      <formula>110%</formula>
    </cfRule>
    <cfRule type="cellIs" dxfId="7082" priority="173" operator="between">
      <formula>70.001%</formula>
      <formula>100%</formula>
    </cfRule>
    <cfRule type="cellIs" dxfId="7081" priority="174" operator="between">
      <formula>0.00001%</formula>
      <formula>70%</formula>
    </cfRule>
    <cfRule type="cellIs" dxfId="7080" priority="175" operator="equal">
      <formula>0</formula>
    </cfRule>
  </conditionalFormatting>
  <conditionalFormatting sqref="T11 T9">
    <cfRule type="cellIs" dxfId="7079" priority="166" operator="greaterThan">
      <formula>110%</formula>
    </cfRule>
    <cfRule type="cellIs" dxfId="7078" priority="167" operator="between">
      <formula>100.001%</formula>
      <formula>110%</formula>
    </cfRule>
    <cfRule type="cellIs" dxfId="7077" priority="168" operator="between">
      <formula>70.001%</formula>
      <formula>100%</formula>
    </cfRule>
    <cfRule type="cellIs" dxfId="7076" priority="169" operator="between">
      <formula>0.00001%</formula>
      <formula>70%</formula>
    </cfRule>
    <cfRule type="cellIs" dxfId="7075" priority="170" operator="equal">
      <formula>0</formula>
    </cfRule>
  </conditionalFormatting>
  <conditionalFormatting sqref="T12:T27 T10">
    <cfRule type="cellIs" dxfId="7074" priority="161" operator="greaterThan">
      <formula>110%</formula>
    </cfRule>
    <cfRule type="cellIs" dxfId="7073" priority="162" operator="between">
      <formula>100.001%</formula>
      <formula>110%</formula>
    </cfRule>
    <cfRule type="cellIs" dxfId="7072" priority="163" operator="between">
      <formula>70.001%</formula>
      <formula>100%</formula>
    </cfRule>
    <cfRule type="cellIs" dxfId="7071" priority="164" operator="between">
      <formula>0.00001%</formula>
      <formula>70%</formula>
    </cfRule>
    <cfRule type="cellIs" dxfId="7070" priority="165" operator="equal">
      <formula>0</formula>
    </cfRule>
  </conditionalFormatting>
  <conditionalFormatting sqref="T33 T29:T31">
    <cfRule type="cellIs" dxfId="7069" priority="156" operator="greaterThan">
      <formula>110%</formula>
    </cfRule>
    <cfRule type="cellIs" dxfId="7068" priority="157" operator="between">
      <formula>100.001%</formula>
      <formula>110%</formula>
    </cfRule>
    <cfRule type="cellIs" dxfId="7067" priority="158" operator="between">
      <formula>70.001%</formula>
      <formula>100%</formula>
    </cfRule>
    <cfRule type="cellIs" dxfId="7066" priority="159" operator="between">
      <formula>0.00001%</formula>
      <formula>70%</formula>
    </cfRule>
    <cfRule type="cellIs" dxfId="7065" priority="160" operator="equal">
      <formula>0</formula>
    </cfRule>
  </conditionalFormatting>
  <conditionalFormatting sqref="W11 W9">
    <cfRule type="cellIs" dxfId="7064" priority="151" operator="greaterThan">
      <formula>110%</formula>
    </cfRule>
    <cfRule type="cellIs" dxfId="7063" priority="152" operator="between">
      <formula>100.001%</formula>
      <formula>110%</formula>
    </cfRule>
    <cfRule type="cellIs" dxfId="7062" priority="153" operator="between">
      <formula>70.001%</formula>
      <formula>100%</formula>
    </cfRule>
    <cfRule type="cellIs" dxfId="7061" priority="154" operator="between">
      <formula>0.00001%</formula>
      <formula>70%</formula>
    </cfRule>
    <cfRule type="cellIs" dxfId="7060" priority="155" operator="equal">
      <formula>0</formula>
    </cfRule>
  </conditionalFormatting>
  <conditionalFormatting sqref="W12:W27 W10">
    <cfRule type="cellIs" dxfId="7059" priority="146" operator="greaterThan">
      <formula>110%</formula>
    </cfRule>
    <cfRule type="cellIs" dxfId="7058" priority="147" operator="between">
      <formula>100.001%</formula>
      <formula>110%</formula>
    </cfRule>
    <cfRule type="cellIs" dxfId="7057" priority="148" operator="between">
      <formula>70.001%</formula>
      <formula>100%</formula>
    </cfRule>
    <cfRule type="cellIs" dxfId="7056" priority="149" operator="between">
      <formula>0.00001%</formula>
      <formula>70%</formula>
    </cfRule>
    <cfRule type="cellIs" dxfId="7055" priority="150" operator="equal">
      <formula>0</formula>
    </cfRule>
  </conditionalFormatting>
  <conditionalFormatting sqref="W33 W29:W31">
    <cfRule type="cellIs" dxfId="7054" priority="141" operator="greaterThan">
      <formula>110%</formula>
    </cfRule>
    <cfRule type="cellIs" dxfId="7053" priority="142" operator="between">
      <formula>100.001%</formula>
      <formula>110%</formula>
    </cfRule>
    <cfRule type="cellIs" dxfId="7052" priority="143" operator="between">
      <formula>70.001%</formula>
      <formula>100%</formula>
    </cfRule>
    <cfRule type="cellIs" dxfId="7051" priority="144" operator="between">
      <formula>0.00001%</formula>
      <formula>70%</formula>
    </cfRule>
    <cfRule type="cellIs" dxfId="7050" priority="145" operator="equal">
      <formula>0</formula>
    </cfRule>
  </conditionalFormatting>
  <conditionalFormatting sqref="Z11 Z9">
    <cfRule type="cellIs" dxfId="7049" priority="136" operator="greaterThan">
      <formula>110%</formula>
    </cfRule>
    <cfRule type="cellIs" dxfId="7048" priority="137" operator="between">
      <formula>100.001%</formula>
      <formula>110%</formula>
    </cfRule>
    <cfRule type="cellIs" dxfId="7047" priority="138" operator="between">
      <formula>70.001%</formula>
      <formula>100%</formula>
    </cfRule>
    <cfRule type="cellIs" dxfId="7046" priority="139" operator="between">
      <formula>0.00001%</formula>
      <formula>70%</formula>
    </cfRule>
    <cfRule type="cellIs" dxfId="7045" priority="140" operator="equal">
      <formula>0</formula>
    </cfRule>
  </conditionalFormatting>
  <conditionalFormatting sqref="Z12:Z27 Z10">
    <cfRule type="cellIs" dxfId="7044" priority="131" operator="greaterThan">
      <formula>110%</formula>
    </cfRule>
    <cfRule type="cellIs" dxfId="7043" priority="132" operator="between">
      <formula>100.001%</formula>
      <formula>110%</formula>
    </cfRule>
    <cfRule type="cellIs" dxfId="7042" priority="133" operator="between">
      <formula>70.001%</formula>
      <formula>100%</formula>
    </cfRule>
    <cfRule type="cellIs" dxfId="7041" priority="134" operator="between">
      <formula>0.00001%</formula>
      <formula>70%</formula>
    </cfRule>
    <cfRule type="cellIs" dxfId="7040" priority="135" operator="equal">
      <formula>0</formula>
    </cfRule>
  </conditionalFormatting>
  <conditionalFormatting sqref="Z33 Z29:Z31">
    <cfRule type="cellIs" dxfId="7039" priority="126" operator="greaterThan">
      <formula>110%</formula>
    </cfRule>
    <cfRule type="cellIs" dxfId="7038" priority="127" operator="between">
      <formula>100.001%</formula>
      <formula>110%</formula>
    </cfRule>
    <cfRule type="cellIs" dxfId="7037" priority="128" operator="between">
      <formula>70.001%</formula>
      <formula>100%</formula>
    </cfRule>
    <cfRule type="cellIs" dxfId="7036" priority="129" operator="between">
      <formula>0.00001%</formula>
      <formula>70%</formula>
    </cfRule>
    <cfRule type="cellIs" dxfId="7035" priority="130" operator="equal">
      <formula>0</formula>
    </cfRule>
  </conditionalFormatting>
  <conditionalFormatting sqref="AC11 AC9">
    <cfRule type="cellIs" dxfId="7034" priority="121" operator="greaterThan">
      <formula>110%</formula>
    </cfRule>
    <cfRule type="cellIs" dxfId="7033" priority="122" operator="between">
      <formula>100.001%</formula>
      <formula>110%</formula>
    </cfRule>
    <cfRule type="cellIs" dxfId="7032" priority="123" operator="between">
      <formula>70.001%</formula>
      <formula>100%</formula>
    </cfRule>
    <cfRule type="cellIs" dxfId="7031" priority="124" operator="between">
      <formula>0.00001%</formula>
      <formula>70%</formula>
    </cfRule>
    <cfRule type="cellIs" dxfId="7030" priority="125" operator="equal">
      <formula>0</formula>
    </cfRule>
  </conditionalFormatting>
  <conditionalFormatting sqref="AC12:AC27 AC10">
    <cfRule type="cellIs" dxfId="7029" priority="116" operator="greaterThan">
      <formula>110%</formula>
    </cfRule>
    <cfRule type="cellIs" dxfId="7028" priority="117" operator="between">
      <formula>100.001%</formula>
      <formula>110%</formula>
    </cfRule>
    <cfRule type="cellIs" dxfId="7027" priority="118" operator="between">
      <formula>70.001%</formula>
      <formula>100%</formula>
    </cfRule>
    <cfRule type="cellIs" dxfId="7026" priority="119" operator="between">
      <formula>0.00001%</formula>
      <formula>70%</formula>
    </cfRule>
    <cfRule type="cellIs" dxfId="7025" priority="120" operator="equal">
      <formula>0</formula>
    </cfRule>
  </conditionalFormatting>
  <conditionalFormatting sqref="AC33 AC29:AC31">
    <cfRule type="cellIs" dxfId="7024" priority="111" operator="greaterThan">
      <formula>110%</formula>
    </cfRule>
    <cfRule type="cellIs" dxfId="7023" priority="112" operator="between">
      <formula>100.001%</formula>
      <formula>110%</formula>
    </cfRule>
    <cfRule type="cellIs" dxfId="7022" priority="113" operator="between">
      <formula>70.001%</formula>
      <formula>100%</formula>
    </cfRule>
    <cfRule type="cellIs" dxfId="7021" priority="114" operator="between">
      <formula>0.00001%</formula>
      <formula>70%</formula>
    </cfRule>
    <cfRule type="cellIs" dxfId="7020" priority="115" operator="equal">
      <formula>0</formula>
    </cfRule>
  </conditionalFormatting>
  <conditionalFormatting sqref="AE33 AE9:AE27 AE29:AE31">
    <cfRule type="cellIs" dxfId="7019" priority="106" operator="greaterThan">
      <formula>110%</formula>
    </cfRule>
    <cfRule type="cellIs" dxfId="7018" priority="107" operator="between">
      <formula>100.001%</formula>
      <formula>110%</formula>
    </cfRule>
    <cfRule type="cellIs" dxfId="7017" priority="108" operator="between">
      <formula>70.001%</formula>
      <formula>100%</formula>
    </cfRule>
    <cfRule type="cellIs" dxfId="7016" priority="109" operator="between">
      <formula>0.00001%</formula>
      <formula>70%</formula>
    </cfRule>
    <cfRule type="cellIs" dxfId="7015" priority="110" operator="equal">
      <formula>0</formula>
    </cfRule>
  </conditionalFormatting>
  <conditionalFormatting sqref="AH11 AH9">
    <cfRule type="cellIs" dxfId="7014" priority="101" operator="greaterThan">
      <formula>110%</formula>
    </cfRule>
    <cfRule type="cellIs" dxfId="7013" priority="102" operator="between">
      <formula>100.001%</formula>
      <formula>110%</formula>
    </cfRule>
    <cfRule type="cellIs" dxfId="7012" priority="103" operator="between">
      <formula>70.001%</formula>
      <formula>100%</formula>
    </cfRule>
    <cfRule type="cellIs" dxfId="7011" priority="104" operator="between">
      <formula>0.00001%</formula>
      <formula>70%</formula>
    </cfRule>
    <cfRule type="cellIs" dxfId="7010" priority="105" operator="equal">
      <formula>0</formula>
    </cfRule>
  </conditionalFormatting>
  <conditionalFormatting sqref="AH12:AH27 AH10">
    <cfRule type="cellIs" dxfId="7009" priority="96" operator="greaterThan">
      <formula>110%</formula>
    </cfRule>
    <cfRule type="cellIs" dxfId="7008" priority="97" operator="between">
      <formula>100.001%</formula>
      <formula>110%</formula>
    </cfRule>
    <cfRule type="cellIs" dxfId="7007" priority="98" operator="between">
      <formula>70.001%</formula>
      <formula>100%</formula>
    </cfRule>
    <cfRule type="cellIs" dxfId="7006" priority="99" operator="between">
      <formula>0.00001%</formula>
      <formula>70%</formula>
    </cfRule>
    <cfRule type="cellIs" dxfId="7005" priority="100" operator="equal">
      <formula>0</formula>
    </cfRule>
  </conditionalFormatting>
  <conditionalFormatting sqref="AH33 AH29:AH31">
    <cfRule type="cellIs" dxfId="7004" priority="91" operator="greaterThan">
      <formula>110%</formula>
    </cfRule>
    <cfRule type="cellIs" dxfId="7003" priority="92" operator="between">
      <formula>100.001%</formula>
      <formula>110%</formula>
    </cfRule>
    <cfRule type="cellIs" dxfId="7002" priority="93" operator="between">
      <formula>70.001%</formula>
      <formula>100%</formula>
    </cfRule>
    <cfRule type="cellIs" dxfId="7001" priority="94" operator="between">
      <formula>0.00001%</formula>
      <formula>70%</formula>
    </cfRule>
    <cfRule type="cellIs" dxfId="7000" priority="95" operator="equal">
      <formula>0</formula>
    </cfRule>
  </conditionalFormatting>
  <conditionalFormatting sqref="AK11 AK9">
    <cfRule type="cellIs" dxfId="6999" priority="86" operator="greaterThan">
      <formula>110%</formula>
    </cfRule>
    <cfRule type="cellIs" dxfId="6998" priority="87" operator="between">
      <formula>100.001%</formula>
      <formula>110%</formula>
    </cfRule>
    <cfRule type="cellIs" dxfId="6997" priority="88" operator="between">
      <formula>70.001%</formula>
      <formula>100%</formula>
    </cfRule>
    <cfRule type="cellIs" dxfId="6996" priority="89" operator="between">
      <formula>0.00001%</formula>
      <formula>70%</formula>
    </cfRule>
    <cfRule type="cellIs" dxfId="6995" priority="90" operator="equal">
      <formula>0</formula>
    </cfRule>
  </conditionalFormatting>
  <conditionalFormatting sqref="AK12:AK27 AK10">
    <cfRule type="cellIs" dxfId="6994" priority="81" operator="greaterThan">
      <formula>110%</formula>
    </cfRule>
    <cfRule type="cellIs" dxfId="6993" priority="82" operator="between">
      <formula>100.001%</formula>
      <formula>110%</formula>
    </cfRule>
    <cfRule type="cellIs" dxfId="6992" priority="83" operator="between">
      <formula>70.001%</formula>
      <formula>100%</formula>
    </cfRule>
    <cfRule type="cellIs" dxfId="6991" priority="84" operator="between">
      <formula>0.00001%</formula>
      <formula>70%</formula>
    </cfRule>
    <cfRule type="cellIs" dxfId="6990" priority="85" operator="equal">
      <formula>0</formula>
    </cfRule>
  </conditionalFormatting>
  <conditionalFormatting sqref="AK33 AK29:AK31">
    <cfRule type="cellIs" dxfId="6989" priority="76" operator="greaterThan">
      <formula>110%</formula>
    </cfRule>
    <cfRule type="cellIs" dxfId="6988" priority="77" operator="between">
      <formula>100.001%</formula>
      <formula>110%</formula>
    </cfRule>
    <cfRule type="cellIs" dxfId="6987" priority="78" operator="between">
      <formula>70.001%</formula>
      <formula>100%</formula>
    </cfRule>
    <cfRule type="cellIs" dxfId="6986" priority="79" operator="between">
      <formula>0.00001%</formula>
      <formula>70%</formula>
    </cfRule>
    <cfRule type="cellIs" dxfId="6985" priority="80" operator="equal">
      <formula>0</formula>
    </cfRule>
  </conditionalFormatting>
  <conditionalFormatting sqref="AN11 AN9">
    <cfRule type="cellIs" dxfId="6984" priority="71" operator="greaterThan">
      <formula>110%</formula>
    </cfRule>
    <cfRule type="cellIs" dxfId="6983" priority="72" operator="between">
      <formula>100.001%</formula>
      <formula>110%</formula>
    </cfRule>
    <cfRule type="cellIs" dxfId="6982" priority="73" operator="between">
      <formula>70.001%</formula>
      <formula>100%</formula>
    </cfRule>
    <cfRule type="cellIs" dxfId="6981" priority="74" operator="between">
      <formula>0.00001%</formula>
      <formula>70%</formula>
    </cfRule>
    <cfRule type="cellIs" dxfId="6980" priority="75" operator="equal">
      <formula>0</formula>
    </cfRule>
  </conditionalFormatting>
  <conditionalFormatting sqref="AN12:AN27 AN10">
    <cfRule type="cellIs" dxfId="6979" priority="66" operator="greaterThan">
      <formula>110%</formula>
    </cfRule>
    <cfRule type="cellIs" dxfId="6978" priority="67" operator="between">
      <formula>100.001%</formula>
      <formula>110%</formula>
    </cfRule>
    <cfRule type="cellIs" dxfId="6977" priority="68" operator="between">
      <formula>70.001%</formula>
      <formula>100%</formula>
    </cfRule>
    <cfRule type="cellIs" dxfId="6976" priority="69" operator="between">
      <formula>0.00001%</formula>
      <formula>70%</formula>
    </cfRule>
    <cfRule type="cellIs" dxfId="6975" priority="70" operator="equal">
      <formula>0</formula>
    </cfRule>
  </conditionalFormatting>
  <conditionalFormatting sqref="AN33 AN29:AN31">
    <cfRule type="cellIs" dxfId="6974" priority="61" operator="greaterThan">
      <formula>110%</formula>
    </cfRule>
    <cfRule type="cellIs" dxfId="6973" priority="62" operator="between">
      <formula>100.001%</formula>
      <formula>110%</formula>
    </cfRule>
    <cfRule type="cellIs" dxfId="6972" priority="63" operator="between">
      <formula>70.001%</formula>
      <formula>100%</formula>
    </cfRule>
    <cfRule type="cellIs" dxfId="6971" priority="64" operator="between">
      <formula>0.00001%</formula>
      <formula>70%</formula>
    </cfRule>
    <cfRule type="cellIs" dxfId="6970" priority="65" operator="equal">
      <formula>0</formula>
    </cfRule>
  </conditionalFormatting>
  <conditionalFormatting sqref="AQ11 AQ9">
    <cfRule type="cellIs" dxfId="6969" priority="56" operator="greaterThan">
      <formula>110%</formula>
    </cfRule>
    <cfRule type="cellIs" dxfId="6968" priority="57" operator="between">
      <formula>100.001%</formula>
      <formula>110%</formula>
    </cfRule>
    <cfRule type="cellIs" dxfId="6967" priority="58" operator="between">
      <formula>70.001%</formula>
      <formula>100%</formula>
    </cfRule>
    <cfRule type="cellIs" dxfId="6966" priority="59" operator="between">
      <formula>0.00001%</formula>
      <formula>70%</formula>
    </cfRule>
    <cfRule type="cellIs" dxfId="6965" priority="60" operator="equal">
      <formula>0</formula>
    </cfRule>
  </conditionalFormatting>
  <conditionalFormatting sqref="AQ12:AQ27 AQ10">
    <cfRule type="cellIs" dxfId="6964" priority="51" operator="greaterThan">
      <formula>110%</formula>
    </cfRule>
    <cfRule type="cellIs" dxfId="6963" priority="52" operator="between">
      <formula>100.001%</formula>
      <formula>110%</formula>
    </cfRule>
    <cfRule type="cellIs" dxfId="6962" priority="53" operator="between">
      <formula>70.001%</formula>
      <formula>100%</formula>
    </cfRule>
    <cfRule type="cellIs" dxfId="6961" priority="54" operator="between">
      <formula>0.00001%</formula>
      <formula>70%</formula>
    </cfRule>
    <cfRule type="cellIs" dxfId="6960" priority="55" operator="equal">
      <formula>0</formula>
    </cfRule>
  </conditionalFormatting>
  <conditionalFormatting sqref="AQ33 AQ29:AQ31">
    <cfRule type="cellIs" dxfId="6959" priority="46" operator="greaterThan">
      <formula>110%</formula>
    </cfRule>
    <cfRule type="cellIs" dxfId="6958" priority="47" operator="between">
      <formula>100.001%</formula>
      <formula>110%</formula>
    </cfRule>
    <cfRule type="cellIs" dxfId="6957" priority="48" operator="between">
      <formula>70.001%</formula>
      <formula>100%</formula>
    </cfRule>
    <cfRule type="cellIs" dxfId="6956" priority="49" operator="between">
      <formula>0.00001%</formula>
      <formula>70%</formula>
    </cfRule>
    <cfRule type="cellIs" dxfId="6955" priority="50" operator="equal">
      <formula>0</formula>
    </cfRule>
  </conditionalFormatting>
  <conditionalFormatting sqref="AT11 AT9">
    <cfRule type="cellIs" dxfId="6954" priority="41" operator="greaterThan">
      <formula>110%</formula>
    </cfRule>
    <cfRule type="cellIs" dxfId="6953" priority="42" operator="between">
      <formula>100.001%</formula>
      <formula>110%</formula>
    </cfRule>
    <cfRule type="cellIs" dxfId="6952" priority="43" operator="between">
      <formula>70.001%</formula>
      <formula>100%</formula>
    </cfRule>
    <cfRule type="cellIs" dxfId="6951" priority="44" operator="between">
      <formula>0.00001%</formula>
      <formula>70%</formula>
    </cfRule>
    <cfRule type="cellIs" dxfId="6950" priority="45" operator="equal">
      <formula>0</formula>
    </cfRule>
  </conditionalFormatting>
  <conditionalFormatting sqref="AT12:AT27 AT10">
    <cfRule type="cellIs" dxfId="6949" priority="36" operator="greaterThan">
      <formula>110%</formula>
    </cfRule>
    <cfRule type="cellIs" dxfId="6948" priority="37" operator="between">
      <formula>100.001%</formula>
      <formula>110%</formula>
    </cfRule>
    <cfRule type="cellIs" dxfId="6947" priority="38" operator="between">
      <formula>70.001%</formula>
      <formula>100%</formula>
    </cfRule>
    <cfRule type="cellIs" dxfId="6946" priority="39" operator="between">
      <formula>0.00001%</formula>
      <formula>70%</formula>
    </cfRule>
    <cfRule type="cellIs" dxfId="6945" priority="40" operator="equal">
      <formula>0</formula>
    </cfRule>
  </conditionalFormatting>
  <conditionalFormatting sqref="AT33 AT29:AT31">
    <cfRule type="cellIs" dxfId="6944" priority="31" operator="greaterThan">
      <formula>110%</formula>
    </cfRule>
    <cfRule type="cellIs" dxfId="6943" priority="32" operator="between">
      <formula>100.001%</formula>
      <formula>110%</formula>
    </cfRule>
    <cfRule type="cellIs" dxfId="6942" priority="33" operator="between">
      <formula>70.001%</formula>
      <formula>100%</formula>
    </cfRule>
    <cfRule type="cellIs" dxfId="6941" priority="34" operator="between">
      <formula>0.00001%</formula>
      <formula>70%</formula>
    </cfRule>
    <cfRule type="cellIs" dxfId="6940" priority="35" operator="equal">
      <formula>0</formula>
    </cfRule>
  </conditionalFormatting>
  <conditionalFormatting sqref="AW11 AW9">
    <cfRule type="cellIs" dxfId="6939" priority="26" operator="greaterThan">
      <formula>110%</formula>
    </cfRule>
    <cfRule type="cellIs" dxfId="6938" priority="27" operator="between">
      <formula>100.001%</formula>
      <formula>110%</formula>
    </cfRule>
    <cfRule type="cellIs" dxfId="6937" priority="28" operator="between">
      <formula>70.001%</formula>
      <formula>100%</formula>
    </cfRule>
    <cfRule type="cellIs" dxfId="6936" priority="29" operator="between">
      <formula>0.00001%</formula>
      <formula>70%</formula>
    </cfRule>
    <cfRule type="cellIs" dxfId="6935" priority="30" operator="equal">
      <formula>0</formula>
    </cfRule>
  </conditionalFormatting>
  <conditionalFormatting sqref="AW12:AW27 AW10">
    <cfRule type="cellIs" dxfId="6934" priority="21" operator="greaterThan">
      <formula>110%</formula>
    </cfRule>
    <cfRule type="cellIs" dxfId="6933" priority="22" operator="between">
      <formula>100.001%</formula>
      <formula>110%</formula>
    </cfRule>
    <cfRule type="cellIs" dxfId="6932" priority="23" operator="between">
      <formula>70.001%</formula>
      <formula>100%</formula>
    </cfRule>
    <cfRule type="cellIs" dxfId="6931" priority="24" operator="between">
      <formula>0.00001%</formula>
      <formula>70%</formula>
    </cfRule>
    <cfRule type="cellIs" dxfId="6930" priority="25" operator="equal">
      <formula>0</formula>
    </cfRule>
  </conditionalFormatting>
  <conditionalFormatting sqref="AW33 AW29:AW31">
    <cfRule type="cellIs" dxfId="6929" priority="16" operator="greaterThan">
      <formula>110%</formula>
    </cfRule>
    <cfRule type="cellIs" dxfId="6928" priority="17" operator="between">
      <formula>100.001%</formula>
      <formula>110%</formula>
    </cfRule>
    <cfRule type="cellIs" dxfId="6927" priority="18" operator="between">
      <formula>70.001%</formula>
      <formula>100%</formula>
    </cfRule>
    <cfRule type="cellIs" dxfId="6926" priority="19" operator="between">
      <formula>0.00001%</formula>
      <formula>70%</formula>
    </cfRule>
    <cfRule type="cellIs" dxfId="6925" priority="20" operator="equal">
      <formula>0</formula>
    </cfRule>
  </conditionalFormatting>
  <conditionalFormatting sqref="AY11 AY9">
    <cfRule type="cellIs" dxfId="6924" priority="11" operator="greaterThan">
      <formula>110%</formula>
    </cfRule>
    <cfRule type="cellIs" dxfId="6923" priority="12" operator="between">
      <formula>100.001%</formula>
      <formula>110%</formula>
    </cfRule>
    <cfRule type="cellIs" dxfId="6922" priority="13" operator="between">
      <formula>70.001%</formula>
      <formula>100%</formula>
    </cfRule>
    <cfRule type="cellIs" dxfId="6921" priority="14" operator="between">
      <formula>0.00001%</formula>
      <formula>70%</formula>
    </cfRule>
    <cfRule type="cellIs" dxfId="6920" priority="15" operator="equal">
      <formula>0</formula>
    </cfRule>
  </conditionalFormatting>
  <conditionalFormatting sqref="AY12:AY27 AY10">
    <cfRule type="cellIs" dxfId="6919" priority="6" operator="greaterThan">
      <formula>110%</formula>
    </cfRule>
    <cfRule type="cellIs" dxfId="6918" priority="7" operator="between">
      <formula>100.001%</formula>
      <formula>110%</formula>
    </cfRule>
    <cfRule type="cellIs" dxfId="6917" priority="8" operator="between">
      <formula>70.001%</formula>
      <formula>100%</formula>
    </cfRule>
    <cfRule type="cellIs" dxfId="6916" priority="9" operator="between">
      <formula>0.00001%</formula>
      <formula>70%</formula>
    </cfRule>
    <cfRule type="cellIs" dxfId="6915" priority="10" operator="equal">
      <formula>0</formula>
    </cfRule>
  </conditionalFormatting>
  <conditionalFormatting sqref="AY33 AY29:AY31">
    <cfRule type="cellIs" dxfId="6914" priority="1" operator="greaterThan">
      <formula>110%</formula>
    </cfRule>
    <cfRule type="cellIs" dxfId="6913" priority="2" operator="between">
      <formula>100.001%</formula>
      <formula>110%</formula>
    </cfRule>
    <cfRule type="cellIs" dxfId="6912" priority="3" operator="between">
      <formula>70.001%</formula>
      <formula>100%</formula>
    </cfRule>
    <cfRule type="cellIs" dxfId="6911" priority="4" operator="between">
      <formula>0.00001%</formula>
      <formula>70%</formula>
    </cfRule>
    <cfRule type="cellIs" dxfId="6910" priority="5" operator="equal">
      <formula>0</formula>
    </cfRule>
  </conditionalFormatting>
  <hyperlinks>
    <hyperlink ref="D11" location="'IN1-3'!Área_de_impresión" display="IN1-3 Recaudo Bruto" xr:uid="{00000000-0004-0000-1000-000000000000}"/>
    <hyperlink ref="D12" location="'FIS-4'!Área_de_impresión" display="FIS-4 Gestión efectiva en fiscalización tributaria" xr:uid="{00000000-0004-0000-1000-000001000000}"/>
    <hyperlink ref="D13" location="'FIS-10'!Área_de_impresión" display="FIS-10 Gestión aceptada en fiscalización tributaria" xr:uid="{00000000-0004-0000-1000-000002000000}"/>
    <hyperlink ref="D14" location="'FIS-27'!Área_de_impresión" display="FIS-27 Reclasificación de no responsables a responsables" xr:uid="{00000000-0004-0000-1000-000003000000}"/>
    <hyperlink ref="D15" location="'FIS-17'!Área_de_impresión" display="FIS-17 Evacuación de expedientes en fiscalización tributaria" xr:uid="{00000000-0004-0000-1000-000004000000}"/>
    <hyperlink ref="D16" location="'IN1-4'!Área_de_impresión" display="IN1-4 Recaudo por gestión de cartera" xr:uid="{00000000-0004-0000-1000-000005000000}"/>
    <hyperlink ref="D17" location="'IN1-5'!Área_de_impresión" display="IN1-5 Inscritos en el Régimen Simple de Tributación - RST" xr:uid="{00000000-0004-0000-1000-000006000000}"/>
    <hyperlink ref="D18" location="'IN1-6.1'!Área_de_impresión" display="IN1-6.1 Grado de cumplimiento del cronograma de campañas del RST" xr:uid="{00000000-0004-0000-1000-000007000000}"/>
    <hyperlink ref="D19" location="'IN1-8'!Área_de_impresión" display="IN1-8 Contribuyentes habilitados como facturadores electrónicos" xr:uid="{00000000-0004-0000-1000-000008000000}"/>
    <hyperlink ref="D20" location="'JUR-3.1'!Área_de_impresión" display="JUR-3.1 Porcentaje de éxito de litigiosidad" xr:uid="{00000000-0004-0000-1000-000009000000}"/>
    <hyperlink ref="D21" location="'JUR-3.2'!Área_de_impresión" display="JUR-3.2 Porcentaje procesos judiciales revisados con mayor riesgo en Ekogui" xr:uid="{00000000-0004-0000-1000-00000A000000}"/>
    <hyperlink ref="D22" location="'JUR-3.3'!Área_de_impresión" display="JUR-3.3 Porcentaje de análisis de jurisprudencia remitidos junto con la copia de la sentencia " xr:uid="{00000000-0004-0000-1000-00000B000000}"/>
    <hyperlink ref="D23" location="'JUR-3.4'!Área_de_impresión" display="JUR-3.4  Porcentaje de procesos revisados con VoBo del Jefe" xr:uid="{00000000-0004-0000-1000-00000C000000}"/>
    <hyperlink ref="D24" location="'JUR-3.5'!Área_de_impresión" display="JUR-3.5 Porcentaje de requerimientos atendidos en oportunidad" xr:uid="{00000000-0004-0000-1000-00000D000000}"/>
    <hyperlink ref="D25" location="'JUR-3.6'!Área_de_impresión" display="JUR-3.6 Porcentaje funcionarios capacitaciones en cursos virtuales de la ANDJE" xr:uid="{00000000-0004-0000-1000-00000E000000}"/>
    <hyperlink ref="D26" location="'JUR-4'!Área_de_impresión" display="JUR-4  Porcentaje funcionarios que participaron en el concurso de escritura jurídica" xr:uid="{00000000-0004-0000-1000-00000F000000}"/>
    <hyperlink ref="D27" location="'FIS-24'!Área_de_impresión" display="FIS-24 Valor decomisos de mercancías en firme" xr:uid="{00000000-0004-0000-1000-000010000000}"/>
    <hyperlink ref="D28" location="'IN1-6.1'!A1" display="IN1-6.1 Grado de cumplimiento del cronograma de campañas del RST" xr:uid="{00000000-0004-0000-1000-000011000000}"/>
    <hyperlink ref="D29" location="'IN1-11'!Área_de_impresión" display="IN1-11  Nivel de cobertura de personas sensibilizadas por el plan de cultura. ACTUALMENTE. Cumplimiento al Plan de Acción de Cultura de la Contribución" xr:uid="{00000000-0004-0000-1000-000012000000}"/>
    <hyperlink ref="D30" location="'JUR-7'!Área_de_impresión" display="JUR-7 Oportunidad en las decisiones de los recursos tributarios hasta su remisión a notificaciones" xr:uid="{00000000-0004-0000-1000-000013000000}"/>
    <hyperlink ref="D31" location="'IN1-15'!Área_de_impresión" display="IN1-15 Días en devoluciones ordinarias" xr:uid="{00000000-0004-0000-1000-000014000000}"/>
    <hyperlink ref="D34" location="'POLFA-3'!A1" display="POLFA-3 Acciones de control de fiscalización contra el contrabando" xr:uid="{00000000-0004-0000-1000-000015000000}"/>
    <hyperlink ref="D35" location="'FIS-24'!A1" display="FIS-24 Valor Decomisos de mercancías en firme" xr:uid="{00000000-0004-0000-1000-000016000000}"/>
    <hyperlink ref="D36" location="'FIS-32'!A1" display="FIS-32 Valor Aprehensiones sectores de Licores, Cigarrillos, Calzado y Confecciones" xr:uid="{00000000-0004-0000-1000-000017000000}"/>
    <hyperlink ref="D38" location="'ADU-9'!A1" display="ADU-9 Efectividad en el control simultáneo  - Lucha contra el Contrabando" xr:uid="{00000000-0004-0000-1000-000018000000}"/>
    <hyperlink ref="D39" location="'ADU-12'!A1" display="ADU-12 Efectividad en los Controles a los  usuarios de comercio - Visitas con hallazgos en usuarios visitados" xr:uid="{00000000-0004-0000-1000-000019000000}"/>
    <hyperlink ref="D40" location="'ADU-13'!A1" display="ADU-13 Efectividad en los Controles a los  usuarios de comercio - Hallazgos en visitas de usuarios no visitados anteriormente" xr:uid="{00000000-0004-0000-1000-00001A000000}"/>
    <hyperlink ref="D41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1000-00001B000000}"/>
    <hyperlink ref="D42" location="'ADU-32'!A1" display="ADU-32 Eficacia en la atención de solicitudes de análisis merceológicos de mercancía global." xr:uid="{00000000-0004-0000-1000-00001C000000}"/>
    <hyperlink ref="D44" location="'IN1-11'!A1" display="IN1-11  Nivel de cobertura de personas sensibilizadas por el plan de cultura. ACTUALMENTE. Cumplimiento al Plan de Acción de Cultura de la Contribución" xr:uid="{00000000-0004-0000-1000-00001D000000}"/>
    <hyperlink ref="D45" location="'JUR-7'!A1" display="JUR-7  Oportunidad en las decisiones de los recursos Tributarios hasta su remisión a notificaciones" xr:uid="{00000000-0004-0000-1000-00001E000000}"/>
    <hyperlink ref="D46" location="'ADU-17'!A1" display="ADU-17 Encuentros Aduana - Empresa" xr:uid="{00000000-0004-0000-1000-00001F000000}"/>
    <hyperlink ref="D47" location="'POLFA-8'!A1" display="POLFA-8 Porcentaje de cumplimiento programa semilleros de la legalidad" xr:uid="{00000000-0004-0000-1000-000020000000}"/>
    <hyperlink ref="D48" location="'IN1-15'!A1" display="IN1-15 Días en devoluciones ordinarias" xr:uid="{00000000-0004-0000-1000-000021000000}"/>
    <hyperlink ref="D37" location="'ADU-8'!A1" display="ADU-8 Efectividad en los controles previos  - Lucha contra el Contrabando" xr:uid="{00000000-0004-0000-1000-000022000000}"/>
    <hyperlink ref="D9" location="'DGRAE-1'!Área_de_impresión" display="DGRAE-1 Nivel de Ejecución del presupuesto " xr:uid="{00000000-0004-0000-1000-000023000000}"/>
    <hyperlink ref="D33" location="'DGRAE-25'!Área_de_impresión" display="DGRAE-25 Actividades que componen el  PIC para la Dirección de Gestión" xr:uid="{00000000-0004-0000-1000-000024000000}"/>
    <hyperlink ref="D10" location="'DGRAE-2'!A1" display="DGRAE-2 Nivel de ejecución del PAA de la Dirección" xr:uid="{00000000-0004-0000-1000-000025000000}"/>
    <hyperlink ref="AY2" location="'Consolidado '!A1" display="VOLVER" xr:uid="{00000000-0004-0000-1000-000026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EB53"/>
  <sheetViews>
    <sheetView topLeftCell="F1" zoomScale="80" zoomScaleNormal="80" workbookViewId="0">
      <selection activeCell="AZ6" sqref="AZ6"/>
    </sheetView>
  </sheetViews>
  <sheetFormatPr baseColWidth="10" defaultColWidth="11.42578125" defaultRowHeight="16.5"/>
  <cols>
    <col min="1" max="1" width="25.7109375" style="1207" customWidth="1"/>
    <col min="2" max="2" width="30.28515625" style="1207" customWidth="1"/>
    <col min="3" max="3" width="41.42578125" style="1392" customWidth="1"/>
    <col min="4" max="4" width="24" style="1207" customWidth="1"/>
    <col min="5" max="5" width="71.42578125" style="1207" bestFit="1" customWidth="1"/>
    <col min="6" max="6" width="23.85546875" style="1207" bestFit="1" customWidth="1"/>
    <col min="7" max="7" width="27.140625" style="1207" customWidth="1"/>
    <col min="8" max="8" width="14" style="1207" hidden="1" customWidth="1"/>
    <col min="9" max="9" width="20.7109375" style="1207" hidden="1" customWidth="1"/>
    <col min="10" max="10" width="10.28515625" style="1207" hidden="1" customWidth="1"/>
    <col min="11" max="11" width="37.28515625" style="1207" bestFit="1" customWidth="1"/>
    <col min="12" max="49" width="21.7109375" style="1207" hidden="1" customWidth="1"/>
    <col min="50" max="51" width="21.7109375" style="1207" customWidth="1"/>
    <col min="52" max="16384" width="11.42578125" style="1207"/>
  </cols>
  <sheetData>
    <row r="1" spans="1:52" ht="29.25" customHeight="1">
      <c r="A1" s="1206"/>
      <c r="B1" s="1206"/>
      <c r="C1" s="3096" t="s">
        <v>565</v>
      </c>
      <c r="D1" s="3096"/>
      <c r="E1" s="3096"/>
      <c r="F1" s="3096"/>
      <c r="G1" s="3096"/>
      <c r="H1" s="3096"/>
      <c r="I1" s="3096"/>
      <c r="J1" s="3096"/>
      <c r="K1" s="3096"/>
    </row>
    <row r="2" spans="1:52" ht="31.7" customHeight="1">
      <c r="A2" s="1208"/>
      <c r="B2" s="1208"/>
      <c r="C2" s="3097" t="s">
        <v>69</v>
      </c>
      <c r="D2" s="3097"/>
      <c r="E2" s="3097"/>
      <c r="F2" s="3097"/>
      <c r="G2" s="3097"/>
      <c r="H2" s="3097"/>
      <c r="I2" s="3097"/>
      <c r="J2" s="3097"/>
      <c r="K2" s="3097"/>
      <c r="AZ2" s="1393" t="s">
        <v>185</v>
      </c>
    </row>
    <row r="3" spans="1:52">
      <c r="A3" s="1209"/>
      <c r="B3" s="1210"/>
      <c r="C3" s="3098" t="s">
        <v>566</v>
      </c>
      <c r="D3" s="3099"/>
      <c r="E3" s="3099"/>
      <c r="F3" s="3099"/>
      <c r="G3" s="3099"/>
      <c r="H3" s="3099"/>
      <c r="I3" s="3099"/>
      <c r="J3" s="3099"/>
      <c r="K3" s="3099"/>
    </row>
    <row r="4" spans="1:52" ht="17.25" thickBot="1">
      <c r="A4" s="1211"/>
      <c r="B4" s="1212"/>
      <c r="C4" s="3100"/>
      <c r="D4" s="3100"/>
      <c r="E4" s="3100"/>
      <c r="F4" s="3100"/>
      <c r="G4" s="3100"/>
      <c r="H4" s="3100"/>
      <c r="I4" s="3100"/>
      <c r="J4" s="3100"/>
      <c r="K4" s="3100"/>
    </row>
    <row r="5" spans="1:52" ht="16.5" customHeight="1" thickTop="1" thickBot="1">
      <c r="A5" s="3101" t="s">
        <v>0</v>
      </c>
      <c r="B5" s="3101" t="s">
        <v>15</v>
      </c>
      <c r="C5" s="3101" t="s">
        <v>1</v>
      </c>
      <c r="D5" s="3101" t="s">
        <v>2</v>
      </c>
      <c r="E5" s="3101" t="s">
        <v>19</v>
      </c>
      <c r="F5" s="3101" t="s">
        <v>3</v>
      </c>
      <c r="G5" s="3090" t="s">
        <v>4</v>
      </c>
      <c r="H5" s="3093" t="s">
        <v>161</v>
      </c>
      <c r="I5" s="3094"/>
      <c r="J5" s="3095"/>
      <c r="K5" s="3090" t="s">
        <v>5</v>
      </c>
      <c r="L5" s="3082" t="s">
        <v>70</v>
      </c>
      <c r="M5" s="3083"/>
      <c r="N5" s="3084"/>
      <c r="O5" s="3082" t="s">
        <v>71</v>
      </c>
      <c r="P5" s="3083"/>
      <c r="Q5" s="3084"/>
      <c r="R5" s="3082" t="s">
        <v>72</v>
      </c>
      <c r="S5" s="3083"/>
      <c r="T5" s="3084"/>
      <c r="U5" s="3082" t="s">
        <v>73</v>
      </c>
      <c r="V5" s="3083"/>
      <c r="W5" s="3084"/>
      <c r="X5" s="3082" t="s">
        <v>74</v>
      </c>
      <c r="Y5" s="3083"/>
      <c r="Z5" s="3084"/>
      <c r="AA5" s="3082" t="s">
        <v>75</v>
      </c>
      <c r="AB5" s="3083"/>
      <c r="AC5" s="3083"/>
      <c r="AD5" s="3082" t="s">
        <v>188</v>
      </c>
      <c r="AE5" s="3083"/>
      <c r="AF5" s="3082" t="s">
        <v>76</v>
      </c>
      <c r="AG5" s="3083"/>
      <c r="AH5" s="3084"/>
      <c r="AI5" s="3082" t="s">
        <v>77</v>
      </c>
      <c r="AJ5" s="3083"/>
      <c r="AK5" s="3084"/>
      <c r="AL5" s="3082" t="s">
        <v>78</v>
      </c>
      <c r="AM5" s="3083"/>
      <c r="AN5" s="3084"/>
      <c r="AO5" s="3082" t="s">
        <v>79</v>
      </c>
      <c r="AP5" s="3083"/>
      <c r="AQ5" s="3084"/>
      <c r="AR5" s="3082" t="s">
        <v>80</v>
      </c>
      <c r="AS5" s="3083"/>
      <c r="AT5" s="3084"/>
      <c r="AU5" s="3082" t="s">
        <v>81</v>
      </c>
      <c r="AV5" s="3083"/>
      <c r="AW5" s="3084"/>
      <c r="AX5" s="3082" t="s">
        <v>82</v>
      </c>
      <c r="AY5" s="3083"/>
      <c r="AZ5" s="1394">
        <f>+(AY9+AY10+AY11+AY12+AY13+AY14+AY15+AY16+AY17+AY18+AY19+AY20+AY21+AY22+AY23+AY25+AY26+AY27+AY28+AY29+AY30+AY31+AY32+AY33+AY34+AY35+AY36+AY37+AY38+AY39+AY40+AY41+AY42+AY43+AY44+AY45+AY47+AY48+AY50+AY51+AY53)/41</f>
        <v>1.3456388627906439</v>
      </c>
    </row>
    <row r="6" spans="1:52" ht="21.75" customHeight="1" thickTop="1" thickBot="1">
      <c r="A6" s="3101"/>
      <c r="B6" s="3101"/>
      <c r="C6" s="3101"/>
      <c r="D6" s="3101"/>
      <c r="E6" s="3101"/>
      <c r="F6" s="3101"/>
      <c r="G6" s="3091"/>
      <c r="H6" s="3085"/>
      <c r="I6" s="3086"/>
      <c r="J6" s="3087"/>
      <c r="K6" s="3091"/>
      <c r="L6" s="3082"/>
      <c r="M6" s="3083"/>
      <c r="N6" s="3084"/>
      <c r="O6" s="3082"/>
      <c r="P6" s="3083"/>
      <c r="Q6" s="3084"/>
      <c r="R6" s="3082"/>
      <c r="S6" s="3083"/>
      <c r="T6" s="3084"/>
      <c r="U6" s="3082"/>
      <c r="V6" s="3083"/>
      <c r="W6" s="3084"/>
      <c r="X6" s="3082"/>
      <c r="Y6" s="3083"/>
      <c r="Z6" s="3084"/>
      <c r="AA6" s="3082"/>
      <c r="AB6" s="3083"/>
      <c r="AC6" s="3083"/>
      <c r="AD6" s="3082"/>
      <c r="AE6" s="3083"/>
      <c r="AF6" s="3082"/>
      <c r="AG6" s="3083"/>
      <c r="AH6" s="3084"/>
      <c r="AI6" s="3082"/>
      <c r="AJ6" s="3083"/>
      <c r="AK6" s="3084"/>
      <c r="AL6" s="3082"/>
      <c r="AM6" s="3083"/>
      <c r="AN6" s="3084"/>
      <c r="AO6" s="3082"/>
      <c r="AP6" s="3083"/>
      <c r="AQ6" s="3084"/>
      <c r="AR6" s="3082"/>
      <c r="AS6" s="3083"/>
      <c r="AT6" s="3084"/>
      <c r="AU6" s="3082"/>
      <c r="AV6" s="3083"/>
      <c r="AW6" s="3084"/>
      <c r="AX6" s="3082"/>
      <c r="AY6" s="3083"/>
    </row>
    <row r="7" spans="1:52" s="1214" customFormat="1" ht="18.75" thickTop="1" thickBot="1">
      <c r="A7" s="3101"/>
      <c r="B7" s="3101"/>
      <c r="C7" s="3101"/>
      <c r="D7" s="3101"/>
      <c r="E7" s="3101"/>
      <c r="F7" s="3101"/>
      <c r="G7" s="3092"/>
      <c r="H7" s="1213" t="s">
        <v>162</v>
      </c>
      <c r="I7" s="1213" t="s">
        <v>163</v>
      </c>
      <c r="J7" s="1213" t="s">
        <v>164</v>
      </c>
      <c r="K7" s="3092"/>
      <c r="L7" s="3085"/>
      <c r="M7" s="3086"/>
      <c r="N7" s="3087"/>
      <c r="O7" s="3085"/>
      <c r="P7" s="3086"/>
      <c r="Q7" s="3087"/>
      <c r="R7" s="3085"/>
      <c r="S7" s="3086"/>
      <c r="T7" s="3087"/>
      <c r="U7" s="3085"/>
      <c r="V7" s="3086"/>
      <c r="W7" s="3087"/>
      <c r="X7" s="3085"/>
      <c r="Y7" s="3086"/>
      <c r="Z7" s="3087"/>
      <c r="AA7" s="3085"/>
      <c r="AB7" s="3086"/>
      <c r="AC7" s="3086"/>
      <c r="AD7" s="3085"/>
      <c r="AE7" s="3086"/>
      <c r="AF7" s="3085"/>
      <c r="AG7" s="3086"/>
      <c r="AH7" s="3087"/>
      <c r="AI7" s="3085"/>
      <c r="AJ7" s="3086"/>
      <c r="AK7" s="3087"/>
      <c r="AL7" s="3085"/>
      <c r="AM7" s="3086"/>
      <c r="AN7" s="3087"/>
      <c r="AO7" s="3085"/>
      <c r="AP7" s="3086"/>
      <c r="AQ7" s="3087"/>
      <c r="AR7" s="3085"/>
      <c r="AS7" s="3086"/>
      <c r="AT7" s="3087"/>
      <c r="AU7" s="3085"/>
      <c r="AV7" s="3086"/>
      <c r="AW7" s="3087"/>
      <c r="AX7" s="3082"/>
      <c r="AY7" s="3083"/>
    </row>
    <row r="8" spans="1:52" s="1221" customFormat="1" ht="29.25" customHeight="1" thickTop="1" thickBot="1">
      <c r="A8" s="3088" t="s">
        <v>83</v>
      </c>
      <c r="B8" s="3088"/>
      <c r="C8" s="3088"/>
      <c r="D8" s="3088"/>
      <c r="E8" s="3088"/>
      <c r="F8" s="3088"/>
      <c r="G8" s="3088"/>
      <c r="H8" s="3088"/>
      <c r="I8" s="3088"/>
      <c r="J8" s="3088"/>
      <c r="K8" s="3089"/>
      <c r="L8" s="1215" t="s">
        <v>84</v>
      </c>
      <c r="M8" s="1215" t="s">
        <v>85</v>
      </c>
      <c r="N8" s="1215" t="s">
        <v>86</v>
      </c>
      <c r="O8" s="1215" t="s">
        <v>84</v>
      </c>
      <c r="P8" s="1216" t="s">
        <v>85</v>
      </c>
      <c r="Q8" s="1215" t="s">
        <v>86</v>
      </c>
      <c r="R8" s="1217" t="s">
        <v>84</v>
      </c>
      <c r="S8" s="1218" t="s">
        <v>85</v>
      </c>
      <c r="T8" s="1215" t="s">
        <v>86</v>
      </c>
      <c r="U8" s="1217" t="s">
        <v>84</v>
      </c>
      <c r="V8" s="1215" t="s">
        <v>85</v>
      </c>
      <c r="W8" s="1215" t="s">
        <v>86</v>
      </c>
      <c r="X8" s="1215" t="s">
        <v>84</v>
      </c>
      <c r="Y8" s="1215" t="s">
        <v>85</v>
      </c>
      <c r="Z8" s="1215" t="s">
        <v>86</v>
      </c>
      <c r="AA8" s="1219" t="s">
        <v>84</v>
      </c>
      <c r="AB8" s="1217" t="s">
        <v>85</v>
      </c>
      <c r="AC8" s="1215" t="s">
        <v>86</v>
      </c>
      <c r="AD8" s="1217" t="s">
        <v>87</v>
      </c>
      <c r="AE8" s="1217" t="s">
        <v>6</v>
      </c>
      <c r="AF8" s="1220" t="s">
        <v>84</v>
      </c>
      <c r="AG8" s="1219" t="s">
        <v>85</v>
      </c>
      <c r="AH8" s="1215" t="s">
        <v>86</v>
      </c>
      <c r="AI8" s="1215" t="s">
        <v>84</v>
      </c>
      <c r="AJ8" s="1219" t="s">
        <v>85</v>
      </c>
      <c r="AK8" s="1215" t="s">
        <v>86</v>
      </c>
      <c r="AL8" s="1219" t="s">
        <v>84</v>
      </c>
      <c r="AM8" s="1215" t="s">
        <v>85</v>
      </c>
      <c r="AN8" s="1215" t="s">
        <v>86</v>
      </c>
      <c r="AO8" s="1219" t="s">
        <v>84</v>
      </c>
      <c r="AP8" s="1219" t="s">
        <v>85</v>
      </c>
      <c r="AQ8" s="1215" t="s">
        <v>86</v>
      </c>
      <c r="AR8" s="1219" t="s">
        <v>84</v>
      </c>
      <c r="AS8" s="1219" t="s">
        <v>85</v>
      </c>
      <c r="AT8" s="1215" t="s">
        <v>86</v>
      </c>
      <c r="AU8" s="1217" t="s">
        <v>84</v>
      </c>
      <c r="AV8" s="1218" t="s">
        <v>85</v>
      </c>
      <c r="AW8" s="1215" t="s">
        <v>86</v>
      </c>
      <c r="AX8" s="1215" t="s">
        <v>87</v>
      </c>
      <c r="AY8" s="1219" t="s">
        <v>6</v>
      </c>
    </row>
    <row r="9" spans="1:52" s="891" customFormat="1" ht="48.75" customHeight="1" thickTop="1" thickBot="1">
      <c r="A9" s="3067" t="s">
        <v>88</v>
      </c>
      <c r="B9" s="3069" t="s">
        <v>89</v>
      </c>
      <c r="C9" s="1222" t="s">
        <v>601</v>
      </c>
      <c r="D9" s="1223" t="s">
        <v>90</v>
      </c>
      <c r="E9" s="1222" t="s">
        <v>91</v>
      </c>
      <c r="F9" s="1222" t="s">
        <v>18</v>
      </c>
      <c r="G9" s="1224">
        <f>L9+O9+R9+U9+X9+AA9+AF9+AI9+AL9+AO9+AR9+AU9</f>
        <v>1075.6699999999998</v>
      </c>
      <c r="H9" s="1225"/>
      <c r="I9" s="1226" t="s">
        <v>98</v>
      </c>
      <c r="J9" s="1225"/>
      <c r="K9" s="1222" t="s">
        <v>25</v>
      </c>
      <c r="L9" s="1227">
        <v>139.84</v>
      </c>
      <c r="M9" s="1228">
        <v>265.92</v>
      </c>
      <c r="N9" s="1229">
        <f>+M9/L9</f>
        <v>1.9016018306636155</v>
      </c>
      <c r="O9" s="1230">
        <v>75.3</v>
      </c>
      <c r="P9" s="1231">
        <v>66.11</v>
      </c>
      <c r="Q9" s="1229">
        <f>+P9/O9</f>
        <v>0.87795484727755646</v>
      </c>
      <c r="R9" s="1227">
        <v>118.32</v>
      </c>
      <c r="S9" s="1231">
        <v>89.21</v>
      </c>
      <c r="T9" s="1229">
        <f t="shared" ref="T9:T45" si="0">+S9/R9</f>
        <v>0.7539722785665991</v>
      </c>
      <c r="U9" s="1230">
        <v>86.05</v>
      </c>
      <c r="V9" s="1228">
        <v>64.010000000000005</v>
      </c>
      <c r="W9" s="1229">
        <f>+V9/U9</f>
        <v>0.74386984311446847</v>
      </c>
      <c r="X9" s="1230">
        <v>64.540000000000006</v>
      </c>
      <c r="Y9" s="1228">
        <v>32.19</v>
      </c>
      <c r="Z9" s="1229">
        <f>+Y9/X9</f>
        <v>0.49876045863030671</v>
      </c>
      <c r="AA9" s="1227">
        <v>193.62</v>
      </c>
      <c r="AB9" s="1231">
        <v>20.99</v>
      </c>
      <c r="AC9" s="1229">
        <f>+AB9/AA9</f>
        <v>0.10840822229108563</v>
      </c>
      <c r="AD9" s="1232">
        <f>+M9+P9+S9+V9+Y9+AB9</f>
        <v>538.43000000000006</v>
      </c>
      <c r="AE9" s="1229">
        <f>AD9/G9</f>
        <v>0.50055314362211467</v>
      </c>
      <c r="AF9" s="1230">
        <v>64.540000000000006</v>
      </c>
      <c r="AG9" s="1231">
        <v>138.07</v>
      </c>
      <c r="AH9" s="1229">
        <f>+AG9/AF9</f>
        <v>2.1392934614192747</v>
      </c>
      <c r="AI9" s="1230">
        <v>64.540000000000006</v>
      </c>
      <c r="AJ9" s="1231">
        <v>28.11</v>
      </c>
      <c r="AK9" s="1229">
        <f>+AJ9/AI9</f>
        <v>0.43554384877595287</v>
      </c>
      <c r="AL9" s="1227">
        <v>64.540000000000006</v>
      </c>
      <c r="AM9" s="1228">
        <v>4.1900000000000004</v>
      </c>
      <c r="AN9" s="1229">
        <f>+AM9/AL9</f>
        <v>6.4920979237682058E-2</v>
      </c>
      <c r="AO9" s="1227">
        <v>75.3</v>
      </c>
      <c r="AP9" s="1231">
        <v>235.57</v>
      </c>
      <c r="AQ9" s="1229">
        <f>+AP9/AO9</f>
        <v>3.1284196547144756</v>
      </c>
      <c r="AR9" s="1227">
        <v>64.540000000000006</v>
      </c>
      <c r="AS9" s="1231">
        <v>51.39</v>
      </c>
      <c r="AT9" s="1229">
        <f>+AS9/AR9</f>
        <v>0.79625038735667797</v>
      </c>
      <c r="AU9" s="1227">
        <v>64.540000000000006</v>
      </c>
      <c r="AV9" s="1231">
        <v>72.08</v>
      </c>
      <c r="AW9" s="1229">
        <f>+AV9/AU9</f>
        <v>1.1168267740935853</v>
      </c>
      <c r="AX9" s="1232">
        <f>+M9+P9+S9+V9+Y9+AB9+AG9+AJ9+AM9+AP9+AS9+AV9</f>
        <v>1067.8400000000001</v>
      </c>
      <c r="AY9" s="1233">
        <f>+AX9/G9</f>
        <v>0.99272081586360161</v>
      </c>
    </row>
    <row r="10" spans="1:52" s="891" customFormat="1" ht="63.75" customHeight="1" thickTop="1" thickBot="1">
      <c r="A10" s="3067"/>
      <c r="B10" s="3070"/>
      <c r="C10" s="1234" t="s">
        <v>602</v>
      </c>
      <c r="D10" s="1235" t="s">
        <v>92</v>
      </c>
      <c r="E10" s="1236" t="s">
        <v>93</v>
      </c>
      <c r="F10" s="1236" t="s">
        <v>17</v>
      </c>
      <c r="G10" s="1237">
        <v>10</v>
      </c>
      <c r="H10" s="1238"/>
      <c r="I10" s="1239" t="s">
        <v>98</v>
      </c>
      <c r="J10" s="1238"/>
      <c r="K10" s="1236" t="s">
        <v>567</v>
      </c>
      <c r="L10" s="1240">
        <v>2</v>
      </c>
      <c r="M10" s="1241">
        <v>2</v>
      </c>
      <c r="N10" s="1229">
        <f>+M10/L10</f>
        <v>1</v>
      </c>
      <c r="O10" s="1242">
        <v>2</v>
      </c>
      <c r="P10" s="1243">
        <v>1</v>
      </c>
      <c r="Q10" s="1229">
        <f>+P10/O10</f>
        <v>0.5</v>
      </c>
      <c r="R10" s="1240">
        <v>2</v>
      </c>
      <c r="S10" s="1243">
        <v>2</v>
      </c>
      <c r="T10" s="1229">
        <f t="shared" si="0"/>
        <v>1</v>
      </c>
      <c r="U10" s="1242">
        <v>2</v>
      </c>
      <c r="V10" s="1241">
        <v>3</v>
      </c>
      <c r="W10" s="1229">
        <f>+V10/U10</f>
        <v>1.5</v>
      </c>
      <c r="X10" s="1242">
        <v>1</v>
      </c>
      <c r="Y10" s="1241">
        <v>1</v>
      </c>
      <c r="Z10" s="1229">
        <f>+Y10/X10</f>
        <v>1</v>
      </c>
      <c r="AA10" s="1240">
        <v>0</v>
      </c>
      <c r="AB10" s="1243">
        <v>0</v>
      </c>
      <c r="AC10" s="1229" t="e">
        <f>+AB10/AA10</f>
        <v>#DIV/0!</v>
      </c>
      <c r="AD10" s="1244">
        <f>+M10+P10+S10+V10+Y10+AB10</f>
        <v>9</v>
      </c>
      <c r="AE10" s="1229">
        <f>AD10/G10</f>
        <v>0.9</v>
      </c>
      <c r="AF10" s="1242">
        <v>0</v>
      </c>
      <c r="AG10" s="1243"/>
      <c r="AH10" s="1229" t="e">
        <f>+AG10/AF10</f>
        <v>#DIV/0!</v>
      </c>
      <c r="AI10" s="1242">
        <v>0</v>
      </c>
      <c r="AJ10" s="1243"/>
      <c r="AK10" s="1229" t="e">
        <f>+AJ10/AI10</f>
        <v>#DIV/0!</v>
      </c>
      <c r="AL10" s="1240"/>
      <c r="AM10" s="1241"/>
      <c r="AN10" s="1229" t="e">
        <f>+AM10/AL10</f>
        <v>#DIV/0!</v>
      </c>
      <c r="AO10" s="1240">
        <v>1</v>
      </c>
      <c r="AP10" s="1243">
        <v>1</v>
      </c>
      <c r="AQ10" s="1229">
        <f>+AP10/AO10</f>
        <v>1</v>
      </c>
      <c r="AR10" s="1240">
        <v>0</v>
      </c>
      <c r="AS10" s="1243"/>
      <c r="AT10" s="1229" t="e">
        <f>+AS10/AR10</f>
        <v>#DIV/0!</v>
      </c>
      <c r="AU10" s="1240">
        <v>0</v>
      </c>
      <c r="AV10" s="1243"/>
      <c r="AW10" s="1229" t="e">
        <f>+AV10/AU10</f>
        <v>#DIV/0!</v>
      </c>
      <c r="AX10" s="1244">
        <f>+M10+P10+S10+V10+Y10+AB10+AG10+AJ10+AM10+AP10+AS10+AV10</f>
        <v>10</v>
      </c>
      <c r="AY10" s="1229">
        <f>+AX10/G10</f>
        <v>1</v>
      </c>
    </row>
    <row r="11" spans="1:52" s="891" customFormat="1" ht="42.75" customHeight="1" thickTop="1" thickBot="1">
      <c r="A11" s="3067"/>
      <c r="B11" s="3071" t="s">
        <v>94</v>
      </c>
      <c r="C11" s="1245" t="s">
        <v>603</v>
      </c>
      <c r="D11" s="1223" t="s">
        <v>96</v>
      </c>
      <c r="E11" s="1222" t="s">
        <v>97</v>
      </c>
      <c r="F11" s="1222" t="s">
        <v>168</v>
      </c>
      <c r="G11" s="1226">
        <v>2013552</v>
      </c>
      <c r="H11" s="1225"/>
      <c r="I11" s="1226" t="s">
        <v>98</v>
      </c>
      <c r="J11" s="1225"/>
      <c r="K11" s="1222" t="s">
        <v>20</v>
      </c>
      <c r="L11" s="1227"/>
      <c r="M11" s="1228"/>
      <c r="N11" s="1229" t="e">
        <f>+M11/L11</f>
        <v>#DIV/0!</v>
      </c>
      <c r="O11" s="1230">
        <v>0</v>
      </c>
      <c r="P11" s="1231"/>
      <c r="Q11" s="1229" t="e">
        <f>+P11/O11</f>
        <v>#DIV/0!</v>
      </c>
      <c r="R11" s="1227">
        <v>0</v>
      </c>
      <c r="S11" s="1231"/>
      <c r="T11" s="1229" t="e">
        <f t="shared" si="0"/>
        <v>#DIV/0!</v>
      </c>
      <c r="U11" s="1230">
        <v>0</v>
      </c>
      <c r="V11" s="1228"/>
      <c r="W11" s="1229" t="e">
        <f>+V11/U11</f>
        <v>#DIV/0!</v>
      </c>
      <c r="X11" s="1230">
        <v>0</v>
      </c>
      <c r="Y11" s="1228"/>
      <c r="Z11" s="1229" t="e">
        <f>+Y11/X11</f>
        <v>#DIV/0!</v>
      </c>
      <c r="AA11" s="1227">
        <v>0</v>
      </c>
      <c r="AB11" s="1231"/>
      <c r="AC11" s="1229" t="e">
        <f>+AB11/AA11</f>
        <v>#DIV/0!</v>
      </c>
      <c r="AD11" s="1232">
        <f>+M11+P11+S11+V11+Y11+AB11</f>
        <v>0</v>
      </c>
      <c r="AE11" s="1229">
        <f>AD11/G11</f>
        <v>0</v>
      </c>
      <c r="AF11" s="1230">
        <v>0</v>
      </c>
      <c r="AG11" s="1231"/>
      <c r="AH11" s="1229" t="e">
        <f>+AG11/AF11</f>
        <v>#DIV/0!</v>
      </c>
      <c r="AI11" s="1230">
        <v>0</v>
      </c>
      <c r="AJ11" s="1231"/>
      <c r="AK11" s="1229" t="e">
        <f>+AJ11/AI11</f>
        <v>#DIV/0!</v>
      </c>
      <c r="AL11" s="1227">
        <v>0</v>
      </c>
      <c r="AM11" s="1228"/>
      <c r="AN11" s="1229" t="e">
        <f>+AM11/AL11</f>
        <v>#DIV/0!</v>
      </c>
      <c r="AO11" s="1227">
        <v>0</v>
      </c>
      <c r="AP11" s="1231"/>
      <c r="AQ11" s="1229" t="e">
        <f>+AP11/AO11</f>
        <v>#DIV/0!</v>
      </c>
      <c r="AR11" s="1227">
        <v>0</v>
      </c>
      <c r="AS11" s="1231"/>
      <c r="AT11" s="1229" t="e">
        <f>+AS11/AR11</f>
        <v>#DIV/0!</v>
      </c>
      <c r="AU11" s="1227">
        <v>0</v>
      </c>
      <c r="AV11" s="1231">
        <v>2013552</v>
      </c>
      <c r="AW11" s="1229" t="e">
        <f>+AV11/AU11</f>
        <v>#DIV/0!</v>
      </c>
      <c r="AX11" s="1232">
        <f>+M11+P11+S11+V11+Y11+AB11+AG11+AJ11+AM11+AP11+AS11+AV11</f>
        <v>2013552</v>
      </c>
      <c r="AY11" s="1229">
        <f>+AX11/G11</f>
        <v>1</v>
      </c>
    </row>
    <row r="12" spans="1:52" s="891" customFormat="1" ht="78.75" customHeight="1" thickTop="1" thickBot="1">
      <c r="A12" s="3067"/>
      <c r="B12" s="3072"/>
      <c r="C12" s="3074" t="s">
        <v>604</v>
      </c>
      <c r="D12" s="1246" t="s">
        <v>99</v>
      </c>
      <c r="E12" s="1247" t="s">
        <v>100</v>
      </c>
      <c r="F12" s="1248" t="s">
        <v>101</v>
      </c>
      <c r="G12" s="1249">
        <v>168560000000</v>
      </c>
      <c r="H12" s="1248"/>
      <c r="I12" s="1249">
        <v>168560000000</v>
      </c>
      <c r="J12" s="1250"/>
      <c r="K12" s="1250" t="s">
        <v>172</v>
      </c>
      <c r="L12" s="1251">
        <v>13484800000</v>
      </c>
      <c r="M12" s="1252">
        <v>4552952750</v>
      </c>
      <c r="N12" s="1229">
        <f>+M12/L12</f>
        <v>0.3376359122864262</v>
      </c>
      <c r="O12" s="1251">
        <v>13484800000</v>
      </c>
      <c r="P12" s="1252">
        <v>8929152123</v>
      </c>
      <c r="Q12" s="1229">
        <f t="shared" ref="Q12:Q50" si="1">+P12/O12</f>
        <v>0.66216422364439964</v>
      </c>
      <c r="R12" s="1251">
        <v>13484800000</v>
      </c>
      <c r="S12" s="1252">
        <v>24499951395</v>
      </c>
      <c r="T12" s="1229">
        <f t="shared" si="0"/>
        <v>1.816856860687589</v>
      </c>
      <c r="U12" s="1251">
        <v>15170400000</v>
      </c>
      <c r="V12" s="1252">
        <v>1876910190</v>
      </c>
      <c r="W12" s="1229">
        <f t="shared" ref="W12:W50" si="2">+V12/U12</f>
        <v>0.1237218656067078</v>
      </c>
      <c r="X12" s="1251">
        <v>16856000000</v>
      </c>
      <c r="Y12" s="1252">
        <v>9688207510</v>
      </c>
      <c r="Z12" s="1229">
        <f t="shared" ref="Z12:Z50" si="3">+Y12/X12</f>
        <v>0.57476314131466544</v>
      </c>
      <c r="AA12" s="1251">
        <v>16856000000</v>
      </c>
      <c r="AB12" s="1252">
        <v>39085271100</v>
      </c>
      <c r="AC12" s="1229">
        <f t="shared" ref="AC12:AC50" si="4">+AB12/AA12</f>
        <v>2.318774982202183</v>
      </c>
      <c r="AD12" s="1232">
        <f t="shared" ref="AD12:AD50" si="5">+M12+P12+S12+V12+Y12+AB12</f>
        <v>88632445068</v>
      </c>
      <c r="AE12" s="1229">
        <f t="shared" ref="AE12:AE50" si="6">AD12/G12</f>
        <v>0.52582133998576175</v>
      </c>
      <c r="AF12" s="1251">
        <v>16856000000</v>
      </c>
      <c r="AG12" s="1252">
        <v>8682782380</v>
      </c>
      <c r="AH12" s="1229">
        <f t="shared" ref="AH12:AH50" si="7">+AG12/AF12</f>
        <v>0.51511523374466062</v>
      </c>
      <c r="AI12" s="1251">
        <v>16856000000</v>
      </c>
      <c r="AJ12" s="1252">
        <v>3412761580</v>
      </c>
      <c r="AK12" s="1229">
        <f t="shared" ref="AK12:AK50" si="8">+AJ12/AI12</f>
        <v>0.20246568462268627</v>
      </c>
      <c r="AL12" s="1251">
        <v>16856000000</v>
      </c>
      <c r="AM12" s="1252">
        <v>16766654560</v>
      </c>
      <c r="AN12" s="1229">
        <f t="shared" ref="AN12:AN50" si="9">+AM12/AL12</f>
        <v>0.99469948742287617</v>
      </c>
      <c r="AO12" s="1251">
        <v>16856000000</v>
      </c>
      <c r="AP12" s="1252">
        <v>10381465130</v>
      </c>
      <c r="AQ12" s="1229">
        <f t="shared" ref="AQ12:AQ50" si="10">+AP12/AO12</f>
        <v>0.61589138170384428</v>
      </c>
      <c r="AR12" s="1251">
        <v>6742400000</v>
      </c>
      <c r="AS12" s="1252">
        <v>21922151671</v>
      </c>
      <c r="AT12" s="1229">
        <f t="shared" ref="AT12:AT50" si="11">+AS12/AR12</f>
        <v>3.2513869943936875</v>
      </c>
      <c r="AU12" s="1251">
        <v>5056800000</v>
      </c>
      <c r="AV12" s="1252">
        <v>23611096610</v>
      </c>
      <c r="AW12" s="1229">
        <f t="shared" ref="AW12:AW49" si="12">+AV12/AU12</f>
        <v>4.6691774659863947</v>
      </c>
      <c r="AX12" s="1253">
        <f t="shared" ref="AX12:AX47" si="13">+M12+P12+S12+V12+Y12+AB12+AG12+AJ12+AM12+AP12+AS12+AV12</f>
        <v>173409356999</v>
      </c>
      <c r="AY12" s="1229">
        <f t="shared" ref="AY12:AY50" si="14">+AX12/G12</f>
        <v>1.0287693224905079</v>
      </c>
    </row>
    <row r="13" spans="1:52" s="891" customFormat="1" ht="55.5" customHeight="1" thickTop="1" thickBot="1">
      <c r="A13" s="3067"/>
      <c r="B13" s="3072"/>
      <c r="C13" s="3075"/>
      <c r="D13" s="1254" t="s">
        <v>430</v>
      </c>
      <c r="E13" s="1255" t="s">
        <v>272</v>
      </c>
      <c r="F13" s="1255" t="s">
        <v>101</v>
      </c>
      <c r="G13" s="1256">
        <v>5000000000</v>
      </c>
      <c r="H13" s="1257"/>
      <c r="I13" s="1258">
        <v>5000000000</v>
      </c>
      <c r="J13" s="1257"/>
      <c r="K13" s="1255" t="s">
        <v>140</v>
      </c>
      <c r="L13" s="1259">
        <v>333333333.33333331</v>
      </c>
      <c r="M13" s="1260">
        <v>0</v>
      </c>
      <c r="N13" s="1229">
        <f t="shared" ref="N13:N50" si="15">+M13/L13</f>
        <v>0</v>
      </c>
      <c r="O13" s="1259">
        <v>333333333.33333331</v>
      </c>
      <c r="P13" s="1260">
        <v>5256735</v>
      </c>
      <c r="Q13" s="1229">
        <f t="shared" si="1"/>
        <v>1.5770205000000002E-2</v>
      </c>
      <c r="R13" s="1259">
        <v>333333333.33333331</v>
      </c>
      <c r="S13" s="1260">
        <v>0</v>
      </c>
      <c r="T13" s="1229">
        <f t="shared" si="0"/>
        <v>0</v>
      </c>
      <c r="U13" s="1259">
        <v>500000000</v>
      </c>
      <c r="V13" s="1260">
        <v>0</v>
      </c>
      <c r="W13" s="1229">
        <f t="shared" si="2"/>
        <v>0</v>
      </c>
      <c r="X13" s="1259">
        <v>500000000</v>
      </c>
      <c r="Y13" s="1260">
        <v>0</v>
      </c>
      <c r="Z13" s="1229">
        <f>+Y13/X13</f>
        <v>0</v>
      </c>
      <c r="AA13" s="1259">
        <v>500000000</v>
      </c>
      <c r="AB13" s="1260">
        <v>0</v>
      </c>
      <c r="AC13" s="1229">
        <f t="shared" si="4"/>
        <v>0</v>
      </c>
      <c r="AD13" s="1232">
        <f t="shared" si="5"/>
        <v>5256735</v>
      </c>
      <c r="AE13" s="1229">
        <f t="shared" si="6"/>
        <v>1.051347E-3</v>
      </c>
      <c r="AF13" s="1259">
        <v>500000000</v>
      </c>
      <c r="AG13" s="1260">
        <v>0</v>
      </c>
      <c r="AH13" s="1229">
        <f t="shared" si="7"/>
        <v>0</v>
      </c>
      <c r="AI13" s="1259">
        <v>500000000</v>
      </c>
      <c r="AJ13" s="1260">
        <v>0</v>
      </c>
      <c r="AK13" s="1229">
        <f t="shared" si="8"/>
        <v>0</v>
      </c>
      <c r="AL13" s="1259">
        <v>500000000</v>
      </c>
      <c r="AM13" s="1260">
        <v>6389000</v>
      </c>
      <c r="AN13" s="1229">
        <f t="shared" si="9"/>
        <v>1.2777999999999999E-2</v>
      </c>
      <c r="AO13" s="1259">
        <v>333333333.33333331</v>
      </c>
      <c r="AP13" s="1260">
        <v>0</v>
      </c>
      <c r="AQ13" s="1229">
        <f t="shared" si="10"/>
        <v>0</v>
      </c>
      <c r="AR13" s="1259">
        <v>333333333.33333331</v>
      </c>
      <c r="AS13" s="1260">
        <v>0</v>
      </c>
      <c r="AT13" s="1229">
        <f t="shared" si="11"/>
        <v>0</v>
      </c>
      <c r="AU13" s="1259">
        <v>333333333.33333331</v>
      </c>
      <c r="AV13" s="1261">
        <v>40368806</v>
      </c>
      <c r="AW13" s="1229">
        <f t="shared" si="12"/>
        <v>0.12110641800000001</v>
      </c>
      <c r="AX13" s="1232">
        <f t="shared" si="13"/>
        <v>52014541</v>
      </c>
      <c r="AY13" s="1229">
        <f t="shared" si="14"/>
        <v>1.04029082E-2</v>
      </c>
    </row>
    <row r="14" spans="1:52" s="891" customFormat="1" ht="45" customHeight="1" thickTop="1" thickBot="1">
      <c r="A14" s="3067"/>
      <c r="B14" s="3072"/>
      <c r="C14" s="3075"/>
      <c r="D14" s="1262" t="s">
        <v>456</v>
      </c>
      <c r="E14" s="1247" t="s">
        <v>195</v>
      </c>
      <c r="F14" s="1247" t="s">
        <v>101</v>
      </c>
      <c r="G14" s="1263">
        <v>3409065712</v>
      </c>
      <c r="H14" s="1247"/>
      <c r="I14" s="1263">
        <v>3409065712</v>
      </c>
      <c r="J14" s="1247"/>
      <c r="K14" s="1250" t="s">
        <v>196</v>
      </c>
      <c r="L14" s="1251">
        <v>113635524</v>
      </c>
      <c r="M14" s="1252"/>
      <c r="N14" s="1229">
        <f t="shared" si="15"/>
        <v>0</v>
      </c>
      <c r="O14" s="1251">
        <v>113635524</v>
      </c>
      <c r="P14" s="1252"/>
      <c r="Q14" s="1229">
        <f t="shared" si="1"/>
        <v>0</v>
      </c>
      <c r="R14" s="1251">
        <v>113635524</v>
      </c>
      <c r="S14" s="1252"/>
      <c r="T14" s="1229">
        <f t="shared" si="0"/>
        <v>0</v>
      </c>
      <c r="U14" s="1251">
        <v>454542095</v>
      </c>
      <c r="V14" s="1252"/>
      <c r="W14" s="1229">
        <f t="shared" si="2"/>
        <v>0</v>
      </c>
      <c r="X14" s="1251">
        <v>454542095</v>
      </c>
      <c r="Y14" s="1252"/>
      <c r="Z14" s="1229">
        <f t="shared" si="3"/>
        <v>0</v>
      </c>
      <c r="AA14" s="1251">
        <v>454542095</v>
      </c>
      <c r="AB14" s="1252">
        <v>710421840</v>
      </c>
      <c r="AC14" s="1229">
        <f t="shared" si="4"/>
        <v>1.5629395996865814</v>
      </c>
      <c r="AD14" s="1232">
        <f t="shared" si="5"/>
        <v>710421840</v>
      </c>
      <c r="AE14" s="1229">
        <f t="shared" si="6"/>
        <v>0.20839194665544189</v>
      </c>
      <c r="AF14" s="1251">
        <v>454542095</v>
      </c>
      <c r="AG14" s="1252">
        <v>10452791</v>
      </c>
      <c r="AH14" s="1229">
        <f t="shared" si="7"/>
        <v>2.2996310165728433E-2</v>
      </c>
      <c r="AI14" s="1251">
        <v>454542095</v>
      </c>
      <c r="AJ14" s="1252">
        <v>2486700</v>
      </c>
      <c r="AK14" s="1229">
        <f t="shared" si="8"/>
        <v>5.4707804345381916E-3</v>
      </c>
      <c r="AL14" s="1251">
        <v>454542095</v>
      </c>
      <c r="AM14" s="1252"/>
      <c r="AN14" s="1229">
        <f t="shared" si="9"/>
        <v>0</v>
      </c>
      <c r="AO14" s="1251">
        <v>113635524</v>
      </c>
      <c r="AP14" s="1252">
        <v>63250194</v>
      </c>
      <c r="AQ14" s="1229">
        <f t="shared" si="10"/>
        <v>0.55660581984908175</v>
      </c>
      <c r="AR14" s="1251">
        <v>113635523</v>
      </c>
      <c r="AS14" s="1252"/>
      <c r="AT14" s="1229">
        <f t="shared" si="11"/>
        <v>0</v>
      </c>
      <c r="AU14" s="1251">
        <v>113635523</v>
      </c>
      <c r="AV14" s="1252"/>
      <c r="AW14" s="1229">
        <f t="shared" si="12"/>
        <v>0</v>
      </c>
      <c r="AX14" s="1253">
        <f t="shared" si="13"/>
        <v>786611525</v>
      </c>
      <c r="AY14" s="1229">
        <f t="shared" si="14"/>
        <v>0.23074108610787611</v>
      </c>
    </row>
    <row r="15" spans="1:52" s="891" customFormat="1" ht="134.25" customHeight="1" thickTop="1" thickBot="1">
      <c r="A15" s="3067"/>
      <c r="B15" s="3072"/>
      <c r="C15" s="3075"/>
      <c r="D15" s="1254" t="s">
        <v>457</v>
      </c>
      <c r="E15" s="1255" t="s">
        <v>526</v>
      </c>
      <c r="F15" s="1255" t="s">
        <v>101</v>
      </c>
      <c r="G15" s="1256">
        <v>358337314.85905397</v>
      </c>
      <c r="H15" s="1257"/>
      <c r="I15" s="1258">
        <v>358337314.85905397</v>
      </c>
      <c r="J15" s="1257"/>
      <c r="K15" s="1255" t="s">
        <v>140</v>
      </c>
      <c r="L15" s="1259">
        <v>23889154.323936936</v>
      </c>
      <c r="M15" s="1260">
        <v>0</v>
      </c>
      <c r="N15" s="1229">
        <f t="shared" si="15"/>
        <v>0</v>
      </c>
      <c r="O15" s="1259">
        <v>23889154.323936936</v>
      </c>
      <c r="P15" s="1260">
        <v>0</v>
      </c>
      <c r="Q15" s="1229">
        <f t="shared" si="1"/>
        <v>0</v>
      </c>
      <c r="R15" s="1259">
        <v>23889154.323936936</v>
      </c>
      <c r="S15" s="1260">
        <v>0</v>
      </c>
      <c r="T15" s="1229">
        <f t="shared" si="0"/>
        <v>0</v>
      </c>
      <c r="U15" s="1259">
        <v>35833731.485905394</v>
      </c>
      <c r="V15" s="1260">
        <v>0</v>
      </c>
      <c r="W15" s="1229">
        <f t="shared" si="2"/>
        <v>0</v>
      </c>
      <c r="X15" s="1259">
        <v>35833731.485905394</v>
      </c>
      <c r="Y15" s="1260">
        <v>0</v>
      </c>
      <c r="Z15" s="1229">
        <f t="shared" si="3"/>
        <v>0</v>
      </c>
      <c r="AA15" s="1259">
        <v>35833731.485905394</v>
      </c>
      <c r="AB15" s="1260">
        <v>16025000</v>
      </c>
      <c r="AC15" s="1229">
        <f t="shared" si="4"/>
        <v>0.44720433333333337</v>
      </c>
      <c r="AD15" s="1232">
        <f t="shared" si="5"/>
        <v>16025000</v>
      </c>
      <c r="AE15" s="1229">
        <f t="shared" si="6"/>
        <v>4.4720433333333337E-2</v>
      </c>
      <c r="AF15" s="1259">
        <v>35833731.485905394</v>
      </c>
      <c r="AG15" s="1260">
        <v>2740000</v>
      </c>
      <c r="AH15" s="1229">
        <f t="shared" si="7"/>
        <v>7.6464266666666683E-2</v>
      </c>
      <c r="AI15" s="1259">
        <v>35833731.485905394</v>
      </c>
      <c r="AJ15" s="1260">
        <v>0</v>
      </c>
      <c r="AK15" s="1229">
        <f t="shared" si="8"/>
        <v>0</v>
      </c>
      <c r="AL15" s="1259">
        <v>35833731.485905394</v>
      </c>
      <c r="AM15" s="1260">
        <v>0</v>
      </c>
      <c r="AN15" s="1229">
        <f t="shared" si="9"/>
        <v>0</v>
      </c>
      <c r="AO15" s="1259">
        <v>23889154.323936936</v>
      </c>
      <c r="AP15" s="1260">
        <v>1836000</v>
      </c>
      <c r="AQ15" s="1229">
        <f t="shared" si="10"/>
        <v>7.6854959999999986E-2</v>
      </c>
      <c r="AR15" s="1259">
        <v>23889154.323936936</v>
      </c>
      <c r="AS15" s="1260">
        <v>42062000</v>
      </c>
      <c r="AT15" s="1229">
        <f t="shared" si="11"/>
        <v>1.7607153199999999</v>
      </c>
      <c r="AU15" s="1259">
        <v>23889154.323936936</v>
      </c>
      <c r="AV15" s="1260">
        <v>82247000</v>
      </c>
      <c r="AW15" s="1229">
        <f t="shared" si="12"/>
        <v>3.4428594199999996</v>
      </c>
      <c r="AX15" s="1232">
        <f t="shared" si="13"/>
        <v>144910000</v>
      </c>
      <c r="AY15" s="1229">
        <f t="shared" si="14"/>
        <v>0.40439550666666668</v>
      </c>
    </row>
    <row r="16" spans="1:52" s="891" customFormat="1" ht="77.45" customHeight="1" thickTop="1" thickBot="1">
      <c r="A16" s="3067"/>
      <c r="B16" s="3072"/>
      <c r="C16" s="3075"/>
      <c r="D16" s="1262" t="s">
        <v>458</v>
      </c>
      <c r="E16" s="1247" t="s">
        <v>273</v>
      </c>
      <c r="F16" s="1247" t="s">
        <v>101</v>
      </c>
      <c r="G16" s="1263">
        <v>3500000000</v>
      </c>
      <c r="H16" s="1247"/>
      <c r="I16" s="1263">
        <v>3500000000</v>
      </c>
      <c r="J16" s="1247"/>
      <c r="K16" s="1250" t="s">
        <v>140</v>
      </c>
      <c r="L16" s="1264">
        <v>233333333.33333334</v>
      </c>
      <c r="M16" s="1252">
        <v>0</v>
      </c>
      <c r="N16" s="1229">
        <f t="shared" si="15"/>
        <v>0</v>
      </c>
      <c r="O16" s="1264">
        <v>233333333.33333334</v>
      </c>
      <c r="P16" s="1265">
        <v>0</v>
      </c>
      <c r="Q16" s="1229">
        <f t="shared" si="1"/>
        <v>0</v>
      </c>
      <c r="R16" s="1251">
        <v>233333333.33333334</v>
      </c>
      <c r="S16" s="1252">
        <v>0</v>
      </c>
      <c r="T16" s="1229">
        <f t="shared" si="0"/>
        <v>0</v>
      </c>
      <c r="U16" s="1251">
        <v>350000000</v>
      </c>
      <c r="V16" s="1252">
        <v>0</v>
      </c>
      <c r="W16" s="1229">
        <f t="shared" si="2"/>
        <v>0</v>
      </c>
      <c r="X16" s="1264">
        <v>350000000</v>
      </c>
      <c r="Y16" s="1252">
        <v>0</v>
      </c>
      <c r="Z16" s="1229">
        <f t="shared" si="3"/>
        <v>0</v>
      </c>
      <c r="AA16" s="1251">
        <v>350000000</v>
      </c>
      <c r="AB16" s="1265">
        <v>5256735</v>
      </c>
      <c r="AC16" s="1229">
        <f t="shared" si="4"/>
        <v>1.5019242857142857E-2</v>
      </c>
      <c r="AD16" s="1232">
        <f t="shared" si="5"/>
        <v>5256735</v>
      </c>
      <c r="AE16" s="1229">
        <f t="shared" si="6"/>
        <v>1.5019242857142857E-3</v>
      </c>
      <c r="AF16" s="1251">
        <v>350000000</v>
      </c>
      <c r="AG16" s="1265">
        <v>0</v>
      </c>
      <c r="AH16" s="1229">
        <f t="shared" si="7"/>
        <v>0</v>
      </c>
      <c r="AI16" s="1264">
        <v>350000000</v>
      </c>
      <c r="AJ16" s="1252">
        <v>0</v>
      </c>
      <c r="AK16" s="1229">
        <f t="shared" si="8"/>
        <v>0</v>
      </c>
      <c r="AL16" s="1251">
        <v>350000000</v>
      </c>
      <c r="AM16" s="1265">
        <v>0</v>
      </c>
      <c r="AN16" s="1229">
        <f t="shared" si="9"/>
        <v>0</v>
      </c>
      <c r="AO16" s="1251">
        <v>233333333.33333334</v>
      </c>
      <c r="AP16" s="1265">
        <v>6389000</v>
      </c>
      <c r="AQ16" s="1229">
        <f t="shared" si="10"/>
        <v>2.738142857142857E-2</v>
      </c>
      <c r="AR16" s="1264">
        <v>233333333.33333334</v>
      </c>
      <c r="AS16" s="1265">
        <v>0</v>
      </c>
      <c r="AT16" s="1229">
        <f t="shared" si="11"/>
        <v>0</v>
      </c>
      <c r="AU16" s="1264">
        <v>233333333.33333334</v>
      </c>
      <c r="AV16" s="1252">
        <v>0</v>
      </c>
      <c r="AW16" s="1229">
        <f t="shared" si="12"/>
        <v>0</v>
      </c>
      <c r="AX16" s="1253">
        <f t="shared" si="13"/>
        <v>11645735</v>
      </c>
      <c r="AY16" s="1266">
        <f t="shared" si="14"/>
        <v>3.3273528571428571E-3</v>
      </c>
    </row>
    <row r="17" spans="1:51" s="891" customFormat="1" ht="75.75" customHeight="1" thickTop="1" thickBot="1">
      <c r="A17" s="3067"/>
      <c r="B17" s="3072"/>
      <c r="C17" s="3075"/>
      <c r="D17" s="1254" t="s">
        <v>102</v>
      </c>
      <c r="E17" s="1255" t="s">
        <v>103</v>
      </c>
      <c r="F17" s="1255" t="s">
        <v>101</v>
      </c>
      <c r="G17" s="1256">
        <v>127400000000</v>
      </c>
      <c r="H17" s="1258"/>
      <c r="I17" s="1258">
        <v>127400000000</v>
      </c>
      <c r="J17" s="1257"/>
      <c r="K17" s="1255" t="s">
        <v>172</v>
      </c>
      <c r="L17" s="1267">
        <v>10192000000</v>
      </c>
      <c r="M17" s="1268">
        <v>2407200000</v>
      </c>
      <c r="N17" s="1229">
        <f t="shared" si="15"/>
        <v>0.23618524332810048</v>
      </c>
      <c r="O17" s="1267">
        <v>10192000000</v>
      </c>
      <c r="P17" s="1269">
        <v>5199176500</v>
      </c>
      <c r="Q17" s="1229">
        <f t="shared" si="1"/>
        <v>0.51012328296703302</v>
      </c>
      <c r="R17" s="1270">
        <v>10192000000</v>
      </c>
      <c r="S17" s="1268">
        <v>23575112403</v>
      </c>
      <c r="T17" s="1229">
        <f t="shared" si="0"/>
        <v>2.313099725569074</v>
      </c>
      <c r="U17" s="1270">
        <v>11466000000</v>
      </c>
      <c r="V17" s="1268">
        <v>1904106190</v>
      </c>
      <c r="W17" s="1229">
        <f t="shared" si="2"/>
        <v>0.16606542735042734</v>
      </c>
      <c r="X17" s="1267">
        <v>12740000000</v>
      </c>
      <c r="Y17" s="1268">
        <v>9688207510</v>
      </c>
      <c r="Z17" s="1229">
        <f t="shared" si="3"/>
        <v>0.76045584850863424</v>
      </c>
      <c r="AA17" s="1270">
        <v>12740000000</v>
      </c>
      <c r="AB17" s="1269">
        <v>10146199600</v>
      </c>
      <c r="AC17" s="1229">
        <f t="shared" si="4"/>
        <v>0.79640499215070648</v>
      </c>
      <c r="AD17" s="1232">
        <f t="shared" si="5"/>
        <v>52920002203</v>
      </c>
      <c r="AE17" s="1229">
        <f t="shared" si="6"/>
        <v>0.41538463267660908</v>
      </c>
      <c r="AF17" s="1270">
        <v>12740000000</v>
      </c>
      <c r="AG17" s="1269">
        <v>8912368380</v>
      </c>
      <c r="AH17" s="1229">
        <f t="shared" si="7"/>
        <v>0.69955795761381478</v>
      </c>
      <c r="AI17" s="1267">
        <v>12740000000</v>
      </c>
      <c r="AJ17" s="1268">
        <v>10779066058</v>
      </c>
      <c r="AK17" s="1229">
        <f t="shared" si="8"/>
        <v>0.84608053830455254</v>
      </c>
      <c r="AL17" s="1270">
        <v>12740000000</v>
      </c>
      <c r="AM17" s="1269">
        <v>10432868960</v>
      </c>
      <c r="AN17" s="1229">
        <f t="shared" si="9"/>
        <v>0.81890651177394036</v>
      </c>
      <c r="AO17" s="1270">
        <v>12740000000</v>
      </c>
      <c r="AP17" s="1269">
        <v>5079505070</v>
      </c>
      <c r="AQ17" s="1229">
        <f t="shared" si="10"/>
        <v>0.39870526452119309</v>
      </c>
      <c r="AR17" s="1267">
        <v>5096000000</v>
      </c>
      <c r="AS17" s="1269">
        <v>8713444589</v>
      </c>
      <c r="AT17" s="1229">
        <f t="shared" si="11"/>
        <v>1.7098596132260597</v>
      </c>
      <c r="AU17" s="1267">
        <v>3822000000</v>
      </c>
      <c r="AV17" s="1268">
        <v>4913274000</v>
      </c>
      <c r="AW17" s="1229">
        <f t="shared" si="12"/>
        <v>1.2855243328100472</v>
      </c>
      <c r="AX17" s="1232">
        <f t="shared" si="13"/>
        <v>101750529260</v>
      </c>
      <c r="AY17" s="1229">
        <f t="shared" si="14"/>
        <v>0.79866977441130294</v>
      </c>
    </row>
    <row r="18" spans="1:51" s="891" customFormat="1" ht="51.75" customHeight="1" thickTop="1" thickBot="1">
      <c r="A18" s="3067"/>
      <c r="B18" s="3072"/>
      <c r="C18" s="3075"/>
      <c r="D18" s="1262" t="s">
        <v>459</v>
      </c>
      <c r="E18" s="1247" t="s">
        <v>274</v>
      </c>
      <c r="F18" s="1247" t="s">
        <v>101</v>
      </c>
      <c r="G18" s="1263">
        <v>460000000</v>
      </c>
      <c r="H18" s="1249"/>
      <c r="I18" s="1263">
        <v>460000000</v>
      </c>
      <c r="J18" s="1247"/>
      <c r="K18" s="1250" t="s">
        <v>196</v>
      </c>
      <c r="L18" s="1251">
        <v>15333333</v>
      </c>
      <c r="M18" s="1252">
        <v>0</v>
      </c>
      <c r="N18" s="1229">
        <f t="shared" si="15"/>
        <v>0</v>
      </c>
      <c r="O18" s="1251">
        <v>15333333</v>
      </c>
      <c r="P18" s="1265">
        <v>11960000</v>
      </c>
      <c r="Q18" s="1229">
        <f t="shared" si="1"/>
        <v>0.7800000169565221</v>
      </c>
      <c r="R18" s="1264">
        <v>15333333</v>
      </c>
      <c r="S18" s="1252">
        <v>0</v>
      </c>
      <c r="T18" s="1229">
        <f t="shared" si="0"/>
        <v>0</v>
      </c>
      <c r="U18" s="1264">
        <v>61333334</v>
      </c>
      <c r="V18" s="1252">
        <v>0</v>
      </c>
      <c r="W18" s="1229">
        <f t="shared" si="2"/>
        <v>0</v>
      </c>
      <c r="X18" s="1251">
        <v>61333333</v>
      </c>
      <c r="Y18" s="1252">
        <v>0</v>
      </c>
      <c r="Z18" s="1229">
        <f t="shared" si="3"/>
        <v>0</v>
      </c>
      <c r="AA18" s="1251">
        <v>61333333</v>
      </c>
      <c r="AB18" s="1252">
        <v>8455000</v>
      </c>
      <c r="AC18" s="1229">
        <f t="shared" si="4"/>
        <v>0.13785326161876774</v>
      </c>
      <c r="AD18" s="1232">
        <f t="shared" si="5"/>
        <v>20415000</v>
      </c>
      <c r="AE18" s="1229">
        <f t="shared" si="6"/>
        <v>4.4380434782608696E-2</v>
      </c>
      <c r="AF18" s="1251">
        <v>61333333</v>
      </c>
      <c r="AG18" s="1265">
        <v>27563000</v>
      </c>
      <c r="AH18" s="1229">
        <f t="shared" si="7"/>
        <v>0.4493967415728084</v>
      </c>
      <c r="AI18" s="1251">
        <v>61333333</v>
      </c>
      <c r="AJ18" s="1252">
        <v>61909690</v>
      </c>
      <c r="AK18" s="1229">
        <f t="shared" si="8"/>
        <v>1.0093971250510714</v>
      </c>
      <c r="AL18" s="1251">
        <v>61333333</v>
      </c>
      <c r="AM18" s="1252">
        <v>73738480</v>
      </c>
      <c r="AN18" s="1229">
        <f t="shared" si="9"/>
        <v>1.2022578326209665</v>
      </c>
      <c r="AO18" s="1251">
        <v>15333334</v>
      </c>
      <c r="AP18" s="1252">
        <v>81645000</v>
      </c>
      <c r="AQ18" s="1229">
        <f t="shared" si="10"/>
        <v>5.324673681535927</v>
      </c>
      <c r="AR18" s="1251">
        <v>15333334</v>
      </c>
      <c r="AS18" s="1252">
        <v>34620470</v>
      </c>
      <c r="AT18" s="1229">
        <f t="shared" si="11"/>
        <v>2.2578566409627547</v>
      </c>
      <c r="AU18" s="1251">
        <v>15333334</v>
      </c>
      <c r="AV18" s="1265">
        <v>103888000</v>
      </c>
      <c r="AW18" s="1229">
        <f t="shared" si="12"/>
        <v>6.7753040532476501</v>
      </c>
      <c r="AX18" s="1253">
        <f t="shared" si="13"/>
        <v>403779640</v>
      </c>
      <c r="AY18" s="1229">
        <f t="shared" si="14"/>
        <v>0.87778182608695654</v>
      </c>
    </row>
    <row r="19" spans="1:51" s="891" customFormat="1" ht="57.75" customHeight="1" thickTop="1" thickBot="1">
      <c r="A19" s="3067"/>
      <c r="B19" s="3072"/>
      <c r="C19" s="3075"/>
      <c r="D19" s="1271" t="s">
        <v>203</v>
      </c>
      <c r="E19" s="1255" t="s">
        <v>274</v>
      </c>
      <c r="F19" s="1255" t="s">
        <v>101</v>
      </c>
      <c r="G19" s="1256">
        <v>2115999981</v>
      </c>
      <c r="H19" s="1258"/>
      <c r="I19" s="1258">
        <v>2115999981</v>
      </c>
      <c r="J19" s="1257"/>
      <c r="K19" s="1255" t="s">
        <v>196</v>
      </c>
      <c r="L19" s="1227">
        <v>70533333</v>
      </c>
      <c r="M19" s="1231"/>
      <c r="N19" s="1229">
        <f t="shared" si="15"/>
        <v>0</v>
      </c>
      <c r="O19" s="1227">
        <v>70533333</v>
      </c>
      <c r="P19" s="1228"/>
      <c r="Q19" s="1229">
        <f t="shared" si="1"/>
        <v>0</v>
      </c>
      <c r="R19" s="1230">
        <v>70533333</v>
      </c>
      <c r="S19" s="1231"/>
      <c r="T19" s="1229">
        <f t="shared" si="0"/>
        <v>0</v>
      </c>
      <c r="U19" s="1230">
        <v>282133331</v>
      </c>
      <c r="V19" s="1231"/>
      <c r="W19" s="1229">
        <f t="shared" si="2"/>
        <v>0</v>
      </c>
      <c r="X19" s="1227">
        <v>282133331</v>
      </c>
      <c r="Y19" s="1231"/>
      <c r="Z19" s="1229">
        <f t="shared" si="3"/>
        <v>0</v>
      </c>
      <c r="AA19" s="1227">
        <v>282133331</v>
      </c>
      <c r="AB19" s="1231"/>
      <c r="AC19" s="1229">
        <f t="shared" si="4"/>
        <v>0</v>
      </c>
      <c r="AD19" s="1232">
        <f t="shared" si="5"/>
        <v>0</v>
      </c>
      <c r="AE19" s="1229">
        <f t="shared" si="6"/>
        <v>0</v>
      </c>
      <c r="AF19" s="1227">
        <v>282133331</v>
      </c>
      <c r="AG19" s="1228"/>
      <c r="AH19" s="1229">
        <f t="shared" si="7"/>
        <v>0</v>
      </c>
      <c r="AI19" s="1227">
        <v>282133331</v>
      </c>
      <c r="AJ19" s="1231">
        <v>828900</v>
      </c>
      <c r="AK19" s="1229">
        <f t="shared" si="8"/>
        <v>2.937972614090038E-3</v>
      </c>
      <c r="AL19" s="1227">
        <v>282133331</v>
      </c>
      <c r="AM19" s="1231">
        <v>12939491</v>
      </c>
      <c r="AN19" s="1229">
        <f t="shared" si="9"/>
        <v>4.586303558724155E-2</v>
      </c>
      <c r="AO19" s="1227">
        <v>70533332</v>
      </c>
      <c r="AP19" s="1231"/>
      <c r="AQ19" s="1229">
        <f t="shared" si="10"/>
        <v>0</v>
      </c>
      <c r="AR19" s="1227">
        <v>70533332</v>
      </c>
      <c r="AS19" s="1231"/>
      <c r="AT19" s="1229">
        <f t="shared" si="11"/>
        <v>0</v>
      </c>
      <c r="AU19" s="1227">
        <v>70533332</v>
      </c>
      <c r="AV19" s="1228"/>
      <c r="AW19" s="1229">
        <f t="shared" si="12"/>
        <v>0</v>
      </c>
      <c r="AX19" s="1232">
        <f t="shared" si="13"/>
        <v>13768391</v>
      </c>
      <c r="AY19" s="1229">
        <f t="shared" si="14"/>
        <v>6.5068010981234499E-3</v>
      </c>
    </row>
    <row r="20" spans="1:51" s="891" customFormat="1" ht="57.75" customHeight="1" thickTop="1" thickBot="1">
      <c r="A20" s="3067"/>
      <c r="B20" s="3072"/>
      <c r="C20" s="3075"/>
      <c r="D20" s="1271" t="s">
        <v>104</v>
      </c>
      <c r="E20" s="1272" t="s">
        <v>105</v>
      </c>
      <c r="F20" s="1272" t="s">
        <v>24</v>
      </c>
      <c r="G20" s="1237">
        <v>120</v>
      </c>
      <c r="H20" s="1273"/>
      <c r="I20" s="1274">
        <v>120</v>
      </c>
      <c r="J20" s="1273"/>
      <c r="K20" s="1272" t="s">
        <v>172</v>
      </c>
      <c r="L20" s="1275">
        <v>0</v>
      </c>
      <c r="M20" s="1276"/>
      <c r="N20" s="1229" t="e">
        <f t="shared" si="15"/>
        <v>#DIV/0!</v>
      </c>
      <c r="O20" s="1275">
        <v>0</v>
      </c>
      <c r="P20" s="1276"/>
      <c r="Q20" s="1229" t="e">
        <f t="shared" si="1"/>
        <v>#DIV/0!</v>
      </c>
      <c r="R20" s="1240">
        <v>30</v>
      </c>
      <c r="S20" s="1243">
        <v>24</v>
      </c>
      <c r="T20" s="1229">
        <f t="shared" si="0"/>
        <v>0.8</v>
      </c>
      <c r="U20" s="1275">
        <v>0</v>
      </c>
      <c r="V20" s="1276"/>
      <c r="W20" s="1229" t="e">
        <f t="shared" si="2"/>
        <v>#DIV/0!</v>
      </c>
      <c r="X20" s="1275">
        <v>0</v>
      </c>
      <c r="Y20" s="1276"/>
      <c r="Z20" s="1229" t="e">
        <f t="shared" si="3"/>
        <v>#DIV/0!</v>
      </c>
      <c r="AA20" s="1275">
        <v>30</v>
      </c>
      <c r="AB20" s="1243">
        <v>0</v>
      </c>
      <c r="AC20" s="1229">
        <f t="shared" si="4"/>
        <v>0</v>
      </c>
      <c r="AD20" s="1277">
        <f t="shared" si="5"/>
        <v>24</v>
      </c>
      <c r="AE20" s="1229">
        <f t="shared" si="6"/>
        <v>0.2</v>
      </c>
      <c r="AF20" s="1275">
        <v>0</v>
      </c>
      <c r="AG20" s="1243"/>
      <c r="AH20" s="1229" t="e">
        <f t="shared" si="7"/>
        <v>#DIV/0!</v>
      </c>
      <c r="AI20" s="1240">
        <v>0</v>
      </c>
      <c r="AJ20" s="1276"/>
      <c r="AK20" s="1229" t="e">
        <f t="shared" si="8"/>
        <v>#DIV/0!</v>
      </c>
      <c r="AL20" s="1240">
        <v>30</v>
      </c>
      <c r="AM20" s="1276">
        <v>4</v>
      </c>
      <c r="AN20" s="1229">
        <f t="shared" si="9"/>
        <v>0.13333333333333333</v>
      </c>
      <c r="AO20" s="1275">
        <v>0</v>
      </c>
      <c r="AP20" s="1276"/>
      <c r="AQ20" s="1229" t="e">
        <f t="shared" si="10"/>
        <v>#DIV/0!</v>
      </c>
      <c r="AR20" s="1275">
        <v>0</v>
      </c>
      <c r="AS20" s="1276"/>
      <c r="AT20" s="1229" t="e">
        <f t="shared" si="11"/>
        <v>#DIV/0!</v>
      </c>
      <c r="AU20" s="1275">
        <v>30</v>
      </c>
      <c r="AV20" s="1243">
        <v>94</v>
      </c>
      <c r="AW20" s="1229">
        <f t="shared" si="12"/>
        <v>3.1333333333333333</v>
      </c>
      <c r="AX20" s="1244">
        <f t="shared" si="13"/>
        <v>122</v>
      </c>
      <c r="AY20" s="1229">
        <f t="shared" si="14"/>
        <v>1.0166666666666666</v>
      </c>
    </row>
    <row r="21" spans="1:51" s="891" customFormat="1" ht="57.75" customHeight="1" thickTop="1" thickBot="1">
      <c r="A21" s="3067"/>
      <c r="B21" s="3072"/>
      <c r="C21" s="3076"/>
      <c r="D21" s="1254" t="s">
        <v>106</v>
      </c>
      <c r="E21" s="1255" t="s">
        <v>173</v>
      </c>
      <c r="F21" s="1255" t="s">
        <v>24</v>
      </c>
      <c r="G21" s="1255">
        <v>219</v>
      </c>
      <c r="H21" s="1257"/>
      <c r="I21" s="1278">
        <v>219</v>
      </c>
      <c r="J21" s="1257"/>
      <c r="K21" s="1255" t="s">
        <v>172</v>
      </c>
      <c r="L21" s="1279">
        <v>0</v>
      </c>
      <c r="M21" s="1280"/>
      <c r="N21" s="1229" t="e">
        <f t="shared" si="15"/>
        <v>#DIV/0!</v>
      </c>
      <c r="O21" s="1279">
        <v>0</v>
      </c>
      <c r="P21" s="1280"/>
      <c r="Q21" s="1229" t="e">
        <f t="shared" si="1"/>
        <v>#DIV/0!</v>
      </c>
      <c r="R21" s="1281">
        <v>0</v>
      </c>
      <c r="S21" s="1282"/>
      <c r="T21" s="1229" t="e">
        <f t="shared" si="0"/>
        <v>#DIV/0!</v>
      </c>
      <c r="U21" s="1279">
        <v>0</v>
      </c>
      <c r="V21" s="1280">
        <v>0</v>
      </c>
      <c r="W21" s="1229" t="e">
        <f t="shared" si="2"/>
        <v>#DIV/0!</v>
      </c>
      <c r="X21" s="1279">
        <v>0</v>
      </c>
      <c r="Y21" s="1280">
        <v>0</v>
      </c>
      <c r="Z21" s="1229" t="e">
        <f t="shared" si="3"/>
        <v>#DIV/0!</v>
      </c>
      <c r="AA21" s="1279">
        <v>0</v>
      </c>
      <c r="AB21" s="1282"/>
      <c r="AC21" s="1229" t="e">
        <f t="shared" si="4"/>
        <v>#DIV/0!</v>
      </c>
      <c r="AD21" s="1277">
        <f t="shared" si="5"/>
        <v>0</v>
      </c>
      <c r="AE21" s="1229">
        <f t="shared" si="6"/>
        <v>0</v>
      </c>
      <c r="AF21" s="1279">
        <v>110</v>
      </c>
      <c r="AG21" s="1282">
        <v>111</v>
      </c>
      <c r="AH21" s="1229">
        <f t="shared" si="7"/>
        <v>1.009090909090909</v>
      </c>
      <c r="AI21" s="1281">
        <v>0</v>
      </c>
      <c r="AJ21" s="1280"/>
      <c r="AK21" s="1229" t="e">
        <f t="shared" si="8"/>
        <v>#DIV/0!</v>
      </c>
      <c r="AL21" s="1281">
        <v>0</v>
      </c>
      <c r="AM21" s="1280"/>
      <c r="AN21" s="1229" t="e">
        <f t="shared" si="9"/>
        <v>#DIV/0!</v>
      </c>
      <c r="AO21" s="1279">
        <v>0</v>
      </c>
      <c r="AP21" s="1280"/>
      <c r="AQ21" s="1229" t="e">
        <f t="shared" si="10"/>
        <v>#DIV/0!</v>
      </c>
      <c r="AR21" s="1279">
        <v>0</v>
      </c>
      <c r="AS21" s="1280"/>
      <c r="AT21" s="1229" t="e">
        <f t="shared" si="11"/>
        <v>#DIV/0!</v>
      </c>
      <c r="AU21" s="1279">
        <v>109</v>
      </c>
      <c r="AV21" s="1282">
        <v>79</v>
      </c>
      <c r="AW21" s="1229">
        <f t="shared" si="12"/>
        <v>0.72477064220183485</v>
      </c>
      <c r="AX21" s="1277">
        <f>+AG21+AV21</f>
        <v>190</v>
      </c>
      <c r="AY21" s="1229">
        <f t="shared" si="14"/>
        <v>0.86757990867579904</v>
      </c>
    </row>
    <row r="22" spans="1:51" s="891" customFormat="1" ht="63.75" customHeight="1" thickTop="1" thickBot="1">
      <c r="A22" s="3067"/>
      <c r="B22" s="3072"/>
      <c r="C22" s="1283" t="s">
        <v>605</v>
      </c>
      <c r="D22" s="1246" t="s">
        <v>568</v>
      </c>
      <c r="E22" s="1247" t="s">
        <v>569</v>
      </c>
      <c r="F22" s="1247" t="s">
        <v>18</v>
      </c>
      <c r="G22" s="1263">
        <v>401403</v>
      </c>
      <c r="H22" s="1249"/>
      <c r="I22" s="1263">
        <v>401403</v>
      </c>
      <c r="J22" s="1247"/>
      <c r="K22" s="1250" t="s">
        <v>21</v>
      </c>
      <c r="L22" s="1251">
        <v>35313</v>
      </c>
      <c r="M22" s="1252">
        <v>49102.7</v>
      </c>
      <c r="N22" s="1229">
        <f t="shared" si="15"/>
        <v>1.3904992495681476</v>
      </c>
      <c r="O22" s="1251">
        <v>30482</v>
      </c>
      <c r="P22" s="1252">
        <v>33928.400000000001</v>
      </c>
      <c r="Q22" s="1229">
        <f t="shared" si="1"/>
        <v>1.1130634472803622</v>
      </c>
      <c r="R22" s="1251">
        <v>29364</v>
      </c>
      <c r="S22" s="1252">
        <v>24625.599999999999</v>
      </c>
      <c r="T22" s="1229">
        <f t="shared" si="0"/>
        <v>0.83863233891840339</v>
      </c>
      <c r="U22" s="1251">
        <v>30262</v>
      </c>
      <c r="V22" s="1252">
        <v>14317.5</v>
      </c>
      <c r="W22" s="1229">
        <f t="shared" si="2"/>
        <v>0.4731181019099861</v>
      </c>
      <c r="X22" s="1251">
        <v>41686</v>
      </c>
      <c r="Y22" s="1252">
        <v>23364.3</v>
      </c>
      <c r="Z22" s="1229">
        <f t="shared" si="3"/>
        <v>0.56048313582497722</v>
      </c>
      <c r="AA22" s="1251">
        <v>34570</v>
      </c>
      <c r="AB22" s="1252">
        <v>23356.2</v>
      </c>
      <c r="AC22" s="1229">
        <f t="shared" si="4"/>
        <v>0.67562048018513166</v>
      </c>
      <c r="AD22" s="1232">
        <f t="shared" si="5"/>
        <v>168694.7</v>
      </c>
      <c r="AE22" s="1229">
        <f t="shared" si="6"/>
        <v>0.42026267865461897</v>
      </c>
      <c r="AF22" s="1251">
        <v>31023</v>
      </c>
      <c r="AG22" s="1252">
        <v>24219.9</v>
      </c>
      <c r="AH22" s="1229">
        <f t="shared" si="7"/>
        <v>0.7807078619089064</v>
      </c>
      <c r="AI22" s="1251">
        <v>33982</v>
      </c>
      <c r="AJ22" s="1252">
        <v>18145.099999999999</v>
      </c>
      <c r="AK22" s="1229">
        <f t="shared" si="8"/>
        <v>0.53396209758107227</v>
      </c>
      <c r="AL22" s="1251">
        <v>42135</v>
      </c>
      <c r="AM22" s="1252">
        <v>36399.599999999999</v>
      </c>
      <c r="AN22" s="1229">
        <f t="shared" si="9"/>
        <v>0.86388038447846205</v>
      </c>
      <c r="AO22" s="1251">
        <v>38852</v>
      </c>
      <c r="AP22" s="1252">
        <v>29116</v>
      </c>
      <c r="AQ22" s="1229">
        <f t="shared" si="10"/>
        <v>0.74940800988366107</v>
      </c>
      <c r="AR22" s="1251">
        <v>30029</v>
      </c>
      <c r="AS22" s="1252">
        <v>29622.5</v>
      </c>
      <c r="AT22" s="1229">
        <f t="shared" si="11"/>
        <v>0.986463085683839</v>
      </c>
      <c r="AU22" s="1251">
        <v>23707</v>
      </c>
      <c r="AV22" s="1252">
        <v>27515.1</v>
      </c>
      <c r="AW22" s="1229">
        <f t="shared" si="12"/>
        <v>1.1606318808790652</v>
      </c>
      <c r="AX22" s="1253">
        <v>333713</v>
      </c>
      <c r="AY22" s="1229">
        <f t="shared" si="14"/>
        <v>0.83136648206415997</v>
      </c>
    </row>
    <row r="23" spans="1:51" s="891" customFormat="1" ht="77.45" customHeight="1" thickTop="1" thickBot="1">
      <c r="A23" s="3067"/>
      <c r="B23" s="3072"/>
      <c r="C23" s="1284" t="s">
        <v>606</v>
      </c>
      <c r="D23" s="1262" t="s">
        <v>111</v>
      </c>
      <c r="E23" s="1285" t="s">
        <v>112</v>
      </c>
      <c r="F23" s="1285" t="s">
        <v>17</v>
      </c>
      <c r="G23" s="1286">
        <v>705</v>
      </c>
      <c r="H23" s="1287"/>
      <c r="I23" s="1288">
        <v>1147</v>
      </c>
      <c r="J23" s="1285"/>
      <c r="K23" s="1289" t="s">
        <v>20</v>
      </c>
      <c r="L23" s="1290">
        <v>0</v>
      </c>
      <c r="M23" s="1291"/>
      <c r="N23" s="1229" t="e">
        <f t="shared" si="15"/>
        <v>#DIV/0!</v>
      </c>
      <c r="O23" s="1290">
        <v>0</v>
      </c>
      <c r="P23" s="1291"/>
      <c r="Q23" s="1229" t="e">
        <f>+P23/O23</f>
        <v>#DIV/0!</v>
      </c>
      <c r="R23" s="1290">
        <v>0</v>
      </c>
      <c r="S23" s="1291">
        <v>0</v>
      </c>
      <c r="T23" s="1229" t="e">
        <f t="shared" si="0"/>
        <v>#DIV/0!</v>
      </c>
      <c r="U23" s="1290">
        <v>0</v>
      </c>
      <c r="V23" s="1291"/>
      <c r="W23" s="1229" t="e">
        <f t="shared" si="2"/>
        <v>#DIV/0!</v>
      </c>
      <c r="X23" s="1290">
        <v>0</v>
      </c>
      <c r="Y23" s="1291"/>
      <c r="Z23" s="1229" t="e">
        <f t="shared" si="3"/>
        <v>#DIV/0!</v>
      </c>
      <c r="AA23" s="1290">
        <v>0</v>
      </c>
      <c r="AB23" s="1291">
        <v>0</v>
      </c>
      <c r="AC23" s="1229" t="e">
        <f t="shared" si="4"/>
        <v>#DIV/0!</v>
      </c>
      <c r="AD23" s="1277">
        <f t="shared" si="5"/>
        <v>0</v>
      </c>
      <c r="AE23" s="1229">
        <f t="shared" si="6"/>
        <v>0</v>
      </c>
      <c r="AF23" s="1290">
        <v>0</v>
      </c>
      <c r="AG23" s="1291">
        <v>0</v>
      </c>
      <c r="AH23" s="1229" t="e">
        <f t="shared" si="7"/>
        <v>#DIV/0!</v>
      </c>
      <c r="AI23" s="1290">
        <v>0</v>
      </c>
      <c r="AJ23" s="1291">
        <v>0</v>
      </c>
      <c r="AK23" s="1229" t="e">
        <f t="shared" si="8"/>
        <v>#DIV/0!</v>
      </c>
      <c r="AL23" s="1290">
        <v>0</v>
      </c>
      <c r="AM23" s="1291">
        <v>0</v>
      </c>
      <c r="AN23" s="1229" t="e">
        <f t="shared" si="9"/>
        <v>#DIV/0!</v>
      </c>
      <c r="AO23" s="1290">
        <v>691</v>
      </c>
      <c r="AP23" s="1291">
        <v>687</v>
      </c>
      <c r="AQ23" s="1229">
        <f t="shared" si="10"/>
        <v>0.99421128798842262</v>
      </c>
      <c r="AR23" s="1290">
        <v>7</v>
      </c>
      <c r="AS23" s="1291">
        <v>20</v>
      </c>
      <c r="AT23" s="1229">
        <f t="shared" si="11"/>
        <v>2.8571428571428572</v>
      </c>
      <c r="AU23" s="1290">
        <v>7</v>
      </c>
      <c r="AV23" s="1291">
        <v>13</v>
      </c>
      <c r="AW23" s="1229">
        <f t="shared" si="12"/>
        <v>1.8571428571428572</v>
      </c>
      <c r="AX23" s="1277">
        <f>+M23+P23+S23+V23+Y23+AB23+AG23+AJ23+AM23+AP23+AS23+AV23</f>
        <v>720</v>
      </c>
      <c r="AY23" s="1229">
        <f t="shared" si="14"/>
        <v>1.0212765957446808</v>
      </c>
    </row>
    <row r="24" spans="1:51" s="891" customFormat="1" ht="77.45" customHeight="1" thickTop="1" thickBot="1">
      <c r="A24" s="3067"/>
      <c r="B24" s="3072"/>
      <c r="C24" s="1283" t="s">
        <v>607</v>
      </c>
      <c r="D24" s="1246" t="s">
        <v>114</v>
      </c>
      <c r="E24" s="1247" t="s">
        <v>570</v>
      </c>
      <c r="F24" s="1247" t="s">
        <v>10</v>
      </c>
      <c r="G24" s="1292">
        <v>1</v>
      </c>
      <c r="H24" s="1293"/>
      <c r="I24" s="1292">
        <v>1</v>
      </c>
      <c r="J24" s="1247"/>
      <c r="K24" s="1250" t="s">
        <v>20</v>
      </c>
      <c r="L24" s="1294">
        <v>0</v>
      </c>
      <c r="M24" s="1295"/>
      <c r="N24" s="1229" t="e">
        <f t="shared" si="15"/>
        <v>#DIV/0!</v>
      </c>
      <c r="O24" s="1294">
        <v>0</v>
      </c>
      <c r="P24" s="1295"/>
      <c r="Q24" s="1229" t="e">
        <f t="shared" si="1"/>
        <v>#DIV/0!</v>
      </c>
      <c r="R24" s="1294">
        <v>0.25</v>
      </c>
      <c r="S24" s="1295"/>
      <c r="T24" s="1229">
        <f t="shared" si="0"/>
        <v>0</v>
      </c>
      <c r="U24" s="1294">
        <v>0</v>
      </c>
      <c r="V24" s="1295"/>
      <c r="W24" s="1229" t="e">
        <f t="shared" si="2"/>
        <v>#DIV/0!</v>
      </c>
      <c r="X24" s="1294">
        <v>0</v>
      </c>
      <c r="Y24" s="1295"/>
      <c r="Z24" s="1229" t="e">
        <f t="shared" si="3"/>
        <v>#DIV/0!</v>
      </c>
      <c r="AA24" s="1294">
        <v>0.25</v>
      </c>
      <c r="AB24" s="1295"/>
      <c r="AC24" s="1229">
        <f t="shared" si="4"/>
        <v>0</v>
      </c>
      <c r="AD24" s="1296">
        <f t="shared" si="5"/>
        <v>0</v>
      </c>
      <c r="AE24" s="1229">
        <f t="shared" si="6"/>
        <v>0</v>
      </c>
      <c r="AF24" s="1294">
        <v>0</v>
      </c>
      <c r="AG24" s="1295"/>
      <c r="AH24" s="1229" t="e">
        <f t="shared" si="7"/>
        <v>#DIV/0!</v>
      </c>
      <c r="AI24" s="1294">
        <v>0</v>
      </c>
      <c r="AJ24" s="1295"/>
      <c r="AK24" s="1229" t="e">
        <f t="shared" si="8"/>
        <v>#DIV/0!</v>
      </c>
      <c r="AL24" s="1294">
        <v>0.25</v>
      </c>
      <c r="AM24" s="1295"/>
      <c r="AN24" s="1229">
        <f t="shared" si="9"/>
        <v>0</v>
      </c>
      <c r="AO24" s="1294">
        <v>0</v>
      </c>
      <c r="AP24" s="1295"/>
      <c r="AQ24" s="1229" t="e">
        <f t="shared" si="10"/>
        <v>#DIV/0!</v>
      </c>
      <c r="AR24" s="1294">
        <v>0</v>
      </c>
      <c r="AS24" s="1295"/>
      <c r="AT24" s="1229" t="e">
        <f t="shared" si="11"/>
        <v>#DIV/0!</v>
      </c>
      <c r="AU24" s="1294">
        <v>0.25</v>
      </c>
      <c r="AV24" s="1295"/>
      <c r="AW24" s="1229">
        <f t="shared" si="12"/>
        <v>0</v>
      </c>
      <c r="AX24" s="1297">
        <f t="shared" si="13"/>
        <v>0</v>
      </c>
      <c r="AY24" s="1229"/>
    </row>
    <row r="25" spans="1:51" s="891" customFormat="1" ht="77.45" customHeight="1" thickTop="1" thickBot="1">
      <c r="A25" s="3067"/>
      <c r="B25" s="3072"/>
      <c r="C25" s="3077" t="s">
        <v>608</v>
      </c>
      <c r="D25" s="1254" t="s">
        <v>205</v>
      </c>
      <c r="E25" s="1255" t="s">
        <v>206</v>
      </c>
      <c r="F25" s="1255" t="s">
        <v>24</v>
      </c>
      <c r="G25" s="1255">
        <v>6</v>
      </c>
      <c r="H25" s="1257"/>
      <c r="I25" s="1278">
        <v>6</v>
      </c>
      <c r="J25" s="1257"/>
      <c r="K25" s="1255" t="s">
        <v>196</v>
      </c>
      <c r="L25" s="1298">
        <v>0</v>
      </c>
      <c r="M25" s="1299">
        <v>0</v>
      </c>
      <c r="N25" s="1229" t="e">
        <f t="shared" si="15"/>
        <v>#DIV/0!</v>
      </c>
      <c r="O25" s="1298">
        <v>0</v>
      </c>
      <c r="P25" s="1299">
        <v>0</v>
      </c>
      <c r="Q25" s="1229" t="e">
        <f t="shared" si="1"/>
        <v>#DIV/0!</v>
      </c>
      <c r="R25" s="1298">
        <v>1</v>
      </c>
      <c r="S25" s="1299">
        <v>1</v>
      </c>
      <c r="T25" s="1229">
        <f t="shared" si="0"/>
        <v>1</v>
      </c>
      <c r="U25" s="1298">
        <v>0</v>
      </c>
      <c r="V25" s="1299">
        <v>0</v>
      </c>
      <c r="W25" s="1229" t="e">
        <f t="shared" si="2"/>
        <v>#DIV/0!</v>
      </c>
      <c r="X25" s="1298">
        <v>0</v>
      </c>
      <c r="Y25" s="1299">
        <v>0</v>
      </c>
      <c r="Z25" s="1229" t="e">
        <f t="shared" si="3"/>
        <v>#DIV/0!</v>
      </c>
      <c r="AA25" s="1298">
        <v>0</v>
      </c>
      <c r="AB25" s="1299">
        <v>0</v>
      </c>
      <c r="AC25" s="1229" t="e">
        <f t="shared" si="4"/>
        <v>#DIV/0!</v>
      </c>
      <c r="AD25" s="1277">
        <f>+Y25</f>
        <v>0</v>
      </c>
      <c r="AE25" s="1229">
        <f t="shared" si="6"/>
        <v>0</v>
      </c>
      <c r="AF25" s="1298">
        <v>0</v>
      </c>
      <c r="AG25" s="1299"/>
      <c r="AH25" s="1229" t="e">
        <f t="shared" si="7"/>
        <v>#DIV/0!</v>
      </c>
      <c r="AI25" s="1298">
        <v>0</v>
      </c>
      <c r="AJ25" s="1299"/>
      <c r="AK25" s="1229" t="e">
        <f t="shared" si="8"/>
        <v>#DIV/0!</v>
      </c>
      <c r="AL25" s="1298">
        <v>3</v>
      </c>
      <c r="AM25" s="1299">
        <v>6</v>
      </c>
      <c r="AN25" s="1229">
        <f t="shared" si="9"/>
        <v>2</v>
      </c>
      <c r="AO25" s="1298">
        <v>0</v>
      </c>
      <c r="AP25" s="1299"/>
      <c r="AQ25" s="1229" t="e">
        <f t="shared" si="10"/>
        <v>#DIV/0!</v>
      </c>
      <c r="AR25" s="1298">
        <v>0</v>
      </c>
      <c r="AS25" s="1299"/>
      <c r="AT25" s="1229" t="e">
        <f t="shared" si="11"/>
        <v>#DIV/0!</v>
      </c>
      <c r="AU25" s="1298">
        <v>0</v>
      </c>
      <c r="AV25" s="1299"/>
      <c r="AW25" s="1229" t="e">
        <f t="shared" si="12"/>
        <v>#DIV/0!</v>
      </c>
      <c r="AX25" s="1277">
        <f>+Y25+AM25</f>
        <v>6</v>
      </c>
      <c r="AY25" s="1229">
        <f t="shared" si="14"/>
        <v>1</v>
      </c>
    </row>
    <row r="26" spans="1:51" s="891" customFormat="1" ht="54" customHeight="1" thickTop="1" thickBot="1">
      <c r="A26" s="3067"/>
      <c r="B26" s="3072"/>
      <c r="C26" s="3078"/>
      <c r="D26" s="1246" t="s">
        <v>207</v>
      </c>
      <c r="E26" s="1247" t="s">
        <v>206</v>
      </c>
      <c r="F26" s="1247" t="s">
        <v>24</v>
      </c>
      <c r="G26" s="1300">
        <v>4</v>
      </c>
      <c r="H26" s="1301"/>
      <c r="I26" s="1302">
        <v>4</v>
      </c>
      <c r="J26" s="1247"/>
      <c r="K26" s="1250" t="s">
        <v>196</v>
      </c>
      <c r="L26" s="1303">
        <v>0</v>
      </c>
      <c r="M26" s="1304"/>
      <c r="N26" s="1229" t="e">
        <f t="shared" si="15"/>
        <v>#DIV/0!</v>
      </c>
      <c r="O26" s="1303">
        <v>0</v>
      </c>
      <c r="P26" s="1304"/>
      <c r="Q26" s="1229" t="e">
        <f t="shared" si="1"/>
        <v>#DIV/0!</v>
      </c>
      <c r="R26" s="1303">
        <v>0</v>
      </c>
      <c r="S26" s="1304"/>
      <c r="T26" s="1229" t="e">
        <f t="shared" si="0"/>
        <v>#DIV/0!</v>
      </c>
      <c r="U26" s="1303">
        <v>0</v>
      </c>
      <c r="V26" s="1304"/>
      <c r="W26" s="1229" t="e">
        <f t="shared" si="2"/>
        <v>#DIV/0!</v>
      </c>
      <c r="X26" s="1303">
        <v>2</v>
      </c>
      <c r="Y26" s="1304">
        <v>0</v>
      </c>
      <c r="Z26" s="1229">
        <f t="shared" si="3"/>
        <v>0</v>
      </c>
      <c r="AA26" s="1303">
        <v>0</v>
      </c>
      <c r="AB26" s="1304"/>
      <c r="AC26" s="1229" t="e">
        <f t="shared" si="4"/>
        <v>#DIV/0!</v>
      </c>
      <c r="AD26" s="1277">
        <f>+Y26</f>
        <v>0</v>
      </c>
      <c r="AE26" s="1229">
        <f t="shared" si="6"/>
        <v>0</v>
      </c>
      <c r="AF26" s="1303">
        <v>0</v>
      </c>
      <c r="AG26" s="1304"/>
      <c r="AH26" s="1229" t="e">
        <f t="shared" si="7"/>
        <v>#DIV/0!</v>
      </c>
      <c r="AI26" s="1303">
        <v>0</v>
      </c>
      <c r="AJ26" s="1304"/>
      <c r="AK26" s="1229" t="e">
        <f t="shared" si="8"/>
        <v>#DIV/0!</v>
      </c>
      <c r="AL26" s="1303">
        <v>0</v>
      </c>
      <c r="AM26" s="1304">
        <v>0</v>
      </c>
      <c r="AN26" s="1229" t="e">
        <f t="shared" si="9"/>
        <v>#DIV/0!</v>
      </c>
      <c r="AO26" s="1303">
        <v>2</v>
      </c>
      <c r="AP26" s="1304">
        <v>4</v>
      </c>
      <c r="AQ26" s="1229">
        <f t="shared" si="10"/>
        <v>2</v>
      </c>
      <c r="AR26" s="1303">
        <v>0</v>
      </c>
      <c r="AS26" s="1304"/>
      <c r="AT26" s="1229" t="e">
        <f t="shared" si="11"/>
        <v>#DIV/0!</v>
      </c>
      <c r="AU26" s="1303">
        <v>0</v>
      </c>
      <c r="AV26" s="1304"/>
      <c r="AW26" s="1229" t="e">
        <f t="shared" si="12"/>
        <v>#DIV/0!</v>
      </c>
      <c r="AX26" s="1244">
        <f>+Y26+AP26</f>
        <v>4</v>
      </c>
      <c r="AY26" s="1229">
        <f t="shared" si="14"/>
        <v>1</v>
      </c>
    </row>
    <row r="27" spans="1:51" s="891" customFormat="1" ht="56.25" customHeight="1" thickTop="1" thickBot="1">
      <c r="A27" s="3067"/>
      <c r="B27" s="3072"/>
      <c r="C27" s="3079"/>
      <c r="D27" s="1305" t="s">
        <v>433</v>
      </c>
      <c r="E27" s="1255" t="s">
        <v>480</v>
      </c>
      <c r="F27" s="1255" t="s">
        <v>10</v>
      </c>
      <c r="G27" s="1306">
        <v>0.63</v>
      </c>
      <c r="H27" s="1307"/>
      <c r="I27" s="1307">
        <v>0.63</v>
      </c>
      <c r="J27" s="1257"/>
      <c r="K27" s="1255" t="s">
        <v>196</v>
      </c>
      <c r="L27" s="1308">
        <v>0.63</v>
      </c>
      <c r="M27" s="1309">
        <v>0.04</v>
      </c>
      <c r="N27" s="1229">
        <f t="shared" si="15"/>
        <v>6.3492063492063489E-2</v>
      </c>
      <c r="O27" s="1308">
        <v>0.63</v>
      </c>
      <c r="P27" s="1309">
        <v>0.44</v>
      </c>
      <c r="Q27" s="1229">
        <f t="shared" si="1"/>
        <v>0.69841269841269837</v>
      </c>
      <c r="R27" s="1308">
        <v>0.63</v>
      </c>
      <c r="S27" s="1309">
        <v>0.36</v>
      </c>
      <c r="T27" s="1229">
        <f t="shared" si="0"/>
        <v>0.5714285714285714</v>
      </c>
      <c r="U27" s="1308">
        <v>0.63</v>
      </c>
      <c r="V27" s="1309"/>
      <c r="W27" s="1229">
        <f t="shared" si="2"/>
        <v>0</v>
      </c>
      <c r="X27" s="1308">
        <v>0.63</v>
      </c>
      <c r="Y27" s="1309"/>
      <c r="Z27" s="1229">
        <f t="shared" si="3"/>
        <v>0</v>
      </c>
      <c r="AA27" s="1308">
        <v>0.63</v>
      </c>
      <c r="AB27" s="1309">
        <v>0.22</v>
      </c>
      <c r="AC27" s="1229">
        <f t="shared" si="4"/>
        <v>0.34920634920634919</v>
      </c>
      <c r="AD27" s="1296">
        <f>(M27+P27+S27+V27+Y27+AB27)/6</f>
        <v>0.17666666666666667</v>
      </c>
      <c r="AE27" s="1229">
        <f t="shared" si="6"/>
        <v>0.28042328042328041</v>
      </c>
      <c r="AF27" s="1308">
        <v>0.63</v>
      </c>
      <c r="AG27" s="1309">
        <v>0.873</v>
      </c>
      <c r="AH27" s="1229">
        <f t="shared" si="7"/>
        <v>1.3857142857142857</v>
      </c>
      <c r="AI27" s="1308">
        <v>0.63</v>
      </c>
      <c r="AJ27" s="1309">
        <v>0.33400000000000002</v>
      </c>
      <c r="AK27" s="1229">
        <f t="shared" si="8"/>
        <v>0.53015873015873016</v>
      </c>
      <c r="AL27" s="1308">
        <v>0.63</v>
      </c>
      <c r="AM27" s="1309">
        <v>0.59299999999999997</v>
      </c>
      <c r="AN27" s="1229">
        <f t="shared" si="9"/>
        <v>0.94126984126984126</v>
      </c>
      <c r="AO27" s="1308">
        <v>0.63</v>
      </c>
      <c r="AP27" s="1309">
        <v>0.43</v>
      </c>
      <c r="AQ27" s="1229">
        <f t="shared" si="10"/>
        <v>0.68253968253968256</v>
      </c>
      <c r="AR27" s="1308">
        <v>0.63</v>
      </c>
      <c r="AS27" s="1309">
        <v>0.18</v>
      </c>
      <c r="AT27" s="1229">
        <f t="shared" si="11"/>
        <v>0.2857142857142857</v>
      </c>
      <c r="AU27" s="1308">
        <v>0.63</v>
      </c>
      <c r="AV27" s="1309">
        <v>0.28999999999999998</v>
      </c>
      <c r="AW27" s="1229">
        <f t="shared" si="12"/>
        <v>0.46031746031746029</v>
      </c>
      <c r="AX27" s="1296">
        <f>(M27+P27+S27+V27+Y27+AB27+AG27+AJ27+AM27+AP27+AS27+AV27)/10</f>
        <v>0.376</v>
      </c>
      <c r="AY27" s="1229">
        <f t="shared" si="14"/>
        <v>0.59682539682539681</v>
      </c>
    </row>
    <row r="28" spans="1:51" s="891" customFormat="1" ht="97.5" customHeight="1" thickTop="1" thickBot="1">
      <c r="A28" s="3067"/>
      <c r="B28" s="3072"/>
      <c r="C28" s="1283" t="s">
        <v>609</v>
      </c>
      <c r="D28" s="1246" t="s">
        <v>571</v>
      </c>
      <c r="E28" s="1247" t="s">
        <v>212</v>
      </c>
      <c r="F28" s="1247" t="s">
        <v>24</v>
      </c>
      <c r="G28" s="1300">
        <v>1</v>
      </c>
      <c r="H28" s="1310"/>
      <c r="I28" s="1311">
        <v>1</v>
      </c>
      <c r="J28" s="1247"/>
      <c r="K28" s="1250" t="s">
        <v>140</v>
      </c>
      <c r="L28" s="1303">
        <v>0</v>
      </c>
      <c r="M28" s="1304">
        <v>0</v>
      </c>
      <c r="N28" s="1229" t="e">
        <f t="shared" si="15"/>
        <v>#DIV/0!</v>
      </c>
      <c r="O28" s="1303">
        <v>0</v>
      </c>
      <c r="P28" s="1304">
        <v>0</v>
      </c>
      <c r="Q28" s="1229" t="e">
        <f t="shared" si="1"/>
        <v>#DIV/0!</v>
      </c>
      <c r="R28" s="1303">
        <v>1</v>
      </c>
      <c r="S28" s="1304">
        <v>1</v>
      </c>
      <c r="T28" s="1229">
        <f t="shared" si="0"/>
        <v>1</v>
      </c>
      <c r="U28" s="1303">
        <v>0</v>
      </c>
      <c r="V28" s="1304">
        <v>0</v>
      </c>
      <c r="W28" s="1229" t="e">
        <f t="shared" si="2"/>
        <v>#DIV/0!</v>
      </c>
      <c r="X28" s="1303">
        <v>0</v>
      </c>
      <c r="Y28" s="1304"/>
      <c r="Z28" s="1229" t="e">
        <f t="shared" si="3"/>
        <v>#DIV/0!</v>
      </c>
      <c r="AA28" s="1303">
        <v>0</v>
      </c>
      <c r="AB28" s="1304"/>
      <c r="AC28" s="1229" t="e">
        <f t="shared" si="4"/>
        <v>#DIV/0!</v>
      </c>
      <c r="AD28" s="1277">
        <f>S28</f>
        <v>1</v>
      </c>
      <c r="AE28" s="1229">
        <f t="shared" si="6"/>
        <v>1</v>
      </c>
      <c r="AF28" s="1303">
        <v>0</v>
      </c>
      <c r="AG28" s="1304"/>
      <c r="AH28" s="1229" t="e">
        <f t="shared" si="7"/>
        <v>#DIV/0!</v>
      </c>
      <c r="AI28" s="1303">
        <v>0</v>
      </c>
      <c r="AJ28" s="1304"/>
      <c r="AK28" s="1229" t="e">
        <f t="shared" si="8"/>
        <v>#DIV/0!</v>
      </c>
      <c r="AL28" s="1303">
        <v>0</v>
      </c>
      <c r="AM28" s="1304"/>
      <c r="AN28" s="1229" t="e">
        <f t="shared" si="9"/>
        <v>#DIV/0!</v>
      </c>
      <c r="AO28" s="1303">
        <v>0</v>
      </c>
      <c r="AP28" s="1304"/>
      <c r="AQ28" s="1229" t="e">
        <f t="shared" si="10"/>
        <v>#DIV/0!</v>
      </c>
      <c r="AR28" s="1303">
        <v>0</v>
      </c>
      <c r="AS28" s="1304"/>
      <c r="AT28" s="1229" t="e">
        <f t="shared" si="11"/>
        <v>#DIV/0!</v>
      </c>
      <c r="AU28" s="1303">
        <v>0</v>
      </c>
      <c r="AV28" s="1304"/>
      <c r="AW28" s="1229" t="e">
        <f t="shared" si="12"/>
        <v>#DIV/0!</v>
      </c>
      <c r="AX28" s="1244">
        <f>+S28</f>
        <v>1</v>
      </c>
      <c r="AY28" s="1229">
        <f t="shared" si="14"/>
        <v>1</v>
      </c>
    </row>
    <row r="29" spans="1:51" s="891" customFormat="1" ht="104.45" customHeight="1" thickTop="1" thickBot="1">
      <c r="A29" s="3067"/>
      <c r="B29" s="3072"/>
      <c r="C29" s="1312" t="s">
        <v>610</v>
      </c>
      <c r="D29" s="1254" t="s">
        <v>410</v>
      </c>
      <c r="E29" s="1255" t="s">
        <v>215</v>
      </c>
      <c r="F29" s="1255" t="s">
        <v>24</v>
      </c>
      <c r="G29" s="1313">
        <v>2</v>
      </c>
      <c r="H29" s="1314"/>
      <c r="I29" s="1314">
        <v>2</v>
      </c>
      <c r="J29" s="1257"/>
      <c r="K29" s="1255" t="s">
        <v>140</v>
      </c>
      <c r="L29" s="1298">
        <v>0</v>
      </c>
      <c r="M29" s="1299">
        <v>0</v>
      </c>
      <c r="N29" s="1229" t="e">
        <f t="shared" si="15"/>
        <v>#DIV/0!</v>
      </c>
      <c r="O29" s="1298">
        <v>0</v>
      </c>
      <c r="P29" s="1299">
        <v>0</v>
      </c>
      <c r="Q29" s="1229" t="e">
        <f t="shared" si="1"/>
        <v>#DIV/0!</v>
      </c>
      <c r="R29" s="1298">
        <v>0</v>
      </c>
      <c r="S29" s="1299">
        <v>0</v>
      </c>
      <c r="T29" s="1229" t="e">
        <f t="shared" si="0"/>
        <v>#DIV/0!</v>
      </c>
      <c r="U29" s="1298">
        <v>0</v>
      </c>
      <c r="V29" s="1299">
        <v>0</v>
      </c>
      <c r="W29" s="1229" t="e">
        <f t="shared" si="2"/>
        <v>#DIV/0!</v>
      </c>
      <c r="X29" s="1298">
        <v>1</v>
      </c>
      <c r="Y29" s="1299">
        <v>1</v>
      </c>
      <c r="Z29" s="1229">
        <f t="shared" si="3"/>
        <v>1</v>
      </c>
      <c r="AA29" s="1298">
        <v>0</v>
      </c>
      <c r="AB29" s="1299">
        <v>0</v>
      </c>
      <c r="AC29" s="1229" t="e">
        <f t="shared" si="4"/>
        <v>#DIV/0!</v>
      </c>
      <c r="AD29" s="1277">
        <f>Y29</f>
        <v>1</v>
      </c>
      <c r="AE29" s="1229">
        <f t="shared" si="6"/>
        <v>0.5</v>
      </c>
      <c r="AF29" s="1298">
        <v>0</v>
      </c>
      <c r="AG29" s="1299">
        <v>0</v>
      </c>
      <c r="AH29" s="1229" t="e">
        <f t="shared" si="7"/>
        <v>#DIV/0!</v>
      </c>
      <c r="AI29" s="1298">
        <v>1</v>
      </c>
      <c r="AJ29" s="1299">
        <v>1</v>
      </c>
      <c r="AK29" s="1229">
        <f t="shared" si="8"/>
        <v>1</v>
      </c>
      <c r="AL29" s="1298">
        <v>0</v>
      </c>
      <c r="AM29" s="1299">
        <v>0</v>
      </c>
      <c r="AN29" s="1229" t="e">
        <f t="shared" si="9"/>
        <v>#DIV/0!</v>
      </c>
      <c r="AO29" s="1298">
        <v>0</v>
      </c>
      <c r="AP29" s="1299">
        <v>0</v>
      </c>
      <c r="AQ29" s="1229" t="e">
        <f t="shared" si="10"/>
        <v>#DIV/0!</v>
      </c>
      <c r="AR29" s="1298">
        <v>0</v>
      </c>
      <c r="AS29" s="1299">
        <v>0</v>
      </c>
      <c r="AT29" s="1229" t="e">
        <f t="shared" si="11"/>
        <v>#DIV/0!</v>
      </c>
      <c r="AU29" s="1298">
        <v>0</v>
      </c>
      <c r="AV29" s="1299"/>
      <c r="AW29" s="1229" t="e">
        <f t="shared" si="12"/>
        <v>#DIV/0!</v>
      </c>
      <c r="AX29" s="1277">
        <f>+Y29+AJ29</f>
        <v>2</v>
      </c>
      <c r="AY29" s="1229">
        <f t="shared" si="14"/>
        <v>1</v>
      </c>
    </row>
    <row r="30" spans="1:51" s="891" customFormat="1" ht="56.25" customHeight="1" thickTop="1" thickBot="1">
      <c r="A30" s="3067"/>
      <c r="B30" s="3072"/>
      <c r="C30" s="1283" t="s">
        <v>611</v>
      </c>
      <c r="D30" s="1246" t="s">
        <v>573</v>
      </c>
      <c r="E30" s="1247" t="s">
        <v>117</v>
      </c>
      <c r="F30" s="1247" t="s">
        <v>17</v>
      </c>
      <c r="G30" s="1315">
        <v>14433</v>
      </c>
      <c r="H30" s="1301"/>
      <c r="I30" s="1302">
        <v>14433</v>
      </c>
      <c r="J30" s="1247"/>
      <c r="K30" s="1250" t="s">
        <v>118</v>
      </c>
      <c r="L30" s="1303">
        <v>0</v>
      </c>
      <c r="M30" s="1316"/>
      <c r="N30" s="1229" t="e">
        <f t="shared" si="15"/>
        <v>#DIV/0!</v>
      </c>
      <c r="O30" s="1303">
        <v>0</v>
      </c>
      <c r="P30" s="1304"/>
      <c r="Q30" s="1229" t="e">
        <f t="shared" si="1"/>
        <v>#DIV/0!</v>
      </c>
      <c r="R30" s="1303">
        <v>2742</v>
      </c>
      <c r="S30" s="1304">
        <v>2459</v>
      </c>
      <c r="T30" s="1229">
        <f t="shared" si="0"/>
        <v>0.89679066374908822</v>
      </c>
      <c r="U30" s="1303">
        <v>2227</v>
      </c>
      <c r="V30" s="1304">
        <v>0</v>
      </c>
      <c r="W30" s="1229">
        <f t="shared" si="2"/>
        <v>0</v>
      </c>
      <c r="X30" s="1303">
        <v>647</v>
      </c>
      <c r="Y30" s="1304"/>
      <c r="Z30" s="1229">
        <f t="shared" si="3"/>
        <v>0</v>
      </c>
      <c r="AA30" s="1303">
        <v>728</v>
      </c>
      <c r="AB30" s="1304">
        <v>1426</v>
      </c>
      <c r="AC30" s="1229">
        <f t="shared" si="4"/>
        <v>1.9587912087912087</v>
      </c>
      <c r="AD30" s="1277">
        <f t="shared" si="5"/>
        <v>3885</v>
      </c>
      <c r="AE30" s="1229">
        <f t="shared" si="6"/>
        <v>0.2691748077322802</v>
      </c>
      <c r="AF30" s="1303">
        <v>1342</v>
      </c>
      <c r="AG30" s="1304">
        <v>1174</v>
      </c>
      <c r="AH30" s="1229">
        <f t="shared" si="7"/>
        <v>0.87481371087928461</v>
      </c>
      <c r="AI30" s="1303">
        <v>2049</v>
      </c>
      <c r="AJ30" s="1304">
        <v>1439</v>
      </c>
      <c r="AK30" s="1229">
        <f t="shared" si="8"/>
        <v>0.70229380185456325</v>
      </c>
      <c r="AL30" s="1303">
        <v>2782</v>
      </c>
      <c r="AM30" s="1304">
        <v>1692</v>
      </c>
      <c r="AN30" s="1229">
        <f t="shared" si="9"/>
        <v>0.608195542774982</v>
      </c>
      <c r="AO30" s="1303">
        <v>1087</v>
      </c>
      <c r="AP30" s="1304">
        <v>2956</v>
      </c>
      <c r="AQ30" s="1229">
        <f t="shared" si="10"/>
        <v>2.7194112235510581</v>
      </c>
      <c r="AR30" s="1303">
        <v>747</v>
      </c>
      <c r="AS30" s="1304">
        <v>6989</v>
      </c>
      <c r="AT30" s="1229">
        <f t="shared" si="11"/>
        <v>9.3560910307898268</v>
      </c>
      <c r="AU30" s="1303">
        <v>82</v>
      </c>
      <c r="AV30" s="1304">
        <v>1535</v>
      </c>
      <c r="AW30" s="1229">
        <f t="shared" si="12"/>
        <v>18.719512195121951</v>
      </c>
      <c r="AX30" s="1244">
        <f t="shared" si="13"/>
        <v>19670</v>
      </c>
      <c r="AY30" s="1229">
        <f t="shared" si="14"/>
        <v>1.3628490265364097</v>
      </c>
    </row>
    <row r="31" spans="1:51" s="891" customFormat="1" ht="77.45" customHeight="1" thickTop="1" thickBot="1">
      <c r="A31" s="3067"/>
      <c r="B31" s="3072"/>
      <c r="C31" s="3077" t="s">
        <v>612</v>
      </c>
      <c r="D31" s="1254" t="s">
        <v>574</v>
      </c>
      <c r="E31" s="1255" t="s">
        <v>575</v>
      </c>
      <c r="F31" s="1255" t="s">
        <v>576</v>
      </c>
      <c r="G31" s="1317">
        <v>0.64100000000000001</v>
      </c>
      <c r="H31" s="1318"/>
      <c r="I31" s="1319">
        <v>0.64100000000000001</v>
      </c>
      <c r="J31" s="1257"/>
      <c r="K31" s="1255" t="s">
        <v>7</v>
      </c>
      <c r="L31" s="1320">
        <v>0.64100000000000001</v>
      </c>
      <c r="M31" s="1321">
        <v>1</v>
      </c>
      <c r="N31" s="1229">
        <f t="shared" si="15"/>
        <v>1.5600624024960998</v>
      </c>
      <c r="O31" s="1308"/>
      <c r="P31" s="1309"/>
      <c r="Q31" s="1229" t="e">
        <f t="shared" si="1"/>
        <v>#DIV/0!</v>
      </c>
      <c r="R31" s="1308">
        <v>0.64100000000000001</v>
      </c>
      <c r="S31" s="1309">
        <v>1</v>
      </c>
      <c r="T31" s="1229">
        <f t="shared" si="0"/>
        <v>1.5600624024960998</v>
      </c>
      <c r="U31" s="1308">
        <v>0.64100000000000001</v>
      </c>
      <c r="V31" s="1309">
        <v>1</v>
      </c>
      <c r="W31" s="1229">
        <f t="shared" si="2"/>
        <v>1.5600624024960998</v>
      </c>
      <c r="X31" s="1308"/>
      <c r="Y31" s="1309"/>
      <c r="Z31" s="1229" t="e">
        <f t="shared" si="3"/>
        <v>#DIV/0!</v>
      </c>
      <c r="AA31" s="1308"/>
      <c r="AB31" s="1309"/>
      <c r="AC31" s="1229" t="e">
        <f t="shared" si="4"/>
        <v>#DIV/0!</v>
      </c>
      <c r="AD31" s="1296">
        <f t="shared" si="5"/>
        <v>3</v>
      </c>
      <c r="AE31" s="1229">
        <f t="shared" si="6"/>
        <v>4.6801872074882995</v>
      </c>
      <c r="AF31" s="1308"/>
      <c r="AG31" s="1309"/>
      <c r="AH31" s="1229" t="e">
        <f t="shared" si="7"/>
        <v>#DIV/0!</v>
      </c>
      <c r="AI31" s="1308">
        <v>0.64100000000000001</v>
      </c>
      <c r="AJ31" s="1309">
        <v>1</v>
      </c>
      <c r="AK31" s="1229">
        <f t="shared" si="8"/>
        <v>1.5600624024960998</v>
      </c>
      <c r="AL31" s="1308">
        <v>0.64100000000000001</v>
      </c>
      <c r="AM31" s="1309">
        <v>1</v>
      </c>
      <c r="AN31" s="1229">
        <f t="shared" si="9"/>
        <v>1.5600624024960998</v>
      </c>
      <c r="AO31" s="1308"/>
      <c r="AP31" s="1309"/>
      <c r="AQ31" s="1229" t="e">
        <f t="shared" si="10"/>
        <v>#DIV/0!</v>
      </c>
      <c r="AR31" s="1308">
        <v>0.64100000000000001</v>
      </c>
      <c r="AS31" s="1309">
        <v>1</v>
      </c>
      <c r="AT31" s="1229">
        <f>+AS31/AR31</f>
        <v>1.5600624024960998</v>
      </c>
      <c r="AU31" s="1308" t="s">
        <v>323</v>
      </c>
      <c r="AV31" s="1309"/>
      <c r="AW31" s="1229" t="e">
        <f t="shared" si="12"/>
        <v>#VALUE!</v>
      </c>
      <c r="AX31" s="1296">
        <f t="shared" si="13"/>
        <v>6</v>
      </c>
      <c r="AY31" s="1229">
        <f>+AX31/G31/6</f>
        <v>1.5600624024960998</v>
      </c>
    </row>
    <row r="32" spans="1:51" s="891" customFormat="1" ht="77.45" customHeight="1" thickTop="1" thickBot="1">
      <c r="A32" s="3067"/>
      <c r="B32" s="3072"/>
      <c r="C32" s="3078"/>
      <c r="D32" s="1246" t="s">
        <v>577</v>
      </c>
      <c r="E32" s="1247" t="s">
        <v>578</v>
      </c>
      <c r="F32" s="1272" t="s">
        <v>576</v>
      </c>
      <c r="G32" s="1292">
        <v>1</v>
      </c>
      <c r="H32" s="1247"/>
      <c r="I32" s="1292">
        <v>1</v>
      </c>
      <c r="J32" s="1247"/>
      <c r="K32" s="1272" t="s">
        <v>7</v>
      </c>
      <c r="L32" s="1294">
        <v>0</v>
      </c>
      <c r="M32" s="1322">
        <v>1</v>
      </c>
      <c r="N32" s="1229" t="e">
        <f t="shared" si="15"/>
        <v>#DIV/0!</v>
      </c>
      <c r="O32" s="1294">
        <v>1</v>
      </c>
      <c r="P32" s="1295">
        <v>1</v>
      </c>
      <c r="Q32" s="1229">
        <f t="shared" si="1"/>
        <v>1</v>
      </c>
      <c r="R32" s="1294">
        <v>1</v>
      </c>
      <c r="S32" s="1295">
        <v>1</v>
      </c>
      <c r="T32" s="1229">
        <f t="shared" si="0"/>
        <v>1</v>
      </c>
      <c r="U32" s="1294">
        <v>1</v>
      </c>
      <c r="V32" s="1295">
        <v>1</v>
      </c>
      <c r="W32" s="1229">
        <f t="shared" si="2"/>
        <v>1</v>
      </c>
      <c r="X32" s="1294">
        <v>1</v>
      </c>
      <c r="Y32" s="1295">
        <v>1</v>
      </c>
      <c r="Z32" s="1229">
        <f t="shared" si="3"/>
        <v>1</v>
      </c>
      <c r="AA32" s="1294">
        <v>0</v>
      </c>
      <c r="AB32" s="1295">
        <v>1</v>
      </c>
      <c r="AC32" s="1229" t="e">
        <f t="shared" si="4"/>
        <v>#DIV/0!</v>
      </c>
      <c r="AD32" s="1296">
        <f>(V32)</f>
        <v>1</v>
      </c>
      <c r="AE32" s="1229">
        <f t="shared" si="6"/>
        <v>1</v>
      </c>
      <c r="AF32" s="1294">
        <v>1</v>
      </c>
      <c r="AG32" s="1295">
        <v>1</v>
      </c>
      <c r="AH32" s="1229">
        <f t="shared" si="7"/>
        <v>1</v>
      </c>
      <c r="AI32" s="1294">
        <v>1</v>
      </c>
      <c r="AJ32" s="1295">
        <v>1</v>
      </c>
      <c r="AK32" s="1229">
        <f t="shared" si="8"/>
        <v>1</v>
      </c>
      <c r="AL32" s="1294">
        <v>1</v>
      </c>
      <c r="AM32" s="1295">
        <v>1</v>
      </c>
      <c r="AN32" s="1229">
        <f t="shared" si="9"/>
        <v>1</v>
      </c>
      <c r="AO32" s="1294">
        <v>1</v>
      </c>
      <c r="AP32" s="1295">
        <v>1</v>
      </c>
      <c r="AQ32" s="1229">
        <f t="shared" si="10"/>
        <v>1</v>
      </c>
      <c r="AR32" s="1294">
        <v>1</v>
      </c>
      <c r="AS32" s="1295">
        <v>1</v>
      </c>
      <c r="AT32" s="1229">
        <f t="shared" si="11"/>
        <v>1</v>
      </c>
      <c r="AU32" s="1294" t="s">
        <v>323</v>
      </c>
      <c r="AV32" s="1295"/>
      <c r="AW32" s="1229" t="e">
        <f t="shared" si="12"/>
        <v>#VALUE!</v>
      </c>
      <c r="AX32" s="1297">
        <f>+(AD32+AP32)/2</f>
        <v>1</v>
      </c>
      <c r="AY32" s="1229">
        <f t="shared" si="14"/>
        <v>1</v>
      </c>
    </row>
    <row r="33" spans="1:808" s="891" customFormat="1" ht="77.45" customHeight="1" thickTop="1" thickBot="1">
      <c r="A33" s="3067"/>
      <c r="B33" s="3072"/>
      <c r="C33" s="3078"/>
      <c r="D33" s="1254" t="s">
        <v>124</v>
      </c>
      <c r="E33" s="1255" t="s">
        <v>579</v>
      </c>
      <c r="F33" s="1255" t="s">
        <v>576</v>
      </c>
      <c r="G33" s="1306">
        <v>1</v>
      </c>
      <c r="H33" s="1257"/>
      <c r="I33" s="1307">
        <v>1</v>
      </c>
      <c r="J33" s="1257"/>
      <c r="K33" s="1255" t="s">
        <v>7</v>
      </c>
      <c r="L33" s="1308">
        <v>0</v>
      </c>
      <c r="M33" s="1323">
        <v>0</v>
      </c>
      <c r="N33" s="1229" t="e">
        <f t="shared" si="15"/>
        <v>#DIV/0!</v>
      </c>
      <c r="O33" s="1308">
        <v>0</v>
      </c>
      <c r="P33" s="1323">
        <v>0</v>
      </c>
      <c r="Q33" s="1229" t="e">
        <f t="shared" si="1"/>
        <v>#DIV/0!</v>
      </c>
      <c r="R33" s="1308">
        <v>1</v>
      </c>
      <c r="S33" s="1323">
        <v>1</v>
      </c>
      <c r="T33" s="1229">
        <f t="shared" si="0"/>
        <v>1</v>
      </c>
      <c r="U33" s="1308">
        <v>0</v>
      </c>
      <c r="V33" s="1323">
        <v>0</v>
      </c>
      <c r="W33" s="1229" t="e">
        <f t="shared" si="2"/>
        <v>#DIV/0!</v>
      </c>
      <c r="X33" s="1308">
        <v>0</v>
      </c>
      <c r="Y33" s="1323">
        <v>0</v>
      </c>
      <c r="Z33" s="1229" t="e">
        <f t="shared" si="3"/>
        <v>#DIV/0!</v>
      </c>
      <c r="AA33" s="1308">
        <v>0</v>
      </c>
      <c r="AB33" s="1323">
        <v>0</v>
      </c>
      <c r="AC33" s="1229" t="e">
        <f t="shared" si="4"/>
        <v>#DIV/0!</v>
      </c>
      <c r="AD33" s="1296">
        <v>1</v>
      </c>
      <c r="AE33" s="1229">
        <f t="shared" si="6"/>
        <v>1</v>
      </c>
      <c r="AF33" s="1308">
        <v>0</v>
      </c>
      <c r="AG33" s="1323">
        <v>0</v>
      </c>
      <c r="AH33" s="1229" t="e">
        <f t="shared" si="7"/>
        <v>#DIV/0!</v>
      </c>
      <c r="AI33" s="1308">
        <v>0</v>
      </c>
      <c r="AJ33" s="1323">
        <v>0</v>
      </c>
      <c r="AK33" s="1229" t="e">
        <f t="shared" si="8"/>
        <v>#DIV/0!</v>
      </c>
      <c r="AL33" s="1308">
        <v>1</v>
      </c>
      <c r="AM33" s="1323">
        <v>1</v>
      </c>
      <c r="AN33" s="1229">
        <f t="shared" si="9"/>
        <v>1</v>
      </c>
      <c r="AO33" s="1308">
        <v>0</v>
      </c>
      <c r="AP33" s="1323">
        <v>0</v>
      </c>
      <c r="AQ33" s="1229" t="e">
        <f t="shared" si="10"/>
        <v>#DIV/0!</v>
      </c>
      <c r="AR33" s="1308">
        <v>1</v>
      </c>
      <c r="AS33" s="1323">
        <v>1</v>
      </c>
      <c r="AT33" s="1229">
        <f t="shared" si="11"/>
        <v>1</v>
      </c>
      <c r="AU33" s="1308" t="s">
        <v>323</v>
      </c>
      <c r="AV33" s="1323"/>
      <c r="AW33" s="1229" t="e">
        <f t="shared" si="12"/>
        <v>#VALUE!</v>
      </c>
      <c r="AX33" s="1296">
        <v>1</v>
      </c>
      <c r="AY33" s="1229">
        <v>1</v>
      </c>
    </row>
    <row r="34" spans="1:808" s="891" customFormat="1" ht="77.45" customHeight="1" thickTop="1" thickBot="1">
      <c r="A34" s="3067"/>
      <c r="B34" s="3072"/>
      <c r="C34" s="3078"/>
      <c r="D34" s="1246" t="s">
        <v>414</v>
      </c>
      <c r="E34" s="1247" t="s">
        <v>580</v>
      </c>
      <c r="F34" s="1272" t="s">
        <v>576</v>
      </c>
      <c r="G34" s="1292">
        <v>0.4</v>
      </c>
      <c r="H34" s="1247"/>
      <c r="I34" s="1292">
        <v>1</v>
      </c>
      <c r="J34" s="1247"/>
      <c r="K34" s="1272" t="s">
        <v>7</v>
      </c>
      <c r="L34" s="1294">
        <v>0.4</v>
      </c>
      <c r="M34" s="1295">
        <v>1</v>
      </c>
      <c r="N34" s="1229">
        <f t="shared" si="15"/>
        <v>2.5</v>
      </c>
      <c r="O34" s="1294">
        <v>0.4</v>
      </c>
      <c r="P34" s="1295">
        <v>1</v>
      </c>
      <c r="Q34" s="1229">
        <f t="shared" si="1"/>
        <v>2.5</v>
      </c>
      <c r="R34" s="1294">
        <v>0.4</v>
      </c>
      <c r="S34" s="1295">
        <v>1</v>
      </c>
      <c r="T34" s="1229">
        <f t="shared" si="0"/>
        <v>2.5</v>
      </c>
      <c r="U34" s="1294">
        <v>0.4</v>
      </c>
      <c r="V34" s="1295">
        <v>1</v>
      </c>
      <c r="W34" s="1229">
        <f t="shared" si="2"/>
        <v>2.5</v>
      </c>
      <c r="X34" s="1294">
        <v>0.4</v>
      </c>
      <c r="Y34" s="1295">
        <v>1</v>
      </c>
      <c r="Z34" s="1229">
        <f t="shared" si="3"/>
        <v>2.5</v>
      </c>
      <c r="AA34" s="1294">
        <v>0.4</v>
      </c>
      <c r="AB34" s="1295">
        <v>1</v>
      </c>
      <c r="AC34" s="1229">
        <v>1</v>
      </c>
      <c r="AD34" s="1296">
        <f>(M34+P34+S34+V34+Y34+AB34)/6</f>
        <v>1</v>
      </c>
      <c r="AE34" s="1229">
        <f t="shared" si="6"/>
        <v>2.5</v>
      </c>
      <c r="AF34" s="1294">
        <v>0.4</v>
      </c>
      <c r="AG34" s="1295">
        <v>1</v>
      </c>
      <c r="AH34" s="1229">
        <f t="shared" si="7"/>
        <v>2.5</v>
      </c>
      <c r="AI34" s="1294">
        <v>0.4</v>
      </c>
      <c r="AJ34" s="1295">
        <v>1</v>
      </c>
      <c r="AK34" s="1229">
        <f t="shared" si="8"/>
        <v>2.5</v>
      </c>
      <c r="AL34" s="1294">
        <v>0.4</v>
      </c>
      <c r="AM34" s="1295">
        <v>1</v>
      </c>
      <c r="AN34" s="1229">
        <f t="shared" si="9"/>
        <v>2.5</v>
      </c>
      <c r="AO34" s="1294">
        <v>0.4</v>
      </c>
      <c r="AP34" s="1295">
        <v>1</v>
      </c>
      <c r="AQ34" s="1229">
        <f t="shared" si="10"/>
        <v>2.5</v>
      </c>
      <c r="AR34" s="1294">
        <v>0.4</v>
      </c>
      <c r="AS34" s="1295">
        <v>1</v>
      </c>
      <c r="AT34" s="1229">
        <f t="shared" si="11"/>
        <v>2.5</v>
      </c>
      <c r="AU34" s="1294" t="s">
        <v>323</v>
      </c>
      <c r="AV34" s="1295"/>
      <c r="AW34" s="1229" t="e">
        <f t="shared" si="12"/>
        <v>#VALUE!</v>
      </c>
      <c r="AX34" s="1297">
        <v>1</v>
      </c>
      <c r="AY34" s="1229">
        <f t="shared" si="14"/>
        <v>2.5</v>
      </c>
    </row>
    <row r="35" spans="1:808" s="891" customFormat="1" ht="66.75" customHeight="1" thickTop="1" thickBot="1">
      <c r="A35" s="3067"/>
      <c r="B35" s="3072"/>
      <c r="C35" s="3078"/>
      <c r="D35" s="1254" t="s">
        <v>415</v>
      </c>
      <c r="E35" s="1255" t="s">
        <v>581</v>
      </c>
      <c r="F35" s="1255" t="s">
        <v>576</v>
      </c>
      <c r="G35" s="1306">
        <v>1</v>
      </c>
      <c r="H35" s="1257"/>
      <c r="I35" s="1307">
        <v>1</v>
      </c>
      <c r="J35" s="1257"/>
      <c r="K35" s="1255" t="s">
        <v>7</v>
      </c>
      <c r="L35" s="1308">
        <v>0</v>
      </c>
      <c r="M35" s="1309">
        <v>0</v>
      </c>
      <c r="N35" s="1229" t="e">
        <f t="shared" si="15"/>
        <v>#DIV/0!</v>
      </c>
      <c r="O35" s="1308">
        <v>0</v>
      </c>
      <c r="P35" s="1309">
        <v>0</v>
      </c>
      <c r="Q35" s="1229" t="e">
        <f t="shared" si="1"/>
        <v>#DIV/0!</v>
      </c>
      <c r="R35" s="1308">
        <v>0</v>
      </c>
      <c r="S35" s="1309">
        <v>0</v>
      </c>
      <c r="T35" s="1229" t="e">
        <f t="shared" si="0"/>
        <v>#DIV/0!</v>
      </c>
      <c r="U35" s="1308">
        <v>1</v>
      </c>
      <c r="V35" s="1309">
        <v>1</v>
      </c>
      <c r="W35" s="1229">
        <f t="shared" si="2"/>
        <v>1</v>
      </c>
      <c r="X35" s="1308">
        <v>1</v>
      </c>
      <c r="Y35" s="1309">
        <v>1</v>
      </c>
      <c r="Z35" s="1229">
        <f t="shared" si="3"/>
        <v>1</v>
      </c>
      <c r="AA35" s="1308">
        <v>1</v>
      </c>
      <c r="AB35" s="1309">
        <v>1</v>
      </c>
      <c r="AC35" s="1229">
        <f t="shared" si="4"/>
        <v>1</v>
      </c>
      <c r="AD35" s="1296">
        <f>(M35+P35+S35+V35+Y35+AB35)/6</f>
        <v>0.5</v>
      </c>
      <c r="AE35" s="1229">
        <f t="shared" si="6"/>
        <v>0.5</v>
      </c>
      <c r="AF35" s="1308">
        <v>0</v>
      </c>
      <c r="AG35" s="1309">
        <v>0</v>
      </c>
      <c r="AH35" s="1229" t="e">
        <f t="shared" si="7"/>
        <v>#DIV/0!</v>
      </c>
      <c r="AI35" s="1308">
        <v>1</v>
      </c>
      <c r="AJ35" s="1309">
        <v>1</v>
      </c>
      <c r="AK35" s="1229">
        <f t="shared" si="8"/>
        <v>1</v>
      </c>
      <c r="AL35" s="1308">
        <v>1</v>
      </c>
      <c r="AM35" s="1309">
        <v>1</v>
      </c>
      <c r="AN35" s="1229">
        <f t="shared" si="9"/>
        <v>1</v>
      </c>
      <c r="AO35" s="1308">
        <v>1</v>
      </c>
      <c r="AP35" s="1309">
        <v>1</v>
      </c>
      <c r="AQ35" s="1229">
        <f t="shared" si="10"/>
        <v>1</v>
      </c>
      <c r="AR35" s="1308">
        <v>0</v>
      </c>
      <c r="AS35" s="1309">
        <v>0</v>
      </c>
      <c r="AT35" s="1229" t="e">
        <f t="shared" si="11"/>
        <v>#DIV/0!</v>
      </c>
      <c r="AU35" s="1308" t="s">
        <v>323</v>
      </c>
      <c r="AV35" s="1324"/>
      <c r="AW35" s="1229" t="e">
        <f t="shared" si="12"/>
        <v>#VALUE!</v>
      </c>
      <c r="AX35" s="1277">
        <v>1</v>
      </c>
      <c r="AY35" s="1229">
        <f t="shared" si="14"/>
        <v>1</v>
      </c>
    </row>
    <row r="36" spans="1:808" s="891" customFormat="1" ht="82.5" customHeight="1" thickTop="1" thickBot="1">
      <c r="A36" s="3067"/>
      <c r="B36" s="3072"/>
      <c r="C36" s="3078"/>
      <c r="D36" s="1246" t="s">
        <v>582</v>
      </c>
      <c r="E36" s="1247" t="s">
        <v>583</v>
      </c>
      <c r="F36" s="1272" t="s">
        <v>576</v>
      </c>
      <c r="G36" s="1292">
        <v>1</v>
      </c>
      <c r="H36" s="1247"/>
      <c r="I36" s="1292">
        <v>1</v>
      </c>
      <c r="J36" s="1247"/>
      <c r="K36" s="1272" t="s">
        <v>7</v>
      </c>
      <c r="L36" s="1294">
        <v>1</v>
      </c>
      <c r="M36" s="1295">
        <v>1</v>
      </c>
      <c r="N36" s="1229">
        <f t="shared" si="15"/>
        <v>1</v>
      </c>
      <c r="O36" s="1294">
        <v>1</v>
      </c>
      <c r="P36" s="1295">
        <v>1</v>
      </c>
      <c r="Q36" s="1229">
        <f t="shared" si="1"/>
        <v>1</v>
      </c>
      <c r="R36" s="1294">
        <v>1</v>
      </c>
      <c r="S36" s="1295">
        <v>1</v>
      </c>
      <c r="T36" s="1229">
        <f t="shared" si="0"/>
        <v>1</v>
      </c>
      <c r="U36" s="1294">
        <v>1</v>
      </c>
      <c r="V36" s="1295">
        <v>1</v>
      </c>
      <c r="W36" s="1229">
        <f t="shared" si="2"/>
        <v>1</v>
      </c>
      <c r="X36" s="1294">
        <v>1</v>
      </c>
      <c r="Y36" s="1295">
        <v>1</v>
      </c>
      <c r="Z36" s="1229">
        <f t="shared" si="3"/>
        <v>1</v>
      </c>
      <c r="AA36" s="1294">
        <v>1</v>
      </c>
      <c r="AB36" s="1295">
        <v>1</v>
      </c>
      <c r="AC36" s="1229">
        <f t="shared" si="4"/>
        <v>1</v>
      </c>
      <c r="AD36" s="1296">
        <v>1</v>
      </c>
      <c r="AE36" s="1229">
        <f t="shared" si="6"/>
        <v>1</v>
      </c>
      <c r="AF36" s="1294">
        <v>1</v>
      </c>
      <c r="AG36" s="1295">
        <v>1</v>
      </c>
      <c r="AH36" s="1229">
        <f t="shared" si="7"/>
        <v>1</v>
      </c>
      <c r="AI36" s="1294">
        <v>1</v>
      </c>
      <c r="AJ36" s="1295">
        <v>1</v>
      </c>
      <c r="AK36" s="1229">
        <v>1</v>
      </c>
      <c r="AL36" s="1294">
        <v>1</v>
      </c>
      <c r="AM36" s="1295">
        <v>1</v>
      </c>
      <c r="AN36" s="1229">
        <f t="shared" si="9"/>
        <v>1</v>
      </c>
      <c r="AO36" s="1294">
        <v>1</v>
      </c>
      <c r="AP36" s="1295">
        <v>1</v>
      </c>
      <c r="AQ36" s="1229">
        <f t="shared" si="10"/>
        <v>1</v>
      </c>
      <c r="AR36" s="1294">
        <v>1</v>
      </c>
      <c r="AS36" s="1295">
        <v>1</v>
      </c>
      <c r="AT36" s="1229">
        <f t="shared" si="11"/>
        <v>1</v>
      </c>
      <c r="AU36" s="1294" t="s">
        <v>323</v>
      </c>
      <c r="AV36" s="1325"/>
      <c r="AW36" s="1229" t="e">
        <f t="shared" si="12"/>
        <v>#VALUE!</v>
      </c>
      <c r="AX36" s="1244">
        <v>1</v>
      </c>
      <c r="AY36" s="1229">
        <f t="shared" si="14"/>
        <v>1</v>
      </c>
    </row>
    <row r="37" spans="1:808" s="891" customFormat="1" ht="77.45" customHeight="1" thickTop="1" thickBot="1">
      <c r="A37" s="3067"/>
      <c r="B37" s="3072"/>
      <c r="C37" s="3079"/>
      <c r="D37" s="1326" t="s">
        <v>132</v>
      </c>
      <c r="E37" s="1327" t="s">
        <v>584</v>
      </c>
      <c r="F37" s="1327" t="s">
        <v>576</v>
      </c>
      <c r="G37" s="1328">
        <v>1</v>
      </c>
      <c r="H37" s="1329"/>
      <c r="I37" s="1330">
        <v>1</v>
      </c>
      <c r="J37" s="1329"/>
      <c r="K37" s="1327" t="s">
        <v>7</v>
      </c>
      <c r="L37" s="1331">
        <v>0</v>
      </c>
      <c r="M37" s="1332">
        <v>0</v>
      </c>
      <c r="N37" s="1229" t="e">
        <f t="shared" si="15"/>
        <v>#DIV/0!</v>
      </c>
      <c r="O37" s="1331">
        <v>0</v>
      </c>
      <c r="P37" s="1332">
        <v>0</v>
      </c>
      <c r="Q37" s="1229" t="e">
        <f t="shared" si="1"/>
        <v>#DIV/0!</v>
      </c>
      <c r="R37" s="1331">
        <v>0</v>
      </c>
      <c r="S37" s="1332">
        <v>0</v>
      </c>
      <c r="T37" s="1229" t="e">
        <f t="shared" si="0"/>
        <v>#DIV/0!</v>
      </c>
      <c r="U37" s="1331">
        <v>0</v>
      </c>
      <c r="V37" s="1332">
        <v>0</v>
      </c>
      <c r="W37" s="1229" t="e">
        <f t="shared" si="2"/>
        <v>#DIV/0!</v>
      </c>
      <c r="X37" s="1331">
        <v>0</v>
      </c>
      <c r="Y37" s="1332">
        <v>0</v>
      </c>
      <c r="Z37" s="1229" t="e">
        <f t="shared" si="3"/>
        <v>#DIV/0!</v>
      </c>
      <c r="AA37" s="1331">
        <v>1</v>
      </c>
      <c r="AB37" s="1332">
        <v>1</v>
      </c>
      <c r="AC37" s="1229">
        <f t="shared" si="4"/>
        <v>1</v>
      </c>
      <c r="AD37" s="1296">
        <v>0</v>
      </c>
      <c r="AE37" s="1229">
        <f t="shared" si="6"/>
        <v>0</v>
      </c>
      <c r="AF37" s="1331">
        <v>0</v>
      </c>
      <c r="AG37" s="1332">
        <v>0</v>
      </c>
      <c r="AH37" s="1229" t="e">
        <f t="shared" si="7"/>
        <v>#DIV/0!</v>
      </c>
      <c r="AI37" s="1331">
        <v>1</v>
      </c>
      <c r="AJ37" s="1332"/>
      <c r="AK37" s="1229">
        <v>0</v>
      </c>
      <c r="AL37" s="1331">
        <v>0</v>
      </c>
      <c r="AM37" s="1332"/>
      <c r="AN37" s="1229">
        <v>0</v>
      </c>
      <c r="AO37" s="1331">
        <v>0</v>
      </c>
      <c r="AP37" s="1332">
        <v>0</v>
      </c>
      <c r="AQ37" s="1229" t="s">
        <v>6</v>
      </c>
      <c r="AR37" s="1331">
        <v>0</v>
      </c>
      <c r="AS37" s="1332">
        <v>0</v>
      </c>
      <c r="AT37" s="1229" t="e">
        <f t="shared" si="11"/>
        <v>#DIV/0!</v>
      </c>
      <c r="AU37" s="1331" t="s">
        <v>323</v>
      </c>
      <c r="AV37" s="1332"/>
      <c r="AW37" s="1229" t="e">
        <f t="shared" si="12"/>
        <v>#VALUE!</v>
      </c>
      <c r="AX37" s="1296">
        <v>1</v>
      </c>
      <c r="AY37" s="1229">
        <f t="shared" si="14"/>
        <v>1</v>
      </c>
    </row>
    <row r="38" spans="1:808" s="1335" customFormat="1" ht="53.25" customHeight="1" thickTop="1" thickBot="1">
      <c r="A38" s="3067"/>
      <c r="B38" s="3073"/>
      <c r="C38" s="1234" t="s">
        <v>585</v>
      </c>
      <c r="D38" s="1333" t="s">
        <v>417</v>
      </c>
      <c r="E38" s="1234" t="s">
        <v>586</v>
      </c>
      <c r="F38" s="1234" t="s">
        <v>18</v>
      </c>
      <c r="G38" s="1334">
        <v>369</v>
      </c>
      <c r="H38" s="1234"/>
      <c r="I38" s="1334" t="s">
        <v>136</v>
      </c>
      <c r="J38" s="1234"/>
      <c r="K38" s="1234" t="s">
        <v>23</v>
      </c>
      <c r="L38" s="1264">
        <v>31</v>
      </c>
      <c r="M38" s="1265">
        <v>84</v>
      </c>
      <c r="N38" s="1229">
        <f t="shared" si="15"/>
        <v>2.7096774193548385</v>
      </c>
      <c r="O38" s="1264">
        <v>31</v>
      </c>
      <c r="P38" s="1265">
        <v>0</v>
      </c>
      <c r="Q38" s="1229">
        <f t="shared" si="1"/>
        <v>0</v>
      </c>
      <c r="R38" s="1264">
        <v>31</v>
      </c>
      <c r="S38" s="1265">
        <v>0</v>
      </c>
      <c r="T38" s="1229">
        <f t="shared" si="0"/>
        <v>0</v>
      </c>
      <c r="U38" s="1264">
        <v>93</v>
      </c>
      <c r="V38" s="1265">
        <v>84</v>
      </c>
      <c r="W38" s="1229">
        <f t="shared" si="2"/>
        <v>0.90322580645161288</v>
      </c>
      <c r="X38" s="1264">
        <v>31</v>
      </c>
      <c r="Y38" s="1265">
        <v>0</v>
      </c>
      <c r="Z38" s="1229">
        <f t="shared" si="3"/>
        <v>0</v>
      </c>
      <c r="AA38" s="1264">
        <v>31</v>
      </c>
      <c r="AB38" s="1265">
        <v>0</v>
      </c>
      <c r="AC38" s="1229">
        <f t="shared" si="4"/>
        <v>0</v>
      </c>
      <c r="AD38" s="1232">
        <v>94</v>
      </c>
      <c r="AE38" s="1229">
        <f t="shared" si="6"/>
        <v>0.25474254742547425</v>
      </c>
      <c r="AF38" s="1264">
        <v>31</v>
      </c>
      <c r="AG38" s="1265">
        <v>1</v>
      </c>
      <c r="AH38" s="1229">
        <f t="shared" si="7"/>
        <v>3.2258064516129031E-2</v>
      </c>
      <c r="AI38" s="1264">
        <v>31</v>
      </c>
      <c r="AJ38" s="1265">
        <v>0</v>
      </c>
      <c r="AK38" s="1229">
        <f t="shared" si="8"/>
        <v>0</v>
      </c>
      <c r="AL38" s="1264">
        <v>31</v>
      </c>
      <c r="AM38" s="1265">
        <v>4</v>
      </c>
      <c r="AN38" s="1229">
        <f t="shared" si="9"/>
        <v>0.12903225806451613</v>
      </c>
      <c r="AO38" s="1264">
        <v>31</v>
      </c>
      <c r="AP38" s="1265">
        <v>0</v>
      </c>
      <c r="AQ38" s="1229">
        <f t="shared" si="10"/>
        <v>0</v>
      </c>
      <c r="AR38" s="1264">
        <v>31</v>
      </c>
      <c r="AS38" s="1265">
        <v>4</v>
      </c>
      <c r="AT38" s="1229">
        <f t="shared" si="11"/>
        <v>0.12903225806451613</v>
      </c>
      <c r="AU38" s="1264">
        <v>31</v>
      </c>
      <c r="AV38" s="1265">
        <v>980</v>
      </c>
      <c r="AW38" s="1229">
        <f t="shared" si="12"/>
        <v>31.612903225806452</v>
      </c>
      <c r="AX38" s="1253">
        <v>1083</v>
      </c>
      <c r="AY38" s="1229">
        <f t="shared" si="14"/>
        <v>2.934959349593496</v>
      </c>
      <c r="AZ38" s="891"/>
      <c r="BA38" s="891"/>
      <c r="BB38" s="891"/>
      <c r="BC38" s="891"/>
      <c r="BD38" s="891"/>
      <c r="BE38" s="891"/>
      <c r="BF38" s="891"/>
      <c r="BG38" s="891"/>
      <c r="BH38" s="891"/>
      <c r="BI38" s="891"/>
      <c r="BJ38" s="891"/>
      <c r="BK38" s="891"/>
      <c r="BL38" s="891"/>
      <c r="BM38" s="891"/>
      <c r="BN38" s="891"/>
      <c r="BO38" s="891"/>
      <c r="BP38" s="891"/>
      <c r="BQ38" s="891"/>
      <c r="BR38" s="891"/>
      <c r="BS38" s="891"/>
      <c r="BT38" s="891"/>
      <c r="BU38" s="891"/>
      <c r="BV38" s="891"/>
      <c r="BW38" s="891"/>
      <c r="BX38" s="891"/>
      <c r="BY38" s="891"/>
      <c r="BZ38" s="891"/>
      <c r="CA38" s="891"/>
      <c r="CB38" s="891"/>
      <c r="CC38" s="891"/>
      <c r="CD38" s="891"/>
      <c r="CE38" s="891"/>
      <c r="CF38" s="891"/>
      <c r="CG38" s="891"/>
      <c r="CH38" s="891"/>
      <c r="CI38" s="891"/>
      <c r="CJ38" s="891"/>
      <c r="CK38" s="891"/>
      <c r="CL38" s="891"/>
      <c r="CM38" s="891"/>
      <c r="CN38" s="891"/>
      <c r="CO38" s="891"/>
      <c r="CP38" s="891"/>
      <c r="CQ38" s="891"/>
      <c r="CR38" s="891"/>
      <c r="CS38" s="891"/>
      <c r="CT38" s="891"/>
      <c r="CU38" s="891"/>
      <c r="CV38" s="891"/>
      <c r="CW38" s="891"/>
      <c r="CX38" s="891"/>
      <c r="CY38" s="891"/>
      <c r="CZ38" s="891"/>
      <c r="DA38" s="891"/>
      <c r="DB38" s="891"/>
      <c r="DC38" s="891"/>
      <c r="DD38" s="891"/>
      <c r="DE38" s="891"/>
      <c r="DF38" s="891"/>
      <c r="DG38" s="891"/>
      <c r="DH38" s="891"/>
      <c r="DI38" s="891"/>
      <c r="DJ38" s="891"/>
      <c r="DK38" s="891"/>
      <c r="DL38" s="891"/>
      <c r="DM38" s="891"/>
      <c r="DN38" s="891"/>
      <c r="DO38" s="891"/>
      <c r="DP38" s="891"/>
      <c r="DQ38" s="891"/>
      <c r="DR38" s="891"/>
      <c r="DS38" s="891"/>
      <c r="DT38" s="891"/>
      <c r="DU38" s="891"/>
      <c r="DV38" s="891"/>
      <c r="DW38" s="891"/>
      <c r="DX38" s="891"/>
      <c r="DY38" s="891"/>
      <c r="DZ38" s="891"/>
      <c r="EA38" s="891"/>
      <c r="EB38" s="891"/>
      <c r="EC38" s="891"/>
      <c r="ED38" s="891"/>
      <c r="EE38" s="891"/>
      <c r="EF38" s="891"/>
      <c r="EG38" s="891"/>
      <c r="EH38" s="891"/>
      <c r="EI38" s="891"/>
      <c r="EJ38" s="891"/>
      <c r="EK38" s="891"/>
      <c r="EL38" s="891"/>
      <c r="EM38" s="891"/>
      <c r="EN38" s="891"/>
      <c r="EO38" s="891"/>
      <c r="EP38" s="891"/>
      <c r="EQ38" s="891"/>
      <c r="ER38" s="891"/>
      <c r="ES38" s="891"/>
      <c r="ET38" s="891"/>
      <c r="EU38" s="891"/>
      <c r="EV38" s="891"/>
      <c r="EW38" s="891"/>
      <c r="EX38" s="891"/>
      <c r="EY38" s="891"/>
      <c r="EZ38" s="891"/>
      <c r="FA38" s="891"/>
      <c r="FB38" s="891"/>
      <c r="FC38" s="891"/>
      <c r="FD38" s="891"/>
      <c r="FE38" s="891"/>
      <c r="FF38" s="891"/>
      <c r="FG38" s="891"/>
      <c r="FH38" s="891"/>
      <c r="FI38" s="891"/>
      <c r="FJ38" s="891"/>
      <c r="FK38" s="891"/>
      <c r="FL38" s="891"/>
      <c r="FM38" s="891"/>
      <c r="FN38" s="891"/>
      <c r="FO38" s="891"/>
      <c r="FP38" s="891"/>
      <c r="FQ38" s="891"/>
      <c r="FR38" s="891"/>
      <c r="FS38" s="891"/>
      <c r="FT38" s="891"/>
      <c r="FU38" s="891"/>
      <c r="FV38" s="891"/>
      <c r="FW38" s="891"/>
      <c r="FX38" s="891"/>
      <c r="FY38" s="891"/>
      <c r="FZ38" s="891"/>
      <c r="GA38" s="891"/>
      <c r="GB38" s="891"/>
      <c r="GC38" s="891"/>
      <c r="GD38" s="891"/>
      <c r="GE38" s="891"/>
      <c r="GF38" s="891"/>
      <c r="GG38" s="891"/>
      <c r="GH38" s="891"/>
      <c r="GI38" s="891"/>
      <c r="GJ38" s="891"/>
      <c r="GK38" s="891"/>
      <c r="GL38" s="891"/>
      <c r="GM38" s="891"/>
      <c r="GN38" s="891"/>
      <c r="GO38" s="891"/>
      <c r="GP38" s="891"/>
      <c r="GQ38" s="891"/>
      <c r="GR38" s="891"/>
      <c r="GS38" s="891"/>
      <c r="GT38" s="891"/>
      <c r="GU38" s="891"/>
      <c r="GV38" s="891"/>
      <c r="GW38" s="891"/>
      <c r="GX38" s="891"/>
      <c r="GY38" s="891"/>
      <c r="GZ38" s="891"/>
      <c r="HA38" s="891"/>
      <c r="HB38" s="891"/>
      <c r="HC38" s="891"/>
      <c r="HD38" s="891"/>
      <c r="HE38" s="891"/>
      <c r="HF38" s="891"/>
      <c r="HG38" s="891"/>
      <c r="HH38" s="891"/>
      <c r="HI38" s="891"/>
      <c r="HJ38" s="891"/>
      <c r="HK38" s="891"/>
      <c r="HL38" s="891"/>
      <c r="HM38" s="891"/>
      <c r="HN38" s="891"/>
      <c r="HO38" s="891"/>
      <c r="HP38" s="891"/>
      <c r="HQ38" s="891"/>
      <c r="HR38" s="891"/>
      <c r="HS38" s="891"/>
      <c r="HT38" s="891"/>
      <c r="HU38" s="891"/>
      <c r="HV38" s="891"/>
      <c r="HW38" s="891"/>
      <c r="HX38" s="891"/>
      <c r="HY38" s="891"/>
      <c r="HZ38" s="891"/>
      <c r="IA38" s="891"/>
      <c r="IB38" s="891"/>
      <c r="IC38" s="891"/>
      <c r="ID38" s="891"/>
      <c r="IE38" s="891"/>
      <c r="IF38" s="891"/>
      <c r="IG38" s="891"/>
      <c r="IH38" s="891"/>
      <c r="II38" s="891"/>
      <c r="IJ38" s="891"/>
      <c r="IK38" s="891"/>
      <c r="IL38" s="891"/>
      <c r="IM38" s="891"/>
      <c r="IN38" s="891"/>
      <c r="IO38" s="891"/>
      <c r="IP38" s="891"/>
      <c r="IQ38" s="891"/>
      <c r="IR38" s="891"/>
      <c r="IS38" s="891"/>
      <c r="IT38" s="891"/>
      <c r="IU38" s="891"/>
      <c r="IV38" s="891"/>
      <c r="IW38" s="891"/>
      <c r="IX38" s="891"/>
      <c r="IY38" s="891"/>
      <c r="IZ38" s="891"/>
      <c r="JA38" s="891"/>
      <c r="JB38" s="891"/>
      <c r="JC38" s="891"/>
      <c r="JD38" s="891"/>
      <c r="JE38" s="891"/>
      <c r="JF38" s="891"/>
      <c r="JG38" s="891"/>
      <c r="JH38" s="891"/>
      <c r="JI38" s="891"/>
      <c r="JJ38" s="891"/>
      <c r="JK38" s="891"/>
      <c r="JL38" s="891"/>
      <c r="JM38" s="891"/>
      <c r="JN38" s="891"/>
      <c r="JO38" s="891"/>
      <c r="JP38" s="891"/>
      <c r="JQ38" s="891"/>
      <c r="JR38" s="891"/>
      <c r="JS38" s="891"/>
      <c r="JT38" s="891"/>
      <c r="JU38" s="891"/>
      <c r="JV38" s="891"/>
      <c r="JW38" s="891"/>
      <c r="JX38" s="891"/>
      <c r="JY38" s="891"/>
      <c r="JZ38" s="891"/>
      <c r="KA38" s="891"/>
      <c r="KB38" s="891"/>
      <c r="KC38" s="891"/>
      <c r="KD38" s="891"/>
      <c r="KE38" s="891"/>
      <c r="KF38" s="891"/>
      <c r="KG38" s="891"/>
      <c r="KH38" s="891"/>
      <c r="KI38" s="891"/>
      <c r="KJ38" s="891"/>
      <c r="KK38" s="891"/>
      <c r="KL38" s="891"/>
      <c r="KM38" s="891"/>
      <c r="KN38" s="891"/>
      <c r="KO38" s="891"/>
      <c r="KP38" s="891"/>
      <c r="KQ38" s="891"/>
      <c r="KR38" s="891"/>
      <c r="KS38" s="891"/>
      <c r="KT38" s="891"/>
      <c r="KU38" s="891"/>
      <c r="KV38" s="891"/>
      <c r="KW38" s="891"/>
      <c r="KX38" s="891"/>
      <c r="KY38" s="891"/>
      <c r="KZ38" s="891"/>
      <c r="LA38" s="891"/>
      <c r="LB38" s="891"/>
      <c r="LC38" s="891"/>
      <c r="LD38" s="891"/>
      <c r="LE38" s="891"/>
      <c r="LF38" s="891"/>
      <c r="LG38" s="891"/>
      <c r="LH38" s="891"/>
      <c r="LI38" s="891"/>
      <c r="LJ38" s="891"/>
      <c r="LK38" s="891"/>
      <c r="LL38" s="891"/>
      <c r="LM38" s="891"/>
      <c r="LN38" s="891"/>
      <c r="LO38" s="891"/>
      <c r="LP38" s="891"/>
      <c r="LQ38" s="891"/>
      <c r="LR38" s="891"/>
      <c r="LS38" s="891"/>
      <c r="LT38" s="891"/>
      <c r="LU38" s="891"/>
      <c r="LV38" s="891"/>
      <c r="LW38" s="891"/>
      <c r="LX38" s="891"/>
      <c r="LY38" s="891"/>
      <c r="LZ38" s="891"/>
      <c r="MA38" s="891"/>
      <c r="MB38" s="891"/>
      <c r="MC38" s="891"/>
      <c r="MD38" s="891"/>
      <c r="ME38" s="891"/>
      <c r="MF38" s="891"/>
      <c r="MG38" s="891"/>
      <c r="MH38" s="891"/>
      <c r="MI38" s="891"/>
      <c r="MJ38" s="891"/>
      <c r="MK38" s="891"/>
      <c r="ML38" s="891"/>
      <c r="MM38" s="891"/>
      <c r="MN38" s="891"/>
      <c r="MO38" s="891"/>
      <c r="MP38" s="891"/>
      <c r="MQ38" s="891"/>
      <c r="MR38" s="891"/>
      <c r="MS38" s="891"/>
      <c r="MT38" s="891"/>
      <c r="MU38" s="891"/>
      <c r="MV38" s="891"/>
      <c r="MW38" s="891"/>
      <c r="MX38" s="891"/>
      <c r="MY38" s="891"/>
      <c r="MZ38" s="891"/>
      <c r="NA38" s="891"/>
      <c r="NB38" s="891"/>
      <c r="NC38" s="891"/>
      <c r="ND38" s="891"/>
      <c r="NE38" s="891"/>
      <c r="NF38" s="891"/>
      <c r="NG38" s="891"/>
      <c r="NH38" s="891"/>
      <c r="NI38" s="891"/>
      <c r="NJ38" s="891"/>
      <c r="NK38" s="891"/>
      <c r="NL38" s="891"/>
      <c r="NM38" s="891"/>
      <c r="NN38" s="891"/>
      <c r="NO38" s="891"/>
      <c r="NP38" s="891"/>
      <c r="NQ38" s="891"/>
      <c r="NR38" s="891"/>
      <c r="NS38" s="891"/>
      <c r="NT38" s="891"/>
      <c r="NU38" s="891"/>
      <c r="NV38" s="891"/>
      <c r="NW38" s="891"/>
      <c r="NX38" s="891"/>
      <c r="NY38" s="891"/>
      <c r="NZ38" s="891"/>
      <c r="OA38" s="891"/>
      <c r="OB38" s="891"/>
      <c r="OC38" s="891"/>
      <c r="OD38" s="891"/>
      <c r="OE38" s="891"/>
      <c r="OF38" s="891"/>
      <c r="OG38" s="891"/>
      <c r="OH38" s="891"/>
      <c r="OI38" s="891"/>
      <c r="OJ38" s="891"/>
      <c r="OK38" s="891"/>
      <c r="OL38" s="891"/>
      <c r="OM38" s="891"/>
      <c r="ON38" s="891"/>
      <c r="OO38" s="891"/>
      <c r="OP38" s="891"/>
      <c r="OQ38" s="891"/>
      <c r="OR38" s="891"/>
      <c r="OS38" s="891"/>
      <c r="OT38" s="891"/>
      <c r="OU38" s="891"/>
      <c r="OV38" s="891"/>
      <c r="OW38" s="891"/>
      <c r="OX38" s="891"/>
      <c r="OY38" s="891"/>
      <c r="OZ38" s="891"/>
      <c r="PA38" s="891"/>
      <c r="PB38" s="891"/>
      <c r="PC38" s="891"/>
      <c r="PD38" s="891"/>
      <c r="PE38" s="891"/>
      <c r="PF38" s="891"/>
      <c r="PG38" s="891"/>
      <c r="PH38" s="891"/>
      <c r="PI38" s="891"/>
      <c r="PJ38" s="891"/>
      <c r="PK38" s="891"/>
      <c r="PL38" s="891"/>
      <c r="PM38" s="891"/>
      <c r="PN38" s="891"/>
      <c r="PO38" s="891"/>
      <c r="PP38" s="891"/>
      <c r="PQ38" s="891"/>
      <c r="PR38" s="891"/>
      <c r="PS38" s="891"/>
      <c r="PT38" s="891"/>
      <c r="PU38" s="891"/>
      <c r="PV38" s="891"/>
      <c r="PW38" s="891"/>
      <c r="PX38" s="891"/>
      <c r="PY38" s="891"/>
      <c r="PZ38" s="891"/>
      <c r="QA38" s="891"/>
      <c r="QB38" s="891"/>
      <c r="QC38" s="891"/>
      <c r="QD38" s="891"/>
      <c r="QE38" s="891"/>
      <c r="QF38" s="891"/>
      <c r="QG38" s="891"/>
      <c r="QH38" s="891"/>
      <c r="QI38" s="891"/>
      <c r="QJ38" s="891"/>
      <c r="QK38" s="891"/>
      <c r="QL38" s="891"/>
      <c r="QM38" s="891"/>
      <c r="QN38" s="891"/>
      <c r="QO38" s="891"/>
      <c r="QP38" s="891"/>
      <c r="QQ38" s="891"/>
      <c r="QR38" s="891"/>
      <c r="QS38" s="891"/>
      <c r="QT38" s="891"/>
      <c r="QU38" s="891"/>
      <c r="QV38" s="891"/>
      <c r="QW38" s="891"/>
      <c r="QX38" s="891"/>
      <c r="QY38" s="891"/>
      <c r="QZ38" s="891"/>
      <c r="RA38" s="891"/>
      <c r="RB38" s="891"/>
      <c r="RC38" s="891"/>
      <c r="RD38" s="891"/>
      <c r="RE38" s="891"/>
      <c r="RF38" s="891"/>
      <c r="RG38" s="891"/>
      <c r="RH38" s="891"/>
      <c r="RI38" s="891"/>
      <c r="RJ38" s="891"/>
      <c r="RK38" s="891"/>
      <c r="RL38" s="891"/>
      <c r="RM38" s="891"/>
      <c r="RN38" s="891"/>
      <c r="RO38" s="891"/>
      <c r="RP38" s="891"/>
      <c r="RQ38" s="891"/>
      <c r="RR38" s="891"/>
      <c r="RS38" s="891"/>
      <c r="RT38" s="891"/>
      <c r="RU38" s="891"/>
      <c r="RV38" s="891"/>
      <c r="RW38" s="891"/>
      <c r="RX38" s="891"/>
      <c r="RY38" s="891"/>
      <c r="RZ38" s="891"/>
      <c r="SA38" s="891"/>
      <c r="SB38" s="891"/>
      <c r="SC38" s="891"/>
      <c r="SD38" s="891"/>
      <c r="SE38" s="891"/>
      <c r="SF38" s="891"/>
      <c r="SG38" s="891"/>
      <c r="SH38" s="891"/>
      <c r="SI38" s="891"/>
      <c r="SJ38" s="891"/>
      <c r="SK38" s="891"/>
      <c r="SL38" s="891"/>
      <c r="SM38" s="891"/>
      <c r="SN38" s="891"/>
      <c r="SO38" s="891"/>
      <c r="SP38" s="891"/>
      <c r="SQ38" s="891"/>
      <c r="SR38" s="891"/>
      <c r="SS38" s="891"/>
      <c r="ST38" s="891"/>
      <c r="SU38" s="891"/>
      <c r="SV38" s="891"/>
      <c r="SW38" s="891"/>
      <c r="SX38" s="891"/>
      <c r="SY38" s="891"/>
      <c r="SZ38" s="891"/>
      <c r="TA38" s="891"/>
      <c r="TB38" s="891"/>
      <c r="TC38" s="891"/>
      <c r="TD38" s="891"/>
      <c r="TE38" s="891"/>
      <c r="TF38" s="891"/>
      <c r="TG38" s="891"/>
      <c r="TH38" s="891"/>
      <c r="TI38" s="891"/>
      <c r="TJ38" s="891"/>
      <c r="TK38" s="891"/>
      <c r="TL38" s="891"/>
      <c r="TM38" s="891"/>
      <c r="TN38" s="891"/>
      <c r="TO38" s="891"/>
      <c r="TP38" s="891"/>
      <c r="TQ38" s="891"/>
      <c r="TR38" s="891"/>
      <c r="TS38" s="891"/>
      <c r="TT38" s="891"/>
      <c r="TU38" s="891"/>
      <c r="TV38" s="891"/>
      <c r="TW38" s="891"/>
      <c r="TX38" s="891"/>
      <c r="TY38" s="891"/>
      <c r="TZ38" s="891"/>
      <c r="UA38" s="891"/>
      <c r="UB38" s="891"/>
      <c r="UC38" s="891"/>
      <c r="UD38" s="891"/>
      <c r="UE38" s="891"/>
      <c r="UF38" s="891"/>
      <c r="UG38" s="891"/>
      <c r="UH38" s="891"/>
      <c r="UI38" s="891"/>
      <c r="UJ38" s="891"/>
      <c r="UK38" s="891"/>
      <c r="UL38" s="891"/>
      <c r="UM38" s="891"/>
      <c r="UN38" s="891"/>
      <c r="UO38" s="891"/>
      <c r="UP38" s="891"/>
      <c r="UQ38" s="891"/>
      <c r="UR38" s="891"/>
      <c r="US38" s="891"/>
      <c r="UT38" s="891"/>
      <c r="UU38" s="891"/>
      <c r="UV38" s="891"/>
      <c r="UW38" s="891"/>
      <c r="UX38" s="891"/>
      <c r="UY38" s="891"/>
      <c r="UZ38" s="891"/>
      <c r="VA38" s="891"/>
      <c r="VB38" s="891"/>
      <c r="VC38" s="891"/>
      <c r="VD38" s="891"/>
      <c r="VE38" s="891"/>
      <c r="VF38" s="891"/>
      <c r="VG38" s="891"/>
      <c r="VH38" s="891"/>
      <c r="VI38" s="891"/>
      <c r="VJ38" s="891"/>
      <c r="VK38" s="891"/>
      <c r="VL38" s="891"/>
      <c r="VM38" s="891"/>
      <c r="VN38" s="891"/>
      <c r="VO38" s="891"/>
      <c r="VP38" s="891"/>
      <c r="VQ38" s="891"/>
      <c r="VR38" s="891"/>
      <c r="VS38" s="891"/>
      <c r="VT38" s="891"/>
      <c r="VU38" s="891"/>
      <c r="VV38" s="891"/>
      <c r="VW38" s="891"/>
      <c r="VX38" s="891"/>
      <c r="VY38" s="891"/>
      <c r="VZ38" s="891"/>
      <c r="WA38" s="891"/>
      <c r="WB38" s="891"/>
      <c r="WC38" s="891"/>
      <c r="WD38" s="891"/>
      <c r="WE38" s="891"/>
      <c r="WF38" s="891"/>
      <c r="WG38" s="891"/>
      <c r="WH38" s="891"/>
      <c r="WI38" s="891"/>
      <c r="WJ38" s="891"/>
      <c r="WK38" s="891"/>
      <c r="WL38" s="891"/>
      <c r="WM38" s="891"/>
      <c r="WN38" s="891"/>
      <c r="WO38" s="891"/>
      <c r="WP38" s="891"/>
      <c r="WQ38" s="891"/>
      <c r="WR38" s="891"/>
      <c r="WS38" s="891"/>
      <c r="WT38" s="891"/>
      <c r="WU38" s="891"/>
      <c r="WV38" s="891"/>
      <c r="WW38" s="891"/>
      <c r="WX38" s="891"/>
      <c r="WY38" s="891"/>
      <c r="WZ38" s="891"/>
      <c r="XA38" s="891"/>
      <c r="XB38" s="891"/>
      <c r="XC38" s="891"/>
      <c r="XD38" s="891"/>
      <c r="XE38" s="891"/>
      <c r="XF38" s="891"/>
      <c r="XG38" s="891"/>
      <c r="XH38" s="891"/>
      <c r="XI38" s="891"/>
      <c r="XJ38" s="891"/>
      <c r="XK38" s="891"/>
      <c r="XL38" s="891"/>
      <c r="XM38" s="891"/>
      <c r="XN38" s="891"/>
      <c r="XO38" s="891"/>
      <c r="XP38" s="891"/>
      <c r="XQ38" s="891"/>
      <c r="XR38" s="891"/>
      <c r="XS38" s="891"/>
      <c r="XT38" s="891"/>
      <c r="XU38" s="891"/>
      <c r="XV38" s="891"/>
      <c r="XW38" s="891"/>
      <c r="XX38" s="891"/>
      <c r="XY38" s="891"/>
      <c r="XZ38" s="891"/>
      <c r="YA38" s="891"/>
      <c r="YB38" s="891"/>
      <c r="YC38" s="891"/>
      <c r="YD38" s="891"/>
      <c r="YE38" s="891"/>
      <c r="YF38" s="891"/>
      <c r="YG38" s="891"/>
      <c r="YH38" s="891"/>
      <c r="YI38" s="891"/>
      <c r="YJ38" s="891"/>
      <c r="YK38" s="891"/>
      <c r="YL38" s="891"/>
      <c r="YM38" s="891"/>
      <c r="YN38" s="891"/>
      <c r="YO38" s="891"/>
      <c r="YP38" s="891"/>
      <c r="YQ38" s="891"/>
      <c r="YR38" s="891"/>
      <c r="YS38" s="891"/>
      <c r="YT38" s="891"/>
      <c r="YU38" s="891"/>
      <c r="YV38" s="891"/>
      <c r="YW38" s="891"/>
      <c r="YX38" s="891"/>
      <c r="YY38" s="891"/>
      <c r="YZ38" s="891"/>
      <c r="ZA38" s="891"/>
      <c r="ZB38" s="891"/>
      <c r="ZC38" s="891"/>
      <c r="ZD38" s="891"/>
      <c r="ZE38" s="891"/>
      <c r="ZF38" s="891"/>
      <c r="ZG38" s="891"/>
      <c r="ZH38" s="891"/>
      <c r="ZI38" s="891"/>
      <c r="ZJ38" s="891"/>
      <c r="ZK38" s="891"/>
      <c r="ZL38" s="891"/>
      <c r="ZM38" s="891"/>
      <c r="ZN38" s="891"/>
      <c r="ZO38" s="891"/>
      <c r="ZP38" s="891"/>
      <c r="ZQ38" s="891"/>
      <c r="ZR38" s="891"/>
      <c r="ZS38" s="891"/>
      <c r="ZT38" s="891"/>
      <c r="ZU38" s="891"/>
      <c r="ZV38" s="891"/>
      <c r="ZW38" s="891"/>
      <c r="ZX38" s="891"/>
      <c r="ZY38" s="891"/>
      <c r="ZZ38" s="891"/>
      <c r="AAA38" s="891"/>
      <c r="AAB38" s="891"/>
      <c r="AAC38" s="891"/>
      <c r="AAD38" s="891"/>
      <c r="AAE38" s="891"/>
      <c r="AAF38" s="891"/>
      <c r="AAG38" s="891"/>
      <c r="AAH38" s="891"/>
      <c r="AAI38" s="891"/>
      <c r="AAJ38" s="891"/>
      <c r="AAK38" s="891"/>
      <c r="AAL38" s="891"/>
      <c r="AAM38" s="891"/>
      <c r="AAN38" s="891"/>
      <c r="AAO38" s="891"/>
      <c r="AAP38" s="891"/>
      <c r="AAQ38" s="891"/>
      <c r="AAR38" s="891"/>
      <c r="AAS38" s="891"/>
      <c r="AAT38" s="891"/>
      <c r="AAU38" s="891"/>
      <c r="AAV38" s="891"/>
      <c r="AAW38" s="891"/>
      <c r="AAX38" s="891"/>
      <c r="AAY38" s="891"/>
      <c r="AAZ38" s="891"/>
      <c r="ABA38" s="891"/>
      <c r="ABB38" s="891"/>
      <c r="ABC38" s="891"/>
      <c r="ABD38" s="891"/>
      <c r="ABE38" s="891"/>
      <c r="ABF38" s="891"/>
      <c r="ABG38" s="891"/>
      <c r="ABH38" s="891"/>
      <c r="ABI38" s="891"/>
      <c r="ABJ38" s="891"/>
      <c r="ABK38" s="891"/>
      <c r="ABL38" s="891"/>
      <c r="ABM38" s="891"/>
      <c r="ABN38" s="891"/>
      <c r="ABO38" s="891"/>
      <c r="ABP38" s="891"/>
      <c r="ABQ38" s="891"/>
      <c r="ABR38" s="891"/>
      <c r="ABS38" s="891"/>
      <c r="ABT38" s="891"/>
      <c r="ABU38" s="891"/>
      <c r="ABV38" s="891"/>
      <c r="ABW38" s="891"/>
      <c r="ABX38" s="891"/>
      <c r="ABY38" s="891"/>
      <c r="ABZ38" s="891"/>
      <c r="ACA38" s="891"/>
      <c r="ACB38" s="891"/>
      <c r="ACC38" s="891"/>
      <c r="ACD38" s="891"/>
      <c r="ACE38" s="891"/>
      <c r="ACF38" s="891"/>
      <c r="ACG38" s="891"/>
      <c r="ACH38" s="891"/>
      <c r="ACI38" s="891"/>
      <c r="ACJ38" s="891"/>
      <c r="ACK38" s="891"/>
      <c r="ACL38" s="891"/>
      <c r="ACM38" s="891"/>
      <c r="ACN38" s="891"/>
      <c r="ACO38" s="891"/>
      <c r="ACP38" s="891"/>
      <c r="ACQ38" s="891"/>
      <c r="ACR38" s="891"/>
      <c r="ACS38" s="891"/>
      <c r="ACT38" s="891"/>
      <c r="ACU38" s="891"/>
      <c r="ACV38" s="891"/>
      <c r="ACW38" s="891"/>
      <c r="ACX38" s="891"/>
      <c r="ACY38" s="891"/>
      <c r="ACZ38" s="891"/>
      <c r="ADA38" s="891"/>
      <c r="ADB38" s="891"/>
      <c r="ADC38" s="891"/>
      <c r="ADD38" s="891"/>
      <c r="ADE38" s="891"/>
      <c r="ADF38" s="891"/>
      <c r="ADG38" s="891"/>
      <c r="ADH38" s="891"/>
      <c r="ADI38" s="891"/>
      <c r="ADJ38" s="891"/>
      <c r="ADK38" s="891"/>
      <c r="ADL38" s="891"/>
      <c r="ADM38" s="891"/>
      <c r="ADN38" s="891"/>
      <c r="ADO38" s="891"/>
      <c r="ADP38" s="891"/>
      <c r="ADQ38" s="891"/>
      <c r="ADR38" s="891"/>
      <c r="ADS38" s="891"/>
      <c r="ADT38" s="891"/>
      <c r="ADU38" s="891"/>
      <c r="ADV38" s="891"/>
      <c r="ADW38" s="891"/>
      <c r="ADX38" s="891"/>
      <c r="ADY38" s="891"/>
      <c r="ADZ38" s="891"/>
      <c r="AEA38" s="891"/>
      <c r="AEB38" s="891"/>
    </row>
    <row r="39" spans="1:808" s="1335" customFormat="1" ht="77.45" customHeight="1" thickTop="1" thickBot="1">
      <c r="A39" s="3067"/>
      <c r="B39" s="3080" t="s">
        <v>137</v>
      </c>
      <c r="C39" s="1245" t="s">
        <v>613</v>
      </c>
      <c r="D39" s="1336" t="s">
        <v>227</v>
      </c>
      <c r="E39" s="1245" t="s">
        <v>139</v>
      </c>
      <c r="F39" s="1245" t="s">
        <v>101</v>
      </c>
      <c r="G39" s="1337">
        <f>+'[5]FIS-24'!$M$16</f>
        <v>8000000000</v>
      </c>
      <c r="H39" s="1338"/>
      <c r="I39" s="1338">
        <v>13333333333.333324</v>
      </c>
      <c r="J39" s="1339"/>
      <c r="K39" s="1245" t="s">
        <v>140</v>
      </c>
      <c r="L39" s="1227">
        <v>666666666.66666663</v>
      </c>
      <c r="M39" s="1231">
        <v>492100516</v>
      </c>
      <c r="N39" s="1229">
        <f t="shared" si="15"/>
        <v>0.73815077400000007</v>
      </c>
      <c r="O39" s="1227">
        <v>666666666.66666663</v>
      </c>
      <c r="P39" s="1231">
        <v>384766215</v>
      </c>
      <c r="Q39" s="1229">
        <f t="shared" si="1"/>
        <v>0.57714932250000006</v>
      </c>
      <c r="R39" s="1227">
        <v>666666666.66666663</v>
      </c>
      <c r="S39" s="1231">
        <v>313199763</v>
      </c>
      <c r="T39" s="1229">
        <f t="shared" si="0"/>
        <v>0.4697996445</v>
      </c>
      <c r="U39" s="1227">
        <v>1322222222</v>
      </c>
      <c r="V39" s="1231">
        <v>0</v>
      </c>
      <c r="W39" s="1229">
        <f t="shared" si="2"/>
        <v>0</v>
      </c>
      <c r="X39" s="1227">
        <v>1322222222</v>
      </c>
      <c r="Y39" s="1231"/>
      <c r="Z39" s="1229">
        <v>0</v>
      </c>
      <c r="AA39" s="1227">
        <v>1322222222</v>
      </c>
      <c r="AB39" s="1231">
        <v>561352705</v>
      </c>
      <c r="AC39" s="1229">
        <f t="shared" si="4"/>
        <v>0.42455246603773988</v>
      </c>
      <c r="AD39" s="1232">
        <f t="shared" si="5"/>
        <v>1751419199</v>
      </c>
      <c r="AE39" s="1229">
        <f t="shared" si="6"/>
        <v>0.21892739987500001</v>
      </c>
      <c r="AF39" s="1227">
        <v>1322222222</v>
      </c>
      <c r="AG39" s="1231">
        <v>1271229858</v>
      </c>
      <c r="AH39" s="1229">
        <f t="shared" si="7"/>
        <v>0.9614343465481402</v>
      </c>
      <c r="AI39" s="1227">
        <v>163555555.75999999</v>
      </c>
      <c r="AJ39" s="1231">
        <v>755086444</v>
      </c>
      <c r="AK39" s="1229">
        <f t="shared" si="8"/>
        <v>4.6166970023813025</v>
      </c>
      <c r="AL39" s="1227">
        <v>163555555.75999999</v>
      </c>
      <c r="AM39" s="1231">
        <v>751701406</v>
      </c>
      <c r="AN39" s="1229">
        <f t="shared" si="9"/>
        <v>4.5960004385484776</v>
      </c>
      <c r="AO39" s="1227">
        <v>163555555.75999999</v>
      </c>
      <c r="AP39" s="1231">
        <v>661220845</v>
      </c>
      <c r="AQ39" s="1229">
        <f t="shared" si="10"/>
        <v>4.0427904874736864</v>
      </c>
      <c r="AR39" s="1227">
        <v>110222222.36</v>
      </c>
      <c r="AS39" s="1231">
        <v>855586099</v>
      </c>
      <c r="AT39" s="1229">
        <f t="shared" si="11"/>
        <v>7.7623738723534847</v>
      </c>
      <c r="AU39" s="1227">
        <v>110222222.36</v>
      </c>
      <c r="AV39" s="1231">
        <v>779193861</v>
      </c>
      <c r="AW39" s="1229">
        <f t="shared" si="12"/>
        <v>7.0692991333004729</v>
      </c>
      <c r="AX39" s="1232">
        <f t="shared" si="13"/>
        <v>6825437712</v>
      </c>
      <c r="AY39" s="1229">
        <f t="shared" si="14"/>
        <v>0.85317971400000003</v>
      </c>
      <c r="AZ39" s="891"/>
      <c r="BA39" s="891"/>
      <c r="BB39" s="891"/>
      <c r="BC39" s="891"/>
      <c r="BD39" s="891"/>
      <c r="BE39" s="891"/>
      <c r="BF39" s="891"/>
      <c r="BG39" s="891"/>
      <c r="BH39" s="891"/>
      <c r="BI39" s="891"/>
      <c r="BJ39" s="891"/>
      <c r="BK39" s="891"/>
      <c r="BL39" s="891"/>
      <c r="BM39" s="891"/>
      <c r="BN39" s="891"/>
      <c r="BO39" s="891"/>
      <c r="BP39" s="891"/>
      <c r="BQ39" s="891"/>
      <c r="BR39" s="891"/>
      <c r="BS39" s="891"/>
      <c r="BT39" s="891"/>
      <c r="BU39" s="891"/>
      <c r="BV39" s="891"/>
      <c r="BW39" s="891"/>
      <c r="BX39" s="891"/>
      <c r="BY39" s="891"/>
      <c r="BZ39" s="891"/>
      <c r="CA39" s="891"/>
      <c r="CB39" s="891"/>
      <c r="CC39" s="891"/>
      <c r="CD39" s="891"/>
      <c r="CE39" s="891"/>
      <c r="CF39" s="891"/>
      <c r="CG39" s="891"/>
      <c r="CH39" s="891"/>
      <c r="CI39" s="891"/>
      <c r="CJ39" s="891"/>
      <c r="CK39" s="891"/>
      <c r="CL39" s="891"/>
      <c r="CM39" s="891"/>
      <c r="CN39" s="891"/>
      <c r="CO39" s="891"/>
      <c r="CP39" s="891"/>
      <c r="CQ39" s="891"/>
      <c r="CR39" s="891"/>
      <c r="CS39" s="891"/>
      <c r="CT39" s="891"/>
      <c r="CU39" s="891"/>
      <c r="CV39" s="891"/>
      <c r="CW39" s="891"/>
      <c r="CX39" s="891"/>
      <c r="CY39" s="891"/>
      <c r="CZ39" s="891"/>
      <c r="DA39" s="891"/>
      <c r="DB39" s="891"/>
      <c r="DC39" s="891"/>
      <c r="DD39" s="891"/>
      <c r="DE39" s="891"/>
      <c r="DF39" s="891"/>
      <c r="DG39" s="891"/>
      <c r="DH39" s="891"/>
      <c r="DI39" s="891"/>
      <c r="DJ39" s="891"/>
      <c r="DK39" s="891"/>
      <c r="DL39" s="891"/>
      <c r="DM39" s="891"/>
      <c r="DN39" s="891"/>
      <c r="DO39" s="891"/>
      <c r="DP39" s="891"/>
      <c r="DQ39" s="891"/>
      <c r="DR39" s="891"/>
      <c r="DS39" s="891"/>
      <c r="DT39" s="891"/>
      <c r="DU39" s="891"/>
      <c r="DV39" s="891"/>
      <c r="DW39" s="891"/>
      <c r="DX39" s="891"/>
      <c r="DY39" s="891"/>
      <c r="DZ39" s="891"/>
      <c r="EA39" s="891"/>
      <c r="EB39" s="891"/>
      <c r="EC39" s="891"/>
      <c r="ED39" s="891"/>
      <c r="EE39" s="891"/>
      <c r="EF39" s="891"/>
      <c r="EG39" s="891"/>
      <c r="EH39" s="891"/>
      <c r="EI39" s="891"/>
      <c r="EJ39" s="891"/>
      <c r="EK39" s="891"/>
      <c r="EL39" s="891"/>
      <c r="EM39" s="891"/>
      <c r="EN39" s="891"/>
      <c r="EO39" s="891"/>
      <c r="EP39" s="891"/>
      <c r="EQ39" s="891"/>
      <c r="ER39" s="891"/>
      <c r="ES39" s="891"/>
      <c r="ET39" s="891"/>
      <c r="EU39" s="891"/>
      <c r="EV39" s="891"/>
      <c r="EW39" s="891"/>
      <c r="EX39" s="891"/>
      <c r="EY39" s="891"/>
      <c r="EZ39" s="891"/>
      <c r="FA39" s="891"/>
      <c r="FB39" s="891"/>
      <c r="FC39" s="891"/>
      <c r="FD39" s="891"/>
      <c r="FE39" s="891"/>
      <c r="FF39" s="891"/>
      <c r="FG39" s="891"/>
      <c r="FH39" s="891"/>
      <c r="FI39" s="891"/>
      <c r="FJ39" s="891"/>
      <c r="FK39" s="891"/>
      <c r="FL39" s="891"/>
      <c r="FM39" s="891"/>
      <c r="FN39" s="891"/>
      <c r="FO39" s="891"/>
      <c r="FP39" s="891"/>
      <c r="FQ39" s="891"/>
      <c r="FR39" s="891"/>
      <c r="FS39" s="891"/>
      <c r="FT39" s="891"/>
      <c r="FU39" s="891"/>
      <c r="FV39" s="891"/>
      <c r="FW39" s="891"/>
      <c r="FX39" s="891"/>
      <c r="FY39" s="891"/>
      <c r="FZ39" s="891"/>
      <c r="GA39" s="891"/>
      <c r="GB39" s="891"/>
      <c r="GC39" s="891"/>
      <c r="GD39" s="891"/>
      <c r="GE39" s="891"/>
      <c r="GF39" s="891"/>
      <c r="GG39" s="891"/>
      <c r="GH39" s="891"/>
      <c r="GI39" s="891"/>
      <c r="GJ39" s="891"/>
      <c r="GK39" s="891"/>
      <c r="GL39" s="891"/>
      <c r="GM39" s="891"/>
      <c r="GN39" s="891"/>
      <c r="GO39" s="891"/>
      <c r="GP39" s="891"/>
      <c r="GQ39" s="891"/>
      <c r="GR39" s="891"/>
      <c r="GS39" s="891"/>
      <c r="GT39" s="891"/>
      <c r="GU39" s="891"/>
      <c r="GV39" s="891"/>
      <c r="GW39" s="891"/>
      <c r="GX39" s="891"/>
      <c r="GY39" s="891"/>
      <c r="GZ39" s="891"/>
      <c r="HA39" s="891"/>
      <c r="HB39" s="891"/>
      <c r="HC39" s="891"/>
      <c r="HD39" s="891"/>
      <c r="HE39" s="891"/>
      <c r="HF39" s="891"/>
      <c r="HG39" s="891"/>
      <c r="HH39" s="891"/>
      <c r="HI39" s="891"/>
      <c r="HJ39" s="891"/>
      <c r="HK39" s="891"/>
      <c r="HL39" s="891"/>
      <c r="HM39" s="891"/>
      <c r="HN39" s="891"/>
      <c r="HO39" s="891"/>
      <c r="HP39" s="891"/>
      <c r="HQ39" s="891"/>
      <c r="HR39" s="891"/>
      <c r="HS39" s="891"/>
      <c r="HT39" s="891"/>
      <c r="HU39" s="891"/>
      <c r="HV39" s="891"/>
      <c r="HW39" s="891"/>
      <c r="HX39" s="891"/>
      <c r="HY39" s="891"/>
      <c r="HZ39" s="891"/>
      <c r="IA39" s="891"/>
      <c r="IB39" s="891"/>
      <c r="IC39" s="891"/>
      <c r="ID39" s="891"/>
      <c r="IE39" s="891"/>
      <c r="IF39" s="891"/>
      <c r="IG39" s="891"/>
      <c r="IH39" s="891"/>
      <c r="II39" s="891"/>
      <c r="IJ39" s="891"/>
      <c r="IK39" s="891"/>
      <c r="IL39" s="891"/>
      <c r="IM39" s="891"/>
      <c r="IN39" s="891"/>
      <c r="IO39" s="891"/>
      <c r="IP39" s="891"/>
      <c r="IQ39" s="891"/>
      <c r="IR39" s="891"/>
      <c r="IS39" s="891"/>
      <c r="IT39" s="891"/>
      <c r="IU39" s="891"/>
      <c r="IV39" s="891"/>
      <c r="IW39" s="891"/>
      <c r="IX39" s="891"/>
      <c r="IY39" s="891"/>
      <c r="IZ39" s="891"/>
      <c r="JA39" s="891"/>
      <c r="JB39" s="891"/>
      <c r="JC39" s="891"/>
      <c r="JD39" s="891"/>
      <c r="JE39" s="891"/>
      <c r="JF39" s="891"/>
      <c r="JG39" s="891"/>
      <c r="JH39" s="891"/>
      <c r="JI39" s="891"/>
      <c r="JJ39" s="891"/>
      <c r="JK39" s="891"/>
      <c r="JL39" s="891"/>
      <c r="JM39" s="891"/>
      <c r="JN39" s="891"/>
      <c r="JO39" s="891"/>
      <c r="JP39" s="891"/>
      <c r="JQ39" s="891"/>
      <c r="JR39" s="891"/>
      <c r="JS39" s="891"/>
      <c r="JT39" s="891"/>
      <c r="JU39" s="891"/>
      <c r="JV39" s="891"/>
      <c r="JW39" s="891"/>
      <c r="JX39" s="891"/>
      <c r="JY39" s="891"/>
      <c r="JZ39" s="891"/>
      <c r="KA39" s="891"/>
      <c r="KB39" s="891"/>
      <c r="KC39" s="891"/>
      <c r="KD39" s="891"/>
      <c r="KE39" s="891"/>
      <c r="KF39" s="891"/>
      <c r="KG39" s="891"/>
      <c r="KH39" s="891"/>
      <c r="KI39" s="891"/>
      <c r="KJ39" s="891"/>
      <c r="KK39" s="891"/>
      <c r="KL39" s="891"/>
      <c r="KM39" s="891"/>
      <c r="KN39" s="891"/>
      <c r="KO39" s="891"/>
      <c r="KP39" s="891"/>
      <c r="KQ39" s="891"/>
      <c r="KR39" s="891"/>
      <c r="KS39" s="891"/>
      <c r="KT39" s="891"/>
      <c r="KU39" s="891"/>
      <c r="KV39" s="891"/>
      <c r="KW39" s="891"/>
      <c r="KX39" s="891"/>
      <c r="KY39" s="891"/>
      <c r="KZ39" s="891"/>
      <c r="LA39" s="891"/>
      <c r="LB39" s="891"/>
      <c r="LC39" s="891"/>
      <c r="LD39" s="891"/>
      <c r="LE39" s="891"/>
      <c r="LF39" s="891"/>
      <c r="LG39" s="891"/>
      <c r="LH39" s="891"/>
      <c r="LI39" s="891"/>
      <c r="LJ39" s="891"/>
      <c r="LK39" s="891"/>
      <c r="LL39" s="891"/>
      <c r="LM39" s="891"/>
      <c r="LN39" s="891"/>
      <c r="LO39" s="891"/>
      <c r="LP39" s="891"/>
      <c r="LQ39" s="891"/>
      <c r="LR39" s="891"/>
      <c r="LS39" s="891"/>
      <c r="LT39" s="891"/>
      <c r="LU39" s="891"/>
      <c r="LV39" s="891"/>
      <c r="LW39" s="891"/>
      <c r="LX39" s="891"/>
      <c r="LY39" s="891"/>
      <c r="LZ39" s="891"/>
      <c r="MA39" s="891"/>
      <c r="MB39" s="891"/>
      <c r="MC39" s="891"/>
      <c r="MD39" s="891"/>
      <c r="ME39" s="891"/>
      <c r="MF39" s="891"/>
      <c r="MG39" s="891"/>
      <c r="MH39" s="891"/>
      <c r="MI39" s="891"/>
      <c r="MJ39" s="891"/>
      <c r="MK39" s="891"/>
      <c r="ML39" s="891"/>
      <c r="MM39" s="891"/>
      <c r="MN39" s="891"/>
      <c r="MO39" s="891"/>
      <c r="MP39" s="891"/>
      <c r="MQ39" s="891"/>
      <c r="MR39" s="891"/>
      <c r="MS39" s="891"/>
      <c r="MT39" s="891"/>
      <c r="MU39" s="891"/>
      <c r="MV39" s="891"/>
      <c r="MW39" s="891"/>
      <c r="MX39" s="891"/>
      <c r="MY39" s="891"/>
      <c r="MZ39" s="891"/>
      <c r="NA39" s="891"/>
      <c r="NB39" s="891"/>
      <c r="NC39" s="891"/>
      <c r="ND39" s="891"/>
      <c r="NE39" s="891"/>
      <c r="NF39" s="891"/>
      <c r="NG39" s="891"/>
      <c r="NH39" s="891"/>
      <c r="NI39" s="891"/>
      <c r="NJ39" s="891"/>
      <c r="NK39" s="891"/>
      <c r="NL39" s="891"/>
      <c r="NM39" s="891"/>
      <c r="NN39" s="891"/>
      <c r="NO39" s="891"/>
      <c r="NP39" s="891"/>
      <c r="NQ39" s="891"/>
      <c r="NR39" s="891"/>
      <c r="NS39" s="891"/>
      <c r="NT39" s="891"/>
      <c r="NU39" s="891"/>
      <c r="NV39" s="891"/>
      <c r="NW39" s="891"/>
      <c r="NX39" s="891"/>
      <c r="NY39" s="891"/>
      <c r="NZ39" s="891"/>
      <c r="OA39" s="891"/>
      <c r="OB39" s="891"/>
      <c r="OC39" s="891"/>
      <c r="OD39" s="891"/>
      <c r="OE39" s="891"/>
      <c r="OF39" s="891"/>
      <c r="OG39" s="891"/>
      <c r="OH39" s="891"/>
      <c r="OI39" s="891"/>
      <c r="OJ39" s="891"/>
      <c r="OK39" s="891"/>
      <c r="OL39" s="891"/>
      <c r="OM39" s="891"/>
      <c r="ON39" s="891"/>
      <c r="OO39" s="891"/>
      <c r="OP39" s="891"/>
      <c r="OQ39" s="891"/>
      <c r="OR39" s="891"/>
      <c r="OS39" s="891"/>
      <c r="OT39" s="891"/>
      <c r="OU39" s="891"/>
      <c r="OV39" s="891"/>
      <c r="OW39" s="891"/>
      <c r="OX39" s="891"/>
      <c r="OY39" s="891"/>
      <c r="OZ39" s="891"/>
      <c r="PA39" s="891"/>
      <c r="PB39" s="891"/>
      <c r="PC39" s="891"/>
      <c r="PD39" s="891"/>
      <c r="PE39" s="891"/>
      <c r="PF39" s="891"/>
      <c r="PG39" s="891"/>
      <c r="PH39" s="891"/>
      <c r="PI39" s="891"/>
      <c r="PJ39" s="891"/>
      <c r="PK39" s="891"/>
      <c r="PL39" s="891"/>
      <c r="PM39" s="891"/>
      <c r="PN39" s="891"/>
      <c r="PO39" s="891"/>
      <c r="PP39" s="891"/>
      <c r="PQ39" s="891"/>
      <c r="PR39" s="891"/>
      <c r="PS39" s="891"/>
      <c r="PT39" s="891"/>
      <c r="PU39" s="891"/>
      <c r="PV39" s="891"/>
      <c r="PW39" s="891"/>
      <c r="PX39" s="891"/>
      <c r="PY39" s="891"/>
      <c r="PZ39" s="891"/>
      <c r="QA39" s="891"/>
      <c r="QB39" s="891"/>
      <c r="QC39" s="891"/>
      <c r="QD39" s="891"/>
      <c r="QE39" s="891"/>
      <c r="QF39" s="891"/>
      <c r="QG39" s="891"/>
      <c r="QH39" s="891"/>
      <c r="QI39" s="891"/>
      <c r="QJ39" s="891"/>
      <c r="QK39" s="891"/>
      <c r="QL39" s="891"/>
      <c r="QM39" s="891"/>
      <c r="QN39" s="891"/>
      <c r="QO39" s="891"/>
      <c r="QP39" s="891"/>
      <c r="QQ39" s="891"/>
      <c r="QR39" s="891"/>
      <c r="QS39" s="891"/>
      <c r="QT39" s="891"/>
      <c r="QU39" s="891"/>
      <c r="QV39" s="891"/>
      <c r="QW39" s="891"/>
      <c r="QX39" s="891"/>
      <c r="QY39" s="891"/>
      <c r="QZ39" s="891"/>
      <c r="RA39" s="891"/>
      <c r="RB39" s="891"/>
      <c r="RC39" s="891"/>
      <c r="RD39" s="891"/>
      <c r="RE39" s="891"/>
      <c r="RF39" s="891"/>
      <c r="RG39" s="891"/>
      <c r="RH39" s="891"/>
      <c r="RI39" s="891"/>
      <c r="RJ39" s="891"/>
      <c r="RK39" s="891"/>
      <c r="RL39" s="891"/>
      <c r="RM39" s="891"/>
      <c r="RN39" s="891"/>
      <c r="RO39" s="891"/>
      <c r="RP39" s="891"/>
      <c r="RQ39" s="891"/>
      <c r="RR39" s="891"/>
      <c r="RS39" s="891"/>
      <c r="RT39" s="891"/>
      <c r="RU39" s="891"/>
      <c r="RV39" s="891"/>
      <c r="RW39" s="891"/>
      <c r="RX39" s="891"/>
      <c r="RY39" s="891"/>
      <c r="RZ39" s="891"/>
      <c r="SA39" s="891"/>
      <c r="SB39" s="891"/>
      <c r="SC39" s="891"/>
      <c r="SD39" s="891"/>
      <c r="SE39" s="891"/>
      <c r="SF39" s="891"/>
      <c r="SG39" s="891"/>
      <c r="SH39" s="891"/>
      <c r="SI39" s="891"/>
      <c r="SJ39" s="891"/>
      <c r="SK39" s="891"/>
      <c r="SL39" s="891"/>
      <c r="SM39" s="891"/>
      <c r="SN39" s="891"/>
      <c r="SO39" s="891"/>
      <c r="SP39" s="891"/>
      <c r="SQ39" s="891"/>
      <c r="SR39" s="891"/>
      <c r="SS39" s="891"/>
      <c r="ST39" s="891"/>
      <c r="SU39" s="891"/>
      <c r="SV39" s="891"/>
      <c r="SW39" s="891"/>
      <c r="SX39" s="891"/>
      <c r="SY39" s="891"/>
      <c r="SZ39" s="891"/>
      <c r="TA39" s="891"/>
      <c r="TB39" s="891"/>
      <c r="TC39" s="891"/>
      <c r="TD39" s="891"/>
      <c r="TE39" s="891"/>
      <c r="TF39" s="891"/>
      <c r="TG39" s="891"/>
      <c r="TH39" s="891"/>
      <c r="TI39" s="891"/>
      <c r="TJ39" s="891"/>
      <c r="TK39" s="891"/>
      <c r="TL39" s="891"/>
      <c r="TM39" s="891"/>
      <c r="TN39" s="891"/>
      <c r="TO39" s="891"/>
      <c r="TP39" s="891"/>
      <c r="TQ39" s="891"/>
      <c r="TR39" s="891"/>
      <c r="TS39" s="891"/>
      <c r="TT39" s="891"/>
      <c r="TU39" s="891"/>
      <c r="TV39" s="891"/>
      <c r="TW39" s="891"/>
      <c r="TX39" s="891"/>
      <c r="TY39" s="891"/>
      <c r="TZ39" s="891"/>
      <c r="UA39" s="891"/>
      <c r="UB39" s="891"/>
      <c r="UC39" s="891"/>
      <c r="UD39" s="891"/>
      <c r="UE39" s="891"/>
      <c r="UF39" s="891"/>
      <c r="UG39" s="891"/>
      <c r="UH39" s="891"/>
      <c r="UI39" s="891"/>
      <c r="UJ39" s="891"/>
      <c r="UK39" s="891"/>
      <c r="UL39" s="891"/>
      <c r="UM39" s="891"/>
      <c r="UN39" s="891"/>
      <c r="UO39" s="891"/>
      <c r="UP39" s="891"/>
      <c r="UQ39" s="891"/>
      <c r="UR39" s="891"/>
      <c r="US39" s="891"/>
      <c r="UT39" s="891"/>
      <c r="UU39" s="891"/>
      <c r="UV39" s="891"/>
      <c r="UW39" s="891"/>
      <c r="UX39" s="891"/>
      <c r="UY39" s="891"/>
      <c r="UZ39" s="891"/>
      <c r="VA39" s="891"/>
      <c r="VB39" s="891"/>
      <c r="VC39" s="891"/>
      <c r="VD39" s="891"/>
      <c r="VE39" s="891"/>
      <c r="VF39" s="891"/>
      <c r="VG39" s="891"/>
      <c r="VH39" s="891"/>
      <c r="VI39" s="891"/>
      <c r="VJ39" s="891"/>
      <c r="VK39" s="891"/>
      <c r="VL39" s="891"/>
      <c r="VM39" s="891"/>
      <c r="VN39" s="891"/>
      <c r="VO39" s="891"/>
      <c r="VP39" s="891"/>
      <c r="VQ39" s="891"/>
      <c r="VR39" s="891"/>
      <c r="VS39" s="891"/>
      <c r="VT39" s="891"/>
      <c r="VU39" s="891"/>
      <c r="VV39" s="891"/>
      <c r="VW39" s="891"/>
      <c r="VX39" s="891"/>
      <c r="VY39" s="891"/>
      <c r="VZ39" s="891"/>
      <c r="WA39" s="891"/>
      <c r="WB39" s="891"/>
      <c r="WC39" s="891"/>
      <c r="WD39" s="891"/>
      <c r="WE39" s="891"/>
      <c r="WF39" s="891"/>
      <c r="WG39" s="891"/>
      <c r="WH39" s="891"/>
      <c r="WI39" s="891"/>
      <c r="WJ39" s="891"/>
      <c r="WK39" s="891"/>
      <c r="WL39" s="891"/>
      <c r="WM39" s="891"/>
      <c r="WN39" s="891"/>
      <c r="WO39" s="891"/>
      <c r="WP39" s="891"/>
      <c r="WQ39" s="891"/>
      <c r="WR39" s="891"/>
      <c r="WS39" s="891"/>
      <c r="WT39" s="891"/>
      <c r="WU39" s="891"/>
      <c r="WV39" s="891"/>
      <c r="WW39" s="891"/>
      <c r="WX39" s="891"/>
      <c r="WY39" s="891"/>
      <c r="WZ39" s="891"/>
      <c r="XA39" s="891"/>
      <c r="XB39" s="891"/>
      <c r="XC39" s="891"/>
      <c r="XD39" s="891"/>
      <c r="XE39" s="891"/>
      <c r="XF39" s="891"/>
      <c r="XG39" s="891"/>
      <c r="XH39" s="891"/>
      <c r="XI39" s="891"/>
      <c r="XJ39" s="891"/>
      <c r="XK39" s="891"/>
      <c r="XL39" s="891"/>
      <c r="XM39" s="891"/>
      <c r="XN39" s="891"/>
      <c r="XO39" s="891"/>
      <c r="XP39" s="891"/>
      <c r="XQ39" s="891"/>
      <c r="XR39" s="891"/>
      <c r="XS39" s="891"/>
      <c r="XT39" s="891"/>
      <c r="XU39" s="891"/>
      <c r="XV39" s="891"/>
      <c r="XW39" s="891"/>
      <c r="XX39" s="891"/>
      <c r="XY39" s="891"/>
      <c r="XZ39" s="891"/>
      <c r="YA39" s="891"/>
      <c r="YB39" s="891"/>
      <c r="YC39" s="891"/>
      <c r="YD39" s="891"/>
      <c r="YE39" s="891"/>
      <c r="YF39" s="891"/>
      <c r="YG39" s="891"/>
      <c r="YH39" s="891"/>
      <c r="YI39" s="891"/>
      <c r="YJ39" s="891"/>
      <c r="YK39" s="891"/>
      <c r="YL39" s="891"/>
      <c r="YM39" s="891"/>
      <c r="YN39" s="891"/>
      <c r="YO39" s="891"/>
      <c r="YP39" s="891"/>
      <c r="YQ39" s="891"/>
      <c r="YR39" s="891"/>
      <c r="YS39" s="891"/>
      <c r="YT39" s="891"/>
      <c r="YU39" s="891"/>
      <c r="YV39" s="891"/>
      <c r="YW39" s="891"/>
      <c r="YX39" s="891"/>
      <c r="YY39" s="891"/>
      <c r="YZ39" s="891"/>
      <c r="ZA39" s="891"/>
      <c r="ZB39" s="891"/>
      <c r="ZC39" s="891"/>
      <c r="ZD39" s="891"/>
      <c r="ZE39" s="891"/>
      <c r="ZF39" s="891"/>
      <c r="ZG39" s="891"/>
      <c r="ZH39" s="891"/>
      <c r="ZI39" s="891"/>
      <c r="ZJ39" s="891"/>
      <c r="ZK39" s="891"/>
      <c r="ZL39" s="891"/>
      <c r="ZM39" s="891"/>
      <c r="ZN39" s="891"/>
      <c r="ZO39" s="891"/>
      <c r="ZP39" s="891"/>
      <c r="ZQ39" s="891"/>
      <c r="ZR39" s="891"/>
      <c r="ZS39" s="891"/>
      <c r="ZT39" s="891"/>
      <c r="ZU39" s="891"/>
      <c r="ZV39" s="891"/>
      <c r="ZW39" s="891"/>
      <c r="ZX39" s="891"/>
      <c r="ZY39" s="891"/>
      <c r="ZZ39" s="891"/>
      <c r="AAA39" s="891"/>
      <c r="AAB39" s="891"/>
      <c r="AAC39" s="891"/>
      <c r="AAD39" s="891"/>
      <c r="AAE39" s="891"/>
      <c r="AAF39" s="891"/>
      <c r="AAG39" s="891"/>
      <c r="AAH39" s="891"/>
      <c r="AAI39" s="891"/>
      <c r="AAJ39" s="891"/>
      <c r="AAK39" s="891"/>
      <c r="AAL39" s="891"/>
      <c r="AAM39" s="891"/>
      <c r="AAN39" s="891"/>
      <c r="AAO39" s="891"/>
      <c r="AAP39" s="891"/>
      <c r="AAQ39" s="891"/>
      <c r="AAR39" s="891"/>
      <c r="AAS39" s="891"/>
      <c r="AAT39" s="891"/>
      <c r="AAU39" s="891"/>
      <c r="AAV39" s="891"/>
      <c r="AAW39" s="891"/>
      <c r="AAX39" s="891"/>
      <c r="AAY39" s="891"/>
      <c r="AAZ39" s="891"/>
      <c r="ABA39" s="891"/>
      <c r="ABB39" s="891"/>
      <c r="ABC39" s="891"/>
      <c r="ABD39" s="891"/>
      <c r="ABE39" s="891"/>
      <c r="ABF39" s="891"/>
      <c r="ABG39" s="891"/>
      <c r="ABH39" s="891"/>
      <c r="ABI39" s="891"/>
      <c r="ABJ39" s="891"/>
      <c r="ABK39" s="891"/>
      <c r="ABL39" s="891"/>
      <c r="ABM39" s="891"/>
      <c r="ABN39" s="891"/>
      <c r="ABO39" s="891"/>
      <c r="ABP39" s="891"/>
      <c r="ABQ39" s="891"/>
      <c r="ABR39" s="891"/>
      <c r="ABS39" s="891"/>
      <c r="ABT39" s="891"/>
      <c r="ABU39" s="891"/>
      <c r="ABV39" s="891"/>
      <c r="ABW39" s="891"/>
      <c r="ABX39" s="891"/>
      <c r="ABY39" s="891"/>
      <c r="ABZ39" s="891"/>
      <c r="ACA39" s="891"/>
      <c r="ACB39" s="891"/>
      <c r="ACC39" s="891"/>
      <c r="ACD39" s="891"/>
      <c r="ACE39" s="891"/>
      <c r="ACF39" s="891"/>
      <c r="ACG39" s="891"/>
      <c r="ACH39" s="891"/>
      <c r="ACI39" s="891"/>
      <c r="ACJ39" s="891"/>
      <c r="ACK39" s="891"/>
      <c r="ACL39" s="891"/>
      <c r="ACM39" s="891"/>
      <c r="ACN39" s="891"/>
      <c r="ACO39" s="891"/>
      <c r="ACP39" s="891"/>
      <c r="ACQ39" s="891"/>
      <c r="ACR39" s="891"/>
      <c r="ACS39" s="891"/>
      <c r="ACT39" s="891"/>
      <c r="ACU39" s="891"/>
      <c r="ACV39" s="891"/>
      <c r="ACW39" s="891"/>
      <c r="ACX39" s="891"/>
      <c r="ACY39" s="891"/>
      <c r="ACZ39" s="891"/>
      <c r="ADA39" s="891"/>
      <c r="ADB39" s="891"/>
      <c r="ADC39" s="891"/>
      <c r="ADD39" s="891"/>
      <c r="ADE39" s="891"/>
      <c r="ADF39" s="891"/>
      <c r="ADG39" s="891"/>
      <c r="ADH39" s="891"/>
      <c r="ADI39" s="891"/>
      <c r="ADJ39" s="891"/>
      <c r="ADK39" s="891"/>
      <c r="ADL39" s="891"/>
      <c r="ADM39" s="891"/>
      <c r="ADN39" s="891"/>
      <c r="ADO39" s="891"/>
      <c r="ADP39" s="891"/>
      <c r="ADQ39" s="891"/>
      <c r="ADR39" s="891"/>
      <c r="ADS39" s="891"/>
      <c r="ADT39" s="891"/>
      <c r="ADU39" s="891"/>
      <c r="ADV39" s="891"/>
      <c r="ADW39" s="891"/>
      <c r="ADX39" s="891"/>
      <c r="ADY39" s="891"/>
      <c r="ADZ39" s="891"/>
      <c r="AEA39" s="891"/>
      <c r="AEB39" s="891"/>
    </row>
    <row r="40" spans="1:808" s="1335" customFormat="1" ht="77.45" customHeight="1" thickTop="1" thickBot="1">
      <c r="A40" s="3067"/>
      <c r="B40" s="3080"/>
      <c r="C40" s="1234" t="s">
        <v>614</v>
      </c>
      <c r="D40" s="1333" t="s">
        <v>230</v>
      </c>
      <c r="E40" s="1234" t="s">
        <v>231</v>
      </c>
      <c r="F40" s="1234" t="s">
        <v>101</v>
      </c>
      <c r="G40" s="1340">
        <v>535694070</v>
      </c>
      <c r="H40" s="1341"/>
      <c r="I40" s="1341">
        <v>535694070</v>
      </c>
      <c r="J40" s="1342"/>
      <c r="K40" s="1234" t="s">
        <v>140</v>
      </c>
      <c r="L40" s="1264">
        <v>35712938</v>
      </c>
      <c r="M40" s="1265">
        <v>177504058</v>
      </c>
      <c r="N40" s="1229">
        <f t="shared" si="15"/>
        <v>4.9703011832854527</v>
      </c>
      <c r="O40" s="1264">
        <v>35712938</v>
      </c>
      <c r="P40" s="1265">
        <v>180817400</v>
      </c>
      <c r="Q40" s="1229">
        <f t="shared" si="1"/>
        <v>5.0630782603212312</v>
      </c>
      <c r="R40" s="1264">
        <v>35712938</v>
      </c>
      <c r="S40" s="1265">
        <v>118698008</v>
      </c>
      <c r="T40" s="1229">
        <f t="shared" si="0"/>
        <v>3.3236696459977613</v>
      </c>
      <c r="U40" s="1264">
        <v>53569407</v>
      </c>
      <c r="V40" s="1265">
        <v>24131721</v>
      </c>
      <c r="W40" s="1229">
        <f t="shared" si="2"/>
        <v>0.45047579115445502</v>
      </c>
      <c r="X40" s="1264">
        <v>53569407</v>
      </c>
      <c r="Y40" s="1265">
        <v>457761402</v>
      </c>
      <c r="Z40" s="1229">
        <f t="shared" si="3"/>
        <v>8.5452019657413789</v>
      </c>
      <c r="AA40" s="1264">
        <v>53569407</v>
      </c>
      <c r="AB40" s="1265">
        <v>278056392</v>
      </c>
      <c r="AC40" s="1229">
        <f t="shared" si="4"/>
        <v>5.1905818557969106</v>
      </c>
      <c r="AD40" s="1232">
        <f t="shared" si="5"/>
        <v>1236968981</v>
      </c>
      <c r="AE40" s="1229">
        <f t="shared" si="6"/>
        <v>2.3090959005762373</v>
      </c>
      <c r="AF40" s="1264">
        <v>53569407</v>
      </c>
      <c r="AG40" s="1265">
        <v>293176763</v>
      </c>
      <c r="AH40" s="1229">
        <f t="shared" si="7"/>
        <v>5.4728394324021545</v>
      </c>
      <c r="AI40" s="1264">
        <v>53569407</v>
      </c>
      <c r="AJ40" s="1265">
        <v>262118893</v>
      </c>
      <c r="AK40" s="1229">
        <f t="shared" si="8"/>
        <v>4.8930706475806236</v>
      </c>
      <c r="AL40" s="1264">
        <v>53569407</v>
      </c>
      <c r="AM40" s="1265">
        <v>310523930</v>
      </c>
      <c r="AN40" s="1229">
        <f t="shared" si="9"/>
        <v>5.7966654363002377</v>
      </c>
      <c r="AO40" s="1264">
        <v>35712938</v>
      </c>
      <c r="AP40" s="1265">
        <v>210801010</v>
      </c>
      <c r="AQ40" s="1229">
        <f t="shared" si="10"/>
        <v>5.9026510224389828</v>
      </c>
      <c r="AR40" s="1264">
        <v>35712938</v>
      </c>
      <c r="AS40" s="1265">
        <v>324714117</v>
      </c>
      <c r="AT40" s="1229">
        <f t="shared" si="11"/>
        <v>9.0923383844812768</v>
      </c>
      <c r="AU40" s="1264">
        <v>35712938</v>
      </c>
      <c r="AV40" s="1265">
        <v>102236235</v>
      </c>
      <c r="AW40" s="1229">
        <f t="shared" si="12"/>
        <v>2.8627226077003241</v>
      </c>
      <c r="AX40" s="1253">
        <f t="shared" si="13"/>
        <v>2740539929</v>
      </c>
      <c r="AY40" s="1229">
        <f t="shared" si="14"/>
        <v>5.1158675865125778</v>
      </c>
      <c r="AZ40" s="891"/>
      <c r="BA40" s="891"/>
      <c r="BB40" s="891"/>
      <c r="BC40" s="891"/>
      <c r="BD40" s="891"/>
      <c r="BE40" s="891"/>
      <c r="BF40" s="891"/>
      <c r="BG40" s="891"/>
      <c r="BH40" s="891"/>
      <c r="BI40" s="891"/>
      <c r="BJ40" s="891"/>
      <c r="BK40" s="891"/>
      <c r="BL40" s="891"/>
      <c r="BM40" s="891"/>
      <c r="BN40" s="891"/>
      <c r="BO40" s="891"/>
      <c r="BP40" s="891"/>
      <c r="BQ40" s="891"/>
      <c r="BR40" s="891"/>
      <c r="BS40" s="891"/>
      <c r="BT40" s="891"/>
      <c r="BU40" s="891"/>
      <c r="BV40" s="891"/>
      <c r="BW40" s="891"/>
      <c r="BX40" s="891"/>
      <c r="BY40" s="891"/>
      <c r="BZ40" s="891"/>
      <c r="CA40" s="891"/>
      <c r="CB40" s="891"/>
      <c r="CC40" s="891"/>
      <c r="CD40" s="891"/>
      <c r="CE40" s="891"/>
      <c r="CF40" s="891"/>
      <c r="CG40" s="891"/>
      <c r="CH40" s="891"/>
      <c r="CI40" s="891"/>
      <c r="CJ40" s="891"/>
      <c r="CK40" s="891"/>
      <c r="CL40" s="891"/>
      <c r="CM40" s="891"/>
      <c r="CN40" s="891"/>
      <c r="CO40" s="891"/>
      <c r="CP40" s="891"/>
      <c r="CQ40" s="891"/>
      <c r="CR40" s="891"/>
      <c r="CS40" s="891"/>
      <c r="CT40" s="891"/>
      <c r="CU40" s="891"/>
      <c r="CV40" s="891"/>
      <c r="CW40" s="891"/>
      <c r="CX40" s="891"/>
      <c r="CY40" s="891"/>
      <c r="CZ40" s="891"/>
      <c r="DA40" s="891"/>
      <c r="DB40" s="891"/>
      <c r="DC40" s="891"/>
      <c r="DD40" s="891"/>
      <c r="DE40" s="891"/>
      <c r="DF40" s="891"/>
      <c r="DG40" s="891"/>
      <c r="DH40" s="891"/>
      <c r="DI40" s="891"/>
      <c r="DJ40" s="891"/>
      <c r="DK40" s="891"/>
      <c r="DL40" s="891"/>
      <c r="DM40" s="891"/>
      <c r="DN40" s="891"/>
      <c r="DO40" s="891"/>
      <c r="DP40" s="891"/>
      <c r="DQ40" s="891"/>
      <c r="DR40" s="891"/>
      <c r="DS40" s="891"/>
      <c r="DT40" s="891"/>
      <c r="DU40" s="891"/>
      <c r="DV40" s="891"/>
      <c r="DW40" s="891"/>
      <c r="DX40" s="891"/>
      <c r="DY40" s="891"/>
      <c r="DZ40" s="891"/>
      <c r="EA40" s="891"/>
      <c r="EB40" s="891"/>
      <c r="EC40" s="891"/>
      <c r="ED40" s="891"/>
      <c r="EE40" s="891"/>
      <c r="EF40" s="891"/>
      <c r="EG40" s="891"/>
      <c r="EH40" s="891"/>
      <c r="EI40" s="891"/>
      <c r="EJ40" s="891"/>
      <c r="EK40" s="891"/>
      <c r="EL40" s="891"/>
      <c r="EM40" s="891"/>
      <c r="EN40" s="891"/>
      <c r="EO40" s="891"/>
      <c r="EP40" s="891"/>
      <c r="EQ40" s="891"/>
      <c r="ER40" s="891"/>
      <c r="ES40" s="891"/>
      <c r="ET40" s="891"/>
      <c r="EU40" s="891"/>
      <c r="EV40" s="891"/>
      <c r="EW40" s="891"/>
      <c r="EX40" s="891"/>
      <c r="EY40" s="891"/>
      <c r="EZ40" s="891"/>
      <c r="FA40" s="891"/>
      <c r="FB40" s="891"/>
      <c r="FC40" s="891"/>
      <c r="FD40" s="891"/>
      <c r="FE40" s="891"/>
      <c r="FF40" s="891"/>
      <c r="FG40" s="891"/>
      <c r="FH40" s="891"/>
      <c r="FI40" s="891"/>
      <c r="FJ40" s="891"/>
      <c r="FK40" s="891"/>
      <c r="FL40" s="891"/>
      <c r="FM40" s="891"/>
      <c r="FN40" s="891"/>
      <c r="FO40" s="891"/>
      <c r="FP40" s="891"/>
      <c r="FQ40" s="891"/>
      <c r="FR40" s="891"/>
      <c r="FS40" s="891"/>
      <c r="FT40" s="891"/>
      <c r="FU40" s="891"/>
      <c r="FV40" s="891"/>
      <c r="FW40" s="891"/>
      <c r="FX40" s="891"/>
      <c r="FY40" s="891"/>
      <c r="FZ40" s="891"/>
      <c r="GA40" s="891"/>
      <c r="GB40" s="891"/>
      <c r="GC40" s="891"/>
      <c r="GD40" s="891"/>
      <c r="GE40" s="891"/>
      <c r="GF40" s="891"/>
      <c r="GG40" s="891"/>
      <c r="GH40" s="891"/>
      <c r="GI40" s="891"/>
      <c r="GJ40" s="891"/>
      <c r="GK40" s="891"/>
      <c r="GL40" s="891"/>
      <c r="GM40" s="891"/>
      <c r="GN40" s="891"/>
      <c r="GO40" s="891"/>
      <c r="GP40" s="891"/>
      <c r="GQ40" s="891"/>
      <c r="GR40" s="891"/>
      <c r="GS40" s="891"/>
      <c r="GT40" s="891"/>
      <c r="GU40" s="891"/>
      <c r="GV40" s="891"/>
      <c r="GW40" s="891"/>
      <c r="GX40" s="891"/>
      <c r="GY40" s="891"/>
      <c r="GZ40" s="891"/>
      <c r="HA40" s="891"/>
      <c r="HB40" s="891"/>
      <c r="HC40" s="891"/>
      <c r="HD40" s="891"/>
      <c r="HE40" s="891"/>
      <c r="HF40" s="891"/>
      <c r="HG40" s="891"/>
      <c r="HH40" s="891"/>
      <c r="HI40" s="891"/>
      <c r="HJ40" s="891"/>
      <c r="HK40" s="891"/>
      <c r="HL40" s="891"/>
      <c r="HM40" s="891"/>
      <c r="HN40" s="891"/>
      <c r="HO40" s="891"/>
      <c r="HP40" s="891"/>
      <c r="HQ40" s="891"/>
      <c r="HR40" s="891"/>
      <c r="HS40" s="891"/>
      <c r="HT40" s="891"/>
      <c r="HU40" s="891"/>
      <c r="HV40" s="891"/>
      <c r="HW40" s="891"/>
      <c r="HX40" s="891"/>
      <c r="HY40" s="891"/>
      <c r="HZ40" s="891"/>
      <c r="IA40" s="891"/>
      <c r="IB40" s="891"/>
      <c r="IC40" s="891"/>
      <c r="ID40" s="891"/>
      <c r="IE40" s="891"/>
      <c r="IF40" s="891"/>
      <c r="IG40" s="891"/>
      <c r="IH40" s="891"/>
      <c r="II40" s="891"/>
      <c r="IJ40" s="891"/>
      <c r="IK40" s="891"/>
      <c r="IL40" s="891"/>
      <c r="IM40" s="891"/>
      <c r="IN40" s="891"/>
      <c r="IO40" s="891"/>
      <c r="IP40" s="891"/>
      <c r="IQ40" s="891"/>
      <c r="IR40" s="891"/>
      <c r="IS40" s="891"/>
      <c r="IT40" s="891"/>
      <c r="IU40" s="891"/>
      <c r="IV40" s="891"/>
      <c r="IW40" s="891"/>
      <c r="IX40" s="891"/>
      <c r="IY40" s="891"/>
      <c r="IZ40" s="891"/>
      <c r="JA40" s="891"/>
      <c r="JB40" s="891"/>
      <c r="JC40" s="891"/>
      <c r="JD40" s="891"/>
      <c r="JE40" s="891"/>
      <c r="JF40" s="891"/>
      <c r="JG40" s="891"/>
      <c r="JH40" s="891"/>
      <c r="JI40" s="891"/>
      <c r="JJ40" s="891"/>
      <c r="JK40" s="891"/>
      <c r="JL40" s="891"/>
      <c r="JM40" s="891"/>
      <c r="JN40" s="891"/>
      <c r="JO40" s="891"/>
      <c r="JP40" s="891"/>
      <c r="JQ40" s="891"/>
      <c r="JR40" s="891"/>
      <c r="JS40" s="891"/>
      <c r="JT40" s="891"/>
      <c r="JU40" s="891"/>
      <c r="JV40" s="891"/>
      <c r="JW40" s="891"/>
      <c r="JX40" s="891"/>
      <c r="JY40" s="891"/>
      <c r="JZ40" s="891"/>
      <c r="KA40" s="891"/>
      <c r="KB40" s="891"/>
      <c r="KC40" s="891"/>
      <c r="KD40" s="891"/>
      <c r="KE40" s="891"/>
      <c r="KF40" s="891"/>
      <c r="KG40" s="891"/>
      <c r="KH40" s="891"/>
      <c r="KI40" s="891"/>
      <c r="KJ40" s="891"/>
      <c r="KK40" s="891"/>
      <c r="KL40" s="891"/>
      <c r="KM40" s="891"/>
      <c r="KN40" s="891"/>
      <c r="KO40" s="891"/>
      <c r="KP40" s="891"/>
      <c r="KQ40" s="891"/>
      <c r="KR40" s="891"/>
      <c r="KS40" s="891"/>
      <c r="KT40" s="891"/>
      <c r="KU40" s="891"/>
      <c r="KV40" s="891"/>
      <c r="KW40" s="891"/>
      <c r="KX40" s="891"/>
      <c r="KY40" s="891"/>
      <c r="KZ40" s="891"/>
      <c r="LA40" s="891"/>
      <c r="LB40" s="891"/>
      <c r="LC40" s="891"/>
      <c r="LD40" s="891"/>
      <c r="LE40" s="891"/>
      <c r="LF40" s="891"/>
      <c r="LG40" s="891"/>
      <c r="LH40" s="891"/>
      <c r="LI40" s="891"/>
      <c r="LJ40" s="891"/>
      <c r="LK40" s="891"/>
      <c r="LL40" s="891"/>
      <c r="LM40" s="891"/>
      <c r="LN40" s="891"/>
      <c r="LO40" s="891"/>
      <c r="LP40" s="891"/>
      <c r="LQ40" s="891"/>
      <c r="LR40" s="891"/>
      <c r="LS40" s="891"/>
      <c r="LT40" s="891"/>
      <c r="LU40" s="891"/>
      <c r="LV40" s="891"/>
      <c r="LW40" s="891"/>
      <c r="LX40" s="891"/>
      <c r="LY40" s="891"/>
      <c r="LZ40" s="891"/>
      <c r="MA40" s="891"/>
      <c r="MB40" s="891"/>
      <c r="MC40" s="891"/>
      <c r="MD40" s="891"/>
      <c r="ME40" s="891"/>
      <c r="MF40" s="891"/>
      <c r="MG40" s="891"/>
      <c r="MH40" s="891"/>
      <c r="MI40" s="891"/>
      <c r="MJ40" s="891"/>
      <c r="MK40" s="891"/>
      <c r="ML40" s="891"/>
      <c r="MM40" s="891"/>
      <c r="MN40" s="891"/>
      <c r="MO40" s="891"/>
      <c r="MP40" s="891"/>
      <c r="MQ40" s="891"/>
      <c r="MR40" s="891"/>
      <c r="MS40" s="891"/>
      <c r="MT40" s="891"/>
      <c r="MU40" s="891"/>
      <c r="MV40" s="891"/>
      <c r="MW40" s="891"/>
      <c r="MX40" s="891"/>
      <c r="MY40" s="891"/>
      <c r="MZ40" s="891"/>
      <c r="NA40" s="891"/>
      <c r="NB40" s="891"/>
      <c r="NC40" s="891"/>
      <c r="ND40" s="891"/>
      <c r="NE40" s="891"/>
      <c r="NF40" s="891"/>
      <c r="NG40" s="891"/>
      <c r="NH40" s="891"/>
      <c r="NI40" s="891"/>
      <c r="NJ40" s="891"/>
      <c r="NK40" s="891"/>
      <c r="NL40" s="891"/>
      <c r="NM40" s="891"/>
      <c r="NN40" s="891"/>
      <c r="NO40" s="891"/>
      <c r="NP40" s="891"/>
      <c r="NQ40" s="891"/>
      <c r="NR40" s="891"/>
      <c r="NS40" s="891"/>
      <c r="NT40" s="891"/>
      <c r="NU40" s="891"/>
      <c r="NV40" s="891"/>
      <c r="NW40" s="891"/>
      <c r="NX40" s="891"/>
      <c r="NY40" s="891"/>
      <c r="NZ40" s="891"/>
      <c r="OA40" s="891"/>
      <c r="OB40" s="891"/>
      <c r="OC40" s="891"/>
      <c r="OD40" s="891"/>
      <c r="OE40" s="891"/>
      <c r="OF40" s="891"/>
      <c r="OG40" s="891"/>
      <c r="OH40" s="891"/>
      <c r="OI40" s="891"/>
      <c r="OJ40" s="891"/>
      <c r="OK40" s="891"/>
      <c r="OL40" s="891"/>
      <c r="OM40" s="891"/>
      <c r="ON40" s="891"/>
      <c r="OO40" s="891"/>
      <c r="OP40" s="891"/>
      <c r="OQ40" s="891"/>
      <c r="OR40" s="891"/>
      <c r="OS40" s="891"/>
      <c r="OT40" s="891"/>
      <c r="OU40" s="891"/>
      <c r="OV40" s="891"/>
      <c r="OW40" s="891"/>
      <c r="OX40" s="891"/>
      <c r="OY40" s="891"/>
      <c r="OZ40" s="891"/>
      <c r="PA40" s="891"/>
      <c r="PB40" s="891"/>
      <c r="PC40" s="891"/>
      <c r="PD40" s="891"/>
      <c r="PE40" s="891"/>
      <c r="PF40" s="891"/>
      <c r="PG40" s="891"/>
      <c r="PH40" s="891"/>
      <c r="PI40" s="891"/>
      <c r="PJ40" s="891"/>
      <c r="PK40" s="891"/>
      <c r="PL40" s="891"/>
      <c r="PM40" s="891"/>
      <c r="PN40" s="891"/>
      <c r="PO40" s="891"/>
      <c r="PP40" s="891"/>
      <c r="PQ40" s="891"/>
      <c r="PR40" s="891"/>
      <c r="PS40" s="891"/>
      <c r="PT40" s="891"/>
      <c r="PU40" s="891"/>
      <c r="PV40" s="891"/>
      <c r="PW40" s="891"/>
      <c r="PX40" s="891"/>
      <c r="PY40" s="891"/>
      <c r="PZ40" s="891"/>
      <c r="QA40" s="891"/>
      <c r="QB40" s="891"/>
      <c r="QC40" s="891"/>
      <c r="QD40" s="891"/>
      <c r="QE40" s="891"/>
      <c r="QF40" s="891"/>
      <c r="QG40" s="891"/>
      <c r="QH40" s="891"/>
      <c r="QI40" s="891"/>
      <c r="QJ40" s="891"/>
      <c r="QK40" s="891"/>
      <c r="QL40" s="891"/>
      <c r="QM40" s="891"/>
      <c r="QN40" s="891"/>
      <c r="QO40" s="891"/>
      <c r="QP40" s="891"/>
      <c r="QQ40" s="891"/>
      <c r="QR40" s="891"/>
      <c r="QS40" s="891"/>
      <c r="QT40" s="891"/>
      <c r="QU40" s="891"/>
      <c r="QV40" s="891"/>
      <c r="QW40" s="891"/>
      <c r="QX40" s="891"/>
      <c r="QY40" s="891"/>
      <c r="QZ40" s="891"/>
      <c r="RA40" s="891"/>
      <c r="RB40" s="891"/>
      <c r="RC40" s="891"/>
      <c r="RD40" s="891"/>
      <c r="RE40" s="891"/>
      <c r="RF40" s="891"/>
      <c r="RG40" s="891"/>
      <c r="RH40" s="891"/>
      <c r="RI40" s="891"/>
      <c r="RJ40" s="891"/>
      <c r="RK40" s="891"/>
      <c r="RL40" s="891"/>
      <c r="RM40" s="891"/>
      <c r="RN40" s="891"/>
      <c r="RO40" s="891"/>
      <c r="RP40" s="891"/>
      <c r="RQ40" s="891"/>
      <c r="RR40" s="891"/>
      <c r="RS40" s="891"/>
      <c r="RT40" s="891"/>
      <c r="RU40" s="891"/>
      <c r="RV40" s="891"/>
      <c r="RW40" s="891"/>
      <c r="RX40" s="891"/>
      <c r="RY40" s="891"/>
      <c r="RZ40" s="891"/>
      <c r="SA40" s="891"/>
      <c r="SB40" s="891"/>
      <c r="SC40" s="891"/>
      <c r="SD40" s="891"/>
      <c r="SE40" s="891"/>
      <c r="SF40" s="891"/>
      <c r="SG40" s="891"/>
      <c r="SH40" s="891"/>
      <c r="SI40" s="891"/>
      <c r="SJ40" s="891"/>
      <c r="SK40" s="891"/>
      <c r="SL40" s="891"/>
      <c r="SM40" s="891"/>
      <c r="SN40" s="891"/>
      <c r="SO40" s="891"/>
      <c r="SP40" s="891"/>
      <c r="SQ40" s="891"/>
      <c r="SR40" s="891"/>
      <c r="SS40" s="891"/>
      <c r="ST40" s="891"/>
      <c r="SU40" s="891"/>
      <c r="SV40" s="891"/>
      <c r="SW40" s="891"/>
      <c r="SX40" s="891"/>
      <c r="SY40" s="891"/>
      <c r="SZ40" s="891"/>
      <c r="TA40" s="891"/>
      <c r="TB40" s="891"/>
      <c r="TC40" s="891"/>
      <c r="TD40" s="891"/>
      <c r="TE40" s="891"/>
      <c r="TF40" s="891"/>
      <c r="TG40" s="891"/>
      <c r="TH40" s="891"/>
      <c r="TI40" s="891"/>
      <c r="TJ40" s="891"/>
      <c r="TK40" s="891"/>
      <c r="TL40" s="891"/>
      <c r="TM40" s="891"/>
      <c r="TN40" s="891"/>
      <c r="TO40" s="891"/>
      <c r="TP40" s="891"/>
      <c r="TQ40" s="891"/>
      <c r="TR40" s="891"/>
      <c r="TS40" s="891"/>
      <c r="TT40" s="891"/>
      <c r="TU40" s="891"/>
      <c r="TV40" s="891"/>
      <c r="TW40" s="891"/>
      <c r="TX40" s="891"/>
      <c r="TY40" s="891"/>
      <c r="TZ40" s="891"/>
      <c r="UA40" s="891"/>
      <c r="UB40" s="891"/>
      <c r="UC40" s="891"/>
      <c r="UD40" s="891"/>
      <c r="UE40" s="891"/>
      <c r="UF40" s="891"/>
      <c r="UG40" s="891"/>
      <c r="UH40" s="891"/>
      <c r="UI40" s="891"/>
      <c r="UJ40" s="891"/>
      <c r="UK40" s="891"/>
      <c r="UL40" s="891"/>
      <c r="UM40" s="891"/>
      <c r="UN40" s="891"/>
      <c r="UO40" s="891"/>
      <c r="UP40" s="891"/>
      <c r="UQ40" s="891"/>
      <c r="UR40" s="891"/>
      <c r="US40" s="891"/>
      <c r="UT40" s="891"/>
      <c r="UU40" s="891"/>
      <c r="UV40" s="891"/>
      <c r="UW40" s="891"/>
      <c r="UX40" s="891"/>
      <c r="UY40" s="891"/>
      <c r="UZ40" s="891"/>
      <c r="VA40" s="891"/>
      <c r="VB40" s="891"/>
      <c r="VC40" s="891"/>
      <c r="VD40" s="891"/>
      <c r="VE40" s="891"/>
      <c r="VF40" s="891"/>
      <c r="VG40" s="891"/>
      <c r="VH40" s="891"/>
      <c r="VI40" s="891"/>
      <c r="VJ40" s="891"/>
      <c r="VK40" s="891"/>
      <c r="VL40" s="891"/>
      <c r="VM40" s="891"/>
      <c r="VN40" s="891"/>
      <c r="VO40" s="891"/>
      <c r="VP40" s="891"/>
      <c r="VQ40" s="891"/>
      <c r="VR40" s="891"/>
      <c r="VS40" s="891"/>
      <c r="VT40" s="891"/>
      <c r="VU40" s="891"/>
      <c r="VV40" s="891"/>
      <c r="VW40" s="891"/>
      <c r="VX40" s="891"/>
      <c r="VY40" s="891"/>
      <c r="VZ40" s="891"/>
      <c r="WA40" s="891"/>
      <c r="WB40" s="891"/>
      <c r="WC40" s="891"/>
      <c r="WD40" s="891"/>
      <c r="WE40" s="891"/>
      <c r="WF40" s="891"/>
      <c r="WG40" s="891"/>
      <c r="WH40" s="891"/>
      <c r="WI40" s="891"/>
      <c r="WJ40" s="891"/>
      <c r="WK40" s="891"/>
      <c r="WL40" s="891"/>
      <c r="WM40" s="891"/>
      <c r="WN40" s="891"/>
      <c r="WO40" s="891"/>
      <c r="WP40" s="891"/>
      <c r="WQ40" s="891"/>
      <c r="WR40" s="891"/>
      <c r="WS40" s="891"/>
      <c r="WT40" s="891"/>
      <c r="WU40" s="891"/>
      <c r="WV40" s="891"/>
      <c r="WW40" s="891"/>
      <c r="WX40" s="891"/>
      <c r="WY40" s="891"/>
      <c r="WZ40" s="891"/>
      <c r="XA40" s="891"/>
      <c r="XB40" s="891"/>
      <c r="XC40" s="891"/>
      <c r="XD40" s="891"/>
      <c r="XE40" s="891"/>
      <c r="XF40" s="891"/>
      <c r="XG40" s="891"/>
      <c r="XH40" s="891"/>
      <c r="XI40" s="891"/>
      <c r="XJ40" s="891"/>
      <c r="XK40" s="891"/>
      <c r="XL40" s="891"/>
      <c r="XM40" s="891"/>
      <c r="XN40" s="891"/>
      <c r="XO40" s="891"/>
      <c r="XP40" s="891"/>
      <c r="XQ40" s="891"/>
      <c r="XR40" s="891"/>
      <c r="XS40" s="891"/>
      <c r="XT40" s="891"/>
      <c r="XU40" s="891"/>
      <c r="XV40" s="891"/>
      <c r="XW40" s="891"/>
      <c r="XX40" s="891"/>
      <c r="XY40" s="891"/>
      <c r="XZ40" s="891"/>
      <c r="YA40" s="891"/>
      <c r="YB40" s="891"/>
      <c r="YC40" s="891"/>
      <c r="YD40" s="891"/>
      <c r="YE40" s="891"/>
      <c r="YF40" s="891"/>
      <c r="YG40" s="891"/>
      <c r="YH40" s="891"/>
      <c r="YI40" s="891"/>
      <c r="YJ40" s="891"/>
      <c r="YK40" s="891"/>
      <c r="YL40" s="891"/>
      <c r="YM40" s="891"/>
      <c r="YN40" s="891"/>
      <c r="YO40" s="891"/>
      <c r="YP40" s="891"/>
      <c r="YQ40" s="891"/>
      <c r="YR40" s="891"/>
      <c r="YS40" s="891"/>
      <c r="YT40" s="891"/>
      <c r="YU40" s="891"/>
      <c r="YV40" s="891"/>
      <c r="YW40" s="891"/>
      <c r="YX40" s="891"/>
      <c r="YY40" s="891"/>
      <c r="YZ40" s="891"/>
      <c r="ZA40" s="891"/>
      <c r="ZB40" s="891"/>
      <c r="ZC40" s="891"/>
      <c r="ZD40" s="891"/>
      <c r="ZE40" s="891"/>
      <c r="ZF40" s="891"/>
      <c r="ZG40" s="891"/>
      <c r="ZH40" s="891"/>
      <c r="ZI40" s="891"/>
      <c r="ZJ40" s="891"/>
      <c r="ZK40" s="891"/>
      <c r="ZL40" s="891"/>
      <c r="ZM40" s="891"/>
      <c r="ZN40" s="891"/>
      <c r="ZO40" s="891"/>
      <c r="ZP40" s="891"/>
      <c r="ZQ40" s="891"/>
      <c r="ZR40" s="891"/>
      <c r="ZS40" s="891"/>
      <c r="ZT40" s="891"/>
      <c r="ZU40" s="891"/>
      <c r="ZV40" s="891"/>
      <c r="ZW40" s="891"/>
      <c r="ZX40" s="891"/>
      <c r="ZY40" s="891"/>
      <c r="ZZ40" s="891"/>
      <c r="AAA40" s="891"/>
      <c r="AAB40" s="891"/>
      <c r="AAC40" s="891"/>
      <c r="AAD40" s="891"/>
      <c r="AAE40" s="891"/>
      <c r="AAF40" s="891"/>
      <c r="AAG40" s="891"/>
      <c r="AAH40" s="891"/>
      <c r="AAI40" s="891"/>
      <c r="AAJ40" s="891"/>
      <c r="AAK40" s="891"/>
      <c r="AAL40" s="891"/>
      <c r="AAM40" s="891"/>
      <c r="AAN40" s="891"/>
      <c r="AAO40" s="891"/>
      <c r="AAP40" s="891"/>
      <c r="AAQ40" s="891"/>
      <c r="AAR40" s="891"/>
      <c r="AAS40" s="891"/>
      <c r="AAT40" s="891"/>
      <c r="AAU40" s="891"/>
      <c r="AAV40" s="891"/>
      <c r="AAW40" s="891"/>
      <c r="AAX40" s="891"/>
      <c r="AAY40" s="891"/>
      <c r="AAZ40" s="891"/>
      <c r="ABA40" s="891"/>
      <c r="ABB40" s="891"/>
      <c r="ABC40" s="891"/>
      <c r="ABD40" s="891"/>
      <c r="ABE40" s="891"/>
      <c r="ABF40" s="891"/>
      <c r="ABG40" s="891"/>
      <c r="ABH40" s="891"/>
      <c r="ABI40" s="891"/>
      <c r="ABJ40" s="891"/>
      <c r="ABK40" s="891"/>
      <c r="ABL40" s="891"/>
      <c r="ABM40" s="891"/>
      <c r="ABN40" s="891"/>
      <c r="ABO40" s="891"/>
      <c r="ABP40" s="891"/>
      <c r="ABQ40" s="891"/>
      <c r="ABR40" s="891"/>
      <c r="ABS40" s="891"/>
      <c r="ABT40" s="891"/>
      <c r="ABU40" s="891"/>
      <c r="ABV40" s="891"/>
      <c r="ABW40" s="891"/>
      <c r="ABX40" s="891"/>
      <c r="ABY40" s="891"/>
      <c r="ABZ40" s="891"/>
      <c r="ACA40" s="891"/>
      <c r="ACB40" s="891"/>
      <c r="ACC40" s="891"/>
      <c r="ACD40" s="891"/>
      <c r="ACE40" s="891"/>
      <c r="ACF40" s="891"/>
      <c r="ACG40" s="891"/>
      <c r="ACH40" s="891"/>
      <c r="ACI40" s="891"/>
      <c r="ACJ40" s="891"/>
      <c r="ACK40" s="891"/>
      <c r="ACL40" s="891"/>
      <c r="ACM40" s="891"/>
      <c r="ACN40" s="891"/>
      <c r="ACO40" s="891"/>
      <c r="ACP40" s="891"/>
      <c r="ACQ40" s="891"/>
      <c r="ACR40" s="891"/>
      <c r="ACS40" s="891"/>
      <c r="ACT40" s="891"/>
      <c r="ACU40" s="891"/>
      <c r="ACV40" s="891"/>
      <c r="ACW40" s="891"/>
      <c r="ACX40" s="891"/>
      <c r="ACY40" s="891"/>
      <c r="ACZ40" s="891"/>
      <c r="ADA40" s="891"/>
      <c r="ADB40" s="891"/>
      <c r="ADC40" s="891"/>
      <c r="ADD40" s="891"/>
      <c r="ADE40" s="891"/>
      <c r="ADF40" s="891"/>
      <c r="ADG40" s="891"/>
      <c r="ADH40" s="891"/>
      <c r="ADI40" s="891"/>
      <c r="ADJ40" s="891"/>
      <c r="ADK40" s="891"/>
      <c r="ADL40" s="891"/>
      <c r="ADM40" s="891"/>
      <c r="ADN40" s="891"/>
      <c r="ADO40" s="891"/>
      <c r="ADP40" s="891"/>
      <c r="ADQ40" s="891"/>
      <c r="ADR40" s="891"/>
      <c r="ADS40" s="891"/>
      <c r="ADT40" s="891"/>
      <c r="ADU40" s="891"/>
      <c r="ADV40" s="891"/>
      <c r="ADW40" s="891"/>
      <c r="ADX40" s="891"/>
      <c r="ADY40" s="891"/>
      <c r="ADZ40" s="891"/>
      <c r="AEA40" s="891"/>
      <c r="AEB40" s="891"/>
    </row>
    <row r="41" spans="1:808" s="1335" customFormat="1" ht="64.5" customHeight="1" thickTop="1" thickBot="1">
      <c r="A41" s="3067"/>
      <c r="B41" s="3080"/>
      <c r="C41" s="3062" t="s">
        <v>615</v>
      </c>
      <c r="D41" s="1336" t="s">
        <v>587</v>
      </c>
      <c r="E41" s="1245" t="s">
        <v>588</v>
      </c>
      <c r="F41" s="1245" t="s">
        <v>10</v>
      </c>
      <c r="G41" s="1343">
        <v>0.03</v>
      </c>
      <c r="H41" s="1339"/>
      <c r="I41" s="1344">
        <v>0.03</v>
      </c>
      <c r="J41" s="1339"/>
      <c r="K41" s="1245" t="s">
        <v>244</v>
      </c>
      <c r="L41" s="1345">
        <v>0.03</v>
      </c>
      <c r="M41" s="1346" t="s">
        <v>589</v>
      </c>
      <c r="N41" s="1229">
        <v>2.2999999999999998</v>
      </c>
      <c r="O41" s="1345">
        <v>0.03</v>
      </c>
      <c r="P41" s="1346" t="s">
        <v>590</v>
      </c>
      <c r="Q41" s="1229">
        <v>2.46</v>
      </c>
      <c r="R41" s="1345">
        <v>0.03</v>
      </c>
      <c r="S41" s="1346">
        <v>0</v>
      </c>
      <c r="T41" s="1229">
        <f>+S41/R41</f>
        <v>0</v>
      </c>
      <c r="U41" s="1345">
        <v>0.03</v>
      </c>
      <c r="V41" s="1346">
        <v>0</v>
      </c>
      <c r="W41" s="1229">
        <f t="shared" si="2"/>
        <v>0</v>
      </c>
      <c r="X41" s="1345">
        <v>0.03</v>
      </c>
      <c r="Y41" s="1346">
        <v>0</v>
      </c>
      <c r="Z41" s="1229">
        <f t="shared" si="3"/>
        <v>0</v>
      </c>
      <c r="AA41" s="1345">
        <v>0.03</v>
      </c>
      <c r="AB41" s="1346" t="s">
        <v>591</v>
      </c>
      <c r="AC41" s="1229" t="s">
        <v>592</v>
      </c>
      <c r="AD41" s="1296" t="s">
        <v>593</v>
      </c>
      <c r="AE41" s="1229">
        <v>1.1499999999999999</v>
      </c>
      <c r="AF41" s="1345">
        <v>0.03</v>
      </c>
      <c r="AG41" s="1346">
        <v>0</v>
      </c>
      <c r="AH41" s="1229">
        <f t="shared" si="7"/>
        <v>0</v>
      </c>
      <c r="AI41" s="1345">
        <v>0.03</v>
      </c>
      <c r="AJ41" s="1346">
        <v>0</v>
      </c>
      <c r="AK41" s="1229">
        <f t="shared" si="8"/>
        <v>0</v>
      </c>
      <c r="AL41" s="1345">
        <v>0.03</v>
      </c>
      <c r="AM41" s="1346">
        <v>0</v>
      </c>
      <c r="AN41" s="1229">
        <f t="shared" si="9"/>
        <v>0</v>
      </c>
      <c r="AO41" s="1345">
        <v>0.03</v>
      </c>
      <c r="AP41" s="1346">
        <v>0.04</v>
      </c>
      <c r="AQ41" s="1229">
        <f t="shared" si="10"/>
        <v>1.3333333333333335</v>
      </c>
      <c r="AR41" s="1345">
        <v>0.03</v>
      </c>
      <c r="AS41" s="1346">
        <v>0</v>
      </c>
      <c r="AT41" s="1229">
        <f t="shared" si="11"/>
        <v>0</v>
      </c>
      <c r="AU41" s="1345">
        <v>0.03</v>
      </c>
      <c r="AV41" s="1346">
        <v>0.18</v>
      </c>
      <c r="AW41" s="1229">
        <f t="shared" si="12"/>
        <v>6</v>
      </c>
      <c r="AX41" s="1347" t="s">
        <v>594</v>
      </c>
      <c r="AY41" s="1229">
        <v>1.19</v>
      </c>
      <c r="AZ41" s="891"/>
      <c r="BA41" s="891"/>
      <c r="BB41" s="891"/>
      <c r="BC41" s="891"/>
      <c r="BD41" s="891"/>
      <c r="BE41" s="891"/>
      <c r="BF41" s="891"/>
      <c r="BG41" s="891"/>
      <c r="BH41" s="891"/>
      <c r="BI41" s="891"/>
      <c r="BJ41" s="891"/>
      <c r="BK41" s="891"/>
      <c r="BL41" s="891"/>
      <c r="BM41" s="891"/>
      <c r="BN41" s="891"/>
      <c r="BO41" s="891"/>
      <c r="BP41" s="891"/>
      <c r="BQ41" s="891"/>
      <c r="BR41" s="891"/>
      <c r="BS41" s="891"/>
      <c r="BT41" s="891"/>
      <c r="BU41" s="891"/>
      <c r="BV41" s="891"/>
      <c r="BW41" s="891"/>
      <c r="BX41" s="891"/>
      <c r="BY41" s="891"/>
      <c r="BZ41" s="891"/>
      <c r="CA41" s="891"/>
      <c r="CB41" s="891"/>
      <c r="CC41" s="891"/>
      <c r="CD41" s="891"/>
      <c r="CE41" s="891"/>
      <c r="CF41" s="891"/>
      <c r="CG41" s="891"/>
      <c r="CH41" s="891"/>
      <c r="CI41" s="891"/>
      <c r="CJ41" s="891"/>
      <c r="CK41" s="891"/>
      <c r="CL41" s="891"/>
      <c r="CM41" s="891"/>
      <c r="CN41" s="891"/>
      <c r="CO41" s="891"/>
      <c r="CP41" s="891"/>
      <c r="CQ41" s="891"/>
      <c r="CR41" s="891"/>
      <c r="CS41" s="891"/>
      <c r="CT41" s="891"/>
      <c r="CU41" s="891"/>
      <c r="CV41" s="891"/>
      <c r="CW41" s="891"/>
      <c r="CX41" s="891"/>
      <c r="CY41" s="891"/>
      <c r="CZ41" s="891"/>
      <c r="DA41" s="891"/>
      <c r="DB41" s="891"/>
      <c r="DC41" s="891"/>
      <c r="DD41" s="891"/>
      <c r="DE41" s="891"/>
      <c r="DF41" s="891"/>
      <c r="DG41" s="891"/>
      <c r="DH41" s="891"/>
      <c r="DI41" s="891"/>
      <c r="DJ41" s="891"/>
      <c r="DK41" s="891"/>
      <c r="DL41" s="891"/>
      <c r="DM41" s="891"/>
      <c r="DN41" s="891"/>
      <c r="DO41" s="891"/>
      <c r="DP41" s="891"/>
      <c r="DQ41" s="891"/>
      <c r="DR41" s="891"/>
      <c r="DS41" s="891"/>
      <c r="DT41" s="891"/>
      <c r="DU41" s="891"/>
      <c r="DV41" s="891"/>
      <c r="DW41" s="891"/>
      <c r="DX41" s="891"/>
      <c r="DY41" s="891"/>
      <c r="DZ41" s="891"/>
      <c r="EA41" s="891"/>
      <c r="EB41" s="891"/>
      <c r="EC41" s="891"/>
      <c r="ED41" s="891"/>
      <c r="EE41" s="891"/>
      <c r="EF41" s="891"/>
      <c r="EG41" s="891"/>
      <c r="EH41" s="891"/>
      <c r="EI41" s="891"/>
      <c r="EJ41" s="891"/>
      <c r="EK41" s="891"/>
      <c r="EL41" s="891"/>
      <c r="EM41" s="891"/>
      <c r="EN41" s="891"/>
      <c r="EO41" s="891"/>
      <c r="EP41" s="891"/>
      <c r="EQ41" s="891"/>
      <c r="ER41" s="891"/>
      <c r="ES41" s="891"/>
      <c r="ET41" s="891"/>
      <c r="EU41" s="891"/>
      <c r="EV41" s="891"/>
      <c r="EW41" s="891"/>
      <c r="EX41" s="891"/>
      <c r="EY41" s="891"/>
      <c r="EZ41" s="891"/>
      <c r="FA41" s="891"/>
      <c r="FB41" s="891"/>
      <c r="FC41" s="891"/>
      <c r="FD41" s="891"/>
      <c r="FE41" s="891"/>
      <c r="FF41" s="891"/>
      <c r="FG41" s="891"/>
      <c r="FH41" s="891"/>
      <c r="FI41" s="891"/>
      <c r="FJ41" s="891"/>
      <c r="FK41" s="891"/>
      <c r="FL41" s="891"/>
      <c r="FM41" s="891"/>
      <c r="FN41" s="891"/>
      <c r="FO41" s="891"/>
      <c r="FP41" s="891"/>
      <c r="FQ41" s="891"/>
      <c r="FR41" s="891"/>
      <c r="FS41" s="891"/>
      <c r="FT41" s="891"/>
      <c r="FU41" s="891"/>
      <c r="FV41" s="891"/>
      <c r="FW41" s="891"/>
      <c r="FX41" s="891"/>
      <c r="FY41" s="891"/>
      <c r="FZ41" s="891"/>
      <c r="GA41" s="891"/>
      <c r="GB41" s="891"/>
      <c r="GC41" s="891"/>
      <c r="GD41" s="891"/>
      <c r="GE41" s="891"/>
      <c r="GF41" s="891"/>
      <c r="GG41" s="891"/>
      <c r="GH41" s="891"/>
      <c r="GI41" s="891"/>
      <c r="GJ41" s="891"/>
      <c r="GK41" s="891"/>
      <c r="GL41" s="891"/>
      <c r="GM41" s="891"/>
      <c r="GN41" s="891"/>
      <c r="GO41" s="891"/>
      <c r="GP41" s="891"/>
      <c r="GQ41" s="891"/>
      <c r="GR41" s="891"/>
      <c r="GS41" s="891"/>
      <c r="GT41" s="891"/>
      <c r="GU41" s="891"/>
      <c r="GV41" s="891"/>
      <c r="GW41" s="891"/>
      <c r="GX41" s="891"/>
      <c r="GY41" s="891"/>
      <c r="GZ41" s="891"/>
      <c r="HA41" s="891"/>
      <c r="HB41" s="891"/>
      <c r="HC41" s="891"/>
      <c r="HD41" s="891"/>
      <c r="HE41" s="891"/>
      <c r="HF41" s="891"/>
      <c r="HG41" s="891"/>
      <c r="HH41" s="891"/>
      <c r="HI41" s="891"/>
      <c r="HJ41" s="891"/>
      <c r="HK41" s="891"/>
      <c r="HL41" s="891"/>
      <c r="HM41" s="891"/>
      <c r="HN41" s="891"/>
      <c r="HO41" s="891"/>
      <c r="HP41" s="891"/>
      <c r="HQ41" s="891"/>
      <c r="HR41" s="891"/>
      <c r="HS41" s="891"/>
      <c r="HT41" s="891"/>
      <c r="HU41" s="891"/>
      <c r="HV41" s="891"/>
      <c r="HW41" s="891"/>
      <c r="HX41" s="891"/>
      <c r="HY41" s="891"/>
      <c r="HZ41" s="891"/>
      <c r="IA41" s="891"/>
      <c r="IB41" s="891"/>
      <c r="IC41" s="891"/>
      <c r="ID41" s="891"/>
      <c r="IE41" s="891"/>
      <c r="IF41" s="891"/>
      <c r="IG41" s="891"/>
      <c r="IH41" s="891"/>
      <c r="II41" s="891"/>
      <c r="IJ41" s="891"/>
      <c r="IK41" s="891"/>
      <c r="IL41" s="891"/>
      <c r="IM41" s="891"/>
      <c r="IN41" s="891"/>
      <c r="IO41" s="891"/>
      <c r="IP41" s="891"/>
      <c r="IQ41" s="891"/>
      <c r="IR41" s="891"/>
      <c r="IS41" s="891"/>
      <c r="IT41" s="891"/>
      <c r="IU41" s="891"/>
      <c r="IV41" s="891"/>
      <c r="IW41" s="891"/>
      <c r="IX41" s="891"/>
      <c r="IY41" s="891"/>
      <c r="IZ41" s="891"/>
      <c r="JA41" s="891"/>
      <c r="JB41" s="891"/>
      <c r="JC41" s="891"/>
      <c r="JD41" s="891"/>
      <c r="JE41" s="891"/>
      <c r="JF41" s="891"/>
      <c r="JG41" s="891"/>
      <c r="JH41" s="891"/>
      <c r="JI41" s="891"/>
      <c r="JJ41" s="891"/>
      <c r="JK41" s="891"/>
      <c r="JL41" s="891"/>
      <c r="JM41" s="891"/>
      <c r="JN41" s="891"/>
      <c r="JO41" s="891"/>
      <c r="JP41" s="891"/>
      <c r="JQ41" s="891"/>
      <c r="JR41" s="891"/>
      <c r="JS41" s="891"/>
      <c r="JT41" s="891"/>
      <c r="JU41" s="891"/>
      <c r="JV41" s="891"/>
      <c r="JW41" s="891"/>
      <c r="JX41" s="891"/>
      <c r="JY41" s="891"/>
      <c r="JZ41" s="891"/>
      <c r="KA41" s="891"/>
      <c r="KB41" s="891"/>
      <c r="KC41" s="891"/>
      <c r="KD41" s="891"/>
      <c r="KE41" s="891"/>
      <c r="KF41" s="891"/>
      <c r="KG41" s="891"/>
      <c r="KH41" s="891"/>
      <c r="KI41" s="891"/>
      <c r="KJ41" s="891"/>
      <c r="KK41" s="891"/>
      <c r="KL41" s="891"/>
      <c r="KM41" s="891"/>
      <c r="KN41" s="891"/>
      <c r="KO41" s="891"/>
      <c r="KP41" s="891"/>
      <c r="KQ41" s="891"/>
      <c r="KR41" s="891"/>
      <c r="KS41" s="891"/>
      <c r="KT41" s="891"/>
      <c r="KU41" s="891"/>
      <c r="KV41" s="891"/>
      <c r="KW41" s="891"/>
      <c r="KX41" s="891"/>
      <c r="KY41" s="891"/>
      <c r="KZ41" s="891"/>
      <c r="LA41" s="891"/>
      <c r="LB41" s="891"/>
      <c r="LC41" s="891"/>
      <c r="LD41" s="891"/>
      <c r="LE41" s="891"/>
      <c r="LF41" s="891"/>
      <c r="LG41" s="891"/>
      <c r="LH41" s="891"/>
      <c r="LI41" s="891"/>
      <c r="LJ41" s="891"/>
      <c r="LK41" s="891"/>
      <c r="LL41" s="891"/>
      <c r="LM41" s="891"/>
      <c r="LN41" s="891"/>
      <c r="LO41" s="891"/>
      <c r="LP41" s="891"/>
      <c r="LQ41" s="891"/>
      <c r="LR41" s="891"/>
      <c r="LS41" s="891"/>
      <c r="LT41" s="891"/>
      <c r="LU41" s="891"/>
      <c r="LV41" s="891"/>
      <c r="LW41" s="891"/>
      <c r="LX41" s="891"/>
      <c r="LY41" s="891"/>
      <c r="LZ41" s="891"/>
      <c r="MA41" s="891"/>
      <c r="MB41" s="891"/>
      <c r="MC41" s="891"/>
      <c r="MD41" s="891"/>
      <c r="ME41" s="891"/>
      <c r="MF41" s="891"/>
      <c r="MG41" s="891"/>
      <c r="MH41" s="891"/>
      <c r="MI41" s="891"/>
      <c r="MJ41" s="891"/>
      <c r="MK41" s="891"/>
      <c r="ML41" s="891"/>
      <c r="MM41" s="891"/>
      <c r="MN41" s="891"/>
      <c r="MO41" s="891"/>
      <c r="MP41" s="891"/>
      <c r="MQ41" s="891"/>
      <c r="MR41" s="891"/>
      <c r="MS41" s="891"/>
      <c r="MT41" s="891"/>
      <c r="MU41" s="891"/>
      <c r="MV41" s="891"/>
      <c r="MW41" s="891"/>
      <c r="MX41" s="891"/>
      <c r="MY41" s="891"/>
      <c r="MZ41" s="891"/>
      <c r="NA41" s="891"/>
      <c r="NB41" s="891"/>
      <c r="NC41" s="891"/>
      <c r="ND41" s="891"/>
      <c r="NE41" s="891"/>
      <c r="NF41" s="891"/>
      <c r="NG41" s="891"/>
      <c r="NH41" s="891"/>
      <c r="NI41" s="891"/>
      <c r="NJ41" s="891"/>
      <c r="NK41" s="891"/>
      <c r="NL41" s="891"/>
      <c r="NM41" s="891"/>
      <c r="NN41" s="891"/>
      <c r="NO41" s="891"/>
      <c r="NP41" s="891"/>
      <c r="NQ41" s="891"/>
      <c r="NR41" s="891"/>
      <c r="NS41" s="891"/>
      <c r="NT41" s="891"/>
      <c r="NU41" s="891"/>
      <c r="NV41" s="891"/>
      <c r="NW41" s="891"/>
      <c r="NX41" s="891"/>
      <c r="NY41" s="891"/>
      <c r="NZ41" s="891"/>
      <c r="OA41" s="891"/>
      <c r="OB41" s="891"/>
      <c r="OC41" s="891"/>
      <c r="OD41" s="891"/>
      <c r="OE41" s="891"/>
      <c r="OF41" s="891"/>
      <c r="OG41" s="891"/>
      <c r="OH41" s="891"/>
      <c r="OI41" s="891"/>
      <c r="OJ41" s="891"/>
      <c r="OK41" s="891"/>
      <c r="OL41" s="891"/>
      <c r="OM41" s="891"/>
      <c r="ON41" s="891"/>
      <c r="OO41" s="891"/>
      <c r="OP41" s="891"/>
      <c r="OQ41" s="891"/>
      <c r="OR41" s="891"/>
      <c r="OS41" s="891"/>
      <c r="OT41" s="891"/>
      <c r="OU41" s="891"/>
      <c r="OV41" s="891"/>
      <c r="OW41" s="891"/>
      <c r="OX41" s="891"/>
      <c r="OY41" s="891"/>
      <c r="OZ41" s="891"/>
      <c r="PA41" s="891"/>
      <c r="PB41" s="891"/>
      <c r="PC41" s="891"/>
      <c r="PD41" s="891"/>
      <c r="PE41" s="891"/>
      <c r="PF41" s="891"/>
      <c r="PG41" s="891"/>
      <c r="PH41" s="891"/>
      <c r="PI41" s="891"/>
      <c r="PJ41" s="891"/>
      <c r="PK41" s="891"/>
      <c r="PL41" s="891"/>
      <c r="PM41" s="891"/>
      <c r="PN41" s="891"/>
      <c r="PO41" s="891"/>
      <c r="PP41" s="891"/>
      <c r="PQ41" s="891"/>
      <c r="PR41" s="891"/>
      <c r="PS41" s="891"/>
      <c r="PT41" s="891"/>
      <c r="PU41" s="891"/>
      <c r="PV41" s="891"/>
      <c r="PW41" s="891"/>
      <c r="PX41" s="891"/>
      <c r="PY41" s="891"/>
      <c r="PZ41" s="891"/>
      <c r="QA41" s="891"/>
      <c r="QB41" s="891"/>
      <c r="QC41" s="891"/>
      <c r="QD41" s="891"/>
      <c r="QE41" s="891"/>
      <c r="QF41" s="891"/>
      <c r="QG41" s="891"/>
      <c r="QH41" s="891"/>
      <c r="QI41" s="891"/>
      <c r="QJ41" s="891"/>
      <c r="QK41" s="891"/>
      <c r="QL41" s="891"/>
      <c r="QM41" s="891"/>
      <c r="QN41" s="891"/>
      <c r="QO41" s="891"/>
      <c r="QP41" s="891"/>
      <c r="QQ41" s="891"/>
      <c r="QR41" s="891"/>
      <c r="QS41" s="891"/>
      <c r="QT41" s="891"/>
      <c r="QU41" s="891"/>
      <c r="QV41" s="891"/>
      <c r="QW41" s="891"/>
      <c r="QX41" s="891"/>
      <c r="QY41" s="891"/>
      <c r="QZ41" s="891"/>
      <c r="RA41" s="891"/>
      <c r="RB41" s="891"/>
      <c r="RC41" s="891"/>
      <c r="RD41" s="891"/>
      <c r="RE41" s="891"/>
      <c r="RF41" s="891"/>
      <c r="RG41" s="891"/>
      <c r="RH41" s="891"/>
      <c r="RI41" s="891"/>
      <c r="RJ41" s="891"/>
      <c r="RK41" s="891"/>
      <c r="RL41" s="891"/>
      <c r="RM41" s="891"/>
      <c r="RN41" s="891"/>
      <c r="RO41" s="891"/>
      <c r="RP41" s="891"/>
      <c r="RQ41" s="891"/>
      <c r="RR41" s="891"/>
      <c r="RS41" s="891"/>
      <c r="RT41" s="891"/>
      <c r="RU41" s="891"/>
      <c r="RV41" s="891"/>
      <c r="RW41" s="891"/>
      <c r="RX41" s="891"/>
      <c r="RY41" s="891"/>
      <c r="RZ41" s="891"/>
      <c r="SA41" s="891"/>
      <c r="SB41" s="891"/>
      <c r="SC41" s="891"/>
      <c r="SD41" s="891"/>
      <c r="SE41" s="891"/>
      <c r="SF41" s="891"/>
      <c r="SG41" s="891"/>
      <c r="SH41" s="891"/>
      <c r="SI41" s="891"/>
      <c r="SJ41" s="891"/>
      <c r="SK41" s="891"/>
      <c r="SL41" s="891"/>
      <c r="SM41" s="891"/>
      <c r="SN41" s="891"/>
      <c r="SO41" s="891"/>
      <c r="SP41" s="891"/>
      <c r="SQ41" s="891"/>
      <c r="SR41" s="891"/>
      <c r="SS41" s="891"/>
      <c r="ST41" s="891"/>
      <c r="SU41" s="891"/>
      <c r="SV41" s="891"/>
      <c r="SW41" s="891"/>
      <c r="SX41" s="891"/>
      <c r="SY41" s="891"/>
      <c r="SZ41" s="891"/>
      <c r="TA41" s="891"/>
      <c r="TB41" s="891"/>
      <c r="TC41" s="891"/>
      <c r="TD41" s="891"/>
      <c r="TE41" s="891"/>
      <c r="TF41" s="891"/>
      <c r="TG41" s="891"/>
      <c r="TH41" s="891"/>
      <c r="TI41" s="891"/>
      <c r="TJ41" s="891"/>
      <c r="TK41" s="891"/>
      <c r="TL41" s="891"/>
      <c r="TM41" s="891"/>
      <c r="TN41" s="891"/>
      <c r="TO41" s="891"/>
      <c r="TP41" s="891"/>
      <c r="TQ41" s="891"/>
      <c r="TR41" s="891"/>
      <c r="TS41" s="891"/>
      <c r="TT41" s="891"/>
      <c r="TU41" s="891"/>
      <c r="TV41" s="891"/>
      <c r="TW41" s="891"/>
      <c r="TX41" s="891"/>
      <c r="TY41" s="891"/>
      <c r="TZ41" s="891"/>
      <c r="UA41" s="891"/>
      <c r="UB41" s="891"/>
      <c r="UC41" s="891"/>
      <c r="UD41" s="891"/>
      <c r="UE41" s="891"/>
      <c r="UF41" s="891"/>
      <c r="UG41" s="891"/>
      <c r="UH41" s="891"/>
      <c r="UI41" s="891"/>
      <c r="UJ41" s="891"/>
      <c r="UK41" s="891"/>
      <c r="UL41" s="891"/>
      <c r="UM41" s="891"/>
      <c r="UN41" s="891"/>
      <c r="UO41" s="891"/>
      <c r="UP41" s="891"/>
      <c r="UQ41" s="891"/>
      <c r="UR41" s="891"/>
      <c r="US41" s="891"/>
      <c r="UT41" s="891"/>
      <c r="UU41" s="891"/>
      <c r="UV41" s="891"/>
      <c r="UW41" s="891"/>
      <c r="UX41" s="891"/>
      <c r="UY41" s="891"/>
      <c r="UZ41" s="891"/>
      <c r="VA41" s="891"/>
      <c r="VB41" s="891"/>
      <c r="VC41" s="891"/>
      <c r="VD41" s="891"/>
      <c r="VE41" s="891"/>
      <c r="VF41" s="891"/>
      <c r="VG41" s="891"/>
      <c r="VH41" s="891"/>
      <c r="VI41" s="891"/>
      <c r="VJ41" s="891"/>
      <c r="VK41" s="891"/>
      <c r="VL41" s="891"/>
      <c r="VM41" s="891"/>
      <c r="VN41" s="891"/>
      <c r="VO41" s="891"/>
      <c r="VP41" s="891"/>
      <c r="VQ41" s="891"/>
      <c r="VR41" s="891"/>
      <c r="VS41" s="891"/>
      <c r="VT41" s="891"/>
      <c r="VU41" s="891"/>
      <c r="VV41" s="891"/>
      <c r="VW41" s="891"/>
      <c r="VX41" s="891"/>
      <c r="VY41" s="891"/>
      <c r="VZ41" s="891"/>
      <c r="WA41" s="891"/>
      <c r="WB41" s="891"/>
      <c r="WC41" s="891"/>
      <c r="WD41" s="891"/>
      <c r="WE41" s="891"/>
      <c r="WF41" s="891"/>
      <c r="WG41" s="891"/>
      <c r="WH41" s="891"/>
      <c r="WI41" s="891"/>
      <c r="WJ41" s="891"/>
      <c r="WK41" s="891"/>
      <c r="WL41" s="891"/>
      <c r="WM41" s="891"/>
      <c r="WN41" s="891"/>
      <c r="WO41" s="891"/>
      <c r="WP41" s="891"/>
      <c r="WQ41" s="891"/>
      <c r="WR41" s="891"/>
      <c r="WS41" s="891"/>
      <c r="WT41" s="891"/>
      <c r="WU41" s="891"/>
      <c r="WV41" s="891"/>
      <c r="WW41" s="891"/>
      <c r="WX41" s="891"/>
      <c r="WY41" s="891"/>
      <c r="WZ41" s="891"/>
      <c r="XA41" s="891"/>
      <c r="XB41" s="891"/>
      <c r="XC41" s="891"/>
      <c r="XD41" s="891"/>
      <c r="XE41" s="891"/>
      <c r="XF41" s="891"/>
      <c r="XG41" s="891"/>
      <c r="XH41" s="891"/>
      <c r="XI41" s="891"/>
      <c r="XJ41" s="891"/>
      <c r="XK41" s="891"/>
      <c r="XL41" s="891"/>
      <c r="XM41" s="891"/>
      <c r="XN41" s="891"/>
      <c r="XO41" s="891"/>
      <c r="XP41" s="891"/>
      <c r="XQ41" s="891"/>
      <c r="XR41" s="891"/>
      <c r="XS41" s="891"/>
      <c r="XT41" s="891"/>
      <c r="XU41" s="891"/>
      <c r="XV41" s="891"/>
      <c r="XW41" s="891"/>
      <c r="XX41" s="891"/>
      <c r="XY41" s="891"/>
      <c r="XZ41" s="891"/>
      <c r="YA41" s="891"/>
      <c r="YB41" s="891"/>
      <c r="YC41" s="891"/>
      <c r="YD41" s="891"/>
      <c r="YE41" s="891"/>
      <c r="YF41" s="891"/>
      <c r="YG41" s="891"/>
      <c r="YH41" s="891"/>
      <c r="YI41" s="891"/>
      <c r="YJ41" s="891"/>
      <c r="YK41" s="891"/>
      <c r="YL41" s="891"/>
      <c r="YM41" s="891"/>
      <c r="YN41" s="891"/>
      <c r="YO41" s="891"/>
      <c r="YP41" s="891"/>
      <c r="YQ41" s="891"/>
      <c r="YR41" s="891"/>
      <c r="YS41" s="891"/>
      <c r="YT41" s="891"/>
      <c r="YU41" s="891"/>
      <c r="YV41" s="891"/>
      <c r="YW41" s="891"/>
      <c r="YX41" s="891"/>
      <c r="YY41" s="891"/>
      <c r="YZ41" s="891"/>
      <c r="ZA41" s="891"/>
      <c r="ZB41" s="891"/>
      <c r="ZC41" s="891"/>
      <c r="ZD41" s="891"/>
      <c r="ZE41" s="891"/>
      <c r="ZF41" s="891"/>
      <c r="ZG41" s="891"/>
      <c r="ZH41" s="891"/>
      <c r="ZI41" s="891"/>
      <c r="ZJ41" s="891"/>
      <c r="ZK41" s="891"/>
      <c r="ZL41" s="891"/>
      <c r="ZM41" s="891"/>
      <c r="ZN41" s="891"/>
      <c r="ZO41" s="891"/>
      <c r="ZP41" s="891"/>
      <c r="ZQ41" s="891"/>
      <c r="ZR41" s="891"/>
      <c r="ZS41" s="891"/>
      <c r="ZT41" s="891"/>
      <c r="ZU41" s="891"/>
      <c r="ZV41" s="891"/>
      <c r="ZW41" s="891"/>
      <c r="ZX41" s="891"/>
      <c r="ZY41" s="891"/>
      <c r="ZZ41" s="891"/>
      <c r="AAA41" s="891"/>
      <c r="AAB41" s="891"/>
      <c r="AAC41" s="891"/>
      <c r="AAD41" s="891"/>
      <c r="AAE41" s="891"/>
      <c r="AAF41" s="891"/>
      <c r="AAG41" s="891"/>
      <c r="AAH41" s="891"/>
      <c r="AAI41" s="891"/>
      <c r="AAJ41" s="891"/>
      <c r="AAK41" s="891"/>
      <c r="AAL41" s="891"/>
      <c r="AAM41" s="891"/>
      <c r="AAN41" s="891"/>
      <c r="AAO41" s="891"/>
      <c r="AAP41" s="891"/>
      <c r="AAQ41" s="891"/>
      <c r="AAR41" s="891"/>
      <c r="AAS41" s="891"/>
      <c r="AAT41" s="891"/>
      <c r="AAU41" s="891"/>
      <c r="AAV41" s="891"/>
      <c r="AAW41" s="891"/>
      <c r="AAX41" s="891"/>
      <c r="AAY41" s="891"/>
      <c r="AAZ41" s="891"/>
      <c r="ABA41" s="891"/>
      <c r="ABB41" s="891"/>
      <c r="ABC41" s="891"/>
      <c r="ABD41" s="891"/>
      <c r="ABE41" s="891"/>
      <c r="ABF41" s="891"/>
      <c r="ABG41" s="891"/>
      <c r="ABH41" s="891"/>
      <c r="ABI41" s="891"/>
      <c r="ABJ41" s="891"/>
      <c r="ABK41" s="891"/>
      <c r="ABL41" s="891"/>
      <c r="ABM41" s="891"/>
      <c r="ABN41" s="891"/>
      <c r="ABO41" s="891"/>
      <c r="ABP41" s="891"/>
      <c r="ABQ41" s="891"/>
      <c r="ABR41" s="891"/>
      <c r="ABS41" s="891"/>
      <c r="ABT41" s="891"/>
      <c r="ABU41" s="891"/>
      <c r="ABV41" s="891"/>
      <c r="ABW41" s="891"/>
      <c r="ABX41" s="891"/>
      <c r="ABY41" s="891"/>
      <c r="ABZ41" s="891"/>
      <c r="ACA41" s="891"/>
      <c r="ACB41" s="891"/>
      <c r="ACC41" s="891"/>
      <c r="ACD41" s="891"/>
      <c r="ACE41" s="891"/>
      <c r="ACF41" s="891"/>
      <c r="ACG41" s="891"/>
      <c r="ACH41" s="891"/>
      <c r="ACI41" s="891"/>
      <c r="ACJ41" s="891"/>
      <c r="ACK41" s="891"/>
      <c r="ACL41" s="891"/>
      <c r="ACM41" s="891"/>
      <c r="ACN41" s="891"/>
      <c r="ACO41" s="891"/>
      <c r="ACP41" s="891"/>
      <c r="ACQ41" s="891"/>
      <c r="ACR41" s="891"/>
      <c r="ACS41" s="891"/>
      <c r="ACT41" s="891"/>
      <c r="ACU41" s="891"/>
      <c r="ACV41" s="891"/>
      <c r="ACW41" s="891"/>
      <c r="ACX41" s="891"/>
      <c r="ACY41" s="891"/>
      <c r="ACZ41" s="891"/>
      <c r="ADA41" s="891"/>
      <c r="ADB41" s="891"/>
      <c r="ADC41" s="891"/>
      <c r="ADD41" s="891"/>
      <c r="ADE41" s="891"/>
      <c r="ADF41" s="891"/>
      <c r="ADG41" s="891"/>
      <c r="ADH41" s="891"/>
      <c r="ADI41" s="891"/>
      <c r="ADJ41" s="891"/>
      <c r="ADK41" s="891"/>
      <c r="ADL41" s="891"/>
      <c r="ADM41" s="891"/>
      <c r="ADN41" s="891"/>
      <c r="ADO41" s="891"/>
      <c r="ADP41" s="891"/>
      <c r="ADQ41" s="891"/>
      <c r="ADR41" s="891"/>
      <c r="ADS41" s="891"/>
      <c r="ADT41" s="891"/>
      <c r="ADU41" s="891"/>
      <c r="ADV41" s="891"/>
      <c r="ADW41" s="891"/>
      <c r="ADX41" s="891"/>
      <c r="ADY41" s="891"/>
      <c r="ADZ41" s="891"/>
      <c r="AEA41" s="891"/>
      <c r="AEB41" s="891"/>
    </row>
    <row r="42" spans="1:808" s="1335" customFormat="1" ht="202.7" customHeight="1" thickTop="1" thickBot="1">
      <c r="A42" s="3067"/>
      <c r="B42" s="3080"/>
      <c r="C42" s="3081"/>
      <c r="D42" s="1333" t="s">
        <v>247</v>
      </c>
      <c r="E42" s="1234" t="s">
        <v>289</v>
      </c>
      <c r="F42" s="1234" t="s">
        <v>24</v>
      </c>
      <c r="G42" s="1234">
        <v>16</v>
      </c>
      <c r="H42" s="1234"/>
      <c r="I42" s="1234"/>
      <c r="J42" s="1234"/>
      <c r="K42" s="1234" t="s">
        <v>249</v>
      </c>
      <c r="L42" s="1240">
        <v>0</v>
      </c>
      <c r="M42" s="1243">
        <v>0</v>
      </c>
      <c r="N42" s="1229">
        <v>0</v>
      </c>
      <c r="O42" s="1240">
        <v>0</v>
      </c>
      <c r="P42" s="1243">
        <v>0</v>
      </c>
      <c r="Q42" s="1229"/>
      <c r="R42" s="1240">
        <v>0</v>
      </c>
      <c r="S42" s="1243">
        <v>0</v>
      </c>
      <c r="T42" s="1229" t="e">
        <f t="shared" si="0"/>
        <v>#DIV/0!</v>
      </c>
      <c r="U42" s="1240">
        <v>0</v>
      </c>
      <c r="V42" s="1243">
        <v>0</v>
      </c>
      <c r="W42" s="1229" t="e">
        <f t="shared" si="2"/>
        <v>#DIV/0!</v>
      </c>
      <c r="X42" s="1240">
        <v>2</v>
      </c>
      <c r="Y42" s="1243">
        <v>0</v>
      </c>
      <c r="Z42" s="1229">
        <f t="shared" si="3"/>
        <v>0</v>
      </c>
      <c r="AA42" s="1240">
        <v>2</v>
      </c>
      <c r="AB42" s="1243">
        <v>3</v>
      </c>
      <c r="AC42" s="1229">
        <f t="shared" si="4"/>
        <v>1.5</v>
      </c>
      <c r="AD42" s="1277">
        <f t="shared" si="5"/>
        <v>3</v>
      </c>
      <c r="AE42" s="1229">
        <v>0.75</v>
      </c>
      <c r="AF42" s="1240">
        <v>2</v>
      </c>
      <c r="AG42" s="1243">
        <v>2</v>
      </c>
      <c r="AH42" s="1229">
        <f t="shared" si="7"/>
        <v>1</v>
      </c>
      <c r="AI42" s="1240">
        <v>2</v>
      </c>
      <c r="AJ42" s="1243">
        <v>2</v>
      </c>
      <c r="AK42" s="1229">
        <f t="shared" si="8"/>
        <v>1</v>
      </c>
      <c r="AL42" s="1240">
        <v>2</v>
      </c>
      <c r="AM42" s="1243">
        <v>2</v>
      </c>
      <c r="AN42" s="1229">
        <f t="shared" si="9"/>
        <v>1</v>
      </c>
      <c r="AO42" s="1240">
        <v>2</v>
      </c>
      <c r="AP42" s="1243">
        <v>2</v>
      </c>
      <c r="AQ42" s="1229">
        <f t="shared" si="10"/>
        <v>1</v>
      </c>
      <c r="AR42" s="1240">
        <v>2</v>
      </c>
      <c r="AS42" s="1243">
        <v>2</v>
      </c>
      <c r="AT42" s="1229">
        <f t="shared" si="11"/>
        <v>1</v>
      </c>
      <c r="AU42" s="1240">
        <v>2</v>
      </c>
      <c r="AV42" s="1243">
        <v>3</v>
      </c>
      <c r="AW42" s="1229">
        <f t="shared" si="12"/>
        <v>1.5</v>
      </c>
      <c r="AX42" s="1244">
        <f t="shared" si="13"/>
        <v>16</v>
      </c>
      <c r="AY42" s="1229">
        <f t="shared" si="14"/>
        <v>1</v>
      </c>
      <c r="AZ42" s="891"/>
      <c r="BA42" s="891"/>
      <c r="BB42" s="891"/>
      <c r="BC42" s="891"/>
      <c r="BD42" s="891"/>
      <c r="BE42" s="891"/>
      <c r="BF42" s="891"/>
      <c r="BG42" s="891"/>
      <c r="BH42" s="891"/>
      <c r="BI42" s="891"/>
      <c r="BJ42" s="891"/>
      <c r="BK42" s="891"/>
      <c r="BL42" s="891"/>
      <c r="BM42" s="891"/>
      <c r="BN42" s="891"/>
      <c r="BO42" s="891"/>
      <c r="BP42" s="891"/>
      <c r="BQ42" s="891"/>
      <c r="BR42" s="891"/>
      <c r="BS42" s="891"/>
      <c r="BT42" s="891"/>
      <c r="BU42" s="891"/>
      <c r="BV42" s="891"/>
      <c r="BW42" s="891"/>
      <c r="BX42" s="891"/>
      <c r="BY42" s="891"/>
      <c r="BZ42" s="891"/>
      <c r="CA42" s="891"/>
      <c r="CB42" s="891"/>
      <c r="CC42" s="891"/>
      <c r="CD42" s="891"/>
      <c r="CE42" s="891"/>
      <c r="CF42" s="891"/>
      <c r="CG42" s="891"/>
      <c r="CH42" s="891"/>
      <c r="CI42" s="891"/>
      <c r="CJ42" s="891"/>
      <c r="CK42" s="891"/>
      <c r="CL42" s="891"/>
      <c r="CM42" s="891"/>
      <c r="CN42" s="891"/>
      <c r="CO42" s="891"/>
      <c r="CP42" s="891"/>
      <c r="CQ42" s="891"/>
      <c r="CR42" s="891"/>
      <c r="CS42" s="891"/>
      <c r="CT42" s="891"/>
      <c r="CU42" s="891"/>
      <c r="CV42" s="891"/>
      <c r="CW42" s="891"/>
      <c r="CX42" s="891"/>
      <c r="CY42" s="891"/>
      <c r="CZ42" s="891"/>
      <c r="DA42" s="891"/>
      <c r="DB42" s="891"/>
      <c r="DC42" s="891"/>
      <c r="DD42" s="891"/>
      <c r="DE42" s="891"/>
      <c r="DF42" s="891"/>
      <c r="DG42" s="891"/>
      <c r="DH42" s="891"/>
      <c r="DI42" s="891"/>
      <c r="DJ42" s="891"/>
      <c r="DK42" s="891"/>
      <c r="DL42" s="891"/>
      <c r="DM42" s="891"/>
      <c r="DN42" s="891"/>
      <c r="DO42" s="891"/>
      <c r="DP42" s="891"/>
      <c r="DQ42" s="891"/>
      <c r="DR42" s="891"/>
      <c r="DS42" s="891"/>
      <c r="DT42" s="891"/>
      <c r="DU42" s="891"/>
      <c r="DV42" s="891"/>
      <c r="DW42" s="891"/>
      <c r="DX42" s="891"/>
      <c r="DY42" s="891"/>
      <c r="DZ42" s="891"/>
      <c r="EA42" s="891"/>
      <c r="EB42" s="891"/>
      <c r="EC42" s="891"/>
      <c r="ED42" s="891"/>
      <c r="EE42" s="891"/>
      <c r="EF42" s="891"/>
      <c r="EG42" s="891"/>
      <c r="EH42" s="891"/>
      <c r="EI42" s="891"/>
      <c r="EJ42" s="891"/>
      <c r="EK42" s="891"/>
      <c r="EL42" s="891"/>
      <c r="EM42" s="891"/>
      <c r="EN42" s="891"/>
      <c r="EO42" s="891"/>
      <c r="EP42" s="891"/>
      <c r="EQ42" s="891"/>
      <c r="ER42" s="891"/>
      <c r="ES42" s="891"/>
      <c r="ET42" s="891"/>
      <c r="EU42" s="891"/>
      <c r="EV42" s="891"/>
      <c r="EW42" s="891"/>
      <c r="EX42" s="891"/>
      <c r="EY42" s="891"/>
      <c r="EZ42" s="891"/>
      <c r="FA42" s="891"/>
      <c r="FB42" s="891"/>
      <c r="FC42" s="891"/>
      <c r="FD42" s="891"/>
      <c r="FE42" s="891"/>
      <c r="FF42" s="891"/>
      <c r="FG42" s="891"/>
      <c r="FH42" s="891"/>
      <c r="FI42" s="891"/>
      <c r="FJ42" s="891"/>
      <c r="FK42" s="891"/>
      <c r="FL42" s="891"/>
      <c r="FM42" s="891"/>
      <c r="FN42" s="891"/>
      <c r="FO42" s="891"/>
      <c r="FP42" s="891"/>
      <c r="FQ42" s="891"/>
      <c r="FR42" s="891"/>
      <c r="FS42" s="891"/>
      <c r="FT42" s="891"/>
      <c r="FU42" s="891"/>
      <c r="FV42" s="891"/>
      <c r="FW42" s="891"/>
      <c r="FX42" s="891"/>
      <c r="FY42" s="891"/>
      <c r="FZ42" s="891"/>
      <c r="GA42" s="891"/>
      <c r="GB42" s="891"/>
      <c r="GC42" s="891"/>
      <c r="GD42" s="891"/>
      <c r="GE42" s="891"/>
      <c r="GF42" s="891"/>
      <c r="GG42" s="891"/>
      <c r="GH42" s="891"/>
      <c r="GI42" s="891"/>
      <c r="GJ42" s="891"/>
      <c r="GK42" s="891"/>
      <c r="GL42" s="891"/>
      <c r="GM42" s="891"/>
      <c r="GN42" s="891"/>
      <c r="GO42" s="891"/>
      <c r="GP42" s="891"/>
      <c r="GQ42" s="891"/>
      <c r="GR42" s="891"/>
      <c r="GS42" s="891"/>
      <c r="GT42" s="891"/>
      <c r="GU42" s="891"/>
      <c r="GV42" s="891"/>
      <c r="GW42" s="891"/>
      <c r="GX42" s="891"/>
      <c r="GY42" s="891"/>
      <c r="GZ42" s="891"/>
      <c r="HA42" s="891"/>
      <c r="HB42" s="891"/>
      <c r="HC42" s="891"/>
      <c r="HD42" s="891"/>
      <c r="HE42" s="891"/>
      <c r="HF42" s="891"/>
      <c r="HG42" s="891"/>
      <c r="HH42" s="891"/>
      <c r="HI42" s="891"/>
      <c r="HJ42" s="891"/>
      <c r="HK42" s="891"/>
      <c r="HL42" s="891"/>
      <c r="HM42" s="891"/>
      <c r="HN42" s="891"/>
      <c r="HO42" s="891"/>
      <c r="HP42" s="891"/>
      <c r="HQ42" s="891"/>
      <c r="HR42" s="891"/>
      <c r="HS42" s="891"/>
      <c r="HT42" s="891"/>
      <c r="HU42" s="891"/>
      <c r="HV42" s="891"/>
      <c r="HW42" s="891"/>
      <c r="HX42" s="891"/>
      <c r="HY42" s="891"/>
      <c r="HZ42" s="891"/>
      <c r="IA42" s="891"/>
      <c r="IB42" s="891"/>
      <c r="IC42" s="891"/>
      <c r="ID42" s="891"/>
      <c r="IE42" s="891"/>
      <c r="IF42" s="891"/>
      <c r="IG42" s="891"/>
      <c r="IH42" s="891"/>
      <c r="II42" s="891"/>
      <c r="IJ42" s="891"/>
      <c r="IK42" s="891"/>
      <c r="IL42" s="891"/>
      <c r="IM42" s="891"/>
      <c r="IN42" s="891"/>
      <c r="IO42" s="891"/>
      <c r="IP42" s="891"/>
      <c r="IQ42" s="891"/>
      <c r="IR42" s="891"/>
      <c r="IS42" s="891"/>
      <c r="IT42" s="891"/>
      <c r="IU42" s="891"/>
      <c r="IV42" s="891"/>
      <c r="IW42" s="891"/>
      <c r="IX42" s="891"/>
      <c r="IY42" s="891"/>
      <c r="IZ42" s="891"/>
      <c r="JA42" s="891"/>
      <c r="JB42" s="891"/>
      <c r="JC42" s="891"/>
      <c r="JD42" s="891"/>
      <c r="JE42" s="891"/>
      <c r="JF42" s="891"/>
      <c r="JG42" s="891"/>
      <c r="JH42" s="891"/>
      <c r="JI42" s="891"/>
      <c r="JJ42" s="891"/>
      <c r="JK42" s="891"/>
      <c r="JL42" s="891"/>
      <c r="JM42" s="891"/>
      <c r="JN42" s="891"/>
      <c r="JO42" s="891"/>
      <c r="JP42" s="891"/>
      <c r="JQ42" s="891"/>
      <c r="JR42" s="891"/>
      <c r="JS42" s="891"/>
      <c r="JT42" s="891"/>
      <c r="JU42" s="891"/>
      <c r="JV42" s="891"/>
      <c r="JW42" s="891"/>
      <c r="JX42" s="891"/>
      <c r="JY42" s="891"/>
      <c r="JZ42" s="891"/>
      <c r="KA42" s="891"/>
      <c r="KB42" s="891"/>
      <c r="KC42" s="891"/>
      <c r="KD42" s="891"/>
      <c r="KE42" s="891"/>
      <c r="KF42" s="891"/>
      <c r="KG42" s="891"/>
      <c r="KH42" s="891"/>
      <c r="KI42" s="891"/>
      <c r="KJ42" s="891"/>
      <c r="KK42" s="891"/>
      <c r="KL42" s="891"/>
      <c r="KM42" s="891"/>
      <c r="KN42" s="891"/>
      <c r="KO42" s="891"/>
      <c r="KP42" s="891"/>
      <c r="KQ42" s="891"/>
      <c r="KR42" s="891"/>
      <c r="KS42" s="891"/>
      <c r="KT42" s="891"/>
      <c r="KU42" s="891"/>
      <c r="KV42" s="891"/>
      <c r="KW42" s="891"/>
      <c r="KX42" s="891"/>
      <c r="KY42" s="891"/>
      <c r="KZ42" s="891"/>
      <c r="LA42" s="891"/>
      <c r="LB42" s="891"/>
      <c r="LC42" s="891"/>
      <c r="LD42" s="891"/>
      <c r="LE42" s="891"/>
      <c r="LF42" s="891"/>
      <c r="LG42" s="891"/>
      <c r="LH42" s="891"/>
      <c r="LI42" s="891"/>
      <c r="LJ42" s="891"/>
      <c r="LK42" s="891"/>
      <c r="LL42" s="891"/>
      <c r="LM42" s="891"/>
      <c r="LN42" s="891"/>
      <c r="LO42" s="891"/>
      <c r="LP42" s="891"/>
      <c r="LQ42" s="891"/>
      <c r="LR42" s="891"/>
      <c r="LS42" s="891"/>
      <c r="LT42" s="891"/>
      <c r="LU42" s="891"/>
      <c r="LV42" s="891"/>
      <c r="LW42" s="891"/>
      <c r="LX42" s="891"/>
      <c r="LY42" s="891"/>
      <c r="LZ42" s="891"/>
      <c r="MA42" s="891"/>
      <c r="MB42" s="891"/>
      <c r="MC42" s="891"/>
      <c r="MD42" s="891"/>
      <c r="ME42" s="891"/>
      <c r="MF42" s="891"/>
      <c r="MG42" s="891"/>
      <c r="MH42" s="891"/>
      <c r="MI42" s="891"/>
      <c r="MJ42" s="891"/>
      <c r="MK42" s="891"/>
      <c r="ML42" s="891"/>
      <c r="MM42" s="891"/>
      <c r="MN42" s="891"/>
      <c r="MO42" s="891"/>
      <c r="MP42" s="891"/>
      <c r="MQ42" s="891"/>
      <c r="MR42" s="891"/>
      <c r="MS42" s="891"/>
      <c r="MT42" s="891"/>
      <c r="MU42" s="891"/>
      <c r="MV42" s="891"/>
      <c r="MW42" s="891"/>
      <c r="MX42" s="891"/>
      <c r="MY42" s="891"/>
      <c r="MZ42" s="891"/>
      <c r="NA42" s="891"/>
      <c r="NB42" s="891"/>
      <c r="NC42" s="891"/>
      <c r="ND42" s="891"/>
      <c r="NE42" s="891"/>
      <c r="NF42" s="891"/>
      <c r="NG42" s="891"/>
      <c r="NH42" s="891"/>
      <c r="NI42" s="891"/>
      <c r="NJ42" s="891"/>
      <c r="NK42" s="891"/>
      <c r="NL42" s="891"/>
      <c r="NM42" s="891"/>
      <c r="NN42" s="891"/>
      <c r="NO42" s="891"/>
      <c r="NP42" s="891"/>
      <c r="NQ42" s="891"/>
      <c r="NR42" s="891"/>
      <c r="NS42" s="891"/>
      <c r="NT42" s="891"/>
      <c r="NU42" s="891"/>
      <c r="NV42" s="891"/>
      <c r="NW42" s="891"/>
      <c r="NX42" s="891"/>
      <c r="NY42" s="891"/>
      <c r="NZ42" s="891"/>
      <c r="OA42" s="891"/>
      <c r="OB42" s="891"/>
      <c r="OC42" s="891"/>
      <c r="OD42" s="891"/>
      <c r="OE42" s="891"/>
      <c r="OF42" s="891"/>
      <c r="OG42" s="891"/>
      <c r="OH42" s="891"/>
      <c r="OI42" s="891"/>
      <c r="OJ42" s="891"/>
      <c r="OK42" s="891"/>
      <c r="OL42" s="891"/>
      <c r="OM42" s="891"/>
      <c r="ON42" s="891"/>
      <c r="OO42" s="891"/>
      <c r="OP42" s="891"/>
      <c r="OQ42" s="891"/>
      <c r="OR42" s="891"/>
      <c r="OS42" s="891"/>
      <c r="OT42" s="891"/>
      <c r="OU42" s="891"/>
      <c r="OV42" s="891"/>
      <c r="OW42" s="891"/>
      <c r="OX42" s="891"/>
      <c r="OY42" s="891"/>
      <c r="OZ42" s="891"/>
      <c r="PA42" s="891"/>
      <c r="PB42" s="891"/>
      <c r="PC42" s="891"/>
      <c r="PD42" s="891"/>
      <c r="PE42" s="891"/>
      <c r="PF42" s="891"/>
      <c r="PG42" s="891"/>
      <c r="PH42" s="891"/>
      <c r="PI42" s="891"/>
      <c r="PJ42" s="891"/>
      <c r="PK42" s="891"/>
      <c r="PL42" s="891"/>
      <c r="PM42" s="891"/>
      <c r="PN42" s="891"/>
      <c r="PO42" s="891"/>
      <c r="PP42" s="891"/>
      <c r="PQ42" s="891"/>
      <c r="PR42" s="891"/>
      <c r="PS42" s="891"/>
      <c r="PT42" s="891"/>
      <c r="PU42" s="891"/>
      <c r="PV42" s="891"/>
      <c r="PW42" s="891"/>
      <c r="PX42" s="891"/>
      <c r="PY42" s="891"/>
      <c r="PZ42" s="891"/>
      <c r="QA42" s="891"/>
      <c r="QB42" s="891"/>
      <c r="QC42" s="891"/>
      <c r="QD42" s="891"/>
      <c r="QE42" s="891"/>
      <c r="QF42" s="891"/>
      <c r="QG42" s="891"/>
      <c r="QH42" s="891"/>
      <c r="QI42" s="891"/>
      <c r="QJ42" s="891"/>
      <c r="QK42" s="891"/>
      <c r="QL42" s="891"/>
      <c r="QM42" s="891"/>
      <c r="QN42" s="891"/>
      <c r="QO42" s="891"/>
      <c r="QP42" s="891"/>
      <c r="QQ42" s="891"/>
      <c r="QR42" s="891"/>
      <c r="QS42" s="891"/>
      <c r="QT42" s="891"/>
      <c r="QU42" s="891"/>
      <c r="QV42" s="891"/>
      <c r="QW42" s="891"/>
      <c r="QX42" s="891"/>
      <c r="QY42" s="891"/>
      <c r="QZ42" s="891"/>
      <c r="RA42" s="891"/>
      <c r="RB42" s="891"/>
      <c r="RC42" s="891"/>
      <c r="RD42" s="891"/>
      <c r="RE42" s="891"/>
      <c r="RF42" s="891"/>
      <c r="RG42" s="891"/>
      <c r="RH42" s="891"/>
      <c r="RI42" s="891"/>
      <c r="RJ42" s="891"/>
      <c r="RK42" s="891"/>
      <c r="RL42" s="891"/>
      <c r="RM42" s="891"/>
      <c r="RN42" s="891"/>
      <c r="RO42" s="891"/>
      <c r="RP42" s="891"/>
      <c r="RQ42" s="891"/>
      <c r="RR42" s="891"/>
      <c r="RS42" s="891"/>
      <c r="RT42" s="891"/>
      <c r="RU42" s="891"/>
      <c r="RV42" s="891"/>
      <c r="RW42" s="891"/>
      <c r="RX42" s="891"/>
      <c r="RY42" s="891"/>
      <c r="RZ42" s="891"/>
      <c r="SA42" s="891"/>
      <c r="SB42" s="891"/>
      <c r="SC42" s="891"/>
      <c r="SD42" s="891"/>
      <c r="SE42" s="891"/>
      <c r="SF42" s="891"/>
      <c r="SG42" s="891"/>
      <c r="SH42" s="891"/>
      <c r="SI42" s="891"/>
      <c r="SJ42" s="891"/>
      <c r="SK42" s="891"/>
      <c r="SL42" s="891"/>
      <c r="SM42" s="891"/>
      <c r="SN42" s="891"/>
      <c r="SO42" s="891"/>
      <c r="SP42" s="891"/>
      <c r="SQ42" s="891"/>
      <c r="SR42" s="891"/>
      <c r="SS42" s="891"/>
      <c r="ST42" s="891"/>
      <c r="SU42" s="891"/>
      <c r="SV42" s="891"/>
      <c r="SW42" s="891"/>
      <c r="SX42" s="891"/>
      <c r="SY42" s="891"/>
      <c r="SZ42" s="891"/>
      <c r="TA42" s="891"/>
      <c r="TB42" s="891"/>
      <c r="TC42" s="891"/>
      <c r="TD42" s="891"/>
      <c r="TE42" s="891"/>
      <c r="TF42" s="891"/>
      <c r="TG42" s="891"/>
      <c r="TH42" s="891"/>
      <c r="TI42" s="891"/>
      <c r="TJ42" s="891"/>
      <c r="TK42" s="891"/>
      <c r="TL42" s="891"/>
      <c r="TM42" s="891"/>
      <c r="TN42" s="891"/>
      <c r="TO42" s="891"/>
      <c r="TP42" s="891"/>
      <c r="TQ42" s="891"/>
      <c r="TR42" s="891"/>
      <c r="TS42" s="891"/>
      <c r="TT42" s="891"/>
      <c r="TU42" s="891"/>
      <c r="TV42" s="891"/>
      <c r="TW42" s="891"/>
      <c r="TX42" s="891"/>
      <c r="TY42" s="891"/>
      <c r="TZ42" s="891"/>
      <c r="UA42" s="891"/>
      <c r="UB42" s="891"/>
      <c r="UC42" s="891"/>
      <c r="UD42" s="891"/>
      <c r="UE42" s="891"/>
      <c r="UF42" s="891"/>
      <c r="UG42" s="891"/>
      <c r="UH42" s="891"/>
      <c r="UI42" s="891"/>
      <c r="UJ42" s="891"/>
      <c r="UK42" s="891"/>
      <c r="UL42" s="891"/>
      <c r="UM42" s="891"/>
      <c r="UN42" s="891"/>
      <c r="UO42" s="891"/>
      <c r="UP42" s="891"/>
      <c r="UQ42" s="891"/>
      <c r="UR42" s="891"/>
      <c r="US42" s="891"/>
      <c r="UT42" s="891"/>
      <c r="UU42" s="891"/>
      <c r="UV42" s="891"/>
      <c r="UW42" s="891"/>
      <c r="UX42" s="891"/>
      <c r="UY42" s="891"/>
      <c r="UZ42" s="891"/>
      <c r="VA42" s="891"/>
      <c r="VB42" s="891"/>
      <c r="VC42" s="891"/>
      <c r="VD42" s="891"/>
      <c r="VE42" s="891"/>
      <c r="VF42" s="891"/>
      <c r="VG42" s="891"/>
      <c r="VH42" s="891"/>
      <c r="VI42" s="891"/>
      <c r="VJ42" s="891"/>
      <c r="VK42" s="891"/>
      <c r="VL42" s="891"/>
      <c r="VM42" s="891"/>
      <c r="VN42" s="891"/>
      <c r="VO42" s="891"/>
      <c r="VP42" s="891"/>
      <c r="VQ42" s="891"/>
      <c r="VR42" s="891"/>
      <c r="VS42" s="891"/>
      <c r="VT42" s="891"/>
      <c r="VU42" s="891"/>
      <c r="VV42" s="891"/>
      <c r="VW42" s="891"/>
      <c r="VX42" s="891"/>
      <c r="VY42" s="891"/>
      <c r="VZ42" s="891"/>
      <c r="WA42" s="891"/>
      <c r="WB42" s="891"/>
      <c r="WC42" s="891"/>
      <c r="WD42" s="891"/>
      <c r="WE42" s="891"/>
      <c r="WF42" s="891"/>
      <c r="WG42" s="891"/>
      <c r="WH42" s="891"/>
      <c r="WI42" s="891"/>
      <c r="WJ42" s="891"/>
      <c r="WK42" s="891"/>
      <c r="WL42" s="891"/>
      <c r="WM42" s="891"/>
      <c r="WN42" s="891"/>
      <c r="WO42" s="891"/>
      <c r="WP42" s="891"/>
      <c r="WQ42" s="891"/>
      <c r="WR42" s="891"/>
      <c r="WS42" s="891"/>
      <c r="WT42" s="891"/>
      <c r="WU42" s="891"/>
      <c r="WV42" s="891"/>
      <c r="WW42" s="891"/>
      <c r="WX42" s="891"/>
      <c r="WY42" s="891"/>
      <c r="WZ42" s="891"/>
      <c r="XA42" s="891"/>
      <c r="XB42" s="891"/>
      <c r="XC42" s="891"/>
      <c r="XD42" s="891"/>
      <c r="XE42" s="891"/>
      <c r="XF42" s="891"/>
      <c r="XG42" s="891"/>
      <c r="XH42" s="891"/>
      <c r="XI42" s="891"/>
      <c r="XJ42" s="891"/>
      <c r="XK42" s="891"/>
      <c r="XL42" s="891"/>
      <c r="XM42" s="891"/>
      <c r="XN42" s="891"/>
      <c r="XO42" s="891"/>
      <c r="XP42" s="891"/>
      <c r="XQ42" s="891"/>
      <c r="XR42" s="891"/>
      <c r="XS42" s="891"/>
      <c r="XT42" s="891"/>
      <c r="XU42" s="891"/>
      <c r="XV42" s="891"/>
      <c r="XW42" s="891"/>
      <c r="XX42" s="891"/>
      <c r="XY42" s="891"/>
      <c r="XZ42" s="891"/>
      <c r="YA42" s="891"/>
      <c r="YB42" s="891"/>
      <c r="YC42" s="891"/>
      <c r="YD42" s="891"/>
      <c r="YE42" s="891"/>
      <c r="YF42" s="891"/>
      <c r="YG42" s="891"/>
      <c r="YH42" s="891"/>
      <c r="YI42" s="891"/>
      <c r="YJ42" s="891"/>
      <c r="YK42" s="891"/>
      <c r="YL42" s="891"/>
      <c r="YM42" s="891"/>
      <c r="YN42" s="891"/>
      <c r="YO42" s="891"/>
      <c r="YP42" s="891"/>
      <c r="YQ42" s="891"/>
      <c r="YR42" s="891"/>
      <c r="YS42" s="891"/>
      <c r="YT42" s="891"/>
      <c r="YU42" s="891"/>
      <c r="YV42" s="891"/>
      <c r="YW42" s="891"/>
      <c r="YX42" s="891"/>
      <c r="YY42" s="891"/>
      <c r="YZ42" s="891"/>
      <c r="ZA42" s="891"/>
      <c r="ZB42" s="891"/>
      <c r="ZC42" s="891"/>
      <c r="ZD42" s="891"/>
      <c r="ZE42" s="891"/>
      <c r="ZF42" s="891"/>
      <c r="ZG42" s="891"/>
      <c r="ZH42" s="891"/>
      <c r="ZI42" s="891"/>
      <c r="ZJ42" s="891"/>
      <c r="ZK42" s="891"/>
      <c r="ZL42" s="891"/>
      <c r="ZM42" s="891"/>
      <c r="ZN42" s="891"/>
      <c r="ZO42" s="891"/>
      <c r="ZP42" s="891"/>
      <c r="ZQ42" s="891"/>
      <c r="ZR42" s="891"/>
      <c r="ZS42" s="891"/>
      <c r="ZT42" s="891"/>
      <c r="ZU42" s="891"/>
      <c r="ZV42" s="891"/>
      <c r="ZW42" s="891"/>
      <c r="ZX42" s="891"/>
      <c r="ZY42" s="891"/>
      <c r="ZZ42" s="891"/>
      <c r="AAA42" s="891"/>
      <c r="AAB42" s="891"/>
      <c r="AAC42" s="891"/>
      <c r="AAD42" s="891"/>
      <c r="AAE42" s="891"/>
      <c r="AAF42" s="891"/>
      <c r="AAG42" s="891"/>
      <c r="AAH42" s="891"/>
      <c r="AAI42" s="891"/>
      <c r="AAJ42" s="891"/>
      <c r="AAK42" s="891"/>
      <c r="AAL42" s="891"/>
      <c r="AAM42" s="891"/>
      <c r="AAN42" s="891"/>
      <c r="AAO42" s="891"/>
      <c r="AAP42" s="891"/>
      <c r="AAQ42" s="891"/>
      <c r="AAR42" s="891"/>
      <c r="AAS42" s="891"/>
      <c r="AAT42" s="891"/>
      <c r="AAU42" s="891"/>
      <c r="AAV42" s="891"/>
      <c r="AAW42" s="891"/>
      <c r="AAX42" s="891"/>
      <c r="AAY42" s="891"/>
      <c r="AAZ42" s="891"/>
      <c r="ABA42" s="891"/>
      <c r="ABB42" s="891"/>
      <c r="ABC42" s="891"/>
      <c r="ABD42" s="891"/>
      <c r="ABE42" s="891"/>
      <c r="ABF42" s="891"/>
      <c r="ABG42" s="891"/>
      <c r="ABH42" s="891"/>
      <c r="ABI42" s="891"/>
      <c r="ABJ42" s="891"/>
      <c r="ABK42" s="891"/>
      <c r="ABL42" s="891"/>
      <c r="ABM42" s="891"/>
      <c r="ABN42" s="891"/>
      <c r="ABO42" s="891"/>
      <c r="ABP42" s="891"/>
      <c r="ABQ42" s="891"/>
      <c r="ABR42" s="891"/>
      <c r="ABS42" s="891"/>
      <c r="ABT42" s="891"/>
      <c r="ABU42" s="891"/>
      <c r="ABV42" s="891"/>
      <c r="ABW42" s="891"/>
      <c r="ABX42" s="891"/>
      <c r="ABY42" s="891"/>
      <c r="ABZ42" s="891"/>
      <c r="ACA42" s="891"/>
      <c r="ACB42" s="891"/>
      <c r="ACC42" s="891"/>
      <c r="ACD42" s="891"/>
      <c r="ACE42" s="891"/>
      <c r="ACF42" s="891"/>
      <c r="ACG42" s="891"/>
      <c r="ACH42" s="891"/>
      <c r="ACI42" s="891"/>
      <c r="ACJ42" s="891"/>
      <c r="ACK42" s="891"/>
      <c r="ACL42" s="891"/>
      <c r="ACM42" s="891"/>
      <c r="ACN42" s="891"/>
      <c r="ACO42" s="891"/>
      <c r="ACP42" s="891"/>
      <c r="ACQ42" s="891"/>
      <c r="ACR42" s="891"/>
      <c r="ACS42" s="891"/>
      <c r="ACT42" s="891"/>
      <c r="ACU42" s="891"/>
      <c r="ACV42" s="891"/>
      <c r="ACW42" s="891"/>
      <c r="ACX42" s="891"/>
      <c r="ACY42" s="891"/>
      <c r="ACZ42" s="891"/>
      <c r="ADA42" s="891"/>
      <c r="ADB42" s="891"/>
      <c r="ADC42" s="891"/>
      <c r="ADD42" s="891"/>
      <c r="ADE42" s="891"/>
      <c r="ADF42" s="891"/>
      <c r="ADG42" s="891"/>
      <c r="ADH42" s="891"/>
      <c r="ADI42" s="891"/>
      <c r="ADJ42" s="891"/>
      <c r="ADK42" s="891"/>
      <c r="ADL42" s="891"/>
      <c r="ADM42" s="891"/>
      <c r="ADN42" s="891"/>
      <c r="ADO42" s="891"/>
      <c r="ADP42" s="891"/>
      <c r="ADQ42" s="891"/>
      <c r="ADR42" s="891"/>
      <c r="ADS42" s="891"/>
      <c r="ADT42" s="891"/>
      <c r="ADU42" s="891"/>
      <c r="ADV42" s="891"/>
      <c r="ADW42" s="891"/>
      <c r="ADX42" s="891"/>
      <c r="ADY42" s="891"/>
      <c r="ADZ42" s="891"/>
      <c r="AEA42" s="891"/>
      <c r="AEB42" s="891"/>
    </row>
    <row r="43" spans="1:808" s="1335" customFormat="1" ht="95.45" customHeight="1" thickTop="1" thickBot="1">
      <c r="A43" s="3067"/>
      <c r="B43" s="3080"/>
      <c r="C43" s="3081"/>
      <c r="D43" s="1336" t="s">
        <v>290</v>
      </c>
      <c r="E43" s="1245" t="s">
        <v>251</v>
      </c>
      <c r="F43" s="1245" t="s">
        <v>24</v>
      </c>
      <c r="G43" s="1245">
        <v>24</v>
      </c>
      <c r="H43" s="1245"/>
      <c r="I43" s="1245"/>
      <c r="J43" s="1245"/>
      <c r="K43" s="1245" t="s">
        <v>249</v>
      </c>
      <c r="L43" s="1348">
        <v>0</v>
      </c>
      <c r="M43" s="1349">
        <v>0</v>
      </c>
      <c r="N43" s="1229" t="e">
        <f t="shared" si="15"/>
        <v>#DIV/0!</v>
      </c>
      <c r="O43" s="1348">
        <v>0</v>
      </c>
      <c r="P43" s="1349">
        <v>0</v>
      </c>
      <c r="Q43" s="1229" t="e">
        <f t="shared" si="1"/>
        <v>#DIV/0!</v>
      </c>
      <c r="R43" s="1245">
        <v>0</v>
      </c>
      <c r="S43" s="1350">
        <v>0</v>
      </c>
      <c r="T43" s="1229" t="e">
        <f t="shared" si="0"/>
        <v>#DIV/0!</v>
      </c>
      <c r="U43" s="1348">
        <v>0</v>
      </c>
      <c r="V43" s="1349">
        <v>0</v>
      </c>
      <c r="W43" s="1229" t="e">
        <f t="shared" si="2"/>
        <v>#DIV/0!</v>
      </c>
      <c r="X43" s="1348">
        <v>3</v>
      </c>
      <c r="Y43" s="1349">
        <v>2</v>
      </c>
      <c r="Z43" s="1229">
        <f t="shared" si="3"/>
        <v>0.66666666666666663</v>
      </c>
      <c r="AA43" s="1348">
        <v>3</v>
      </c>
      <c r="AB43" s="1349">
        <v>0</v>
      </c>
      <c r="AC43" s="1229" t="s">
        <v>6</v>
      </c>
      <c r="AD43" s="1277">
        <v>3</v>
      </c>
      <c r="AE43" s="1229">
        <v>0.33</v>
      </c>
      <c r="AF43" s="1351">
        <v>3</v>
      </c>
      <c r="AG43" s="1352">
        <v>0</v>
      </c>
      <c r="AH43" s="1229">
        <f t="shared" si="7"/>
        <v>0</v>
      </c>
      <c r="AI43" s="1351">
        <v>3</v>
      </c>
      <c r="AJ43" s="1352">
        <v>0</v>
      </c>
      <c r="AK43" s="1229">
        <f t="shared" si="8"/>
        <v>0</v>
      </c>
      <c r="AL43" s="1351">
        <v>3</v>
      </c>
      <c r="AM43" s="1352">
        <v>3</v>
      </c>
      <c r="AN43" s="1229">
        <f t="shared" si="9"/>
        <v>1</v>
      </c>
      <c r="AO43" s="1351">
        <v>3</v>
      </c>
      <c r="AP43" s="1352">
        <v>10</v>
      </c>
      <c r="AQ43" s="1229">
        <f t="shared" si="10"/>
        <v>3.3333333333333335</v>
      </c>
      <c r="AR43" s="1351">
        <v>3</v>
      </c>
      <c r="AS43" s="1352">
        <v>9</v>
      </c>
      <c r="AT43" s="1229">
        <f t="shared" si="11"/>
        <v>3</v>
      </c>
      <c r="AU43" s="1351">
        <v>3</v>
      </c>
      <c r="AV43" s="1280">
        <v>0</v>
      </c>
      <c r="AW43" s="1229">
        <f t="shared" si="12"/>
        <v>0</v>
      </c>
      <c r="AX43" s="1277">
        <f>+Y43+AB43+AG43+AJ43+AM43+AP43+AS43+AV43</f>
        <v>24</v>
      </c>
      <c r="AY43" s="1229">
        <f t="shared" si="14"/>
        <v>1</v>
      </c>
      <c r="AZ43" s="891"/>
      <c r="BA43" s="891"/>
      <c r="BB43" s="891"/>
      <c r="BC43" s="891"/>
      <c r="BD43" s="891"/>
      <c r="BE43" s="891"/>
      <c r="BF43" s="891"/>
      <c r="BG43" s="891"/>
      <c r="BH43" s="891"/>
      <c r="BI43" s="891"/>
      <c r="BJ43" s="891"/>
      <c r="BK43" s="891"/>
      <c r="BL43" s="891"/>
      <c r="BM43" s="891"/>
      <c r="BN43" s="891"/>
      <c r="BO43" s="891"/>
      <c r="BP43" s="891"/>
      <c r="BQ43" s="891"/>
      <c r="BR43" s="891"/>
      <c r="BS43" s="891"/>
      <c r="BT43" s="891"/>
      <c r="BU43" s="891"/>
      <c r="BV43" s="891"/>
      <c r="BW43" s="891"/>
      <c r="BX43" s="891"/>
      <c r="BY43" s="891"/>
      <c r="BZ43" s="891"/>
      <c r="CA43" s="891"/>
      <c r="CB43" s="891"/>
      <c r="CC43" s="891"/>
      <c r="CD43" s="891"/>
      <c r="CE43" s="891"/>
      <c r="CF43" s="891"/>
      <c r="CG43" s="891"/>
      <c r="CH43" s="891"/>
      <c r="CI43" s="891"/>
      <c r="CJ43" s="891"/>
      <c r="CK43" s="891"/>
      <c r="CL43" s="891"/>
      <c r="CM43" s="891"/>
      <c r="CN43" s="891"/>
      <c r="CO43" s="891"/>
      <c r="CP43" s="891"/>
      <c r="CQ43" s="891"/>
      <c r="CR43" s="891"/>
      <c r="CS43" s="891"/>
      <c r="CT43" s="891"/>
      <c r="CU43" s="891"/>
      <c r="CV43" s="891"/>
      <c r="CW43" s="891"/>
      <c r="CX43" s="891"/>
      <c r="CY43" s="891"/>
      <c r="CZ43" s="891"/>
      <c r="DA43" s="891"/>
      <c r="DB43" s="891"/>
      <c r="DC43" s="891"/>
      <c r="DD43" s="891"/>
      <c r="DE43" s="891"/>
      <c r="DF43" s="891"/>
      <c r="DG43" s="891"/>
      <c r="DH43" s="891"/>
      <c r="DI43" s="891"/>
      <c r="DJ43" s="891"/>
      <c r="DK43" s="891"/>
      <c r="DL43" s="891"/>
      <c r="DM43" s="891"/>
      <c r="DN43" s="891"/>
      <c r="DO43" s="891"/>
      <c r="DP43" s="891"/>
      <c r="DQ43" s="891"/>
      <c r="DR43" s="891"/>
      <c r="DS43" s="891"/>
      <c r="DT43" s="891"/>
      <c r="DU43" s="891"/>
      <c r="DV43" s="891"/>
      <c r="DW43" s="891"/>
      <c r="DX43" s="891"/>
      <c r="DY43" s="891"/>
      <c r="DZ43" s="891"/>
      <c r="EA43" s="891"/>
      <c r="EB43" s="891"/>
      <c r="EC43" s="891"/>
      <c r="ED43" s="891"/>
      <c r="EE43" s="891"/>
      <c r="EF43" s="891"/>
      <c r="EG43" s="891"/>
      <c r="EH43" s="891"/>
      <c r="EI43" s="891"/>
      <c r="EJ43" s="891"/>
      <c r="EK43" s="891"/>
      <c r="EL43" s="891"/>
      <c r="EM43" s="891"/>
      <c r="EN43" s="891"/>
      <c r="EO43" s="891"/>
      <c r="EP43" s="891"/>
      <c r="EQ43" s="891"/>
      <c r="ER43" s="891"/>
      <c r="ES43" s="891"/>
      <c r="ET43" s="891"/>
      <c r="EU43" s="891"/>
      <c r="EV43" s="891"/>
      <c r="EW43" s="891"/>
      <c r="EX43" s="891"/>
      <c r="EY43" s="891"/>
      <c r="EZ43" s="891"/>
      <c r="FA43" s="891"/>
      <c r="FB43" s="891"/>
      <c r="FC43" s="891"/>
      <c r="FD43" s="891"/>
      <c r="FE43" s="891"/>
      <c r="FF43" s="891"/>
      <c r="FG43" s="891"/>
      <c r="FH43" s="891"/>
      <c r="FI43" s="891"/>
      <c r="FJ43" s="891"/>
      <c r="FK43" s="891"/>
      <c r="FL43" s="891"/>
      <c r="FM43" s="891"/>
      <c r="FN43" s="891"/>
      <c r="FO43" s="891"/>
      <c r="FP43" s="891"/>
      <c r="FQ43" s="891"/>
      <c r="FR43" s="891"/>
      <c r="FS43" s="891"/>
      <c r="FT43" s="891"/>
      <c r="FU43" s="891"/>
      <c r="FV43" s="891"/>
      <c r="FW43" s="891"/>
      <c r="FX43" s="891"/>
      <c r="FY43" s="891"/>
      <c r="FZ43" s="891"/>
      <c r="GA43" s="891"/>
      <c r="GB43" s="891"/>
      <c r="GC43" s="891"/>
      <c r="GD43" s="891"/>
      <c r="GE43" s="891"/>
      <c r="GF43" s="891"/>
      <c r="GG43" s="891"/>
      <c r="GH43" s="891"/>
      <c r="GI43" s="891"/>
      <c r="GJ43" s="891"/>
      <c r="GK43" s="891"/>
      <c r="GL43" s="891"/>
      <c r="GM43" s="891"/>
      <c r="GN43" s="891"/>
      <c r="GO43" s="891"/>
      <c r="GP43" s="891"/>
      <c r="GQ43" s="891"/>
      <c r="GR43" s="891"/>
      <c r="GS43" s="891"/>
      <c r="GT43" s="891"/>
      <c r="GU43" s="891"/>
      <c r="GV43" s="891"/>
      <c r="GW43" s="891"/>
      <c r="GX43" s="891"/>
      <c r="GY43" s="891"/>
      <c r="GZ43" s="891"/>
      <c r="HA43" s="891"/>
      <c r="HB43" s="891"/>
      <c r="HC43" s="891"/>
      <c r="HD43" s="891"/>
      <c r="HE43" s="891"/>
      <c r="HF43" s="891"/>
      <c r="HG43" s="891"/>
      <c r="HH43" s="891"/>
      <c r="HI43" s="891"/>
      <c r="HJ43" s="891"/>
      <c r="HK43" s="891"/>
      <c r="HL43" s="891"/>
      <c r="HM43" s="891"/>
      <c r="HN43" s="891"/>
      <c r="HO43" s="891"/>
      <c r="HP43" s="891"/>
      <c r="HQ43" s="891"/>
      <c r="HR43" s="891"/>
      <c r="HS43" s="891"/>
      <c r="HT43" s="891"/>
      <c r="HU43" s="891"/>
      <c r="HV43" s="891"/>
      <c r="HW43" s="891"/>
      <c r="HX43" s="891"/>
      <c r="HY43" s="891"/>
      <c r="HZ43" s="891"/>
      <c r="IA43" s="891"/>
      <c r="IB43" s="891"/>
      <c r="IC43" s="891"/>
      <c r="ID43" s="891"/>
      <c r="IE43" s="891"/>
      <c r="IF43" s="891"/>
      <c r="IG43" s="891"/>
      <c r="IH43" s="891"/>
      <c r="II43" s="891"/>
      <c r="IJ43" s="891"/>
      <c r="IK43" s="891"/>
      <c r="IL43" s="891"/>
      <c r="IM43" s="891"/>
      <c r="IN43" s="891"/>
      <c r="IO43" s="891"/>
      <c r="IP43" s="891"/>
      <c r="IQ43" s="891"/>
      <c r="IR43" s="891"/>
      <c r="IS43" s="891"/>
      <c r="IT43" s="891"/>
      <c r="IU43" s="891"/>
      <c r="IV43" s="891"/>
      <c r="IW43" s="891"/>
      <c r="IX43" s="891"/>
      <c r="IY43" s="891"/>
      <c r="IZ43" s="891"/>
      <c r="JA43" s="891"/>
      <c r="JB43" s="891"/>
      <c r="JC43" s="891"/>
      <c r="JD43" s="891"/>
      <c r="JE43" s="891"/>
      <c r="JF43" s="891"/>
      <c r="JG43" s="891"/>
      <c r="JH43" s="891"/>
      <c r="JI43" s="891"/>
      <c r="JJ43" s="891"/>
      <c r="JK43" s="891"/>
      <c r="JL43" s="891"/>
      <c r="JM43" s="891"/>
      <c r="JN43" s="891"/>
      <c r="JO43" s="891"/>
      <c r="JP43" s="891"/>
      <c r="JQ43" s="891"/>
      <c r="JR43" s="891"/>
      <c r="JS43" s="891"/>
      <c r="JT43" s="891"/>
      <c r="JU43" s="891"/>
      <c r="JV43" s="891"/>
      <c r="JW43" s="891"/>
      <c r="JX43" s="891"/>
      <c r="JY43" s="891"/>
      <c r="JZ43" s="891"/>
      <c r="KA43" s="891"/>
      <c r="KB43" s="891"/>
      <c r="KC43" s="891"/>
      <c r="KD43" s="891"/>
      <c r="KE43" s="891"/>
      <c r="KF43" s="891"/>
      <c r="KG43" s="891"/>
      <c r="KH43" s="891"/>
      <c r="KI43" s="891"/>
      <c r="KJ43" s="891"/>
      <c r="KK43" s="891"/>
      <c r="KL43" s="891"/>
      <c r="KM43" s="891"/>
      <c r="KN43" s="891"/>
      <c r="KO43" s="891"/>
      <c r="KP43" s="891"/>
      <c r="KQ43" s="891"/>
      <c r="KR43" s="891"/>
      <c r="KS43" s="891"/>
      <c r="KT43" s="891"/>
      <c r="KU43" s="891"/>
      <c r="KV43" s="891"/>
      <c r="KW43" s="891"/>
      <c r="KX43" s="891"/>
      <c r="KY43" s="891"/>
      <c r="KZ43" s="891"/>
      <c r="LA43" s="891"/>
      <c r="LB43" s="891"/>
      <c r="LC43" s="891"/>
      <c r="LD43" s="891"/>
      <c r="LE43" s="891"/>
      <c r="LF43" s="891"/>
      <c r="LG43" s="891"/>
      <c r="LH43" s="891"/>
      <c r="LI43" s="891"/>
      <c r="LJ43" s="891"/>
      <c r="LK43" s="891"/>
      <c r="LL43" s="891"/>
      <c r="LM43" s="891"/>
      <c r="LN43" s="891"/>
      <c r="LO43" s="891"/>
      <c r="LP43" s="891"/>
      <c r="LQ43" s="891"/>
      <c r="LR43" s="891"/>
      <c r="LS43" s="891"/>
      <c r="LT43" s="891"/>
      <c r="LU43" s="891"/>
      <c r="LV43" s="891"/>
      <c r="LW43" s="891"/>
      <c r="LX43" s="891"/>
      <c r="LY43" s="891"/>
      <c r="LZ43" s="891"/>
      <c r="MA43" s="891"/>
      <c r="MB43" s="891"/>
      <c r="MC43" s="891"/>
      <c r="MD43" s="891"/>
      <c r="ME43" s="891"/>
      <c r="MF43" s="891"/>
      <c r="MG43" s="891"/>
      <c r="MH43" s="891"/>
      <c r="MI43" s="891"/>
      <c r="MJ43" s="891"/>
      <c r="MK43" s="891"/>
      <c r="ML43" s="891"/>
      <c r="MM43" s="891"/>
      <c r="MN43" s="891"/>
      <c r="MO43" s="891"/>
      <c r="MP43" s="891"/>
      <c r="MQ43" s="891"/>
      <c r="MR43" s="891"/>
      <c r="MS43" s="891"/>
      <c r="MT43" s="891"/>
      <c r="MU43" s="891"/>
      <c r="MV43" s="891"/>
      <c r="MW43" s="891"/>
      <c r="MX43" s="891"/>
      <c r="MY43" s="891"/>
      <c r="MZ43" s="891"/>
      <c r="NA43" s="891"/>
      <c r="NB43" s="891"/>
      <c r="NC43" s="891"/>
      <c r="ND43" s="891"/>
      <c r="NE43" s="891"/>
      <c r="NF43" s="891"/>
      <c r="NG43" s="891"/>
      <c r="NH43" s="891"/>
      <c r="NI43" s="891"/>
      <c r="NJ43" s="891"/>
      <c r="NK43" s="891"/>
      <c r="NL43" s="891"/>
      <c r="NM43" s="891"/>
      <c r="NN43" s="891"/>
      <c r="NO43" s="891"/>
      <c r="NP43" s="891"/>
      <c r="NQ43" s="891"/>
      <c r="NR43" s="891"/>
      <c r="NS43" s="891"/>
      <c r="NT43" s="891"/>
      <c r="NU43" s="891"/>
      <c r="NV43" s="891"/>
      <c r="NW43" s="891"/>
      <c r="NX43" s="891"/>
      <c r="NY43" s="891"/>
      <c r="NZ43" s="891"/>
      <c r="OA43" s="891"/>
      <c r="OB43" s="891"/>
      <c r="OC43" s="891"/>
      <c r="OD43" s="891"/>
      <c r="OE43" s="891"/>
      <c r="OF43" s="891"/>
      <c r="OG43" s="891"/>
      <c r="OH43" s="891"/>
      <c r="OI43" s="891"/>
      <c r="OJ43" s="891"/>
      <c r="OK43" s="891"/>
      <c r="OL43" s="891"/>
      <c r="OM43" s="891"/>
      <c r="ON43" s="891"/>
      <c r="OO43" s="891"/>
      <c r="OP43" s="891"/>
      <c r="OQ43" s="891"/>
      <c r="OR43" s="891"/>
      <c r="OS43" s="891"/>
      <c r="OT43" s="891"/>
      <c r="OU43" s="891"/>
      <c r="OV43" s="891"/>
      <c r="OW43" s="891"/>
      <c r="OX43" s="891"/>
      <c r="OY43" s="891"/>
      <c r="OZ43" s="891"/>
      <c r="PA43" s="891"/>
      <c r="PB43" s="891"/>
      <c r="PC43" s="891"/>
      <c r="PD43" s="891"/>
      <c r="PE43" s="891"/>
      <c r="PF43" s="891"/>
      <c r="PG43" s="891"/>
      <c r="PH43" s="891"/>
      <c r="PI43" s="891"/>
      <c r="PJ43" s="891"/>
      <c r="PK43" s="891"/>
      <c r="PL43" s="891"/>
      <c r="PM43" s="891"/>
      <c r="PN43" s="891"/>
      <c r="PO43" s="891"/>
      <c r="PP43" s="891"/>
      <c r="PQ43" s="891"/>
      <c r="PR43" s="891"/>
      <c r="PS43" s="891"/>
      <c r="PT43" s="891"/>
      <c r="PU43" s="891"/>
      <c r="PV43" s="891"/>
      <c r="PW43" s="891"/>
      <c r="PX43" s="891"/>
      <c r="PY43" s="891"/>
      <c r="PZ43" s="891"/>
      <c r="QA43" s="891"/>
      <c r="QB43" s="891"/>
      <c r="QC43" s="891"/>
      <c r="QD43" s="891"/>
      <c r="QE43" s="891"/>
      <c r="QF43" s="891"/>
      <c r="QG43" s="891"/>
      <c r="QH43" s="891"/>
      <c r="QI43" s="891"/>
      <c r="QJ43" s="891"/>
      <c r="QK43" s="891"/>
      <c r="QL43" s="891"/>
      <c r="QM43" s="891"/>
      <c r="QN43" s="891"/>
      <c r="QO43" s="891"/>
      <c r="QP43" s="891"/>
      <c r="QQ43" s="891"/>
      <c r="QR43" s="891"/>
      <c r="QS43" s="891"/>
      <c r="QT43" s="891"/>
      <c r="QU43" s="891"/>
      <c r="QV43" s="891"/>
      <c r="QW43" s="891"/>
      <c r="QX43" s="891"/>
      <c r="QY43" s="891"/>
      <c r="QZ43" s="891"/>
      <c r="RA43" s="891"/>
      <c r="RB43" s="891"/>
      <c r="RC43" s="891"/>
      <c r="RD43" s="891"/>
      <c r="RE43" s="891"/>
      <c r="RF43" s="891"/>
      <c r="RG43" s="891"/>
      <c r="RH43" s="891"/>
      <c r="RI43" s="891"/>
      <c r="RJ43" s="891"/>
      <c r="RK43" s="891"/>
      <c r="RL43" s="891"/>
      <c r="RM43" s="891"/>
      <c r="RN43" s="891"/>
      <c r="RO43" s="891"/>
      <c r="RP43" s="891"/>
      <c r="RQ43" s="891"/>
      <c r="RR43" s="891"/>
      <c r="RS43" s="891"/>
      <c r="RT43" s="891"/>
      <c r="RU43" s="891"/>
      <c r="RV43" s="891"/>
      <c r="RW43" s="891"/>
      <c r="RX43" s="891"/>
      <c r="RY43" s="891"/>
      <c r="RZ43" s="891"/>
      <c r="SA43" s="891"/>
      <c r="SB43" s="891"/>
      <c r="SC43" s="891"/>
      <c r="SD43" s="891"/>
      <c r="SE43" s="891"/>
      <c r="SF43" s="891"/>
      <c r="SG43" s="891"/>
      <c r="SH43" s="891"/>
      <c r="SI43" s="891"/>
      <c r="SJ43" s="891"/>
      <c r="SK43" s="891"/>
      <c r="SL43" s="891"/>
      <c r="SM43" s="891"/>
      <c r="SN43" s="891"/>
      <c r="SO43" s="891"/>
      <c r="SP43" s="891"/>
      <c r="SQ43" s="891"/>
      <c r="SR43" s="891"/>
      <c r="SS43" s="891"/>
      <c r="ST43" s="891"/>
      <c r="SU43" s="891"/>
      <c r="SV43" s="891"/>
      <c r="SW43" s="891"/>
      <c r="SX43" s="891"/>
      <c r="SY43" s="891"/>
      <c r="SZ43" s="891"/>
      <c r="TA43" s="891"/>
      <c r="TB43" s="891"/>
      <c r="TC43" s="891"/>
      <c r="TD43" s="891"/>
      <c r="TE43" s="891"/>
      <c r="TF43" s="891"/>
      <c r="TG43" s="891"/>
      <c r="TH43" s="891"/>
      <c r="TI43" s="891"/>
      <c r="TJ43" s="891"/>
      <c r="TK43" s="891"/>
      <c r="TL43" s="891"/>
      <c r="TM43" s="891"/>
      <c r="TN43" s="891"/>
      <c r="TO43" s="891"/>
      <c r="TP43" s="891"/>
      <c r="TQ43" s="891"/>
      <c r="TR43" s="891"/>
      <c r="TS43" s="891"/>
      <c r="TT43" s="891"/>
      <c r="TU43" s="891"/>
      <c r="TV43" s="891"/>
      <c r="TW43" s="891"/>
      <c r="TX43" s="891"/>
      <c r="TY43" s="891"/>
      <c r="TZ43" s="891"/>
      <c r="UA43" s="891"/>
      <c r="UB43" s="891"/>
      <c r="UC43" s="891"/>
      <c r="UD43" s="891"/>
      <c r="UE43" s="891"/>
      <c r="UF43" s="891"/>
      <c r="UG43" s="891"/>
      <c r="UH43" s="891"/>
      <c r="UI43" s="891"/>
      <c r="UJ43" s="891"/>
      <c r="UK43" s="891"/>
      <c r="UL43" s="891"/>
      <c r="UM43" s="891"/>
      <c r="UN43" s="891"/>
      <c r="UO43" s="891"/>
      <c r="UP43" s="891"/>
      <c r="UQ43" s="891"/>
      <c r="UR43" s="891"/>
      <c r="US43" s="891"/>
      <c r="UT43" s="891"/>
      <c r="UU43" s="891"/>
      <c r="UV43" s="891"/>
      <c r="UW43" s="891"/>
      <c r="UX43" s="891"/>
      <c r="UY43" s="891"/>
      <c r="UZ43" s="891"/>
      <c r="VA43" s="891"/>
      <c r="VB43" s="891"/>
      <c r="VC43" s="891"/>
      <c r="VD43" s="891"/>
      <c r="VE43" s="891"/>
      <c r="VF43" s="891"/>
      <c r="VG43" s="891"/>
      <c r="VH43" s="891"/>
      <c r="VI43" s="891"/>
      <c r="VJ43" s="891"/>
      <c r="VK43" s="891"/>
      <c r="VL43" s="891"/>
      <c r="VM43" s="891"/>
      <c r="VN43" s="891"/>
      <c r="VO43" s="891"/>
      <c r="VP43" s="891"/>
      <c r="VQ43" s="891"/>
      <c r="VR43" s="891"/>
      <c r="VS43" s="891"/>
      <c r="VT43" s="891"/>
      <c r="VU43" s="891"/>
      <c r="VV43" s="891"/>
      <c r="VW43" s="891"/>
      <c r="VX43" s="891"/>
      <c r="VY43" s="891"/>
      <c r="VZ43" s="891"/>
      <c r="WA43" s="891"/>
      <c r="WB43" s="891"/>
      <c r="WC43" s="891"/>
      <c r="WD43" s="891"/>
      <c r="WE43" s="891"/>
      <c r="WF43" s="891"/>
      <c r="WG43" s="891"/>
      <c r="WH43" s="891"/>
      <c r="WI43" s="891"/>
      <c r="WJ43" s="891"/>
      <c r="WK43" s="891"/>
      <c r="WL43" s="891"/>
      <c r="WM43" s="891"/>
      <c r="WN43" s="891"/>
      <c r="WO43" s="891"/>
      <c r="WP43" s="891"/>
      <c r="WQ43" s="891"/>
      <c r="WR43" s="891"/>
      <c r="WS43" s="891"/>
      <c r="WT43" s="891"/>
      <c r="WU43" s="891"/>
      <c r="WV43" s="891"/>
      <c r="WW43" s="891"/>
      <c r="WX43" s="891"/>
      <c r="WY43" s="891"/>
      <c r="WZ43" s="891"/>
      <c r="XA43" s="891"/>
      <c r="XB43" s="891"/>
      <c r="XC43" s="891"/>
      <c r="XD43" s="891"/>
      <c r="XE43" s="891"/>
      <c r="XF43" s="891"/>
      <c r="XG43" s="891"/>
      <c r="XH43" s="891"/>
      <c r="XI43" s="891"/>
      <c r="XJ43" s="891"/>
      <c r="XK43" s="891"/>
      <c r="XL43" s="891"/>
      <c r="XM43" s="891"/>
      <c r="XN43" s="891"/>
      <c r="XO43" s="891"/>
      <c r="XP43" s="891"/>
      <c r="XQ43" s="891"/>
      <c r="XR43" s="891"/>
      <c r="XS43" s="891"/>
      <c r="XT43" s="891"/>
      <c r="XU43" s="891"/>
      <c r="XV43" s="891"/>
      <c r="XW43" s="891"/>
      <c r="XX43" s="891"/>
      <c r="XY43" s="891"/>
      <c r="XZ43" s="891"/>
      <c r="YA43" s="891"/>
      <c r="YB43" s="891"/>
      <c r="YC43" s="891"/>
      <c r="YD43" s="891"/>
      <c r="YE43" s="891"/>
      <c r="YF43" s="891"/>
      <c r="YG43" s="891"/>
      <c r="YH43" s="891"/>
      <c r="YI43" s="891"/>
      <c r="YJ43" s="891"/>
      <c r="YK43" s="891"/>
      <c r="YL43" s="891"/>
      <c r="YM43" s="891"/>
      <c r="YN43" s="891"/>
      <c r="YO43" s="891"/>
      <c r="YP43" s="891"/>
      <c r="YQ43" s="891"/>
      <c r="YR43" s="891"/>
      <c r="YS43" s="891"/>
      <c r="YT43" s="891"/>
      <c r="YU43" s="891"/>
      <c r="YV43" s="891"/>
      <c r="YW43" s="891"/>
      <c r="YX43" s="891"/>
      <c r="YY43" s="891"/>
      <c r="YZ43" s="891"/>
      <c r="ZA43" s="891"/>
      <c r="ZB43" s="891"/>
      <c r="ZC43" s="891"/>
      <c r="ZD43" s="891"/>
      <c r="ZE43" s="891"/>
      <c r="ZF43" s="891"/>
      <c r="ZG43" s="891"/>
      <c r="ZH43" s="891"/>
      <c r="ZI43" s="891"/>
      <c r="ZJ43" s="891"/>
      <c r="ZK43" s="891"/>
      <c r="ZL43" s="891"/>
      <c r="ZM43" s="891"/>
      <c r="ZN43" s="891"/>
      <c r="ZO43" s="891"/>
      <c r="ZP43" s="891"/>
      <c r="ZQ43" s="891"/>
      <c r="ZR43" s="891"/>
      <c r="ZS43" s="891"/>
      <c r="ZT43" s="891"/>
      <c r="ZU43" s="891"/>
      <c r="ZV43" s="891"/>
      <c r="ZW43" s="891"/>
      <c r="ZX43" s="891"/>
      <c r="ZY43" s="891"/>
      <c r="ZZ43" s="891"/>
      <c r="AAA43" s="891"/>
      <c r="AAB43" s="891"/>
      <c r="AAC43" s="891"/>
      <c r="AAD43" s="891"/>
      <c r="AAE43" s="891"/>
      <c r="AAF43" s="891"/>
      <c r="AAG43" s="891"/>
      <c r="AAH43" s="891"/>
      <c r="AAI43" s="891"/>
      <c r="AAJ43" s="891"/>
      <c r="AAK43" s="891"/>
      <c r="AAL43" s="891"/>
      <c r="AAM43" s="891"/>
      <c r="AAN43" s="891"/>
      <c r="AAO43" s="891"/>
      <c r="AAP43" s="891"/>
      <c r="AAQ43" s="891"/>
      <c r="AAR43" s="891"/>
      <c r="AAS43" s="891"/>
      <c r="AAT43" s="891"/>
      <c r="AAU43" s="891"/>
      <c r="AAV43" s="891"/>
      <c r="AAW43" s="891"/>
      <c r="AAX43" s="891"/>
      <c r="AAY43" s="891"/>
      <c r="AAZ43" s="891"/>
      <c r="ABA43" s="891"/>
      <c r="ABB43" s="891"/>
      <c r="ABC43" s="891"/>
      <c r="ABD43" s="891"/>
      <c r="ABE43" s="891"/>
      <c r="ABF43" s="891"/>
      <c r="ABG43" s="891"/>
      <c r="ABH43" s="891"/>
      <c r="ABI43" s="891"/>
      <c r="ABJ43" s="891"/>
      <c r="ABK43" s="891"/>
      <c r="ABL43" s="891"/>
      <c r="ABM43" s="891"/>
      <c r="ABN43" s="891"/>
      <c r="ABO43" s="891"/>
      <c r="ABP43" s="891"/>
      <c r="ABQ43" s="891"/>
      <c r="ABR43" s="891"/>
      <c r="ABS43" s="891"/>
      <c r="ABT43" s="891"/>
      <c r="ABU43" s="891"/>
      <c r="ABV43" s="891"/>
      <c r="ABW43" s="891"/>
      <c r="ABX43" s="891"/>
      <c r="ABY43" s="891"/>
      <c r="ABZ43" s="891"/>
      <c r="ACA43" s="891"/>
      <c r="ACB43" s="891"/>
      <c r="ACC43" s="891"/>
      <c r="ACD43" s="891"/>
      <c r="ACE43" s="891"/>
      <c r="ACF43" s="891"/>
      <c r="ACG43" s="891"/>
      <c r="ACH43" s="891"/>
      <c r="ACI43" s="891"/>
      <c r="ACJ43" s="891"/>
      <c r="ACK43" s="891"/>
      <c r="ACL43" s="891"/>
      <c r="ACM43" s="891"/>
      <c r="ACN43" s="891"/>
      <c r="ACO43" s="891"/>
      <c r="ACP43" s="891"/>
      <c r="ACQ43" s="891"/>
      <c r="ACR43" s="891"/>
      <c r="ACS43" s="891"/>
      <c r="ACT43" s="891"/>
      <c r="ACU43" s="891"/>
      <c r="ACV43" s="891"/>
      <c r="ACW43" s="891"/>
      <c r="ACX43" s="891"/>
      <c r="ACY43" s="891"/>
      <c r="ACZ43" s="891"/>
      <c r="ADA43" s="891"/>
      <c r="ADB43" s="891"/>
      <c r="ADC43" s="891"/>
      <c r="ADD43" s="891"/>
      <c r="ADE43" s="891"/>
      <c r="ADF43" s="891"/>
      <c r="ADG43" s="891"/>
      <c r="ADH43" s="891"/>
      <c r="ADI43" s="891"/>
      <c r="ADJ43" s="891"/>
      <c r="ADK43" s="891"/>
      <c r="ADL43" s="891"/>
      <c r="ADM43" s="891"/>
      <c r="ADN43" s="891"/>
      <c r="ADO43" s="891"/>
      <c r="ADP43" s="891"/>
      <c r="ADQ43" s="891"/>
      <c r="ADR43" s="891"/>
      <c r="ADS43" s="891"/>
      <c r="ADT43" s="891"/>
      <c r="ADU43" s="891"/>
      <c r="ADV43" s="891"/>
      <c r="ADW43" s="891"/>
      <c r="ADX43" s="891"/>
      <c r="ADY43" s="891"/>
      <c r="ADZ43" s="891"/>
      <c r="AEA43" s="891"/>
      <c r="AEB43" s="891"/>
    </row>
    <row r="44" spans="1:808" s="1335" customFormat="1" ht="87.2" customHeight="1" thickTop="1" thickBot="1">
      <c r="A44" s="3067"/>
      <c r="B44" s="3080"/>
      <c r="C44" s="3063"/>
      <c r="D44" s="1333" t="s">
        <v>252</v>
      </c>
      <c r="E44" s="1234" t="s">
        <v>253</v>
      </c>
      <c r="F44" s="1234" t="s">
        <v>24</v>
      </c>
      <c r="G44" s="1234">
        <v>272</v>
      </c>
      <c r="H44" s="1234"/>
      <c r="I44" s="1234"/>
      <c r="J44" s="1234"/>
      <c r="K44" s="1234" t="s">
        <v>249</v>
      </c>
      <c r="L44" s="1240">
        <v>0</v>
      </c>
      <c r="M44" s="1243"/>
      <c r="N44" s="1229" t="e">
        <f t="shared" si="15"/>
        <v>#DIV/0!</v>
      </c>
      <c r="O44" s="1240">
        <v>0</v>
      </c>
      <c r="P44" s="1243"/>
      <c r="Q44" s="1229" t="e">
        <f t="shared" si="1"/>
        <v>#DIV/0!</v>
      </c>
      <c r="R44" s="1240">
        <v>0</v>
      </c>
      <c r="S44" s="1243"/>
      <c r="T44" s="1229" t="e">
        <f t="shared" si="0"/>
        <v>#DIV/0!</v>
      </c>
      <c r="U44" s="1240">
        <v>0</v>
      </c>
      <c r="V44" s="1243"/>
      <c r="W44" s="1229" t="e">
        <f t="shared" si="2"/>
        <v>#DIV/0!</v>
      </c>
      <c r="X44" s="1240">
        <v>34</v>
      </c>
      <c r="Y44" s="1243">
        <v>134</v>
      </c>
      <c r="Z44" s="1229">
        <f t="shared" si="3"/>
        <v>3.9411764705882355</v>
      </c>
      <c r="AA44" s="1240">
        <v>34</v>
      </c>
      <c r="AB44" s="1243">
        <v>30</v>
      </c>
      <c r="AC44" s="1229">
        <f t="shared" si="4"/>
        <v>0.88235294117647056</v>
      </c>
      <c r="AD44" s="1277">
        <f>+Y44+AB44</f>
        <v>164</v>
      </c>
      <c r="AE44" s="1229">
        <v>2.41</v>
      </c>
      <c r="AF44" s="1240">
        <v>34</v>
      </c>
      <c r="AG44" s="1243">
        <v>20</v>
      </c>
      <c r="AH44" s="1229">
        <f t="shared" si="7"/>
        <v>0.58823529411764708</v>
      </c>
      <c r="AI44" s="1240">
        <v>34</v>
      </c>
      <c r="AJ44" s="1243">
        <v>6</v>
      </c>
      <c r="AK44" s="1229">
        <f t="shared" si="8"/>
        <v>0.17647058823529413</v>
      </c>
      <c r="AL44" s="1240">
        <v>34</v>
      </c>
      <c r="AM44" s="1243">
        <v>15</v>
      </c>
      <c r="AN44" s="1229">
        <f t="shared" si="9"/>
        <v>0.44117647058823528</v>
      </c>
      <c r="AO44" s="1240">
        <v>34</v>
      </c>
      <c r="AP44" s="1243">
        <v>0</v>
      </c>
      <c r="AQ44" s="1229">
        <f t="shared" si="10"/>
        <v>0</v>
      </c>
      <c r="AR44" s="1240">
        <v>34</v>
      </c>
      <c r="AS44" s="1243">
        <v>78</v>
      </c>
      <c r="AT44" s="1229">
        <f t="shared" si="11"/>
        <v>2.2941176470588234</v>
      </c>
      <c r="AU44" s="1240">
        <v>34</v>
      </c>
      <c r="AV44" s="1243">
        <v>9</v>
      </c>
      <c r="AW44" s="1229">
        <f t="shared" si="12"/>
        <v>0.26470588235294118</v>
      </c>
      <c r="AX44" s="1244">
        <f>+Y44+AB44+AG44+AJ44+AM44+AP44+AS44+AV44</f>
        <v>292</v>
      </c>
      <c r="AY44" s="1229">
        <f t="shared" si="14"/>
        <v>1.0735294117647058</v>
      </c>
      <c r="AZ44" s="891"/>
      <c r="BA44" s="891"/>
      <c r="BB44" s="891"/>
      <c r="BC44" s="891"/>
      <c r="BD44" s="891"/>
      <c r="BE44" s="891"/>
      <c r="BF44" s="891"/>
      <c r="BG44" s="891"/>
      <c r="BH44" s="891"/>
      <c r="BI44" s="891"/>
      <c r="BJ44" s="891"/>
      <c r="BK44" s="891"/>
      <c r="BL44" s="891"/>
      <c r="BM44" s="891"/>
      <c r="BN44" s="891"/>
      <c r="BO44" s="891"/>
      <c r="BP44" s="891"/>
      <c r="BQ44" s="891"/>
      <c r="BR44" s="891"/>
      <c r="BS44" s="891"/>
      <c r="BT44" s="891"/>
      <c r="BU44" s="891"/>
      <c r="BV44" s="891"/>
      <c r="BW44" s="891"/>
      <c r="BX44" s="891"/>
      <c r="BY44" s="891"/>
      <c r="BZ44" s="891"/>
      <c r="CA44" s="891"/>
      <c r="CB44" s="891"/>
      <c r="CC44" s="891"/>
      <c r="CD44" s="891"/>
      <c r="CE44" s="891"/>
      <c r="CF44" s="891"/>
      <c r="CG44" s="891"/>
      <c r="CH44" s="891"/>
      <c r="CI44" s="891"/>
      <c r="CJ44" s="891"/>
      <c r="CK44" s="891"/>
      <c r="CL44" s="891"/>
      <c r="CM44" s="891"/>
      <c r="CN44" s="891"/>
      <c r="CO44" s="891"/>
      <c r="CP44" s="891"/>
      <c r="CQ44" s="891"/>
      <c r="CR44" s="891"/>
      <c r="CS44" s="891"/>
      <c r="CT44" s="891"/>
      <c r="CU44" s="891"/>
      <c r="CV44" s="891"/>
      <c r="CW44" s="891"/>
      <c r="CX44" s="891"/>
      <c r="CY44" s="891"/>
      <c r="CZ44" s="891"/>
      <c r="DA44" s="891"/>
      <c r="DB44" s="891"/>
      <c r="DC44" s="891"/>
      <c r="DD44" s="891"/>
      <c r="DE44" s="891"/>
      <c r="DF44" s="891"/>
      <c r="DG44" s="891"/>
      <c r="DH44" s="891"/>
      <c r="DI44" s="891"/>
      <c r="DJ44" s="891"/>
      <c r="DK44" s="891"/>
      <c r="DL44" s="891"/>
      <c r="DM44" s="891"/>
      <c r="DN44" s="891"/>
      <c r="DO44" s="891"/>
      <c r="DP44" s="891"/>
      <c r="DQ44" s="891"/>
      <c r="DR44" s="891"/>
      <c r="DS44" s="891"/>
      <c r="DT44" s="891"/>
      <c r="DU44" s="891"/>
      <c r="DV44" s="891"/>
      <c r="DW44" s="891"/>
      <c r="DX44" s="891"/>
      <c r="DY44" s="891"/>
      <c r="DZ44" s="891"/>
      <c r="EA44" s="891"/>
      <c r="EB44" s="891"/>
      <c r="EC44" s="891"/>
      <c r="ED44" s="891"/>
      <c r="EE44" s="891"/>
      <c r="EF44" s="891"/>
      <c r="EG44" s="891"/>
      <c r="EH44" s="891"/>
      <c r="EI44" s="891"/>
      <c r="EJ44" s="891"/>
      <c r="EK44" s="891"/>
      <c r="EL44" s="891"/>
      <c r="EM44" s="891"/>
      <c r="EN44" s="891"/>
      <c r="EO44" s="891"/>
      <c r="EP44" s="891"/>
      <c r="EQ44" s="891"/>
      <c r="ER44" s="891"/>
      <c r="ES44" s="891"/>
      <c r="ET44" s="891"/>
      <c r="EU44" s="891"/>
      <c r="EV44" s="891"/>
      <c r="EW44" s="891"/>
      <c r="EX44" s="891"/>
      <c r="EY44" s="891"/>
      <c r="EZ44" s="891"/>
      <c r="FA44" s="891"/>
      <c r="FB44" s="891"/>
      <c r="FC44" s="891"/>
      <c r="FD44" s="891"/>
      <c r="FE44" s="891"/>
      <c r="FF44" s="891"/>
      <c r="FG44" s="891"/>
      <c r="FH44" s="891"/>
      <c r="FI44" s="891"/>
      <c r="FJ44" s="891"/>
      <c r="FK44" s="891"/>
      <c r="FL44" s="891"/>
      <c r="FM44" s="891"/>
      <c r="FN44" s="891"/>
      <c r="FO44" s="891"/>
      <c r="FP44" s="891"/>
      <c r="FQ44" s="891"/>
      <c r="FR44" s="891"/>
      <c r="FS44" s="891"/>
      <c r="FT44" s="891"/>
      <c r="FU44" s="891"/>
      <c r="FV44" s="891"/>
      <c r="FW44" s="891"/>
      <c r="FX44" s="891"/>
      <c r="FY44" s="891"/>
      <c r="FZ44" s="891"/>
      <c r="GA44" s="891"/>
      <c r="GB44" s="891"/>
      <c r="GC44" s="891"/>
      <c r="GD44" s="891"/>
      <c r="GE44" s="891"/>
      <c r="GF44" s="891"/>
      <c r="GG44" s="891"/>
      <c r="GH44" s="891"/>
      <c r="GI44" s="891"/>
      <c r="GJ44" s="891"/>
      <c r="GK44" s="891"/>
      <c r="GL44" s="891"/>
      <c r="GM44" s="891"/>
      <c r="GN44" s="891"/>
      <c r="GO44" s="891"/>
      <c r="GP44" s="891"/>
      <c r="GQ44" s="891"/>
      <c r="GR44" s="891"/>
      <c r="GS44" s="891"/>
      <c r="GT44" s="891"/>
      <c r="GU44" s="891"/>
      <c r="GV44" s="891"/>
      <c r="GW44" s="891"/>
      <c r="GX44" s="891"/>
      <c r="GY44" s="891"/>
      <c r="GZ44" s="891"/>
      <c r="HA44" s="891"/>
      <c r="HB44" s="891"/>
      <c r="HC44" s="891"/>
      <c r="HD44" s="891"/>
      <c r="HE44" s="891"/>
      <c r="HF44" s="891"/>
      <c r="HG44" s="891"/>
      <c r="HH44" s="891"/>
      <c r="HI44" s="891"/>
      <c r="HJ44" s="891"/>
      <c r="HK44" s="891"/>
      <c r="HL44" s="891"/>
      <c r="HM44" s="891"/>
      <c r="HN44" s="891"/>
      <c r="HO44" s="891"/>
      <c r="HP44" s="891"/>
      <c r="HQ44" s="891"/>
      <c r="HR44" s="891"/>
      <c r="HS44" s="891"/>
      <c r="HT44" s="891"/>
      <c r="HU44" s="891"/>
      <c r="HV44" s="891"/>
      <c r="HW44" s="891"/>
      <c r="HX44" s="891"/>
      <c r="HY44" s="891"/>
      <c r="HZ44" s="891"/>
      <c r="IA44" s="891"/>
      <c r="IB44" s="891"/>
      <c r="IC44" s="891"/>
      <c r="ID44" s="891"/>
      <c r="IE44" s="891"/>
      <c r="IF44" s="891"/>
      <c r="IG44" s="891"/>
      <c r="IH44" s="891"/>
      <c r="II44" s="891"/>
      <c r="IJ44" s="891"/>
      <c r="IK44" s="891"/>
      <c r="IL44" s="891"/>
      <c r="IM44" s="891"/>
      <c r="IN44" s="891"/>
      <c r="IO44" s="891"/>
      <c r="IP44" s="891"/>
      <c r="IQ44" s="891"/>
      <c r="IR44" s="891"/>
      <c r="IS44" s="891"/>
      <c r="IT44" s="891"/>
      <c r="IU44" s="891"/>
      <c r="IV44" s="891"/>
      <c r="IW44" s="891"/>
      <c r="IX44" s="891"/>
      <c r="IY44" s="891"/>
      <c r="IZ44" s="891"/>
      <c r="JA44" s="891"/>
      <c r="JB44" s="891"/>
      <c r="JC44" s="891"/>
      <c r="JD44" s="891"/>
      <c r="JE44" s="891"/>
      <c r="JF44" s="891"/>
      <c r="JG44" s="891"/>
      <c r="JH44" s="891"/>
      <c r="JI44" s="891"/>
      <c r="JJ44" s="891"/>
      <c r="JK44" s="891"/>
      <c r="JL44" s="891"/>
      <c r="JM44" s="891"/>
      <c r="JN44" s="891"/>
      <c r="JO44" s="891"/>
      <c r="JP44" s="891"/>
      <c r="JQ44" s="891"/>
      <c r="JR44" s="891"/>
      <c r="JS44" s="891"/>
      <c r="JT44" s="891"/>
      <c r="JU44" s="891"/>
      <c r="JV44" s="891"/>
      <c r="JW44" s="891"/>
      <c r="JX44" s="891"/>
      <c r="JY44" s="891"/>
      <c r="JZ44" s="891"/>
      <c r="KA44" s="891"/>
      <c r="KB44" s="891"/>
      <c r="KC44" s="891"/>
      <c r="KD44" s="891"/>
      <c r="KE44" s="891"/>
      <c r="KF44" s="891"/>
      <c r="KG44" s="891"/>
      <c r="KH44" s="891"/>
      <c r="KI44" s="891"/>
      <c r="KJ44" s="891"/>
      <c r="KK44" s="891"/>
      <c r="KL44" s="891"/>
      <c r="KM44" s="891"/>
      <c r="KN44" s="891"/>
      <c r="KO44" s="891"/>
      <c r="KP44" s="891"/>
      <c r="KQ44" s="891"/>
      <c r="KR44" s="891"/>
      <c r="KS44" s="891"/>
      <c r="KT44" s="891"/>
      <c r="KU44" s="891"/>
      <c r="KV44" s="891"/>
      <c r="KW44" s="891"/>
      <c r="KX44" s="891"/>
      <c r="KY44" s="891"/>
      <c r="KZ44" s="891"/>
      <c r="LA44" s="891"/>
      <c r="LB44" s="891"/>
      <c r="LC44" s="891"/>
      <c r="LD44" s="891"/>
      <c r="LE44" s="891"/>
      <c r="LF44" s="891"/>
      <c r="LG44" s="891"/>
      <c r="LH44" s="891"/>
      <c r="LI44" s="891"/>
      <c r="LJ44" s="891"/>
      <c r="LK44" s="891"/>
      <c r="LL44" s="891"/>
      <c r="LM44" s="891"/>
      <c r="LN44" s="891"/>
      <c r="LO44" s="891"/>
      <c r="LP44" s="891"/>
      <c r="LQ44" s="891"/>
      <c r="LR44" s="891"/>
      <c r="LS44" s="891"/>
      <c r="LT44" s="891"/>
      <c r="LU44" s="891"/>
      <c r="LV44" s="891"/>
      <c r="LW44" s="891"/>
      <c r="LX44" s="891"/>
      <c r="LY44" s="891"/>
      <c r="LZ44" s="891"/>
      <c r="MA44" s="891"/>
      <c r="MB44" s="891"/>
      <c r="MC44" s="891"/>
      <c r="MD44" s="891"/>
      <c r="ME44" s="891"/>
      <c r="MF44" s="891"/>
      <c r="MG44" s="891"/>
      <c r="MH44" s="891"/>
      <c r="MI44" s="891"/>
      <c r="MJ44" s="891"/>
      <c r="MK44" s="891"/>
      <c r="ML44" s="891"/>
      <c r="MM44" s="891"/>
      <c r="MN44" s="891"/>
      <c r="MO44" s="891"/>
      <c r="MP44" s="891"/>
      <c r="MQ44" s="891"/>
      <c r="MR44" s="891"/>
      <c r="MS44" s="891"/>
      <c r="MT44" s="891"/>
      <c r="MU44" s="891"/>
      <c r="MV44" s="891"/>
      <c r="MW44" s="891"/>
      <c r="MX44" s="891"/>
      <c r="MY44" s="891"/>
      <c r="MZ44" s="891"/>
      <c r="NA44" s="891"/>
      <c r="NB44" s="891"/>
      <c r="NC44" s="891"/>
      <c r="ND44" s="891"/>
      <c r="NE44" s="891"/>
      <c r="NF44" s="891"/>
      <c r="NG44" s="891"/>
      <c r="NH44" s="891"/>
      <c r="NI44" s="891"/>
      <c r="NJ44" s="891"/>
      <c r="NK44" s="891"/>
      <c r="NL44" s="891"/>
      <c r="NM44" s="891"/>
      <c r="NN44" s="891"/>
      <c r="NO44" s="891"/>
      <c r="NP44" s="891"/>
      <c r="NQ44" s="891"/>
      <c r="NR44" s="891"/>
      <c r="NS44" s="891"/>
      <c r="NT44" s="891"/>
      <c r="NU44" s="891"/>
      <c r="NV44" s="891"/>
      <c r="NW44" s="891"/>
      <c r="NX44" s="891"/>
      <c r="NY44" s="891"/>
      <c r="NZ44" s="891"/>
      <c r="OA44" s="891"/>
      <c r="OB44" s="891"/>
      <c r="OC44" s="891"/>
      <c r="OD44" s="891"/>
      <c r="OE44" s="891"/>
      <c r="OF44" s="891"/>
      <c r="OG44" s="891"/>
      <c r="OH44" s="891"/>
      <c r="OI44" s="891"/>
      <c r="OJ44" s="891"/>
      <c r="OK44" s="891"/>
      <c r="OL44" s="891"/>
      <c r="OM44" s="891"/>
      <c r="ON44" s="891"/>
      <c r="OO44" s="891"/>
      <c r="OP44" s="891"/>
      <c r="OQ44" s="891"/>
      <c r="OR44" s="891"/>
      <c r="OS44" s="891"/>
      <c r="OT44" s="891"/>
      <c r="OU44" s="891"/>
      <c r="OV44" s="891"/>
      <c r="OW44" s="891"/>
      <c r="OX44" s="891"/>
      <c r="OY44" s="891"/>
      <c r="OZ44" s="891"/>
      <c r="PA44" s="891"/>
      <c r="PB44" s="891"/>
      <c r="PC44" s="891"/>
      <c r="PD44" s="891"/>
      <c r="PE44" s="891"/>
      <c r="PF44" s="891"/>
      <c r="PG44" s="891"/>
      <c r="PH44" s="891"/>
      <c r="PI44" s="891"/>
      <c r="PJ44" s="891"/>
      <c r="PK44" s="891"/>
      <c r="PL44" s="891"/>
      <c r="PM44" s="891"/>
      <c r="PN44" s="891"/>
      <c r="PO44" s="891"/>
      <c r="PP44" s="891"/>
      <c r="PQ44" s="891"/>
      <c r="PR44" s="891"/>
      <c r="PS44" s="891"/>
      <c r="PT44" s="891"/>
      <c r="PU44" s="891"/>
      <c r="PV44" s="891"/>
      <c r="PW44" s="891"/>
      <c r="PX44" s="891"/>
      <c r="PY44" s="891"/>
      <c r="PZ44" s="891"/>
      <c r="QA44" s="891"/>
      <c r="QB44" s="891"/>
      <c r="QC44" s="891"/>
      <c r="QD44" s="891"/>
      <c r="QE44" s="891"/>
      <c r="QF44" s="891"/>
      <c r="QG44" s="891"/>
      <c r="QH44" s="891"/>
      <c r="QI44" s="891"/>
      <c r="QJ44" s="891"/>
      <c r="QK44" s="891"/>
      <c r="QL44" s="891"/>
      <c r="QM44" s="891"/>
      <c r="QN44" s="891"/>
      <c r="QO44" s="891"/>
      <c r="QP44" s="891"/>
      <c r="QQ44" s="891"/>
      <c r="QR44" s="891"/>
      <c r="QS44" s="891"/>
      <c r="QT44" s="891"/>
      <c r="QU44" s="891"/>
      <c r="QV44" s="891"/>
      <c r="QW44" s="891"/>
      <c r="QX44" s="891"/>
      <c r="QY44" s="891"/>
      <c r="QZ44" s="891"/>
      <c r="RA44" s="891"/>
      <c r="RB44" s="891"/>
      <c r="RC44" s="891"/>
      <c r="RD44" s="891"/>
      <c r="RE44" s="891"/>
      <c r="RF44" s="891"/>
      <c r="RG44" s="891"/>
      <c r="RH44" s="891"/>
      <c r="RI44" s="891"/>
      <c r="RJ44" s="891"/>
      <c r="RK44" s="891"/>
      <c r="RL44" s="891"/>
      <c r="RM44" s="891"/>
      <c r="RN44" s="891"/>
      <c r="RO44" s="891"/>
      <c r="RP44" s="891"/>
      <c r="RQ44" s="891"/>
      <c r="RR44" s="891"/>
      <c r="RS44" s="891"/>
      <c r="RT44" s="891"/>
      <c r="RU44" s="891"/>
      <c r="RV44" s="891"/>
      <c r="RW44" s="891"/>
      <c r="RX44" s="891"/>
      <c r="RY44" s="891"/>
      <c r="RZ44" s="891"/>
      <c r="SA44" s="891"/>
      <c r="SB44" s="891"/>
      <c r="SC44" s="891"/>
      <c r="SD44" s="891"/>
      <c r="SE44" s="891"/>
      <c r="SF44" s="891"/>
      <c r="SG44" s="891"/>
      <c r="SH44" s="891"/>
      <c r="SI44" s="891"/>
      <c r="SJ44" s="891"/>
      <c r="SK44" s="891"/>
      <c r="SL44" s="891"/>
      <c r="SM44" s="891"/>
      <c r="SN44" s="891"/>
      <c r="SO44" s="891"/>
      <c r="SP44" s="891"/>
      <c r="SQ44" s="891"/>
      <c r="SR44" s="891"/>
      <c r="SS44" s="891"/>
      <c r="ST44" s="891"/>
      <c r="SU44" s="891"/>
      <c r="SV44" s="891"/>
      <c r="SW44" s="891"/>
      <c r="SX44" s="891"/>
      <c r="SY44" s="891"/>
      <c r="SZ44" s="891"/>
      <c r="TA44" s="891"/>
      <c r="TB44" s="891"/>
      <c r="TC44" s="891"/>
      <c r="TD44" s="891"/>
      <c r="TE44" s="891"/>
      <c r="TF44" s="891"/>
      <c r="TG44" s="891"/>
      <c r="TH44" s="891"/>
      <c r="TI44" s="891"/>
      <c r="TJ44" s="891"/>
      <c r="TK44" s="891"/>
      <c r="TL44" s="891"/>
      <c r="TM44" s="891"/>
      <c r="TN44" s="891"/>
      <c r="TO44" s="891"/>
      <c r="TP44" s="891"/>
      <c r="TQ44" s="891"/>
      <c r="TR44" s="891"/>
      <c r="TS44" s="891"/>
      <c r="TT44" s="891"/>
      <c r="TU44" s="891"/>
      <c r="TV44" s="891"/>
      <c r="TW44" s="891"/>
      <c r="TX44" s="891"/>
      <c r="TY44" s="891"/>
      <c r="TZ44" s="891"/>
      <c r="UA44" s="891"/>
      <c r="UB44" s="891"/>
      <c r="UC44" s="891"/>
      <c r="UD44" s="891"/>
      <c r="UE44" s="891"/>
      <c r="UF44" s="891"/>
      <c r="UG44" s="891"/>
      <c r="UH44" s="891"/>
      <c r="UI44" s="891"/>
      <c r="UJ44" s="891"/>
      <c r="UK44" s="891"/>
      <c r="UL44" s="891"/>
      <c r="UM44" s="891"/>
      <c r="UN44" s="891"/>
      <c r="UO44" s="891"/>
      <c r="UP44" s="891"/>
      <c r="UQ44" s="891"/>
      <c r="UR44" s="891"/>
      <c r="US44" s="891"/>
      <c r="UT44" s="891"/>
      <c r="UU44" s="891"/>
      <c r="UV44" s="891"/>
      <c r="UW44" s="891"/>
      <c r="UX44" s="891"/>
      <c r="UY44" s="891"/>
      <c r="UZ44" s="891"/>
      <c r="VA44" s="891"/>
      <c r="VB44" s="891"/>
      <c r="VC44" s="891"/>
      <c r="VD44" s="891"/>
      <c r="VE44" s="891"/>
      <c r="VF44" s="891"/>
      <c r="VG44" s="891"/>
      <c r="VH44" s="891"/>
      <c r="VI44" s="891"/>
      <c r="VJ44" s="891"/>
      <c r="VK44" s="891"/>
      <c r="VL44" s="891"/>
      <c r="VM44" s="891"/>
      <c r="VN44" s="891"/>
      <c r="VO44" s="891"/>
      <c r="VP44" s="891"/>
      <c r="VQ44" s="891"/>
      <c r="VR44" s="891"/>
      <c r="VS44" s="891"/>
      <c r="VT44" s="891"/>
      <c r="VU44" s="891"/>
      <c r="VV44" s="891"/>
      <c r="VW44" s="891"/>
      <c r="VX44" s="891"/>
      <c r="VY44" s="891"/>
      <c r="VZ44" s="891"/>
      <c r="WA44" s="891"/>
      <c r="WB44" s="891"/>
      <c r="WC44" s="891"/>
      <c r="WD44" s="891"/>
      <c r="WE44" s="891"/>
      <c r="WF44" s="891"/>
      <c r="WG44" s="891"/>
      <c r="WH44" s="891"/>
      <c r="WI44" s="891"/>
      <c r="WJ44" s="891"/>
      <c r="WK44" s="891"/>
      <c r="WL44" s="891"/>
      <c r="WM44" s="891"/>
      <c r="WN44" s="891"/>
      <c r="WO44" s="891"/>
      <c r="WP44" s="891"/>
      <c r="WQ44" s="891"/>
      <c r="WR44" s="891"/>
      <c r="WS44" s="891"/>
      <c r="WT44" s="891"/>
      <c r="WU44" s="891"/>
      <c r="WV44" s="891"/>
      <c r="WW44" s="891"/>
      <c r="WX44" s="891"/>
      <c r="WY44" s="891"/>
      <c r="WZ44" s="891"/>
      <c r="XA44" s="891"/>
      <c r="XB44" s="891"/>
      <c r="XC44" s="891"/>
      <c r="XD44" s="891"/>
      <c r="XE44" s="891"/>
      <c r="XF44" s="891"/>
      <c r="XG44" s="891"/>
      <c r="XH44" s="891"/>
      <c r="XI44" s="891"/>
      <c r="XJ44" s="891"/>
      <c r="XK44" s="891"/>
      <c r="XL44" s="891"/>
      <c r="XM44" s="891"/>
      <c r="XN44" s="891"/>
      <c r="XO44" s="891"/>
      <c r="XP44" s="891"/>
      <c r="XQ44" s="891"/>
      <c r="XR44" s="891"/>
      <c r="XS44" s="891"/>
      <c r="XT44" s="891"/>
      <c r="XU44" s="891"/>
      <c r="XV44" s="891"/>
      <c r="XW44" s="891"/>
      <c r="XX44" s="891"/>
      <c r="XY44" s="891"/>
      <c r="XZ44" s="891"/>
      <c r="YA44" s="891"/>
      <c r="YB44" s="891"/>
      <c r="YC44" s="891"/>
      <c r="YD44" s="891"/>
      <c r="YE44" s="891"/>
      <c r="YF44" s="891"/>
      <c r="YG44" s="891"/>
      <c r="YH44" s="891"/>
      <c r="YI44" s="891"/>
      <c r="YJ44" s="891"/>
      <c r="YK44" s="891"/>
      <c r="YL44" s="891"/>
      <c r="YM44" s="891"/>
      <c r="YN44" s="891"/>
      <c r="YO44" s="891"/>
      <c r="YP44" s="891"/>
      <c r="YQ44" s="891"/>
      <c r="YR44" s="891"/>
      <c r="YS44" s="891"/>
      <c r="YT44" s="891"/>
      <c r="YU44" s="891"/>
      <c r="YV44" s="891"/>
      <c r="YW44" s="891"/>
      <c r="YX44" s="891"/>
      <c r="YY44" s="891"/>
      <c r="YZ44" s="891"/>
      <c r="ZA44" s="891"/>
      <c r="ZB44" s="891"/>
      <c r="ZC44" s="891"/>
      <c r="ZD44" s="891"/>
      <c r="ZE44" s="891"/>
      <c r="ZF44" s="891"/>
      <c r="ZG44" s="891"/>
      <c r="ZH44" s="891"/>
      <c r="ZI44" s="891"/>
      <c r="ZJ44" s="891"/>
      <c r="ZK44" s="891"/>
      <c r="ZL44" s="891"/>
      <c r="ZM44" s="891"/>
      <c r="ZN44" s="891"/>
      <c r="ZO44" s="891"/>
      <c r="ZP44" s="891"/>
      <c r="ZQ44" s="891"/>
      <c r="ZR44" s="891"/>
      <c r="ZS44" s="891"/>
      <c r="ZT44" s="891"/>
      <c r="ZU44" s="891"/>
      <c r="ZV44" s="891"/>
      <c r="ZW44" s="891"/>
      <c r="ZX44" s="891"/>
      <c r="ZY44" s="891"/>
      <c r="ZZ44" s="891"/>
      <c r="AAA44" s="891"/>
      <c r="AAB44" s="891"/>
      <c r="AAC44" s="891"/>
      <c r="AAD44" s="891"/>
      <c r="AAE44" s="891"/>
      <c r="AAF44" s="891"/>
      <c r="AAG44" s="891"/>
      <c r="AAH44" s="891"/>
      <c r="AAI44" s="891"/>
      <c r="AAJ44" s="891"/>
      <c r="AAK44" s="891"/>
      <c r="AAL44" s="891"/>
      <c r="AAM44" s="891"/>
      <c r="AAN44" s="891"/>
      <c r="AAO44" s="891"/>
      <c r="AAP44" s="891"/>
      <c r="AAQ44" s="891"/>
      <c r="AAR44" s="891"/>
      <c r="AAS44" s="891"/>
      <c r="AAT44" s="891"/>
      <c r="AAU44" s="891"/>
      <c r="AAV44" s="891"/>
      <c r="AAW44" s="891"/>
      <c r="AAX44" s="891"/>
      <c r="AAY44" s="891"/>
      <c r="AAZ44" s="891"/>
      <c r="ABA44" s="891"/>
      <c r="ABB44" s="891"/>
      <c r="ABC44" s="891"/>
      <c r="ABD44" s="891"/>
      <c r="ABE44" s="891"/>
      <c r="ABF44" s="891"/>
      <c r="ABG44" s="891"/>
      <c r="ABH44" s="891"/>
      <c r="ABI44" s="891"/>
      <c r="ABJ44" s="891"/>
      <c r="ABK44" s="891"/>
      <c r="ABL44" s="891"/>
      <c r="ABM44" s="891"/>
      <c r="ABN44" s="891"/>
      <c r="ABO44" s="891"/>
      <c r="ABP44" s="891"/>
      <c r="ABQ44" s="891"/>
      <c r="ABR44" s="891"/>
      <c r="ABS44" s="891"/>
      <c r="ABT44" s="891"/>
      <c r="ABU44" s="891"/>
      <c r="ABV44" s="891"/>
      <c r="ABW44" s="891"/>
      <c r="ABX44" s="891"/>
      <c r="ABY44" s="891"/>
      <c r="ABZ44" s="891"/>
      <c r="ACA44" s="891"/>
      <c r="ACB44" s="891"/>
      <c r="ACC44" s="891"/>
      <c r="ACD44" s="891"/>
      <c r="ACE44" s="891"/>
      <c r="ACF44" s="891"/>
      <c r="ACG44" s="891"/>
      <c r="ACH44" s="891"/>
      <c r="ACI44" s="891"/>
      <c r="ACJ44" s="891"/>
      <c r="ACK44" s="891"/>
      <c r="ACL44" s="891"/>
      <c r="ACM44" s="891"/>
      <c r="ACN44" s="891"/>
      <c r="ACO44" s="891"/>
      <c r="ACP44" s="891"/>
      <c r="ACQ44" s="891"/>
      <c r="ACR44" s="891"/>
      <c r="ACS44" s="891"/>
      <c r="ACT44" s="891"/>
      <c r="ACU44" s="891"/>
      <c r="ACV44" s="891"/>
      <c r="ACW44" s="891"/>
      <c r="ACX44" s="891"/>
      <c r="ACY44" s="891"/>
      <c r="ACZ44" s="891"/>
      <c r="ADA44" s="891"/>
      <c r="ADB44" s="891"/>
      <c r="ADC44" s="891"/>
      <c r="ADD44" s="891"/>
      <c r="ADE44" s="891"/>
      <c r="ADF44" s="891"/>
      <c r="ADG44" s="891"/>
      <c r="ADH44" s="891"/>
      <c r="ADI44" s="891"/>
      <c r="ADJ44" s="891"/>
      <c r="ADK44" s="891"/>
      <c r="ADL44" s="891"/>
      <c r="ADM44" s="891"/>
      <c r="ADN44" s="891"/>
      <c r="ADO44" s="891"/>
      <c r="ADP44" s="891"/>
      <c r="ADQ44" s="891"/>
      <c r="ADR44" s="891"/>
      <c r="ADS44" s="891"/>
      <c r="ADT44" s="891"/>
      <c r="ADU44" s="891"/>
      <c r="ADV44" s="891"/>
      <c r="ADW44" s="891"/>
      <c r="ADX44" s="891"/>
      <c r="ADY44" s="891"/>
      <c r="ADZ44" s="891"/>
      <c r="AEA44" s="891"/>
      <c r="AEB44" s="891"/>
    </row>
    <row r="45" spans="1:808" s="1335" customFormat="1" ht="59.45" customHeight="1" thickTop="1" thickBot="1">
      <c r="A45" s="3068"/>
      <c r="B45" s="3080"/>
      <c r="C45" s="1234" t="s">
        <v>616</v>
      </c>
      <c r="D45" s="1333" t="s">
        <v>224</v>
      </c>
      <c r="E45" s="1234" t="s">
        <v>421</v>
      </c>
      <c r="F45" s="1234" t="s">
        <v>17</v>
      </c>
      <c r="G45" s="1234">
        <v>1768</v>
      </c>
      <c r="H45" s="1234"/>
      <c r="I45" s="1234">
        <v>1800</v>
      </c>
      <c r="J45" s="1234"/>
      <c r="K45" s="1234" t="s">
        <v>226</v>
      </c>
      <c r="L45" s="1353">
        <v>109</v>
      </c>
      <c r="M45" s="1243">
        <v>127</v>
      </c>
      <c r="N45" s="1229">
        <f t="shared" si="15"/>
        <v>1.165137614678899</v>
      </c>
      <c r="O45" s="1353">
        <v>117</v>
      </c>
      <c r="P45" s="1243">
        <v>147</v>
      </c>
      <c r="Q45" s="1229">
        <f t="shared" si="1"/>
        <v>1.2564102564102564</v>
      </c>
      <c r="R45" s="1353">
        <v>111</v>
      </c>
      <c r="S45" s="1243">
        <v>128</v>
      </c>
      <c r="T45" s="1229">
        <f t="shared" si="0"/>
        <v>1.1531531531531531</v>
      </c>
      <c r="U45" s="1353">
        <v>47</v>
      </c>
      <c r="V45" s="1243">
        <v>154</v>
      </c>
      <c r="W45" s="1229">
        <f t="shared" si="2"/>
        <v>3.2765957446808511</v>
      </c>
      <c r="X45" s="1353">
        <v>178</v>
      </c>
      <c r="Y45" s="1243">
        <v>214</v>
      </c>
      <c r="Z45" s="1229">
        <f t="shared" si="3"/>
        <v>1.202247191011236</v>
      </c>
      <c r="AA45" s="1353">
        <v>190</v>
      </c>
      <c r="AB45" s="1243">
        <v>200</v>
      </c>
      <c r="AC45" s="1229">
        <f t="shared" si="4"/>
        <v>1.0526315789473684</v>
      </c>
      <c r="AD45" s="1277">
        <v>970</v>
      </c>
      <c r="AE45" s="1229">
        <f t="shared" si="6"/>
        <v>0.54864253393665163</v>
      </c>
      <c r="AF45" s="1353">
        <v>203</v>
      </c>
      <c r="AG45" s="1243">
        <v>218</v>
      </c>
      <c r="AH45" s="1229">
        <f t="shared" si="7"/>
        <v>1.0738916256157636</v>
      </c>
      <c r="AI45" s="1353">
        <v>199</v>
      </c>
      <c r="AJ45" s="1243">
        <v>205</v>
      </c>
      <c r="AK45" s="1229">
        <f t="shared" si="8"/>
        <v>1.0301507537688441</v>
      </c>
      <c r="AL45" s="1353">
        <v>215</v>
      </c>
      <c r="AM45" s="1243">
        <v>222</v>
      </c>
      <c r="AN45" s="1229">
        <f t="shared" si="9"/>
        <v>1.0325581395348837</v>
      </c>
      <c r="AO45" s="1353">
        <v>189</v>
      </c>
      <c r="AP45" s="1243">
        <v>229</v>
      </c>
      <c r="AQ45" s="1229">
        <f t="shared" si="10"/>
        <v>1.2116402116402116</v>
      </c>
      <c r="AR45" s="1353">
        <v>130</v>
      </c>
      <c r="AS45" s="1243">
        <v>197</v>
      </c>
      <c r="AT45" s="1229">
        <f t="shared" si="11"/>
        <v>1.5153846153846153</v>
      </c>
      <c r="AU45" s="1353">
        <v>80</v>
      </c>
      <c r="AV45" s="1243"/>
      <c r="AW45" s="1229">
        <f t="shared" si="12"/>
        <v>0</v>
      </c>
      <c r="AX45" s="1244">
        <f>+M45+P45+S45+V45+Y45+AB45+AG45+AJ45+AM45+AP45+AS45+AV45</f>
        <v>2041</v>
      </c>
      <c r="AY45" s="1229">
        <f t="shared" si="14"/>
        <v>1.1544117647058822</v>
      </c>
      <c r="AZ45" s="891"/>
      <c r="BA45" s="891"/>
      <c r="BB45" s="891"/>
      <c r="BC45" s="891"/>
      <c r="BD45" s="891"/>
      <c r="BE45" s="891"/>
      <c r="BF45" s="891"/>
      <c r="BG45" s="891"/>
      <c r="BH45" s="891"/>
      <c r="BI45" s="891"/>
      <c r="BJ45" s="891"/>
      <c r="BK45" s="891"/>
      <c r="BL45" s="891"/>
      <c r="BM45" s="891"/>
      <c r="BN45" s="891"/>
      <c r="BO45" s="891"/>
      <c r="BP45" s="891"/>
      <c r="BQ45" s="891"/>
      <c r="BR45" s="891"/>
      <c r="BS45" s="891"/>
      <c r="BT45" s="891"/>
      <c r="BU45" s="891"/>
      <c r="BV45" s="891"/>
      <c r="BW45" s="891"/>
      <c r="BX45" s="891"/>
      <c r="BY45" s="891"/>
      <c r="BZ45" s="891"/>
      <c r="CA45" s="891"/>
      <c r="CB45" s="891"/>
      <c r="CC45" s="891"/>
      <c r="CD45" s="891"/>
      <c r="CE45" s="891"/>
      <c r="CF45" s="891"/>
      <c r="CG45" s="891"/>
      <c r="CH45" s="891"/>
      <c r="CI45" s="891"/>
      <c r="CJ45" s="891"/>
      <c r="CK45" s="891"/>
      <c r="CL45" s="891"/>
      <c r="CM45" s="891"/>
      <c r="CN45" s="891"/>
      <c r="CO45" s="891"/>
      <c r="CP45" s="891"/>
      <c r="CQ45" s="891"/>
      <c r="CR45" s="891"/>
      <c r="CS45" s="891"/>
      <c r="CT45" s="891"/>
      <c r="CU45" s="891"/>
      <c r="CV45" s="891"/>
      <c r="CW45" s="891"/>
      <c r="CX45" s="891"/>
      <c r="CY45" s="891"/>
      <c r="CZ45" s="891"/>
      <c r="DA45" s="891"/>
      <c r="DB45" s="891"/>
      <c r="DC45" s="891"/>
      <c r="DD45" s="891"/>
      <c r="DE45" s="891"/>
      <c r="DF45" s="891"/>
      <c r="DG45" s="891"/>
      <c r="DH45" s="891"/>
      <c r="DI45" s="891"/>
      <c r="DJ45" s="891"/>
      <c r="DK45" s="891"/>
      <c r="DL45" s="891"/>
      <c r="DM45" s="891"/>
      <c r="DN45" s="891"/>
      <c r="DO45" s="891"/>
      <c r="DP45" s="891"/>
      <c r="DQ45" s="891"/>
      <c r="DR45" s="891"/>
      <c r="DS45" s="891"/>
      <c r="DT45" s="891"/>
      <c r="DU45" s="891"/>
      <c r="DV45" s="891"/>
      <c r="DW45" s="891"/>
      <c r="DX45" s="891"/>
      <c r="DY45" s="891"/>
      <c r="DZ45" s="891"/>
      <c r="EA45" s="891"/>
      <c r="EB45" s="891"/>
      <c r="EC45" s="891"/>
      <c r="ED45" s="891"/>
      <c r="EE45" s="891"/>
      <c r="EF45" s="891"/>
      <c r="EG45" s="891"/>
      <c r="EH45" s="891"/>
      <c r="EI45" s="891"/>
      <c r="EJ45" s="891"/>
      <c r="EK45" s="891"/>
      <c r="EL45" s="891"/>
      <c r="EM45" s="891"/>
      <c r="EN45" s="891"/>
      <c r="EO45" s="891"/>
      <c r="EP45" s="891"/>
      <c r="EQ45" s="891"/>
      <c r="ER45" s="891"/>
      <c r="ES45" s="891"/>
      <c r="ET45" s="891"/>
      <c r="EU45" s="891"/>
      <c r="EV45" s="891"/>
      <c r="EW45" s="891"/>
      <c r="EX45" s="891"/>
      <c r="EY45" s="891"/>
      <c r="EZ45" s="891"/>
      <c r="FA45" s="891"/>
      <c r="FB45" s="891"/>
      <c r="FC45" s="891"/>
      <c r="FD45" s="891"/>
      <c r="FE45" s="891"/>
      <c r="FF45" s="891"/>
      <c r="FG45" s="891"/>
      <c r="FH45" s="891"/>
      <c r="FI45" s="891"/>
      <c r="FJ45" s="891"/>
      <c r="FK45" s="891"/>
      <c r="FL45" s="891"/>
      <c r="FM45" s="891"/>
      <c r="FN45" s="891"/>
      <c r="FO45" s="891"/>
      <c r="FP45" s="891"/>
      <c r="FQ45" s="891"/>
      <c r="FR45" s="891"/>
      <c r="FS45" s="891"/>
      <c r="FT45" s="891"/>
      <c r="FU45" s="891"/>
      <c r="FV45" s="891"/>
      <c r="FW45" s="891"/>
      <c r="FX45" s="891"/>
      <c r="FY45" s="891"/>
      <c r="FZ45" s="891"/>
      <c r="GA45" s="891"/>
      <c r="GB45" s="891"/>
      <c r="GC45" s="891"/>
      <c r="GD45" s="891"/>
      <c r="GE45" s="891"/>
      <c r="GF45" s="891"/>
      <c r="GG45" s="891"/>
      <c r="GH45" s="891"/>
      <c r="GI45" s="891"/>
      <c r="GJ45" s="891"/>
      <c r="GK45" s="891"/>
      <c r="GL45" s="891"/>
      <c r="GM45" s="891"/>
      <c r="GN45" s="891"/>
      <c r="GO45" s="891"/>
      <c r="GP45" s="891"/>
      <c r="GQ45" s="891"/>
      <c r="GR45" s="891"/>
      <c r="GS45" s="891"/>
      <c r="GT45" s="891"/>
      <c r="GU45" s="891"/>
      <c r="GV45" s="891"/>
      <c r="GW45" s="891"/>
      <c r="GX45" s="891"/>
      <c r="GY45" s="891"/>
      <c r="GZ45" s="891"/>
      <c r="HA45" s="891"/>
      <c r="HB45" s="891"/>
      <c r="HC45" s="891"/>
      <c r="HD45" s="891"/>
      <c r="HE45" s="891"/>
      <c r="HF45" s="891"/>
      <c r="HG45" s="891"/>
      <c r="HH45" s="891"/>
      <c r="HI45" s="891"/>
      <c r="HJ45" s="891"/>
      <c r="HK45" s="891"/>
      <c r="HL45" s="891"/>
      <c r="HM45" s="891"/>
      <c r="HN45" s="891"/>
      <c r="HO45" s="891"/>
      <c r="HP45" s="891"/>
      <c r="HQ45" s="891"/>
      <c r="HR45" s="891"/>
      <c r="HS45" s="891"/>
      <c r="HT45" s="891"/>
      <c r="HU45" s="891"/>
      <c r="HV45" s="891"/>
      <c r="HW45" s="891"/>
      <c r="HX45" s="891"/>
      <c r="HY45" s="891"/>
      <c r="HZ45" s="891"/>
      <c r="IA45" s="891"/>
      <c r="IB45" s="891"/>
      <c r="IC45" s="891"/>
      <c r="ID45" s="891"/>
      <c r="IE45" s="891"/>
      <c r="IF45" s="891"/>
      <c r="IG45" s="891"/>
      <c r="IH45" s="891"/>
      <c r="II45" s="891"/>
      <c r="IJ45" s="891"/>
      <c r="IK45" s="891"/>
      <c r="IL45" s="891"/>
      <c r="IM45" s="891"/>
      <c r="IN45" s="891"/>
      <c r="IO45" s="891"/>
      <c r="IP45" s="891"/>
      <c r="IQ45" s="891"/>
      <c r="IR45" s="891"/>
      <c r="IS45" s="891"/>
      <c r="IT45" s="891"/>
      <c r="IU45" s="891"/>
      <c r="IV45" s="891"/>
      <c r="IW45" s="891"/>
      <c r="IX45" s="891"/>
      <c r="IY45" s="891"/>
      <c r="IZ45" s="891"/>
      <c r="JA45" s="891"/>
      <c r="JB45" s="891"/>
      <c r="JC45" s="891"/>
      <c r="JD45" s="891"/>
      <c r="JE45" s="891"/>
      <c r="JF45" s="891"/>
      <c r="JG45" s="891"/>
      <c r="JH45" s="891"/>
      <c r="JI45" s="891"/>
      <c r="JJ45" s="891"/>
      <c r="JK45" s="891"/>
      <c r="JL45" s="891"/>
      <c r="JM45" s="891"/>
      <c r="JN45" s="891"/>
      <c r="JO45" s="891"/>
      <c r="JP45" s="891"/>
      <c r="JQ45" s="891"/>
      <c r="JR45" s="891"/>
      <c r="JS45" s="891"/>
      <c r="JT45" s="891"/>
      <c r="JU45" s="891"/>
      <c r="JV45" s="891"/>
      <c r="JW45" s="891"/>
      <c r="JX45" s="891"/>
      <c r="JY45" s="891"/>
      <c r="JZ45" s="891"/>
      <c r="KA45" s="891"/>
      <c r="KB45" s="891"/>
      <c r="KC45" s="891"/>
      <c r="KD45" s="891"/>
      <c r="KE45" s="891"/>
      <c r="KF45" s="891"/>
      <c r="KG45" s="891"/>
      <c r="KH45" s="891"/>
      <c r="KI45" s="891"/>
      <c r="KJ45" s="891"/>
      <c r="KK45" s="891"/>
      <c r="KL45" s="891"/>
      <c r="KM45" s="891"/>
      <c r="KN45" s="891"/>
      <c r="KO45" s="891"/>
      <c r="KP45" s="891"/>
      <c r="KQ45" s="891"/>
      <c r="KR45" s="891"/>
      <c r="KS45" s="891"/>
      <c r="KT45" s="891"/>
      <c r="KU45" s="891"/>
      <c r="KV45" s="891"/>
      <c r="KW45" s="891"/>
      <c r="KX45" s="891"/>
      <c r="KY45" s="891"/>
      <c r="KZ45" s="891"/>
      <c r="LA45" s="891"/>
      <c r="LB45" s="891"/>
      <c r="LC45" s="891"/>
      <c r="LD45" s="891"/>
      <c r="LE45" s="891"/>
      <c r="LF45" s="891"/>
      <c r="LG45" s="891"/>
      <c r="LH45" s="891"/>
      <c r="LI45" s="891"/>
      <c r="LJ45" s="891"/>
      <c r="LK45" s="891"/>
      <c r="LL45" s="891"/>
      <c r="LM45" s="891"/>
      <c r="LN45" s="891"/>
      <c r="LO45" s="891"/>
      <c r="LP45" s="891"/>
      <c r="LQ45" s="891"/>
      <c r="LR45" s="891"/>
      <c r="LS45" s="891"/>
      <c r="LT45" s="891"/>
      <c r="LU45" s="891"/>
      <c r="LV45" s="891"/>
      <c r="LW45" s="891"/>
      <c r="LX45" s="891"/>
      <c r="LY45" s="891"/>
      <c r="LZ45" s="891"/>
      <c r="MA45" s="891"/>
      <c r="MB45" s="891"/>
      <c r="MC45" s="891"/>
      <c r="MD45" s="891"/>
      <c r="ME45" s="891"/>
      <c r="MF45" s="891"/>
      <c r="MG45" s="891"/>
      <c r="MH45" s="891"/>
      <c r="MI45" s="891"/>
      <c r="MJ45" s="891"/>
      <c r="MK45" s="891"/>
      <c r="ML45" s="891"/>
      <c r="MM45" s="891"/>
      <c r="MN45" s="891"/>
      <c r="MO45" s="891"/>
      <c r="MP45" s="891"/>
      <c r="MQ45" s="891"/>
      <c r="MR45" s="891"/>
      <c r="MS45" s="891"/>
      <c r="MT45" s="891"/>
      <c r="MU45" s="891"/>
      <c r="MV45" s="891"/>
      <c r="MW45" s="891"/>
      <c r="MX45" s="891"/>
      <c r="MY45" s="891"/>
      <c r="MZ45" s="891"/>
      <c r="NA45" s="891"/>
      <c r="NB45" s="891"/>
      <c r="NC45" s="891"/>
      <c r="ND45" s="891"/>
      <c r="NE45" s="891"/>
      <c r="NF45" s="891"/>
      <c r="NG45" s="891"/>
      <c r="NH45" s="891"/>
      <c r="NI45" s="891"/>
      <c r="NJ45" s="891"/>
      <c r="NK45" s="891"/>
      <c r="NL45" s="891"/>
      <c r="NM45" s="891"/>
      <c r="NN45" s="891"/>
      <c r="NO45" s="891"/>
      <c r="NP45" s="891"/>
      <c r="NQ45" s="891"/>
      <c r="NR45" s="891"/>
      <c r="NS45" s="891"/>
      <c r="NT45" s="891"/>
      <c r="NU45" s="891"/>
      <c r="NV45" s="891"/>
      <c r="NW45" s="891"/>
      <c r="NX45" s="891"/>
      <c r="NY45" s="891"/>
      <c r="NZ45" s="891"/>
      <c r="OA45" s="891"/>
      <c r="OB45" s="891"/>
      <c r="OC45" s="891"/>
      <c r="OD45" s="891"/>
      <c r="OE45" s="891"/>
      <c r="OF45" s="891"/>
      <c r="OG45" s="891"/>
      <c r="OH45" s="891"/>
      <c r="OI45" s="891"/>
      <c r="OJ45" s="891"/>
      <c r="OK45" s="891"/>
      <c r="OL45" s="891"/>
      <c r="OM45" s="891"/>
      <c r="ON45" s="891"/>
      <c r="OO45" s="891"/>
      <c r="OP45" s="891"/>
      <c r="OQ45" s="891"/>
      <c r="OR45" s="891"/>
      <c r="OS45" s="891"/>
      <c r="OT45" s="891"/>
      <c r="OU45" s="891"/>
      <c r="OV45" s="891"/>
      <c r="OW45" s="891"/>
      <c r="OX45" s="891"/>
      <c r="OY45" s="891"/>
      <c r="OZ45" s="891"/>
      <c r="PA45" s="891"/>
      <c r="PB45" s="891"/>
      <c r="PC45" s="891"/>
      <c r="PD45" s="891"/>
      <c r="PE45" s="891"/>
      <c r="PF45" s="891"/>
      <c r="PG45" s="891"/>
      <c r="PH45" s="891"/>
      <c r="PI45" s="891"/>
      <c r="PJ45" s="891"/>
      <c r="PK45" s="891"/>
      <c r="PL45" s="891"/>
      <c r="PM45" s="891"/>
      <c r="PN45" s="891"/>
      <c r="PO45" s="891"/>
      <c r="PP45" s="891"/>
      <c r="PQ45" s="891"/>
      <c r="PR45" s="891"/>
      <c r="PS45" s="891"/>
      <c r="PT45" s="891"/>
      <c r="PU45" s="891"/>
      <c r="PV45" s="891"/>
      <c r="PW45" s="891"/>
      <c r="PX45" s="891"/>
      <c r="PY45" s="891"/>
      <c r="PZ45" s="891"/>
      <c r="QA45" s="891"/>
      <c r="QB45" s="891"/>
      <c r="QC45" s="891"/>
      <c r="QD45" s="891"/>
      <c r="QE45" s="891"/>
      <c r="QF45" s="891"/>
      <c r="QG45" s="891"/>
      <c r="QH45" s="891"/>
      <c r="QI45" s="891"/>
      <c r="QJ45" s="891"/>
      <c r="QK45" s="891"/>
      <c r="QL45" s="891"/>
      <c r="QM45" s="891"/>
      <c r="QN45" s="891"/>
      <c r="QO45" s="891"/>
      <c r="QP45" s="891"/>
      <c r="QQ45" s="891"/>
      <c r="QR45" s="891"/>
      <c r="QS45" s="891"/>
      <c r="QT45" s="891"/>
      <c r="QU45" s="891"/>
      <c r="QV45" s="891"/>
      <c r="QW45" s="891"/>
      <c r="QX45" s="891"/>
      <c r="QY45" s="891"/>
      <c r="QZ45" s="891"/>
      <c r="RA45" s="891"/>
      <c r="RB45" s="891"/>
      <c r="RC45" s="891"/>
      <c r="RD45" s="891"/>
      <c r="RE45" s="891"/>
      <c r="RF45" s="891"/>
      <c r="RG45" s="891"/>
      <c r="RH45" s="891"/>
      <c r="RI45" s="891"/>
      <c r="RJ45" s="891"/>
      <c r="RK45" s="891"/>
      <c r="RL45" s="891"/>
      <c r="RM45" s="891"/>
      <c r="RN45" s="891"/>
      <c r="RO45" s="891"/>
      <c r="RP45" s="891"/>
      <c r="RQ45" s="891"/>
      <c r="RR45" s="891"/>
      <c r="RS45" s="891"/>
      <c r="RT45" s="891"/>
      <c r="RU45" s="891"/>
      <c r="RV45" s="891"/>
      <c r="RW45" s="891"/>
      <c r="RX45" s="891"/>
      <c r="RY45" s="891"/>
      <c r="RZ45" s="891"/>
      <c r="SA45" s="891"/>
      <c r="SB45" s="891"/>
      <c r="SC45" s="891"/>
      <c r="SD45" s="891"/>
      <c r="SE45" s="891"/>
      <c r="SF45" s="891"/>
      <c r="SG45" s="891"/>
      <c r="SH45" s="891"/>
      <c r="SI45" s="891"/>
      <c r="SJ45" s="891"/>
      <c r="SK45" s="891"/>
      <c r="SL45" s="891"/>
      <c r="SM45" s="891"/>
      <c r="SN45" s="891"/>
      <c r="SO45" s="891"/>
      <c r="SP45" s="891"/>
      <c r="SQ45" s="891"/>
      <c r="SR45" s="891"/>
      <c r="SS45" s="891"/>
      <c r="ST45" s="891"/>
      <c r="SU45" s="891"/>
      <c r="SV45" s="891"/>
      <c r="SW45" s="891"/>
      <c r="SX45" s="891"/>
      <c r="SY45" s="891"/>
      <c r="SZ45" s="891"/>
      <c r="TA45" s="891"/>
      <c r="TB45" s="891"/>
      <c r="TC45" s="891"/>
      <c r="TD45" s="891"/>
      <c r="TE45" s="891"/>
      <c r="TF45" s="891"/>
      <c r="TG45" s="891"/>
      <c r="TH45" s="891"/>
      <c r="TI45" s="891"/>
      <c r="TJ45" s="891"/>
      <c r="TK45" s="891"/>
      <c r="TL45" s="891"/>
      <c r="TM45" s="891"/>
      <c r="TN45" s="891"/>
      <c r="TO45" s="891"/>
      <c r="TP45" s="891"/>
      <c r="TQ45" s="891"/>
      <c r="TR45" s="891"/>
      <c r="TS45" s="891"/>
      <c r="TT45" s="891"/>
      <c r="TU45" s="891"/>
      <c r="TV45" s="891"/>
      <c r="TW45" s="891"/>
      <c r="TX45" s="891"/>
      <c r="TY45" s="891"/>
      <c r="TZ45" s="891"/>
      <c r="UA45" s="891"/>
      <c r="UB45" s="891"/>
      <c r="UC45" s="891"/>
      <c r="UD45" s="891"/>
      <c r="UE45" s="891"/>
      <c r="UF45" s="891"/>
      <c r="UG45" s="891"/>
      <c r="UH45" s="891"/>
      <c r="UI45" s="891"/>
      <c r="UJ45" s="891"/>
      <c r="UK45" s="891"/>
      <c r="UL45" s="891"/>
      <c r="UM45" s="891"/>
      <c r="UN45" s="891"/>
      <c r="UO45" s="891"/>
      <c r="UP45" s="891"/>
      <c r="UQ45" s="891"/>
      <c r="UR45" s="891"/>
      <c r="US45" s="891"/>
      <c r="UT45" s="891"/>
      <c r="UU45" s="891"/>
      <c r="UV45" s="891"/>
      <c r="UW45" s="891"/>
      <c r="UX45" s="891"/>
      <c r="UY45" s="891"/>
      <c r="UZ45" s="891"/>
      <c r="VA45" s="891"/>
      <c r="VB45" s="891"/>
      <c r="VC45" s="891"/>
      <c r="VD45" s="891"/>
      <c r="VE45" s="891"/>
      <c r="VF45" s="891"/>
      <c r="VG45" s="891"/>
      <c r="VH45" s="891"/>
      <c r="VI45" s="891"/>
      <c r="VJ45" s="891"/>
      <c r="VK45" s="891"/>
      <c r="VL45" s="891"/>
      <c r="VM45" s="891"/>
      <c r="VN45" s="891"/>
      <c r="VO45" s="891"/>
      <c r="VP45" s="891"/>
      <c r="VQ45" s="891"/>
      <c r="VR45" s="891"/>
      <c r="VS45" s="891"/>
      <c r="VT45" s="891"/>
      <c r="VU45" s="891"/>
      <c r="VV45" s="891"/>
      <c r="VW45" s="891"/>
      <c r="VX45" s="891"/>
      <c r="VY45" s="891"/>
      <c r="VZ45" s="891"/>
      <c r="WA45" s="891"/>
      <c r="WB45" s="891"/>
      <c r="WC45" s="891"/>
      <c r="WD45" s="891"/>
      <c r="WE45" s="891"/>
      <c r="WF45" s="891"/>
      <c r="WG45" s="891"/>
      <c r="WH45" s="891"/>
      <c r="WI45" s="891"/>
      <c r="WJ45" s="891"/>
      <c r="WK45" s="891"/>
      <c r="WL45" s="891"/>
      <c r="WM45" s="891"/>
      <c r="WN45" s="891"/>
      <c r="WO45" s="891"/>
      <c r="WP45" s="891"/>
      <c r="WQ45" s="891"/>
      <c r="WR45" s="891"/>
      <c r="WS45" s="891"/>
      <c r="WT45" s="891"/>
      <c r="WU45" s="891"/>
      <c r="WV45" s="891"/>
      <c r="WW45" s="891"/>
      <c r="WX45" s="891"/>
      <c r="WY45" s="891"/>
      <c r="WZ45" s="891"/>
      <c r="XA45" s="891"/>
      <c r="XB45" s="891"/>
      <c r="XC45" s="891"/>
      <c r="XD45" s="891"/>
      <c r="XE45" s="891"/>
      <c r="XF45" s="891"/>
      <c r="XG45" s="891"/>
      <c r="XH45" s="891"/>
      <c r="XI45" s="891"/>
      <c r="XJ45" s="891"/>
      <c r="XK45" s="891"/>
      <c r="XL45" s="891"/>
      <c r="XM45" s="891"/>
      <c r="XN45" s="891"/>
      <c r="XO45" s="891"/>
      <c r="XP45" s="891"/>
      <c r="XQ45" s="891"/>
      <c r="XR45" s="891"/>
      <c r="XS45" s="891"/>
      <c r="XT45" s="891"/>
      <c r="XU45" s="891"/>
      <c r="XV45" s="891"/>
      <c r="XW45" s="891"/>
      <c r="XX45" s="891"/>
      <c r="XY45" s="891"/>
      <c r="XZ45" s="891"/>
      <c r="YA45" s="891"/>
      <c r="YB45" s="891"/>
      <c r="YC45" s="891"/>
      <c r="YD45" s="891"/>
      <c r="YE45" s="891"/>
      <c r="YF45" s="891"/>
      <c r="YG45" s="891"/>
      <c r="YH45" s="891"/>
      <c r="YI45" s="891"/>
      <c r="YJ45" s="891"/>
      <c r="YK45" s="891"/>
      <c r="YL45" s="891"/>
      <c r="YM45" s="891"/>
      <c r="YN45" s="891"/>
      <c r="YO45" s="891"/>
      <c r="YP45" s="891"/>
      <c r="YQ45" s="891"/>
      <c r="YR45" s="891"/>
      <c r="YS45" s="891"/>
      <c r="YT45" s="891"/>
      <c r="YU45" s="891"/>
      <c r="YV45" s="891"/>
      <c r="YW45" s="891"/>
      <c r="YX45" s="891"/>
      <c r="YY45" s="891"/>
      <c r="YZ45" s="891"/>
      <c r="ZA45" s="891"/>
      <c r="ZB45" s="891"/>
      <c r="ZC45" s="891"/>
      <c r="ZD45" s="891"/>
      <c r="ZE45" s="891"/>
      <c r="ZF45" s="891"/>
      <c r="ZG45" s="891"/>
      <c r="ZH45" s="891"/>
      <c r="ZI45" s="891"/>
      <c r="ZJ45" s="891"/>
      <c r="ZK45" s="891"/>
      <c r="ZL45" s="891"/>
      <c r="ZM45" s="891"/>
      <c r="ZN45" s="891"/>
      <c r="ZO45" s="891"/>
      <c r="ZP45" s="891"/>
      <c r="ZQ45" s="891"/>
      <c r="ZR45" s="891"/>
      <c r="ZS45" s="891"/>
      <c r="ZT45" s="891"/>
      <c r="ZU45" s="891"/>
      <c r="ZV45" s="891"/>
      <c r="ZW45" s="891"/>
      <c r="ZX45" s="891"/>
      <c r="ZY45" s="891"/>
      <c r="ZZ45" s="891"/>
      <c r="AAA45" s="891"/>
      <c r="AAB45" s="891"/>
      <c r="AAC45" s="891"/>
      <c r="AAD45" s="891"/>
      <c r="AAE45" s="891"/>
      <c r="AAF45" s="891"/>
      <c r="AAG45" s="891"/>
      <c r="AAH45" s="891"/>
      <c r="AAI45" s="891"/>
      <c r="AAJ45" s="891"/>
      <c r="AAK45" s="891"/>
      <c r="AAL45" s="891"/>
      <c r="AAM45" s="891"/>
      <c r="AAN45" s="891"/>
      <c r="AAO45" s="891"/>
      <c r="AAP45" s="891"/>
      <c r="AAQ45" s="891"/>
      <c r="AAR45" s="891"/>
      <c r="AAS45" s="891"/>
      <c r="AAT45" s="891"/>
      <c r="AAU45" s="891"/>
      <c r="AAV45" s="891"/>
      <c r="AAW45" s="891"/>
      <c r="AAX45" s="891"/>
      <c r="AAY45" s="891"/>
      <c r="AAZ45" s="891"/>
      <c r="ABA45" s="891"/>
      <c r="ABB45" s="891"/>
      <c r="ABC45" s="891"/>
      <c r="ABD45" s="891"/>
      <c r="ABE45" s="891"/>
      <c r="ABF45" s="891"/>
      <c r="ABG45" s="891"/>
      <c r="ABH45" s="891"/>
      <c r="ABI45" s="891"/>
      <c r="ABJ45" s="891"/>
      <c r="ABK45" s="891"/>
      <c r="ABL45" s="891"/>
      <c r="ABM45" s="891"/>
      <c r="ABN45" s="891"/>
      <c r="ABO45" s="891"/>
      <c r="ABP45" s="891"/>
      <c r="ABQ45" s="891"/>
      <c r="ABR45" s="891"/>
      <c r="ABS45" s="891"/>
      <c r="ABT45" s="891"/>
      <c r="ABU45" s="891"/>
      <c r="ABV45" s="891"/>
      <c r="ABW45" s="891"/>
      <c r="ABX45" s="891"/>
      <c r="ABY45" s="891"/>
      <c r="ABZ45" s="891"/>
      <c r="ACA45" s="891"/>
      <c r="ACB45" s="891"/>
      <c r="ACC45" s="891"/>
      <c r="ACD45" s="891"/>
      <c r="ACE45" s="891"/>
      <c r="ACF45" s="891"/>
      <c r="ACG45" s="891"/>
      <c r="ACH45" s="891"/>
      <c r="ACI45" s="891"/>
      <c r="ACJ45" s="891"/>
      <c r="ACK45" s="891"/>
      <c r="ACL45" s="891"/>
      <c r="ACM45" s="891"/>
      <c r="ACN45" s="891"/>
      <c r="ACO45" s="891"/>
      <c r="ACP45" s="891"/>
      <c r="ACQ45" s="891"/>
      <c r="ACR45" s="891"/>
      <c r="ACS45" s="891"/>
      <c r="ACT45" s="891"/>
      <c r="ACU45" s="891"/>
      <c r="ACV45" s="891"/>
      <c r="ACW45" s="891"/>
      <c r="ACX45" s="891"/>
      <c r="ACY45" s="891"/>
      <c r="ACZ45" s="891"/>
      <c r="ADA45" s="891"/>
      <c r="ADB45" s="891"/>
      <c r="ADC45" s="891"/>
      <c r="ADD45" s="891"/>
      <c r="ADE45" s="891"/>
      <c r="ADF45" s="891"/>
      <c r="ADG45" s="891"/>
      <c r="ADH45" s="891"/>
      <c r="ADI45" s="891"/>
      <c r="ADJ45" s="891"/>
      <c r="ADK45" s="891"/>
      <c r="ADL45" s="891"/>
      <c r="ADM45" s="891"/>
      <c r="ADN45" s="891"/>
      <c r="ADO45" s="891"/>
      <c r="ADP45" s="891"/>
      <c r="ADQ45" s="891"/>
      <c r="ADR45" s="891"/>
      <c r="ADS45" s="891"/>
      <c r="ADT45" s="891"/>
      <c r="ADU45" s="891"/>
      <c r="ADV45" s="891"/>
      <c r="ADW45" s="891"/>
      <c r="ADX45" s="891"/>
      <c r="ADY45" s="891"/>
      <c r="ADZ45" s="891"/>
      <c r="AEA45" s="891"/>
      <c r="AEB45" s="891"/>
    </row>
    <row r="46" spans="1:808" s="891" customFormat="1" ht="22.7" customHeight="1" thickTop="1" thickBot="1">
      <c r="A46" s="3057" t="s">
        <v>141</v>
      </c>
      <c r="B46" s="3058"/>
      <c r="C46" s="3058"/>
      <c r="D46" s="3058"/>
      <c r="E46" s="3058"/>
      <c r="F46" s="3058"/>
      <c r="G46" s="3058"/>
      <c r="H46" s="3058"/>
      <c r="I46" s="3058"/>
      <c r="J46" s="3058"/>
      <c r="K46" s="3059"/>
      <c r="L46" s="1354"/>
      <c r="M46" s="1355"/>
      <c r="N46" s="1356"/>
      <c r="O46" s="1357"/>
      <c r="P46" s="1355"/>
      <c r="Q46" s="1356"/>
      <c r="R46" s="1357"/>
      <c r="S46" s="1355"/>
      <c r="T46" s="1356"/>
      <c r="U46" s="1357"/>
      <c r="V46" s="1355"/>
      <c r="W46" s="1356"/>
      <c r="X46" s="1358"/>
      <c r="Y46" s="1355"/>
      <c r="Z46" s="1356"/>
      <c r="AA46" s="1358"/>
      <c r="AB46" s="1355"/>
      <c r="AC46" s="1356"/>
      <c r="AD46" s="1358"/>
      <c r="AE46" s="1356"/>
      <c r="AF46" s="1357"/>
      <c r="AG46" s="1355"/>
      <c r="AH46" s="1356"/>
      <c r="AI46" s="1357"/>
      <c r="AJ46" s="1355"/>
      <c r="AK46" s="1356"/>
      <c r="AL46" s="1357"/>
      <c r="AM46" s="1355"/>
      <c r="AN46" s="1356"/>
      <c r="AO46" s="1357"/>
      <c r="AP46" s="1355"/>
      <c r="AQ46" s="1356"/>
      <c r="AR46" s="1358"/>
      <c r="AS46" s="1355"/>
      <c r="AT46" s="1356"/>
      <c r="AU46" s="1357"/>
      <c r="AV46" s="1355"/>
      <c r="AW46" s="1356"/>
      <c r="AX46" s="1356"/>
      <c r="AY46" s="1356"/>
    </row>
    <row r="47" spans="1:808" s="891" customFormat="1" ht="120.75" customHeight="1" thickTop="1" thickBot="1">
      <c r="A47" s="3060" t="s">
        <v>181</v>
      </c>
      <c r="B47" s="3061" t="s">
        <v>314</v>
      </c>
      <c r="C47" s="1245" t="s">
        <v>617</v>
      </c>
      <c r="D47" s="1336" t="s">
        <v>596</v>
      </c>
      <c r="E47" s="1245" t="s">
        <v>145</v>
      </c>
      <c r="F47" s="1245" t="s">
        <v>17</v>
      </c>
      <c r="G47" s="1359">
        <v>550</v>
      </c>
      <c r="H47" s="1245"/>
      <c r="I47" s="1360" t="s">
        <v>316</v>
      </c>
      <c r="J47" s="1245"/>
      <c r="K47" s="1245" t="s">
        <v>146</v>
      </c>
      <c r="L47" s="1359"/>
      <c r="M47" s="1361"/>
      <c r="N47" s="1229" t="e">
        <f t="shared" si="15"/>
        <v>#DIV/0!</v>
      </c>
      <c r="O47" s="1279">
        <v>0</v>
      </c>
      <c r="P47" s="1280"/>
      <c r="Q47" s="1229" t="e">
        <f t="shared" si="1"/>
        <v>#DIV/0!</v>
      </c>
      <c r="R47" s="1279">
        <v>0</v>
      </c>
      <c r="S47" s="1280"/>
      <c r="T47" s="1229" t="e">
        <f>+S47/R47</f>
        <v>#DIV/0!</v>
      </c>
      <c r="U47" s="1279">
        <v>110</v>
      </c>
      <c r="V47" s="1280">
        <v>108</v>
      </c>
      <c r="W47" s="1229">
        <f t="shared" si="2"/>
        <v>0.98181818181818181</v>
      </c>
      <c r="X47" s="1362">
        <v>0</v>
      </c>
      <c r="Y47" s="1280"/>
      <c r="Z47" s="1229" t="e">
        <f t="shared" si="3"/>
        <v>#DIV/0!</v>
      </c>
      <c r="AA47" s="1362">
        <v>0</v>
      </c>
      <c r="AB47" s="1280"/>
      <c r="AC47" s="1229" t="e">
        <f t="shared" si="4"/>
        <v>#DIV/0!</v>
      </c>
      <c r="AD47" s="1277">
        <f t="shared" si="5"/>
        <v>108</v>
      </c>
      <c r="AE47" s="1229">
        <f t="shared" si="6"/>
        <v>0.19636363636363635</v>
      </c>
      <c r="AF47" s="1363">
        <v>0</v>
      </c>
      <c r="AG47" s="1364"/>
      <c r="AH47" s="1229" t="e">
        <f t="shared" si="7"/>
        <v>#DIV/0!</v>
      </c>
      <c r="AI47" s="1363">
        <v>165</v>
      </c>
      <c r="AJ47" s="1364">
        <v>4771</v>
      </c>
      <c r="AK47" s="1229">
        <f t="shared" si="8"/>
        <v>28.915151515151514</v>
      </c>
      <c r="AL47" s="1277">
        <v>0</v>
      </c>
      <c r="AM47" s="1364"/>
      <c r="AN47" s="1229" t="e">
        <f t="shared" si="9"/>
        <v>#DIV/0!</v>
      </c>
      <c r="AO47" s="1363">
        <v>0</v>
      </c>
      <c r="AP47" s="1364"/>
      <c r="AQ47" s="1229" t="e">
        <f t="shared" si="10"/>
        <v>#DIV/0!</v>
      </c>
      <c r="AR47" s="1277">
        <v>0</v>
      </c>
      <c r="AS47" s="1364"/>
      <c r="AT47" s="1229" t="e">
        <f t="shared" si="11"/>
        <v>#DIV/0!</v>
      </c>
      <c r="AU47" s="1363">
        <v>275</v>
      </c>
      <c r="AV47" s="1364">
        <v>1734</v>
      </c>
      <c r="AW47" s="1229">
        <f t="shared" si="12"/>
        <v>6.3054545454545456</v>
      </c>
      <c r="AX47" s="1277">
        <f t="shared" si="13"/>
        <v>6613</v>
      </c>
      <c r="AY47" s="1229">
        <f t="shared" si="14"/>
        <v>12.023636363636363</v>
      </c>
    </row>
    <row r="48" spans="1:808" s="891" customFormat="1" ht="96.75" customHeight="1" thickTop="1" thickBot="1">
      <c r="A48" s="3060"/>
      <c r="B48" s="3061"/>
      <c r="C48" s="1234" t="s">
        <v>597</v>
      </c>
      <c r="D48" s="1333" t="s">
        <v>182</v>
      </c>
      <c r="E48" s="1234" t="s">
        <v>149</v>
      </c>
      <c r="F48" s="1234" t="s">
        <v>8</v>
      </c>
      <c r="G48" s="1234">
        <v>10.199999999999999</v>
      </c>
      <c r="H48" s="1234"/>
      <c r="I48" s="1234">
        <v>10.199999999999999</v>
      </c>
      <c r="J48" s="1365"/>
      <c r="K48" s="1234" t="s">
        <v>9</v>
      </c>
      <c r="L48" s="1366">
        <v>10.199999999999999</v>
      </c>
      <c r="M48" s="1367">
        <v>10.199999999999999</v>
      </c>
      <c r="N48" s="1229">
        <f>+L48/M48</f>
        <v>1</v>
      </c>
      <c r="O48" s="1242">
        <v>10.199999999999999</v>
      </c>
      <c r="P48" s="1241">
        <v>10.199999999999999</v>
      </c>
      <c r="Q48" s="1229">
        <f>+O48/P48</f>
        <v>1</v>
      </c>
      <c r="R48" s="1242">
        <v>10.199999999999999</v>
      </c>
      <c r="S48" s="1241">
        <v>10.199999999999999</v>
      </c>
      <c r="T48" s="1229">
        <f>+R48/S48</f>
        <v>1</v>
      </c>
      <c r="U48" s="1242">
        <v>10.199999999999999</v>
      </c>
      <c r="V48" s="1241">
        <v>10.199999999999999</v>
      </c>
      <c r="W48" s="1229">
        <f>+U48/V48</f>
        <v>1</v>
      </c>
      <c r="X48" s="1242">
        <v>10.199999999999999</v>
      </c>
      <c r="Y48" s="1241">
        <v>10.199999999999999</v>
      </c>
      <c r="Z48" s="1229">
        <f>+X48/Y48</f>
        <v>1</v>
      </c>
      <c r="AA48" s="1242">
        <v>10.199999999999999</v>
      </c>
      <c r="AB48" s="1241">
        <v>10.199999999999999</v>
      </c>
      <c r="AC48" s="1229">
        <f>+AA48/AB48</f>
        <v>1</v>
      </c>
      <c r="AD48" s="1277">
        <f>(M48+P48+S48+V48+Y48+AB48)/6</f>
        <v>10.200000000000001</v>
      </c>
      <c r="AE48" s="1229">
        <f>+G48/AD48</f>
        <v>0.99999999999999978</v>
      </c>
      <c r="AF48" s="1242">
        <v>10.199999999999999</v>
      </c>
      <c r="AG48" s="1241">
        <v>10.199999999999999</v>
      </c>
      <c r="AH48" s="1229">
        <f>+AF48/AG48</f>
        <v>1</v>
      </c>
      <c r="AI48" s="1242">
        <v>10.199999999999999</v>
      </c>
      <c r="AJ48" s="1241">
        <v>10.199999999999999</v>
      </c>
      <c r="AK48" s="1229">
        <f>+AI48/AJ48</f>
        <v>1</v>
      </c>
      <c r="AL48" s="1242">
        <v>10.199999999999999</v>
      </c>
      <c r="AM48" s="1241">
        <v>10.199999999999999</v>
      </c>
      <c r="AN48" s="1229">
        <f>+AL48/AM48</f>
        <v>1</v>
      </c>
      <c r="AO48" s="1242">
        <v>10.199999999999999</v>
      </c>
      <c r="AP48" s="1241">
        <v>10.199999999999999</v>
      </c>
      <c r="AQ48" s="1229">
        <f>+AO48/AP48</f>
        <v>1</v>
      </c>
      <c r="AR48" s="1242">
        <v>10.199999999999999</v>
      </c>
      <c r="AS48" s="1241">
        <v>10.199999999999999</v>
      </c>
      <c r="AT48" s="1229">
        <f>+AR48/AS48</f>
        <v>1</v>
      </c>
      <c r="AU48" s="1242">
        <v>10.199999999999999</v>
      </c>
      <c r="AV48" s="1241">
        <v>10.199999999999999</v>
      </c>
      <c r="AW48" s="1229">
        <f>+AU48/AV48</f>
        <v>1</v>
      </c>
      <c r="AX48" s="1244">
        <f>(M48+P48+S48+V48+Y48+AB48+AG48+AJ48+AM48+AP48+AS48+AV48)/12</f>
        <v>10.200000000000001</v>
      </c>
      <c r="AY48" s="1229">
        <f>+G48/AX48</f>
        <v>0.99999999999999978</v>
      </c>
    </row>
    <row r="49" spans="1:51" s="891" customFormat="1" ht="91.5" customHeight="1" thickTop="1" thickBot="1">
      <c r="A49" s="3060"/>
      <c r="B49" s="3061"/>
      <c r="C49" s="3062" t="s">
        <v>618</v>
      </c>
      <c r="D49" s="1336" t="s">
        <v>261</v>
      </c>
      <c r="E49" s="1245" t="s">
        <v>598</v>
      </c>
      <c r="F49" s="1245" t="s">
        <v>10</v>
      </c>
      <c r="G49" s="1343">
        <v>0.03</v>
      </c>
      <c r="H49" s="1339"/>
      <c r="I49" s="1344">
        <v>0.03</v>
      </c>
      <c r="J49" s="1339"/>
      <c r="K49" s="1245" t="s">
        <v>226</v>
      </c>
      <c r="L49" s="1368">
        <v>0</v>
      </c>
      <c r="M49" s="1369">
        <v>0</v>
      </c>
      <c r="N49" s="1229" t="e">
        <f t="shared" si="15"/>
        <v>#DIV/0!</v>
      </c>
      <c r="O49" s="1370">
        <v>0</v>
      </c>
      <c r="P49" s="1371">
        <v>0</v>
      </c>
      <c r="Q49" s="1229" t="e">
        <f t="shared" si="1"/>
        <v>#DIV/0!</v>
      </c>
      <c r="R49" s="1370">
        <v>0</v>
      </c>
      <c r="S49" s="1371">
        <v>0</v>
      </c>
      <c r="T49" s="1229" t="e">
        <f>+S49/R49</f>
        <v>#DIV/0!</v>
      </c>
      <c r="U49" s="1370">
        <v>0</v>
      </c>
      <c r="V49" s="1371">
        <v>0</v>
      </c>
      <c r="W49" s="1229" t="e">
        <f t="shared" si="2"/>
        <v>#DIV/0!</v>
      </c>
      <c r="X49" s="1370">
        <v>0</v>
      </c>
      <c r="Y49" s="1371">
        <v>0</v>
      </c>
      <c r="Z49" s="1229" t="e">
        <f t="shared" si="3"/>
        <v>#DIV/0!</v>
      </c>
      <c r="AA49" s="1370">
        <v>0</v>
      </c>
      <c r="AB49" s="1371">
        <v>0</v>
      </c>
      <c r="AC49" s="1229" t="e">
        <f t="shared" si="4"/>
        <v>#DIV/0!</v>
      </c>
      <c r="AD49" s="1296">
        <f t="shared" si="5"/>
        <v>0</v>
      </c>
      <c r="AE49" s="1229">
        <f t="shared" si="6"/>
        <v>0</v>
      </c>
      <c r="AF49" s="1370">
        <v>0</v>
      </c>
      <c r="AG49" s="1371">
        <v>0</v>
      </c>
      <c r="AH49" s="1229" t="e">
        <f t="shared" si="7"/>
        <v>#DIV/0!</v>
      </c>
      <c r="AI49" s="1370">
        <v>0</v>
      </c>
      <c r="AJ49" s="1371">
        <v>0</v>
      </c>
      <c r="AK49" s="1229" t="e">
        <f t="shared" si="8"/>
        <v>#DIV/0!</v>
      </c>
      <c r="AL49" s="1370">
        <v>0</v>
      </c>
      <c r="AM49" s="1371">
        <v>0</v>
      </c>
      <c r="AN49" s="1229" t="e">
        <f t="shared" si="9"/>
        <v>#DIV/0!</v>
      </c>
      <c r="AO49" s="1370">
        <v>0</v>
      </c>
      <c r="AP49" s="1371">
        <v>0</v>
      </c>
      <c r="AQ49" s="1229" t="e">
        <f t="shared" si="10"/>
        <v>#DIV/0!</v>
      </c>
      <c r="AR49" s="1370">
        <v>0</v>
      </c>
      <c r="AS49" s="1371">
        <v>0</v>
      </c>
      <c r="AT49" s="1229" t="e">
        <f t="shared" si="11"/>
        <v>#DIV/0!</v>
      </c>
      <c r="AU49" s="1370">
        <v>0.03</v>
      </c>
      <c r="AV49" s="1371"/>
      <c r="AW49" s="1229">
        <f t="shared" si="12"/>
        <v>0</v>
      </c>
      <c r="AX49" s="1296">
        <f>+AV49</f>
        <v>0</v>
      </c>
      <c r="AY49" s="1229"/>
    </row>
    <row r="50" spans="1:51" s="891" customFormat="1" ht="99" customHeight="1" thickTop="1" thickBot="1">
      <c r="A50" s="3060"/>
      <c r="B50" s="3061"/>
      <c r="C50" s="3063"/>
      <c r="D50" s="1333" t="s">
        <v>263</v>
      </c>
      <c r="E50" s="1234" t="s">
        <v>264</v>
      </c>
      <c r="F50" s="1234" t="s">
        <v>10</v>
      </c>
      <c r="G50" s="1372">
        <v>1</v>
      </c>
      <c r="H50" s="1372"/>
      <c r="I50" s="1372">
        <v>1</v>
      </c>
      <c r="J50" s="1365"/>
      <c r="K50" s="1234" t="s">
        <v>226</v>
      </c>
      <c r="L50" s="1373">
        <v>1</v>
      </c>
      <c r="M50" s="1374">
        <v>1</v>
      </c>
      <c r="N50" s="1229">
        <f t="shared" si="15"/>
        <v>1</v>
      </c>
      <c r="O50" s="1375">
        <v>1</v>
      </c>
      <c r="P50" s="1376">
        <v>1</v>
      </c>
      <c r="Q50" s="1229">
        <f t="shared" si="1"/>
        <v>1</v>
      </c>
      <c r="R50" s="1375">
        <v>1</v>
      </c>
      <c r="S50" s="1376">
        <v>1</v>
      </c>
      <c r="T50" s="1229">
        <f>+S50/R50</f>
        <v>1</v>
      </c>
      <c r="U50" s="1375">
        <v>1</v>
      </c>
      <c r="V50" s="1376">
        <v>1</v>
      </c>
      <c r="W50" s="1229">
        <f t="shared" si="2"/>
        <v>1</v>
      </c>
      <c r="X50" s="1375">
        <v>1</v>
      </c>
      <c r="Y50" s="1376">
        <v>1</v>
      </c>
      <c r="Z50" s="1229">
        <f t="shared" si="3"/>
        <v>1</v>
      </c>
      <c r="AA50" s="1375">
        <v>1</v>
      </c>
      <c r="AB50" s="1376">
        <v>1</v>
      </c>
      <c r="AC50" s="1229">
        <f t="shared" si="4"/>
        <v>1</v>
      </c>
      <c r="AD50" s="1296">
        <f t="shared" si="5"/>
        <v>6</v>
      </c>
      <c r="AE50" s="1229">
        <f t="shared" si="6"/>
        <v>6</v>
      </c>
      <c r="AF50" s="1375">
        <v>1</v>
      </c>
      <c r="AG50" s="1376">
        <v>1</v>
      </c>
      <c r="AH50" s="1229">
        <f t="shared" si="7"/>
        <v>1</v>
      </c>
      <c r="AI50" s="1375">
        <v>1</v>
      </c>
      <c r="AJ50" s="1376">
        <v>1</v>
      </c>
      <c r="AK50" s="1229">
        <f t="shared" si="8"/>
        <v>1</v>
      </c>
      <c r="AL50" s="1375">
        <v>1</v>
      </c>
      <c r="AM50" s="1376">
        <v>1</v>
      </c>
      <c r="AN50" s="1229">
        <f t="shared" si="9"/>
        <v>1</v>
      </c>
      <c r="AO50" s="1375">
        <v>1</v>
      </c>
      <c r="AP50" s="1376">
        <v>1</v>
      </c>
      <c r="AQ50" s="1229">
        <f t="shared" si="10"/>
        <v>1</v>
      </c>
      <c r="AR50" s="1375">
        <v>1</v>
      </c>
      <c r="AS50" s="1376">
        <v>1</v>
      </c>
      <c r="AT50" s="1229">
        <f t="shared" si="11"/>
        <v>1</v>
      </c>
      <c r="AU50" s="1375">
        <v>1</v>
      </c>
      <c r="AV50" s="1376">
        <v>1</v>
      </c>
      <c r="AW50" s="1229"/>
      <c r="AX50" s="1297">
        <f>+(AM50+AV50)/2</f>
        <v>1</v>
      </c>
      <c r="AY50" s="1229">
        <f t="shared" si="14"/>
        <v>1</v>
      </c>
    </row>
    <row r="51" spans="1:51" s="891" customFormat="1" ht="84" customHeight="1" thickTop="1" thickBot="1">
      <c r="A51" s="3060"/>
      <c r="B51" s="1377" t="s">
        <v>150</v>
      </c>
      <c r="C51" s="1245" t="s">
        <v>619</v>
      </c>
      <c r="D51" s="1336" t="s">
        <v>599</v>
      </c>
      <c r="E51" s="1245" t="s">
        <v>183</v>
      </c>
      <c r="F51" s="1245" t="s">
        <v>17</v>
      </c>
      <c r="G51" s="1378">
        <v>37</v>
      </c>
      <c r="H51" s="1363"/>
      <c r="I51" s="1359">
        <v>37</v>
      </c>
      <c r="J51" s="1245"/>
      <c r="K51" s="1245" t="s">
        <v>21</v>
      </c>
      <c r="L51" s="1379">
        <v>37</v>
      </c>
      <c r="M51" s="1380">
        <v>56</v>
      </c>
      <c r="N51" s="1229">
        <f>+L51/M51</f>
        <v>0.6607142857142857</v>
      </c>
      <c r="O51" s="1362">
        <v>37</v>
      </c>
      <c r="P51" s="1381">
        <v>49</v>
      </c>
      <c r="Q51" s="1229">
        <f>+O51/P51</f>
        <v>0.75510204081632648</v>
      </c>
      <c r="R51" s="1362">
        <v>37</v>
      </c>
      <c r="S51" s="1381">
        <v>46</v>
      </c>
      <c r="T51" s="1229">
        <f>+R51/S51</f>
        <v>0.80434782608695654</v>
      </c>
      <c r="U51" s="1362">
        <v>37</v>
      </c>
      <c r="V51" s="1381">
        <v>50</v>
      </c>
      <c r="W51" s="1229">
        <f>+U51/V51</f>
        <v>0.74</v>
      </c>
      <c r="X51" s="1362">
        <v>37</v>
      </c>
      <c r="Y51" s="1381">
        <v>40</v>
      </c>
      <c r="Z51" s="1229">
        <f>+X51/Y51</f>
        <v>0.92500000000000004</v>
      </c>
      <c r="AA51" s="1362">
        <v>37</v>
      </c>
      <c r="AB51" s="1381">
        <v>52</v>
      </c>
      <c r="AC51" s="1229">
        <f>+AA51/AB51</f>
        <v>0.71153846153846156</v>
      </c>
      <c r="AD51" s="1277">
        <f>(S51+V51+Y51+AB51)/4</f>
        <v>47</v>
      </c>
      <c r="AE51" s="1229">
        <f>+G51/AD51</f>
        <v>0.78723404255319152</v>
      </c>
      <c r="AF51" s="1362">
        <v>37</v>
      </c>
      <c r="AG51" s="1381">
        <v>69</v>
      </c>
      <c r="AH51" s="1229">
        <f>+AF51/AG51</f>
        <v>0.53623188405797106</v>
      </c>
      <c r="AI51" s="1362">
        <v>37</v>
      </c>
      <c r="AJ51" s="1381">
        <v>47</v>
      </c>
      <c r="AK51" s="1229">
        <f>+AI51/AJ51</f>
        <v>0.78723404255319152</v>
      </c>
      <c r="AL51" s="1362">
        <v>37</v>
      </c>
      <c r="AM51" s="1381">
        <v>64</v>
      </c>
      <c r="AN51" s="1229">
        <f>+AL51/AM51</f>
        <v>0.578125</v>
      </c>
      <c r="AO51" s="1362">
        <v>37</v>
      </c>
      <c r="AP51" s="1381">
        <v>62</v>
      </c>
      <c r="AQ51" s="1229">
        <f>+AO51/AP51</f>
        <v>0.59677419354838712</v>
      </c>
      <c r="AR51" s="1362">
        <v>37</v>
      </c>
      <c r="AS51" s="1381">
        <v>44</v>
      </c>
      <c r="AT51" s="1229">
        <f>+AR51/AS51</f>
        <v>0.84090909090909094</v>
      </c>
      <c r="AU51" s="1362">
        <v>37</v>
      </c>
      <c r="AV51" s="1381">
        <v>43</v>
      </c>
      <c r="AW51" s="1229">
        <f>+AU51/AV51</f>
        <v>0.86046511627906974</v>
      </c>
      <c r="AX51" s="1277">
        <f>(S51+V51+Y51+AB51+AG51+AJ51+AM51+AP51+AS51+AV51)/10</f>
        <v>51.7</v>
      </c>
      <c r="AY51" s="1229">
        <f>+G51/AX51</f>
        <v>0.71566731141199225</v>
      </c>
    </row>
    <row r="52" spans="1:51" s="891" customFormat="1" ht="22.7" customHeight="1" thickTop="1" thickBot="1">
      <c r="A52" s="3064" t="s">
        <v>154</v>
      </c>
      <c r="B52" s="3065"/>
      <c r="C52" s="3065"/>
      <c r="D52" s="3065"/>
      <c r="E52" s="3065"/>
      <c r="F52" s="3065"/>
      <c r="G52" s="3065"/>
      <c r="H52" s="3065"/>
      <c r="I52" s="3065"/>
      <c r="J52" s="3065"/>
      <c r="K52" s="3066"/>
      <c r="L52" s="1382"/>
      <c r="M52" s="1383"/>
      <c r="N52" s="1384"/>
      <c r="O52" s="1385"/>
      <c r="P52" s="1386"/>
      <c r="Q52" s="1384"/>
      <c r="R52" s="1385"/>
      <c r="S52" s="1386"/>
      <c r="T52" s="1384"/>
      <c r="U52" s="1385"/>
      <c r="V52" s="1383"/>
      <c r="W52" s="1384"/>
      <c r="X52" s="1385"/>
      <c r="Y52" s="1383"/>
      <c r="Z52" s="1384"/>
      <c r="AA52" s="1387"/>
      <c r="AB52" s="1383"/>
      <c r="AC52" s="1384"/>
      <c r="AD52" s="1385"/>
      <c r="AE52" s="1384"/>
      <c r="AF52" s="1385"/>
      <c r="AG52" s="1383"/>
      <c r="AH52" s="1384"/>
      <c r="AI52" s="1385"/>
      <c r="AJ52" s="1383"/>
      <c r="AK52" s="1384"/>
      <c r="AL52" s="1385"/>
      <c r="AM52" s="1383"/>
      <c r="AN52" s="1384"/>
      <c r="AO52" s="1385"/>
      <c r="AP52" s="1383"/>
      <c r="AQ52" s="1384"/>
      <c r="AR52" s="1387"/>
      <c r="AS52" s="1386"/>
      <c r="AT52" s="1384"/>
      <c r="AU52" s="1385"/>
      <c r="AV52" s="1386"/>
      <c r="AW52" s="1384"/>
      <c r="AX52" s="1384"/>
      <c r="AY52" s="1384"/>
    </row>
    <row r="53" spans="1:51" s="891" customFormat="1" ht="120.75" customHeight="1" thickTop="1" thickBot="1">
      <c r="A53" s="1388" t="s">
        <v>155</v>
      </c>
      <c r="B53" s="1389" t="s">
        <v>156</v>
      </c>
      <c r="C53" s="1234" t="s">
        <v>620</v>
      </c>
      <c r="D53" s="1333" t="s">
        <v>158</v>
      </c>
      <c r="E53" s="1234" t="s">
        <v>159</v>
      </c>
      <c r="F53" s="1234" t="s">
        <v>17</v>
      </c>
      <c r="G53" s="1234">
        <v>10</v>
      </c>
      <c r="H53" s="1234"/>
      <c r="I53" s="1334" t="s">
        <v>316</v>
      </c>
      <c r="J53" s="1234"/>
      <c r="K53" s="1234" t="s">
        <v>27</v>
      </c>
      <c r="L53" s="1390">
        <v>0</v>
      </c>
      <c r="M53" s="1367"/>
      <c r="N53" s="1229" t="e">
        <f t="shared" ref="N53" si="16">+M53/L53</f>
        <v>#DIV/0!</v>
      </c>
      <c r="O53" s="1240">
        <v>0</v>
      </c>
      <c r="P53" s="1241"/>
      <c r="Q53" s="1229" t="e">
        <f t="shared" ref="Q53" si="17">+P53/O53</f>
        <v>#DIV/0!</v>
      </c>
      <c r="R53" s="1240">
        <v>0</v>
      </c>
      <c r="S53" s="1241"/>
      <c r="T53" s="1229" t="e">
        <f>+S53/R53</f>
        <v>#DIV/0!</v>
      </c>
      <c r="U53" s="1240">
        <v>0</v>
      </c>
      <c r="V53" s="1243"/>
      <c r="W53" s="1229" t="e">
        <f t="shared" ref="W53" si="18">+V53/U53</f>
        <v>#DIV/0!</v>
      </c>
      <c r="X53" s="1240">
        <v>2</v>
      </c>
      <c r="Y53" s="1243">
        <v>2</v>
      </c>
      <c r="Z53" s="1229">
        <f t="shared" ref="Z53" si="19">+Y53/X53</f>
        <v>1</v>
      </c>
      <c r="AA53" s="1242">
        <v>0</v>
      </c>
      <c r="AB53" s="1243"/>
      <c r="AC53" s="1229" t="e">
        <f t="shared" ref="AC53" si="20">+AB53/AA53</f>
        <v>#DIV/0!</v>
      </c>
      <c r="AD53" s="1391">
        <f>+Y53</f>
        <v>2</v>
      </c>
      <c r="AE53" s="1229">
        <f t="shared" ref="AE53" si="21">AD53/G53</f>
        <v>0.2</v>
      </c>
      <c r="AF53" s="1240">
        <v>1</v>
      </c>
      <c r="AG53" s="1243">
        <v>1</v>
      </c>
      <c r="AH53" s="1229">
        <f t="shared" ref="AH53" si="22">+AG53/AF53</f>
        <v>1</v>
      </c>
      <c r="AI53" s="1240">
        <v>3</v>
      </c>
      <c r="AJ53" s="1243">
        <v>3</v>
      </c>
      <c r="AK53" s="1229">
        <f t="shared" ref="AK53" si="23">+AJ53/AI53</f>
        <v>1</v>
      </c>
      <c r="AL53" s="1240">
        <v>1</v>
      </c>
      <c r="AM53" s="1243">
        <v>1</v>
      </c>
      <c r="AN53" s="1229">
        <f t="shared" ref="AN53" si="24">+AM53/AL53</f>
        <v>1</v>
      </c>
      <c r="AO53" s="1240">
        <v>3</v>
      </c>
      <c r="AP53" s="1243">
        <v>3</v>
      </c>
      <c r="AQ53" s="1229">
        <f t="shared" ref="AQ53" si="25">+AP53/AO53</f>
        <v>1</v>
      </c>
      <c r="AR53" s="1242">
        <v>0</v>
      </c>
      <c r="AS53" s="1241"/>
      <c r="AT53" s="1229" t="e">
        <f t="shared" ref="AT53" si="26">+AS53/AR53</f>
        <v>#DIV/0!</v>
      </c>
      <c r="AU53" s="1240">
        <v>0</v>
      </c>
      <c r="AV53" s="1241"/>
      <c r="AW53" s="1229" t="e">
        <f t="shared" ref="AW53" si="27">+AV53/AU53</f>
        <v>#DIV/0!</v>
      </c>
      <c r="AX53" s="1244">
        <f>+Y53+AG53+AJ53+AM53+AP53</f>
        <v>10</v>
      </c>
      <c r="AY53" s="1229">
        <f t="shared" ref="AY53" si="28">+AX53/G53</f>
        <v>1</v>
      </c>
    </row>
  </sheetData>
  <sheetProtection algorithmName="SHA-512" hashValue="P+wdrhD6nc0C45PtqLr4JzFC36adGH4uXNx018QppNPr8Q8fvcC+GADbrq17FyS3q2C/rEjOQ5w3hnyULufTvg==" saltValue="uZXbaHfN9AGFbFRoxfE3bA==" spinCount="100000" sheet="1" objects="1" scenarios="1"/>
  <mergeCells count="41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9:A45"/>
    <mergeCell ref="B9:B10"/>
    <mergeCell ref="B11:B38"/>
    <mergeCell ref="C12:C21"/>
    <mergeCell ref="C25:C27"/>
    <mergeCell ref="C31:C37"/>
    <mergeCell ref="B39:B45"/>
    <mergeCell ref="C41:C44"/>
    <mergeCell ref="A46:K46"/>
    <mergeCell ref="A47:A51"/>
    <mergeCell ref="B47:B50"/>
    <mergeCell ref="C49:C50"/>
    <mergeCell ref="A52:K52"/>
  </mergeCells>
  <conditionalFormatting sqref="AY53 AY47:AY51 AY9:AY45">
    <cfRule type="cellIs" dxfId="6909" priority="66" operator="greaterThan">
      <formula>110%</formula>
    </cfRule>
    <cfRule type="cellIs" dxfId="6908" priority="67" operator="between">
      <formula>100.001%</formula>
      <formula>110%</formula>
    </cfRule>
    <cfRule type="cellIs" dxfId="6907" priority="68" operator="between">
      <formula>70.001%</formula>
      <formula>100%</formula>
    </cfRule>
    <cfRule type="cellIs" dxfId="6906" priority="69" operator="between">
      <formula>0.00001%</formula>
      <formula>70%</formula>
    </cfRule>
    <cfRule type="cellIs" dxfId="6905" priority="70" operator="equal">
      <formula>0</formula>
    </cfRule>
  </conditionalFormatting>
  <conditionalFormatting sqref="AW9:AW45 AW53 AW47:AW51">
    <cfRule type="cellIs" dxfId="6904" priority="61" operator="greaterThan">
      <formula>110%</formula>
    </cfRule>
    <cfRule type="cellIs" dxfId="6903" priority="62" operator="between">
      <formula>100.001%</formula>
      <formula>110%</formula>
    </cfRule>
    <cfRule type="cellIs" dxfId="6902" priority="63" operator="between">
      <formula>70.001%</formula>
      <formula>100%</formula>
    </cfRule>
    <cfRule type="cellIs" dxfId="6901" priority="64" operator="between">
      <formula>0.00001%</formula>
      <formula>70%</formula>
    </cfRule>
    <cfRule type="cellIs" dxfId="6900" priority="65" operator="equal">
      <formula>0</formula>
    </cfRule>
  </conditionalFormatting>
  <conditionalFormatting sqref="AT9:AT45 AT53 AT47:AT51">
    <cfRule type="cellIs" dxfId="6899" priority="56" operator="greaterThan">
      <formula>110%</formula>
    </cfRule>
    <cfRule type="cellIs" dxfId="6898" priority="57" operator="between">
      <formula>100.001%</formula>
      <formula>110%</formula>
    </cfRule>
    <cfRule type="cellIs" dxfId="6897" priority="58" operator="between">
      <formula>70.001%</formula>
      <formula>100%</formula>
    </cfRule>
    <cfRule type="cellIs" dxfId="6896" priority="59" operator="between">
      <formula>0.00001%</formula>
      <formula>70%</formula>
    </cfRule>
    <cfRule type="cellIs" dxfId="6895" priority="60" operator="equal">
      <formula>0</formula>
    </cfRule>
  </conditionalFormatting>
  <conditionalFormatting sqref="AQ9:AQ45 AQ53 AQ47:AQ51">
    <cfRule type="cellIs" dxfId="6894" priority="51" operator="greaterThan">
      <formula>110%</formula>
    </cfRule>
    <cfRule type="cellIs" dxfId="6893" priority="52" operator="between">
      <formula>100.001%</formula>
      <formula>110%</formula>
    </cfRule>
    <cfRule type="cellIs" dxfId="6892" priority="53" operator="between">
      <formula>70.001%</formula>
      <formula>100%</formula>
    </cfRule>
    <cfRule type="cellIs" dxfId="6891" priority="54" operator="between">
      <formula>0.00001%</formula>
      <formula>70%</formula>
    </cfRule>
    <cfRule type="cellIs" dxfId="6890" priority="55" operator="equal">
      <formula>0</formula>
    </cfRule>
  </conditionalFormatting>
  <conditionalFormatting sqref="AN9:AN45 AN53 AN47:AN51">
    <cfRule type="cellIs" dxfId="6889" priority="46" operator="greaterThan">
      <formula>110%</formula>
    </cfRule>
    <cfRule type="cellIs" dxfId="6888" priority="47" operator="between">
      <formula>100.001%</formula>
      <formula>110%</formula>
    </cfRule>
    <cfRule type="cellIs" dxfId="6887" priority="48" operator="between">
      <formula>70.001%</formula>
      <formula>100%</formula>
    </cfRule>
    <cfRule type="cellIs" dxfId="6886" priority="49" operator="between">
      <formula>0.00001%</formula>
      <formula>70%</formula>
    </cfRule>
    <cfRule type="cellIs" dxfId="6885" priority="50" operator="equal">
      <formula>0</formula>
    </cfRule>
  </conditionalFormatting>
  <conditionalFormatting sqref="AK9:AK45 AK53 AK47:AK51">
    <cfRule type="cellIs" dxfId="6884" priority="41" operator="greaterThan">
      <formula>110%</formula>
    </cfRule>
    <cfRule type="cellIs" dxfId="6883" priority="42" operator="between">
      <formula>100.001%</formula>
      <formula>110%</formula>
    </cfRule>
    <cfRule type="cellIs" dxfId="6882" priority="43" operator="between">
      <formula>70.001%</formula>
      <formula>100%</formula>
    </cfRule>
    <cfRule type="cellIs" dxfId="6881" priority="44" operator="between">
      <formula>0.00001%</formula>
      <formula>70%</formula>
    </cfRule>
    <cfRule type="cellIs" dxfId="6880" priority="45" operator="equal">
      <formula>0</formula>
    </cfRule>
  </conditionalFormatting>
  <conditionalFormatting sqref="AH9:AH45 AH53 AH47:AH51">
    <cfRule type="cellIs" dxfId="6879" priority="36" operator="greaterThan">
      <formula>110%</formula>
    </cfRule>
    <cfRule type="cellIs" dxfId="6878" priority="37" operator="between">
      <formula>100.001%</formula>
      <formula>110%</formula>
    </cfRule>
    <cfRule type="cellIs" dxfId="6877" priority="38" operator="between">
      <formula>70.001%</formula>
      <formula>100%</formula>
    </cfRule>
    <cfRule type="cellIs" dxfId="6876" priority="39" operator="between">
      <formula>0.00001%</formula>
      <formula>70%</formula>
    </cfRule>
    <cfRule type="cellIs" dxfId="6875" priority="40" operator="equal">
      <formula>0</formula>
    </cfRule>
  </conditionalFormatting>
  <conditionalFormatting sqref="AE9:AE45 AE53 AE47:AE51">
    <cfRule type="cellIs" dxfId="6874" priority="31" operator="greaterThan">
      <formula>110%</formula>
    </cfRule>
    <cfRule type="cellIs" dxfId="6873" priority="32" operator="between">
      <formula>100.001%</formula>
      <formula>110%</formula>
    </cfRule>
    <cfRule type="cellIs" dxfId="6872" priority="33" operator="between">
      <formula>70.001%</formula>
      <formula>100%</formula>
    </cfRule>
    <cfRule type="cellIs" dxfId="6871" priority="34" operator="between">
      <formula>0.00001%</formula>
      <formula>70%</formula>
    </cfRule>
    <cfRule type="cellIs" dxfId="6870" priority="35" operator="equal">
      <formula>0</formula>
    </cfRule>
  </conditionalFormatting>
  <conditionalFormatting sqref="AC9:AC45 AC53 AC47:AC51">
    <cfRule type="cellIs" dxfId="6869" priority="26" operator="greaterThan">
      <formula>110%</formula>
    </cfRule>
    <cfRule type="cellIs" dxfId="6868" priority="27" operator="between">
      <formula>100.001%</formula>
      <formula>110%</formula>
    </cfRule>
    <cfRule type="cellIs" dxfId="6867" priority="28" operator="between">
      <formula>70.001%</formula>
      <formula>100%</formula>
    </cfRule>
    <cfRule type="cellIs" dxfId="6866" priority="29" operator="between">
      <formula>0.00001%</formula>
      <formula>70%</formula>
    </cfRule>
    <cfRule type="cellIs" dxfId="6865" priority="30" operator="equal">
      <formula>0</formula>
    </cfRule>
  </conditionalFormatting>
  <conditionalFormatting sqref="Z9:Z45 Z53 Z47:Z51">
    <cfRule type="cellIs" dxfId="6864" priority="21" operator="greaterThan">
      <formula>110%</formula>
    </cfRule>
    <cfRule type="cellIs" dxfId="6863" priority="22" operator="between">
      <formula>100.001%</formula>
      <formula>110%</formula>
    </cfRule>
    <cfRule type="cellIs" dxfId="6862" priority="23" operator="between">
      <formula>70.001%</formula>
      <formula>100%</formula>
    </cfRule>
    <cfRule type="cellIs" dxfId="6861" priority="24" operator="between">
      <formula>0.00001%</formula>
      <formula>70%</formula>
    </cfRule>
    <cfRule type="cellIs" dxfId="6860" priority="25" operator="equal">
      <formula>0</formula>
    </cfRule>
  </conditionalFormatting>
  <conditionalFormatting sqref="W9:W45 W53 W47:W51">
    <cfRule type="cellIs" dxfId="6859" priority="16" operator="greaterThan">
      <formula>110%</formula>
    </cfRule>
    <cfRule type="cellIs" dxfId="6858" priority="17" operator="between">
      <formula>100.001%</formula>
      <formula>110%</formula>
    </cfRule>
    <cfRule type="cellIs" dxfId="6857" priority="18" operator="between">
      <formula>70.001%</formula>
      <formula>100%</formula>
    </cfRule>
    <cfRule type="cellIs" dxfId="6856" priority="19" operator="between">
      <formula>0.00001%</formula>
      <formula>70%</formula>
    </cfRule>
    <cfRule type="cellIs" dxfId="6855" priority="20" operator="equal">
      <formula>0</formula>
    </cfRule>
  </conditionalFormatting>
  <conditionalFormatting sqref="T53 T47:T51 T9:T45">
    <cfRule type="cellIs" dxfId="6854" priority="11" operator="greaterThan">
      <formula>110%</formula>
    </cfRule>
    <cfRule type="cellIs" dxfId="6853" priority="12" operator="between">
      <formula>100.001%</formula>
      <formula>110%</formula>
    </cfRule>
    <cfRule type="cellIs" dxfId="6852" priority="13" operator="between">
      <formula>70.001%</formula>
      <formula>100%</formula>
    </cfRule>
    <cfRule type="cellIs" dxfId="6851" priority="14" operator="between">
      <formula>0.00001%</formula>
      <formula>70%</formula>
    </cfRule>
    <cfRule type="cellIs" dxfId="6850" priority="15" operator="equal">
      <formula>0</formula>
    </cfRule>
  </conditionalFormatting>
  <conditionalFormatting sqref="Q9:Q45 Q53 Q47:Q51">
    <cfRule type="cellIs" dxfId="6849" priority="6" operator="greaterThan">
      <formula>110%</formula>
    </cfRule>
    <cfRule type="cellIs" dxfId="6848" priority="7" operator="between">
      <formula>100.001%</formula>
      <formula>110%</formula>
    </cfRule>
    <cfRule type="cellIs" dxfId="6847" priority="8" operator="between">
      <formula>70.001%</formula>
      <formula>100%</formula>
    </cfRule>
    <cfRule type="cellIs" dxfId="6846" priority="9" operator="between">
      <formula>0.00001%</formula>
      <formula>70%</formula>
    </cfRule>
    <cfRule type="cellIs" dxfId="6845" priority="10" operator="equal">
      <formula>0</formula>
    </cfRule>
  </conditionalFormatting>
  <conditionalFormatting sqref="N53 N47:N51 N9:N45">
    <cfRule type="cellIs" dxfId="6844" priority="1" operator="greaterThan">
      <formula>110%</formula>
    </cfRule>
    <cfRule type="cellIs" dxfId="6843" priority="2" operator="between">
      <formula>100.001%</formula>
      <formula>110%</formula>
    </cfRule>
    <cfRule type="cellIs" dxfId="6842" priority="3" operator="between">
      <formula>70.001%</formula>
      <formula>100%</formula>
    </cfRule>
    <cfRule type="cellIs" dxfId="6841" priority="4" operator="between">
      <formula>0.00001%</formula>
      <formula>70%</formula>
    </cfRule>
    <cfRule type="cellIs" dxfId="6840" priority="5" operator="equal">
      <formula>0</formula>
    </cfRule>
  </conditionalFormatting>
  <hyperlinks>
    <hyperlink ref="D11" location="'IN1-3'!A1" display="IN1-3 Recaudo Bruto" xr:uid="{00000000-0004-0000-1100-000000000000}"/>
    <hyperlink ref="D12" location="'FIS-4'!A1" display="FIS-4 Gestión efectiva en fiscalización tributaria" xr:uid="{00000000-0004-0000-1100-000001000000}"/>
    <hyperlink ref="D13" location="'FIS-5'!A1" display="FIS-5 Gestión efectiva de Fiscalización Aduanera" xr:uid="{00000000-0004-0000-1100-000002000000}"/>
    <hyperlink ref="D14" location="'FIS-7'!A1" display="FIS-7 Gestión efectiva de Control Cambiario" xr:uid="{00000000-0004-0000-1100-000003000000}"/>
    <hyperlink ref="D15" location="'FIS-8'!A1" display="FIS-8 Gestión aceptada de Fiscalización Aduanera (Recaudo)" xr:uid="{00000000-0004-0000-1100-000004000000}"/>
    <hyperlink ref="D16" location="'FIS-9'!A1" display="FIS-9 Gestión aceptada de Fiscalización Aduanera (Resoluciones en firme)" xr:uid="{00000000-0004-0000-1100-000005000000}"/>
    <hyperlink ref="D17" location="'FIS-10'!A1" display="FIS-10 Gestión aceptada en fiscalización tributaria" xr:uid="{00000000-0004-0000-1100-000006000000}"/>
    <hyperlink ref="D18" location="'FIS-11'!A1" display="FIS-11 Gestión aceptada cambiaria (Recaudo)" xr:uid="{00000000-0004-0000-1100-000007000000}"/>
    <hyperlink ref="D19" location="'FIS-12'!A1" display="FIS-12 Gestión aceptada cambiaria (Resoluciones en firme)" xr:uid="{00000000-0004-0000-1100-000008000000}"/>
    <hyperlink ref="D20" location="'FIS-27'!A1" display="FIS-27 Reclasificación de no responsables a responsables" xr:uid="{00000000-0004-0000-1100-000009000000}"/>
    <hyperlink ref="D21" location="'FIS-17'!A1" display="FIS-17 Evacuación de expedientes en fiscalización tributaria" xr:uid="{00000000-0004-0000-1100-00000A000000}"/>
    <hyperlink ref="D22" location="'IN1-4'!A1" display="IN1-4  Recaudo por gestión de cartera" xr:uid="{00000000-0004-0000-1100-00000B000000}"/>
    <hyperlink ref="D23" location="'IN1-5'!A1" display="IN1-5 Inscritos en el Régimen Simple de Tributación - RST" xr:uid="{00000000-0004-0000-1100-00000C000000}"/>
    <hyperlink ref="D24" location="'IN1-6.1'!A1" display="IN1-6.1 Grado de cumplimiento del cronograma de campañas del RST" xr:uid="{00000000-0004-0000-1100-00000D000000}"/>
    <hyperlink ref="D25" location="'FIS-16'!A1" display="FIS-16 Visitas de control a personas que hacen la venta y compra de divisas sin estar autorizados" xr:uid="{00000000-0004-0000-1100-00000E000000}"/>
    <hyperlink ref="D26" location="'FIS-15'!A1" display="FIS-15 Visitas de control a profesionales de cambio" xr:uid="{00000000-0004-0000-1100-00000F000000}"/>
    <hyperlink ref="D27" location="'FIS-18'!A1" display="FIS-18 Evacuación de expedientes en fiscalización cambiaria" xr:uid="{00000000-0004-0000-1100-000010000000}"/>
    <hyperlink ref="D28" location="'FIS-21'!A1" display="FIS-21 Propuestas de Programas de control posterior de fiscalización  aduanera  (Sanciones, LOC, LOR, origen)" xr:uid="{00000000-0004-0000-1100-000011000000}"/>
    <hyperlink ref="D29" location="'FIS-14'!A1" display="FIS-14 Propuestas acciones aduaneras de control posterior contra el contrabando técnico (Sanciones, LOC, LOR, origen)" xr:uid="{00000000-0004-0000-1100-000012000000}"/>
    <hyperlink ref="D30" location="'IN1-8'!A1" display="IN1-8  Contribuyentes habilitados como facturadores electrónicos" xr:uid="{00000000-0004-0000-1100-000013000000}"/>
    <hyperlink ref="D31" location="'JUR-3.1'!A1" display=" JUR-3.1 Porcentaje de éxito de litigiosidad" xr:uid="{00000000-0004-0000-1100-000014000000}"/>
    <hyperlink ref="D32" location="'JUR-3.2'!A1" display=" JUR-3.2 Porcentaje procesos judiciales revisados con mayor riesgo en Ekogui" xr:uid="{00000000-0004-0000-1100-000015000000}"/>
    <hyperlink ref="D33" location="'JUR-3.3'!A1" display="JUR-3.3 Porcentaje de análisis de jurisprudencia remitidos junto con la copia de la sentencia " xr:uid="{00000000-0004-0000-1100-000016000000}"/>
    <hyperlink ref="D34" location="'JUR-3.4'!A1" display="JUR-3.4  Porcentaje de procesos revisados con VoBo del Jefe " xr:uid="{00000000-0004-0000-1100-000017000000}"/>
    <hyperlink ref="D35" location="'JUR-3.5'!A1" display="JUR-3.5  Porcentaje de requerimientos atendidos en oportunidad" xr:uid="{00000000-0004-0000-1100-000018000000}"/>
    <hyperlink ref="D36" location="'JUR-3.6'!A1" display=" JUR-3.6 Porcentaje funcionarios capacitaciones en cursos virtuales de la ANDJE" xr:uid="{00000000-0004-0000-1100-000019000000}"/>
    <hyperlink ref="D37" location="'JUR-4'!A1" display="JUR-4 Porcentaje funcionarios que participaron en el concurso de escritura jurídica" xr:uid="{00000000-0004-0000-1100-00001A000000}"/>
    <hyperlink ref="D38" location="'ADU-3'!A1" display="ADU-3  Monto de la recaudación total de Aduanas" xr:uid="{00000000-0004-0000-1100-00001B000000}"/>
    <hyperlink ref="D39" location="'FIS-24'!A1" display="FIS-24 Valor Decomisos de mercancías en firme" xr:uid="{00000000-0004-0000-1100-00001C000000}"/>
    <hyperlink ref="D40" location="'FIS-32'!A1" display="FIS-32 Valor Aprehensiones sectores de Licores, Cigarrillos, Calzado y Confecciones" xr:uid="{00000000-0004-0000-1100-00001D000000}"/>
    <hyperlink ref="D41" location="'ADU-9'!A1" display="ADU-9  Efectividad en el control simultaneo" xr:uid="{00000000-0004-0000-1100-00001E000000}"/>
    <hyperlink ref="D42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1100-00001F000000}"/>
    <hyperlink ref="D43" location="'ADU-30'!A1" display="ADU-30 Eficacia Visitas de verificación y control a los productores  y/o exportadores colombianos." xr:uid="{00000000-0004-0000-1100-000020000000}"/>
    <hyperlink ref="D44" location="'ADU-31'!A1" display="ADU-31 Eficacia en la revisión de criterios de origen de los productos colombianos" xr:uid="{00000000-0004-0000-1100-000021000000}"/>
    <hyperlink ref="D45" location="'POLFA-3'!A1" display="POLFA-3 Acciones de control de fiscalización contra el contrabando" xr:uid="{00000000-0004-0000-1100-000022000000}"/>
    <hyperlink ref="D47" location="'IN1-11'!A1" display="IN1-11 Nivel de cobertura de personas sensibilizadas por el plan de cultura. ACTUALMENTE. Cumplimiento al Plan de Acción de Cultura de la Contribución" xr:uid="{00000000-0004-0000-1100-000023000000}"/>
    <hyperlink ref="D48" location="'JUR-7'!A1" display="JUR-7  Oportunidad en las decisiones de los recursos Tributarios hasta su remisión a notificaciones" xr:uid="{00000000-0004-0000-1100-000024000000}"/>
    <hyperlink ref="D49" location="'POLFA-7'!A1" display="POLFA-7 Implementación programa zonas de comercio legal (Formalización)" xr:uid="{00000000-0004-0000-1100-000025000000}"/>
    <hyperlink ref="D50" location="'POLFA-8'!A1" display="POLFA-8 Porcentaje de cumplimiento programa semilleros de la legalidad" xr:uid="{00000000-0004-0000-1100-000026000000}"/>
    <hyperlink ref="D51" location="'IN1-15'!A1" display="'IN1-15'!A1" xr:uid="{00000000-0004-0000-1100-000027000000}"/>
    <hyperlink ref="D9" location="'DGRAE-1'!A1" display="DGRAE-1 Nivel de Ejecución del presupuesto " xr:uid="{00000000-0004-0000-1100-000028000000}"/>
    <hyperlink ref="D10" location="'DGRAE-2'!A1" display="DGRAE-2 Nivel de ejecución del PAA de la Dirección" xr:uid="{00000000-0004-0000-1100-000029000000}"/>
    <hyperlink ref="D53" location="'DGRAE-25'!A1" display="DGRAE-25 Actividades que componen el  PIC para la Dirección de Gestión" xr:uid="{00000000-0004-0000-1100-00002A000000}"/>
    <hyperlink ref="AZ2" location="'Consolidado '!A1" display="VOLVER" xr:uid="{00000000-0004-0000-1100-00002B000000}"/>
  </hyperlinks>
  <pageMargins left="0.7" right="0.7" top="0.75" bottom="0.75" header="0.3" footer="0.3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51"/>
  <sheetViews>
    <sheetView topLeftCell="F1" zoomScale="70" zoomScaleNormal="70" workbookViewId="0">
      <selection activeCell="AU9" sqref="AU9"/>
    </sheetView>
  </sheetViews>
  <sheetFormatPr baseColWidth="10" defaultRowHeight="16.5"/>
  <cols>
    <col min="1" max="1" width="18.85546875" style="8" bestFit="1" customWidth="1"/>
    <col min="2" max="2" width="37" style="8" customWidth="1"/>
    <col min="3" max="3" width="59.28515625" style="63" bestFit="1" customWidth="1"/>
    <col min="4" max="4" width="28.85546875" style="63" customWidth="1"/>
    <col min="5" max="5" width="71.42578125" style="63" bestFit="1" customWidth="1"/>
    <col min="6" max="6" width="23.85546875" style="8" bestFit="1" customWidth="1"/>
    <col min="7" max="7" width="24.5703125" style="8" customWidth="1"/>
    <col min="8" max="8" width="24.5703125" style="1173" customWidth="1"/>
    <col min="9" max="9" width="20.7109375" style="63" hidden="1" customWidth="1"/>
    <col min="10" max="10" width="20.7109375" style="8" hidden="1" customWidth="1"/>
    <col min="11" max="11" width="20.7109375" style="1430" hidden="1" customWidth="1"/>
    <col min="12" max="13" width="20.7109375" style="8" hidden="1" customWidth="1"/>
    <col min="14" max="14" width="20.7109375" style="1430" hidden="1" customWidth="1"/>
    <col min="15" max="16" width="20.7109375" style="8" hidden="1" customWidth="1"/>
    <col min="17" max="17" width="20.7109375" style="1430" hidden="1" customWidth="1"/>
    <col min="18" max="19" width="20.7109375" style="8" hidden="1" customWidth="1"/>
    <col min="20" max="20" width="20.7109375" style="1430" hidden="1" customWidth="1"/>
    <col min="21" max="22" width="20.7109375" style="8" hidden="1" customWidth="1"/>
    <col min="23" max="23" width="20.7109375" style="1430" hidden="1" customWidth="1"/>
    <col min="24" max="25" width="20.7109375" style="8" hidden="1" customWidth="1"/>
    <col min="26" max="26" width="20.7109375" style="1430" hidden="1" customWidth="1"/>
    <col min="27" max="27" width="28.85546875" style="8" hidden="1" customWidth="1"/>
    <col min="28" max="28" width="17.28515625" style="1430" hidden="1" customWidth="1"/>
    <col min="29" max="30" width="20.7109375" style="8" hidden="1" customWidth="1"/>
    <col min="31" max="31" width="20.7109375" style="1430" hidden="1" customWidth="1"/>
    <col min="32" max="33" width="20.7109375" style="8" hidden="1" customWidth="1"/>
    <col min="34" max="34" width="20.7109375" style="1430" hidden="1" customWidth="1"/>
    <col min="35" max="36" width="20.7109375" style="8" hidden="1" customWidth="1"/>
    <col min="37" max="37" width="20.7109375" style="1430" hidden="1" customWidth="1"/>
    <col min="38" max="39" width="20.7109375" style="8" hidden="1" customWidth="1"/>
    <col min="40" max="40" width="20.7109375" style="1430" hidden="1" customWidth="1"/>
    <col min="41" max="42" width="20.7109375" style="8" hidden="1" customWidth="1"/>
    <col min="43" max="43" width="20.7109375" style="1430" hidden="1" customWidth="1"/>
    <col min="44" max="45" width="20.7109375" style="8" hidden="1" customWidth="1"/>
    <col min="46" max="46" width="0.5703125" style="1430" customWidth="1"/>
    <col min="47" max="47" width="28.42578125" style="210" customWidth="1"/>
    <col min="48" max="48" width="20.7109375" style="1430" customWidth="1"/>
  </cols>
  <sheetData>
    <row r="1" spans="1:49" ht="26.25">
      <c r="A1" s="2885"/>
      <c r="B1" s="2885"/>
      <c r="C1" s="2885" t="s">
        <v>621</v>
      </c>
      <c r="D1" s="2885"/>
      <c r="E1" s="2885"/>
      <c r="F1" s="2885"/>
      <c r="G1" s="2885"/>
      <c r="H1" s="2885"/>
    </row>
    <row r="2" spans="1:49" ht="18.75">
      <c r="A2" s="2885"/>
      <c r="B2" s="2885"/>
      <c r="C2" s="2865" t="s">
        <v>69</v>
      </c>
      <c r="D2" s="2865"/>
      <c r="E2" s="2865"/>
      <c r="F2" s="2865"/>
      <c r="G2" s="2865"/>
      <c r="H2" s="2865"/>
    </row>
    <row r="3" spans="1:49" ht="18.75">
      <c r="A3" s="2885"/>
      <c r="B3" s="2885"/>
      <c r="C3" s="2865" t="s">
        <v>622</v>
      </c>
      <c r="D3" s="2865"/>
      <c r="E3" s="2865"/>
      <c r="F3" s="2865"/>
      <c r="G3" s="2865"/>
      <c r="H3" s="2865"/>
      <c r="AW3" s="670" t="s">
        <v>185</v>
      </c>
    </row>
    <row r="4" spans="1:49" ht="27" thickBot="1">
      <c r="A4" s="3102"/>
      <c r="B4" s="3102"/>
      <c r="C4" s="3102"/>
      <c r="D4" s="3102"/>
      <c r="E4" s="3102"/>
      <c r="F4" s="3102"/>
      <c r="G4" s="3102"/>
      <c r="H4" s="3102"/>
      <c r="AW4" s="370">
        <f>+(AV9+AV10+AV11+AV12+AV13+AV14+AV15+AV16+AV17+AV18+AV19+AV20+AV22+AV23+AV24+AV25+AV26+AV27+AV28+AV29+AV30+AV31+AV32+AV33+AV34+AV35+AV36+AV37+AV38+AV39+AV40+AV41+AV42+AV44+AV45+AV46+AV47+AV48+AV50)/39</f>
        <v>1.4361060831340065</v>
      </c>
    </row>
    <row r="5" spans="1:49" ht="16.5" customHeight="1" thickTop="1" thickBot="1">
      <c r="A5" s="2823" t="s">
        <v>0</v>
      </c>
      <c r="B5" s="2830" t="s">
        <v>15</v>
      </c>
      <c r="C5" s="2831" t="s">
        <v>1</v>
      </c>
      <c r="D5" s="2841" t="s">
        <v>2</v>
      </c>
      <c r="E5" s="2840" t="s">
        <v>19</v>
      </c>
      <c r="F5" s="2833" t="s">
        <v>3</v>
      </c>
      <c r="G5" s="2833" t="s">
        <v>4</v>
      </c>
      <c r="H5" s="2833" t="s">
        <v>5</v>
      </c>
      <c r="I5" s="2840" t="s">
        <v>70</v>
      </c>
      <c r="J5" s="2841"/>
      <c r="K5" s="2884"/>
      <c r="L5" s="2840" t="s">
        <v>71</v>
      </c>
      <c r="M5" s="2841"/>
      <c r="N5" s="2884"/>
      <c r="O5" s="2840" t="s">
        <v>72</v>
      </c>
      <c r="P5" s="2841"/>
      <c r="Q5" s="2884"/>
      <c r="R5" s="2840" t="s">
        <v>73</v>
      </c>
      <c r="S5" s="2841"/>
      <c r="T5" s="2884"/>
      <c r="U5" s="2840" t="s">
        <v>74</v>
      </c>
      <c r="V5" s="2841"/>
      <c r="W5" s="2884"/>
      <c r="X5" s="2840" t="s">
        <v>75</v>
      </c>
      <c r="Y5" s="2841"/>
      <c r="Z5" s="2841"/>
      <c r="AA5" s="2823" t="s">
        <v>188</v>
      </c>
      <c r="AB5" s="2823"/>
      <c r="AC5" s="2840" t="s">
        <v>76</v>
      </c>
      <c r="AD5" s="2841"/>
      <c r="AE5" s="2884"/>
      <c r="AF5" s="3103" t="s">
        <v>77</v>
      </c>
      <c r="AG5" s="3104"/>
      <c r="AH5" s="3004"/>
      <c r="AI5" s="2840" t="s">
        <v>78</v>
      </c>
      <c r="AJ5" s="2841"/>
      <c r="AK5" s="3004"/>
      <c r="AL5" s="2840" t="s">
        <v>79</v>
      </c>
      <c r="AM5" s="2841"/>
      <c r="AN5" s="3004"/>
      <c r="AO5" s="2840" t="s">
        <v>80</v>
      </c>
      <c r="AP5" s="2841"/>
      <c r="AQ5" s="3004"/>
      <c r="AR5" s="2840" t="s">
        <v>81</v>
      </c>
      <c r="AS5" s="2841"/>
      <c r="AT5" s="3004"/>
      <c r="AU5" s="2823" t="s">
        <v>397</v>
      </c>
      <c r="AV5" s="2823"/>
    </row>
    <row r="6" spans="1:49" ht="16.5" customHeight="1" thickTop="1" thickBot="1">
      <c r="A6" s="2823"/>
      <c r="B6" s="2831"/>
      <c r="C6" s="2831"/>
      <c r="D6" s="2841"/>
      <c r="E6" s="2840"/>
      <c r="F6" s="2840"/>
      <c r="G6" s="2840"/>
      <c r="H6" s="2840"/>
      <c r="I6" s="2840"/>
      <c r="J6" s="2841"/>
      <c r="K6" s="2884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41"/>
      <c r="AA6" s="2823"/>
      <c r="AB6" s="2823"/>
      <c r="AC6" s="2840"/>
      <c r="AD6" s="2841"/>
      <c r="AE6" s="2884"/>
      <c r="AF6" s="3103"/>
      <c r="AG6" s="3104"/>
      <c r="AH6" s="3004"/>
      <c r="AI6" s="2840"/>
      <c r="AJ6" s="2841"/>
      <c r="AK6" s="3004"/>
      <c r="AL6" s="2840"/>
      <c r="AM6" s="2841"/>
      <c r="AN6" s="3004"/>
      <c r="AO6" s="2840"/>
      <c r="AP6" s="2841"/>
      <c r="AQ6" s="3004"/>
      <c r="AR6" s="2840"/>
      <c r="AS6" s="2841"/>
      <c r="AT6" s="3004"/>
      <c r="AU6" s="2823"/>
      <c r="AV6" s="2823"/>
    </row>
    <row r="7" spans="1:49" ht="16.5" customHeight="1" thickTop="1" thickBot="1">
      <c r="A7" s="2823"/>
      <c r="B7" s="2832"/>
      <c r="C7" s="2832"/>
      <c r="D7" s="2837"/>
      <c r="E7" s="2836"/>
      <c r="F7" s="2836"/>
      <c r="G7" s="2836"/>
      <c r="H7" s="2836"/>
      <c r="I7" s="2836"/>
      <c r="J7" s="2837"/>
      <c r="K7" s="2838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7"/>
      <c r="AA7" s="2823"/>
      <c r="AB7" s="2823"/>
      <c r="AC7" s="2836"/>
      <c r="AD7" s="2837"/>
      <c r="AE7" s="2838"/>
      <c r="AF7" s="3105"/>
      <c r="AG7" s="3106"/>
      <c r="AH7" s="3005"/>
      <c r="AI7" s="2836"/>
      <c r="AJ7" s="2837"/>
      <c r="AK7" s="3005"/>
      <c r="AL7" s="2836"/>
      <c r="AM7" s="2837"/>
      <c r="AN7" s="3005"/>
      <c r="AO7" s="2836"/>
      <c r="AP7" s="2837"/>
      <c r="AQ7" s="3005"/>
      <c r="AR7" s="2836"/>
      <c r="AS7" s="2837"/>
      <c r="AT7" s="3005"/>
      <c r="AU7" s="2823"/>
      <c r="AV7" s="2823"/>
    </row>
    <row r="8" spans="1:49" ht="45.7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13" t="s">
        <v>84</v>
      </c>
      <c r="J8" s="14" t="s">
        <v>85</v>
      </c>
      <c r="K8" s="15" t="s">
        <v>86</v>
      </c>
      <c r="L8" s="13" t="s">
        <v>84</v>
      </c>
      <c r="M8" s="14" t="s">
        <v>85</v>
      </c>
      <c r="N8" s="15" t="s">
        <v>86</v>
      </c>
      <c r="O8" s="16" t="s">
        <v>84</v>
      </c>
      <c r="P8" s="16" t="s">
        <v>85</v>
      </c>
      <c r="Q8" s="15" t="s">
        <v>86</v>
      </c>
      <c r="R8" s="16" t="s">
        <v>84</v>
      </c>
      <c r="S8" s="16" t="s">
        <v>85</v>
      </c>
      <c r="T8" s="15" t="s">
        <v>86</v>
      </c>
      <c r="U8" s="16" t="s">
        <v>84</v>
      </c>
      <c r="V8" s="16" t="s">
        <v>85</v>
      </c>
      <c r="W8" s="15" t="s">
        <v>86</v>
      </c>
      <c r="X8" s="16" t="s">
        <v>84</v>
      </c>
      <c r="Y8" s="16" t="s">
        <v>85</v>
      </c>
      <c r="Z8" s="15" t="s">
        <v>86</v>
      </c>
      <c r="AA8" s="13" t="s">
        <v>87</v>
      </c>
      <c r="AB8" s="15" t="s">
        <v>6</v>
      </c>
      <c r="AC8" s="13" t="s">
        <v>84</v>
      </c>
      <c r="AD8" s="14" t="s">
        <v>85</v>
      </c>
      <c r="AE8" s="15" t="s">
        <v>86</v>
      </c>
      <c r="AF8" s="16" t="s">
        <v>84</v>
      </c>
      <c r="AG8" s="13" t="s">
        <v>85</v>
      </c>
      <c r="AH8" s="15" t="s">
        <v>86</v>
      </c>
      <c r="AI8" s="14" t="s">
        <v>84</v>
      </c>
      <c r="AJ8" s="16" t="s">
        <v>85</v>
      </c>
      <c r="AK8" s="15" t="s">
        <v>86</v>
      </c>
      <c r="AL8" s="16" t="s">
        <v>84</v>
      </c>
      <c r="AM8" s="16" t="s">
        <v>85</v>
      </c>
      <c r="AN8" s="15" t="s">
        <v>86</v>
      </c>
      <c r="AO8" s="16" t="s">
        <v>84</v>
      </c>
      <c r="AP8" s="13" t="s">
        <v>85</v>
      </c>
      <c r="AQ8" s="15" t="s">
        <v>86</v>
      </c>
      <c r="AR8" s="13" t="s">
        <v>84</v>
      </c>
      <c r="AS8" s="14" t="s">
        <v>85</v>
      </c>
      <c r="AT8" s="15" t="s">
        <v>86</v>
      </c>
      <c r="AU8" s="13" t="s">
        <v>87</v>
      </c>
      <c r="AV8" s="446" t="s">
        <v>6</v>
      </c>
    </row>
    <row r="9" spans="1:49" ht="31.5" thickTop="1" thickBot="1">
      <c r="A9" s="2943" t="s">
        <v>88</v>
      </c>
      <c r="B9" s="2848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117">
        <f>+(641304583.8)/1000000</f>
        <v>641.30458379999993</v>
      </c>
      <c r="H9" s="76" t="s">
        <v>25</v>
      </c>
      <c r="I9" s="765">
        <v>149.58458200000001</v>
      </c>
      <c r="J9" s="567">
        <v>129.13</v>
      </c>
      <c r="K9" s="19">
        <f>+J9/I9</f>
        <v>0.86325741779991727</v>
      </c>
      <c r="L9" s="765">
        <v>105.987803</v>
      </c>
      <c r="M9" s="567">
        <v>103.08</v>
      </c>
      <c r="N9" s="19">
        <f>+M9/L9</f>
        <v>0.97256473935967891</v>
      </c>
      <c r="O9" s="765">
        <v>23.319582</v>
      </c>
      <c r="P9" s="567">
        <v>41.02</v>
      </c>
      <c r="Q9" s="19">
        <f>+P9/O9</f>
        <v>1.7590366757002764</v>
      </c>
      <c r="R9" s="765">
        <v>99.019582</v>
      </c>
      <c r="S9" s="567">
        <v>19.14</v>
      </c>
      <c r="T9" s="19">
        <f>+S9/R9</f>
        <v>0.19329509995305777</v>
      </c>
      <c r="U9" s="765">
        <v>18.219581999999999</v>
      </c>
      <c r="V9" s="567">
        <v>92.96</v>
      </c>
      <c r="W9" s="19">
        <f>+V9/U9</f>
        <v>5.1022026740240252</v>
      </c>
      <c r="X9" s="765">
        <v>32.719582000000003</v>
      </c>
      <c r="Y9" s="567">
        <v>18.399999999999999</v>
      </c>
      <c r="Z9" s="19">
        <f>+Y9/X9</f>
        <v>0.56235437237553942</v>
      </c>
      <c r="AA9" s="566">
        <f>+Y9+V9+S9+P9+M9+J9</f>
        <v>403.73</v>
      </c>
      <c r="AB9" s="19">
        <f t="shared" ref="AB9:AB39" si="0">+AA9/G9</f>
        <v>0.62954485309886543</v>
      </c>
      <c r="AC9" s="765">
        <v>19.319582</v>
      </c>
      <c r="AD9" s="567">
        <v>58.03</v>
      </c>
      <c r="AE9" s="19">
        <f>+AD9/AC9</f>
        <v>3.0036881750340148</v>
      </c>
      <c r="AF9" s="765">
        <v>25.519582</v>
      </c>
      <c r="AG9" s="567">
        <v>12.6</v>
      </c>
      <c r="AH9" s="19">
        <f>+AG9/AF9</f>
        <v>0.4937384946195435</v>
      </c>
      <c r="AI9" s="765">
        <v>18.219581999999999</v>
      </c>
      <c r="AJ9" s="567">
        <v>21.56</v>
      </c>
      <c r="AK9" s="19">
        <f>+AJ9/AI9</f>
        <v>1.1833421864453311</v>
      </c>
      <c r="AL9" s="765">
        <v>18.219581999999999</v>
      </c>
      <c r="AM9" s="567">
        <v>58.25</v>
      </c>
      <c r="AN9" s="19">
        <f>+AM9/AL9</f>
        <v>3.1971095714490048</v>
      </c>
      <c r="AO9" s="765">
        <v>19.469581999999999</v>
      </c>
      <c r="AP9" s="567">
        <v>32.770000000000003</v>
      </c>
      <c r="AQ9" s="19">
        <f>+AP9/AO9</f>
        <v>1.6831383436994181</v>
      </c>
      <c r="AR9" s="765">
        <v>20.569597999999999</v>
      </c>
      <c r="AS9" s="567">
        <v>31.49</v>
      </c>
      <c r="AT9" s="19">
        <f>+AS9/AR9</f>
        <v>1.5309001177368657</v>
      </c>
      <c r="AU9" s="747">
        <f>+AS9+AP9+AM9+AJ9+AG9+AD9+Y9+V9+S9+P9+M9+J9</f>
        <v>618.42999999999995</v>
      </c>
      <c r="AV9" s="19">
        <f t="shared" ref="AV9:AV42" si="1">+AU9/G9</f>
        <v>0.96433117058908513</v>
      </c>
    </row>
    <row r="10" spans="1:49" ht="31.5" thickTop="1" thickBot="1">
      <c r="A10" s="2944"/>
      <c r="B10" s="2850"/>
      <c r="C10" s="74" t="s">
        <v>169</v>
      </c>
      <c r="D10" s="111" t="s">
        <v>92</v>
      </c>
      <c r="E10" s="74" t="s">
        <v>170</v>
      </c>
      <c r="F10" s="74" t="s">
        <v>17</v>
      </c>
      <c r="G10" s="1123">
        <v>15</v>
      </c>
      <c r="H10" s="76" t="s">
        <v>26</v>
      </c>
      <c r="I10" s="119">
        <v>4</v>
      </c>
      <c r="J10" s="120">
        <v>3</v>
      </c>
      <c r="K10" s="19">
        <f>+J10/I10</f>
        <v>0.75</v>
      </c>
      <c r="L10" s="119">
        <v>3</v>
      </c>
      <c r="M10" s="120">
        <v>3</v>
      </c>
      <c r="N10" s="19">
        <f>+M10/L10</f>
        <v>1</v>
      </c>
      <c r="O10" s="119">
        <v>5</v>
      </c>
      <c r="P10" s="120">
        <v>3</v>
      </c>
      <c r="Q10" s="19">
        <f>+P10/O10</f>
        <v>0.6</v>
      </c>
      <c r="R10" s="119">
        <v>0</v>
      </c>
      <c r="S10" s="120"/>
      <c r="T10" s="19" t="e">
        <f>+S10/R10</f>
        <v>#DIV/0!</v>
      </c>
      <c r="U10" s="119">
        <v>3</v>
      </c>
      <c r="V10" s="120">
        <v>2</v>
      </c>
      <c r="W10" s="121">
        <f>+V10/U10</f>
        <v>0.66666666666666663</v>
      </c>
      <c r="X10" s="119">
        <v>0</v>
      </c>
      <c r="Y10" s="120"/>
      <c r="Z10" s="19" t="e">
        <f>+Y10/X10</f>
        <v>#DIV/0!</v>
      </c>
      <c r="AA10" s="1445">
        <f>+Y10+V10+S10+P10+M10+J10</f>
        <v>11</v>
      </c>
      <c r="AB10" s="19">
        <f t="shared" si="0"/>
        <v>0.73333333333333328</v>
      </c>
      <c r="AC10" s="119">
        <v>0</v>
      </c>
      <c r="AD10" s="120"/>
      <c r="AE10" s="19" t="e">
        <f>+AD10/AC10</f>
        <v>#DIV/0!</v>
      </c>
      <c r="AF10" s="119">
        <v>1</v>
      </c>
      <c r="AG10" s="120">
        <v>1</v>
      </c>
      <c r="AH10" s="19">
        <f>+AG10/AF10</f>
        <v>1</v>
      </c>
      <c r="AI10" s="119">
        <v>1</v>
      </c>
      <c r="AJ10" s="120">
        <v>1</v>
      </c>
      <c r="AK10" s="19">
        <f>+AJ10/AI10</f>
        <v>1</v>
      </c>
      <c r="AL10" s="119">
        <v>0</v>
      </c>
      <c r="AM10" s="120"/>
      <c r="AN10" s="121" t="e">
        <f>+AM10/AL10</f>
        <v>#DIV/0!</v>
      </c>
      <c r="AO10" s="119">
        <v>2</v>
      </c>
      <c r="AP10" s="120">
        <v>2</v>
      </c>
      <c r="AQ10" s="19">
        <f>+AP10/AO10</f>
        <v>1</v>
      </c>
      <c r="AR10" s="119">
        <v>0</v>
      </c>
      <c r="AS10" s="120"/>
      <c r="AT10" s="19" t="e">
        <f>+AS10/AR10</f>
        <v>#DIV/0!</v>
      </c>
      <c r="AU10" s="1438">
        <f t="shared" ref="AU10" si="2">+J10+M10+P10+S10+V10+Y10+AD10+AG10+AJ10+AM10+AP10+AS10</f>
        <v>15</v>
      </c>
      <c r="AV10" s="19">
        <f t="shared" si="1"/>
        <v>1</v>
      </c>
    </row>
    <row r="11" spans="1:49" ht="31.5" thickTop="1" thickBot="1">
      <c r="A11" s="2944"/>
      <c r="B11" s="2948" t="s">
        <v>94</v>
      </c>
      <c r="C11" s="125" t="s">
        <v>491</v>
      </c>
      <c r="D11" s="1421" t="s">
        <v>96</v>
      </c>
      <c r="E11" s="125" t="s">
        <v>97</v>
      </c>
      <c r="F11" s="125" t="s">
        <v>168</v>
      </c>
      <c r="G11" s="1424">
        <v>7314516</v>
      </c>
      <c r="H11" s="1425" t="s">
        <v>20</v>
      </c>
      <c r="I11" s="765"/>
      <c r="J11" s="567"/>
      <c r="K11" s="19" t="e">
        <f>+J11/I11</f>
        <v>#DIV/0!</v>
      </c>
      <c r="L11" s="747"/>
      <c r="M11" s="567"/>
      <c r="N11" s="19"/>
      <c r="O11" s="747"/>
      <c r="P11" s="567"/>
      <c r="Q11" s="19" t="e">
        <f>+P11/O11</f>
        <v>#DIV/0!</v>
      </c>
      <c r="R11" s="747"/>
      <c r="S11" s="567"/>
      <c r="T11" s="19" t="e">
        <f>+S11/R11</f>
        <v>#DIV/0!</v>
      </c>
      <c r="U11" s="747"/>
      <c r="V11" s="567"/>
      <c r="W11" s="19" t="e">
        <f>+V11/U11</f>
        <v>#DIV/0!</v>
      </c>
      <c r="X11" s="747"/>
      <c r="Y11" s="567"/>
      <c r="Z11" s="19" t="e">
        <f>+Y11/X11</f>
        <v>#DIV/0!</v>
      </c>
      <c r="AA11" s="566"/>
      <c r="AB11" s="121">
        <f t="shared" si="0"/>
        <v>0</v>
      </c>
      <c r="AC11" s="747"/>
      <c r="AD11" s="567"/>
      <c r="AE11" s="19" t="e">
        <f>+AD11/AC11</f>
        <v>#DIV/0!</v>
      </c>
      <c r="AF11" s="747"/>
      <c r="AG11" s="567"/>
      <c r="AH11" s="19" t="e">
        <f>+AG11/AF11</f>
        <v>#DIV/0!</v>
      </c>
      <c r="AI11" s="747"/>
      <c r="AJ11" s="567"/>
      <c r="AK11" s="19" t="e">
        <f>+AJ11/AI11</f>
        <v>#DIV/0!</v>
      </c>
      <c r="AL11" s="747"/>
      <c r="AM11" s="567"/>
      <c r="AN11" s="19" t="e">
        <f>+AM11/AL11</f>
        <v>#DIV/0!</v>
      </c>
      <c r="AO11" s="747"/>
      <c r="AP11" s="567"/>
      <c r="AQ11" s="19" t="e">
        <f>+AP11/AO11</f>
        <v>#DIV/0!</v>
      </c>
      <c r="AR11" s="747"/>
      <c r="AS11" s="747">
        <v>7314516</v>
      </c>
      <c r="AT11" s="19" t="e">
        <f>+AS11/AR11</f>
        <v>#DIV/0!</v>
      </c>
      <c r="AU11" s="747">
        <v>7314516</v>
      </c>
      <c r="AV11" s="19">
        <f t="shared" si="1"/>
        <v>1</v>
      </c>
    </row>
    <row r="12" spans="1:49" ht="76.5" thickTop="1" thickBot="1">
      <c r="A12" s="2944"/>
      <c r="B12" s="2949"/>
      <c r="C12" s="2967" t="s">
        <v>623</v>
      </c>
      <c r="D12" s="129" t="s">
        <v>99</v>
      </c>
      <c r="E12" s="137" t="s">
        <v>100</v>
      </c>
      <c r="F12" s="1083" t="s">
        <v>101</v>
      </c>
      <c r="G12" s="1426">
        <v>33810000000</v>
      </c>
      <c r="H12" s="1426" t="s">
        <v>172</v>
      </c>
      <c r="I12" s="752">
        <v>2704800000</v>
      </c>
      <c r="J12" s="753">
        <v>74926000</v>
      </c>
      <c r="K12" s="19">
        <f>+J12/I12</f>
        <v>2.7701123927832003E-2</v>
      </c>
      <c r="L12" s="1438">
        <v>2704800000</v>
      </c>
      <c r="M12" s="753">
        <v>2903558000</v>
      </c>
      <c r="N12" s="19">
        <f>+M12/L12</f>
        <v>1.073483436853002</v>
      </c>
      <c r="O12" s="1438">
        <v>2704800000</v>
      </c>
      <c r="P12" s="753">
        <v>48532000</v>
      </c>
      <c r="Q12" s="19">
        <f>+P12/O12</f>
        <v>1.7942916296953566E-2</v>
      </c>
      <c r="R12" s="1438">
        <v>3042900000</v>
      </c>
      <c r="S12" s="753"/>
      <c r="T12" s="19">
        <f>+S12/R12</f>
        <v>0</v>
      </c>
      <c r="U12" s="1438">
        <v>3381000000</v>
      </c>
      <c r="V12" s="753">
        <v>7610000</v>
      </c>
      <c r="W12" s="19">
        <f>+V12/U12</f>
        <v>2.250813368825791E-3</v>
      </c>
      <c r="X12" s="1438">
        <v>3381000000</v>
      </c>
      <c r="Y12" s="753">
        <v>1796458429</v>
      </c>
      <c r="Z12" s="19">
        <f>+Y12/X12</f>
        <v>0.5313393756285123</v>
      </c>
      <c r="AA12" s="1445">
        <f t="shared" ref="AA12:AA47" si="3">+Y12+V12+S12+P12+M12+J12</f>
        <v>4831084429</v>
      </c>
      <c r="AB12" s="19">
        <f t="shared" si="0"/>
        <v>0.14288921706595681</v>
      </c>
      <c r="AC12" s="1438">
        <v>3381000000</v>
      </c>
      <c r="AD12" s="753">
        <v>339217000</v>
      </c>
      <c r="AE12" s="19">
        <f>+AD12/AC12</f>
        <v>0.10033037562851227</v>
      </c>
      <c r="AF12" s="1438">
        <v>3381000000</v>
      </c>
      <c r="AG12" s="753"/>
      <c r="AH12" s="19">
        <f>+AG12/AF12</f>
        <v>0</v>
      </c>
      <c r="AI12" s="1438">
        <v>3381000000</v>
      </c>
      <c r="AJ12" s="753">
        <v>5646226000</v>
      </c>
      <c r="AK12" s="19">
        <f>+AJ12/AI12</f>
        <v>1.6699869860987873</v>
      </c>
      <c r="AL12" s="1438">
        <v>3381000000</v>
      </c>
      <c r="AM12" s="753">
        <v>2006401400</v>
      </c>
      <c r="AN12" s="19">
        <f>+AM12/AL12</f>
        <v>0.59343430937592423</v>
      </c>
      <c r="AO12" s="1438">
        <v>1352400000</v>
      </c>
      <c r="AP12" s="753">
        <v>1468813876</v>
      </c>
      <c r="AQ12" s="19">
        <f>+AP12/AO12</f>
        <v>1.086079470570837</v>
      </c>
      <c r="AR12" s="1438">
        <v>1014300000</v>
      </c>
      <c r="AS12" s="753">
        <v>1440632000</v>
      </c>
      <c r="AT12" s="19">
        <f>+AS12/AR12</f>
        <v>1.4203214039238885</v>
      </c>
      <c r="AU12" s="1438">
        <f>+AS12+AP12+AM12+AJ12+AG12+AD12+Y12+V12+S12+P12+M12+J12</f>
        <v>15732374705</v>
      </c>
      <c r="AV12" s="19">
        <f t="shared" si="1"/>
        <v>0.46531720511682934</v>
      </c>
    </row>
    <row r="13" spans="1:49" ht="46.5" thickTop="1" thickBot="1">
      <c r="A13" s="2944"/>
      <c r="B13" s="2949"/>
      <c r="C13" s="2968"/>
      <c r="D13" s="124" t="s">
        <v>430</v>
      </c>
      <c r="E13" s="125" t="s">
        <v>192</v>
      </c>
      <c r="F13" s="1405" t="s">
        <v>101</v>
      </c>
      <c r="G13" s="1425">
        <v>16000000000</v>
      </c>
      <c r="H13" s="1425" t="s">
        <v>140</v>
      </c>
      <c r="I13" s="765">
        <v>1066666666.6666666</v>
      </c>
      <c r="J13" s="567">
        <f>'[6]RESULTADOS MENSUALES METAS 2020'!$L$7</f>
        <v>4282219989</v>
      </c>
      <c r="K13" s="19">
        <f t="shared" ref="K13:K47" si="4">+J13/I13</f>
        <v>4.0145812396874998</v>
      </c>
      <c r="L13" s="747">
        <v>1066666666.6666666</v>
      </c>
      <c r="M13" s="567">
        <f>'[6]RESULTADOS MENSUALES METAS 2020'!$Q$7</f>
        <v>405224711</v>
      </c>
      <c r="N13" s="19">
        <f t="shared" ref="N13:N47" si="5">+M13/L13</f>
        <v>0.37989816656250003</v>
      </c>
      <c r="O13" s="747">
        <v>1066666666.6666666</v>
      </c>
      <c r="P13" s="567"/>
      <c r="Q13" s="19">
        <f t="shared" ref="Q13:Q47" si="6">+P13/O13</f>
        <v>0</v>
      </c>
      <c r="R13" s="747">
        <v>1600000000</v>
      </c>
      <c r="S13" s="567"/>
      <c r="T13" s="19">
        <f t="shared" ref="T13:T47" si="7">+S13/R13</f>
        <v>0</v>
      </c>
      <c r="U13" s="747">
        <v>1600000000</v>
      </c>
      <c r="V13" s="567"/>
      <c r="W13" s="19">
        <f t="shared" ref="W13:W47" si="8">+V13/U13</f>
        <v>0</v>
      </c>
      <c r="X13" s="747">
        <v>1600000000</v>
      </c>
      <c r="Y13" s="567">
        <f>'[6]RESULTADOS MENSUALES METAS 2020'!$AK$7</f>
        <v>2666989723</v>
      </c>
      <c r="Z13" s="19">
        <f t="shared" ref="Z13:Z47" si="9">+Y13/X13</f>
        <v>1.666868576875</v>
      </c>
      <c r="AA13" s="1446">
        <f t="shared" si="3"/>
        <v>7354434423</v>
      </c>
      <c r="AB13" s="19">
        <f t="shared" si="0"/>
        <v>0.45965215143749999</v>
      </c>
      <c r="AC13" s="747">
        <v>1600000000</v>
      </c>
      <c r="AD13" s="567">
        <f>'[6]RESULTADOS MENSUALES METAS 2020'!$AP$7</f>
        <v>3245241175</v>
      </c>
      <c r="AE13" s="19">
        <f t="shared" ref="AE13:AE47" si="10">+AD13/AC13</f>
        <v>2.0282757343750002</v>
      </c>
      <c r="AF13" s="747">
        <v>1600000000</v>
      </c>
      <c r="AG13" s="567">
        <f>'[6]RESULTADOS MENSUALES METAS 2020'!$AU$7</f>
        <v>528631887</v>
      </c>
      <c r="AH13" s="19">
        <f t="shared" ref="AH13:AH47" si="11">+AG13/AF13</f>
        <v>0.33039492937499998</v>
      </c>
      <c r="AI13" s="747">
        <v>1600000000</v>
      </c>
      <c r="AJ13" s="567">
        <v>321492147</v>
      </c>
      <c r="AK13" s="19">
        <f t="shared" ref="AK13:AK47" si="12">+AJ13/AI13</f>
        <v>0.20093259187500001</v>
      </c>
      <c r="AL13" s="747">
        <v>1066666666.6666666</v>
      </c>
      <c r="AM13" s="567">
        <v>631998887</v>
      </c>
      <c r="AN13" s="19">
        <f t="shared" ref="AN13:AN47" si="13">+AM13/AL13</f>
        <v>0.59249895656250007</v>
      </c>
      <c r="AO13" s="747">
        <v>1066666666.6666666</v>
      </c>
      <c r="AP13" s="567">
        <v>112931000</v>
      </c>
      <c r="AQ13" s="19">
        <f t="shared" ref="AQ13:AQ47" si="14">+AP13/AO13</f>
        <v>0.10587281250000001</v>
      </c>
      <c r="AR13" s="747">
        <v>1066666666.6666666</v>
      </c>
      <c r="AS13" s="567">
        <v>238536000</v>
      </c>
      <c r="AT13" s="19">
        <f t="shared" ref="AT13:AT47" si="15">+AS13/AR13</f>
        <v>0.22362750000000001</v>
      </c>
      <c r="AU13" s="747">
        <f t="shared" ref="AU13:AU44" si="16">+J13+M13+P13+S13+V13+Y13+AD13+AG13+AJ13+AM13+AP13+AS13</f>
        <v>12433265519</v>
      </c>
      <c r="AV13" s="19">
        <f t="shared" si="1"/>
        <v>0.77707909493750005</v>
      </c>
    </row>
    <row r="14" spans="1:49" ht="106.5" thickTop="1" thickBot="1">
      <c r="A14" s="2944"/>
      <c r="B14" s="2949"/>
      <c r="C14" s="2968"/>
      <c r="D14" s="129" t="s">
        <v>457</v>
      </c>
      <c r="E14" s="137" t="s">
        <v>198</v>
      </c>
      <c r="F14" s="1083" t="s">
        <v>101</v>
      </c>
      <c r="G14" s="1426">
        <v>1146679407.5489728</v>
      </c>
      <c r="H14" s="1426" t="s">
        <v>140</v>
      </c>
      <c r="I14" s="1185">
        <v>76445293.836598203</v>
      </c>
      <c r="J14" s="847">
        <f>'[6]RESULTADOS MENSUALES METAS 2020'!$L$6</f>
        <v>1928958368</v>
      </c>
      <c r="K14" s="19">
        <f t="shared" si="4"/>
        <v>25.233186651399993</v>
      </c>
      <c r="L14" s="846">
        <v>76445293.836598203</v>
      </c>
      <c r="M14" s="847">
        <f>'[6]RESULTADOS MENSUALES METAS 2020'!$Q$6</f>
        <v>213341196</v>
      </c>
      <c r="N14" s="19">
        <f t="shared" si="5"/>
        <v>2.7907695201749991</v>
      </c>
      <c r="O14" s="846">
        <v>76445293.836598203</v>
      </c>
      <c r="P14" s="847">
        <f>'[6]RESULTADOS MENSUALES METAS 2020'!$V$6</f>
        <v>114077320</v>
      </c>
      <c r="Q14" s="19">
        <f t="shared" si="6"/>
        <v>1.4922739422499995</v>
      </c>
      <c r="R14" s="846">
        <v>114667940.75489728</v>
      </c>
      <c r="S14" s="847">
        <f>'[6]RESULTADOS MENSUALES METAS 2020'!$AA$6</f>
        <v>13321000</v>
      </c>
      <c r="T14" s="19">
        <f t="shared" si="7"/>
        <v>0.11617022083333332</v>
      </c>
      <c r="U14" s="846">
        <v>114667940.75489728</v>
      </c>
      <c r="V14" s="847"/>
      <c r="W14" s="19">
        <f t="shared" si="8"/>
        <v>0</v>
      </c>
      <c r="X14" s="846">
        <v>114667940.75489728</v>
      </c>
      <c r="Y14" s="847">
        <f>'[6]RESULTADOS MENSUALES METAS 2020'!$AK$6</f>
        <v>523856696</v>
      </c>
      <c r="Z14" s="19">
        <f t="shared" si="9"/>
        <v>4.5684669363666668</v>
      </c>
      <c r="AA14" s="1447">
        <f t="shared" si="3"/>
        <v>2793554580</v>
      </c>
      <c r="AB14" s="19">
        <f t="shared" si="0"/>
        <v>2.4362123899749997</v>
      </c>
      <c r="AC14" s="846">
        <v>114667940.75489728</v>
      </c>
      <c r="AD14" s="847">
        <f>'[6]RESULTADOS MENSUALES METAS 2020'!$AP$6</f>
        <v>448336373</v>
      </c>
      <c r="AE14" s="19">
        <f t="shared" si="10"/>
        <v>3.9098667862041667</v>
      </c>
      <c r="AF14" s="846">
        <v>114667940.75489728</v>
      </c>
      <c r="AG14" s="847">
        <f>'[6]RESULTADOS MENSUALES METAS 2020'!$AU$6</f>
        <v>128268394</v>
      </c>
      <c r="AH14" s="19">
        <f t="shared" si="11"/>
        <v>1.1186072860083334</v>
      </c>
      <c r="AI14" s="846">
        <v>114667940.75489728</v>
      </c>
      <c r="AJ14" s="847">
        <v>742908858</v>
      </c>
      <c r="AK14" s="19">
        <f t="shared" si="12"/>
        <v>6.4787843324749996</v>
      </c>
      <c r="AL14" s="846">
        <v>76445293.836598203</v>
      </c>
      <c r="AM14" s="847">
        <v>447204495</v>
      </c>
      <c r="AN14" s="19">
        <f t="shared" si="13"/>
        <v>5.8499938002187486</v>
      </c>
      <c r="AO14" s="846">
        <v>76445293.836598203</v>
      </c>
      <c r="AP14" s="847">
        <v>200319598</v>
      </c>
      <c r="AQ14" s="19">
        <f t="shared" si="14"/>
        <v>2.6204307413374992</v>
      </c>
      <c r="AR14" s="846">
        <v>76445293.836598203</v>
      </c>
      <c r="AS14" s="847">
        <v>1183026231</v>
      </c>
      <c r="AT14" s="19">
        <f t="shared" si="15"/>
        <v>15.475461884268746</v>
      </c>
      <c r="AU14" s="1438">
        <f t="shared" si="16"/>
        <v>5943618529</v>
      </c>
      <c r="AV14" s="19">
        <f t="shared" si="1"/>
        <v>5.1833306588320829</v>
      </c>
    </row>
    <row r="15" spans="1:49" ht="46.5" thickTop="1" thickBot="1">
      <c r="A15" s="2944"/>
      <c r="B15" s="2949"/>
      <c r="C15" s="2968"/>
      <c r="D15" s="124" t="s">
        <v>458</v>
      </c>
      <c r="E15" s="125" t="s">
        <v>200</v>
      </c>
      <c r="F15" s="1405" t="s">
        <v>101</v>
      </c>
      <c r="G15" s="1425">
        <v>11600000000</v>
      </c>
      <c r="H15" s="1425" t="s">
        <v>140</v>
      </c>
      <c r="I15" s="765">
        <v>773333333.33333337</v>
      </c>
      <c r="J15" s="567">
        <f>'[6]RESULTADOS MENSUALES METAS 2020'!$L$8</f>
        <v>1275989431</v>
      </c>
      <c r="K15" s="19">
        <f t="shared" si="4"/>
        <v>1.6499863331896552</v>
      </c>
      <c r="L15" s="747">
        <v>773333333.33333337</v>
      </c>
      <c r="M15" s="567">
        <f>'[6]RESULTADOS MENSUALES METAS 2020'!$Q$8</f>
        <v>150736130</v>
      </c>
      <c r="N15" s="19">
        <f t="shared" si="5"/>
        <v>0.1949174094827586</v>
      </c>
      <c r="O15" s="747">
        <v>773333333.33333337</v>
      </c>
      <c r="P15" s="567">
        <f>'[6]RESULTADOS MENSUALES METAS 2020'!$V$8</f>
        <v>4339021293</v>
      </c>
      <c r="Q15" s="19">
        <f t="shared" si="6"/>
        <v>5.6108033961206898</v>
      </c>
      <c r="R15" s="747">
        <v>1160000000</v>
      </c>
      <c r="S15" s="847"/>
      <c r="T15" s="19">
        <f t="shared" si="7"/>
        <v>0</v>
      </c>
      <c r="U15" s="747">
        <v>1160000000</v>
      </c>
      <c r="V15" s="567"/>
      <c r="W15" s="19">
        <f t="shared" si="8"/>
        <v>0</v>
      </c>
      <c r="X15" s="747">
        <v>1160000000</v>
      </c>
      <c r="Y15" s="567">
        <f>'[6]RESULTADOS MENSUALES METAS 2020'!$AK$8</f>
        <v>196468810</v>
      </c>
      <c r="Z15" s="19">
        <f t="shared" si="9"/>
        <v>0.16936966379310345</v>
      </c>
      <c r="AA15" s="1446">
        <f t="shared" si="3"/>
        <v>5962215664</v>
      </c>
      <c r="AB15" s="19">
        <f t="shared" si="0"/>
        <v>0.51398410896551727</v>
      </c>
      <c r="AC15" s="747">
        <v>1160000000</v>
      </c>
      <c r="AD15" s="567"/>
      <c r="AE15" s="19">
        <f t="shared" si="10"/>
        <v>0</v>
      </c>
      <c r="AF15" s="747">
        <v>1160000000</v>
      </c>
      <c r="AG15" s="567">
        <f>'[6]RESULTADOS MENSUALES METAS 2020'!$AU$8</f>
        <v>2830571149</v>
      </c>
      <c r="AH15" s="19">
        <f t="shared" si="11"/>
        <v>2.4401475422413794</v>
      </c>
      <c r="AI15" s="747">
        <v>1160000000</v>
      </c>
      <c r="AJ15" s="567">
        <v>2631477921</v>
      </c>
      <c r="AK15" s="19">
        <f t="shared" si="12"/>
        <v>2.2685154491379311</v>
      </c>
      <c r="AL15" s="747">
        <v>773333333.33333337</v>
      </c>
      <c r="AM15" s="567">
        <v>282305564</v>
      </c>
      <c r="AN15" s="19">
        <f t="shared" si="13"/>
        <v>0.36505029827586205</v>
      </c>
      <c r="AO15" s="747">
        <v>773333333.33333337</v>
      </c>
      <c r="AP15" s="567"/>
      <c r="AQ15" s="19">
        <f t="shared" si="14"/>
        <v>0</v>
      </c>
      <c r="AR15" s="747">
        <v>773333333.33333337</v>
      </c>
      <c r="AS15" s="567">
        <v>776680447</v>
      </c>
      <c r="AT15" s="19">
        <f t="shared" si="15"/>
        <v>1.004328164224138</v>
      </c>
      <c r="AU15" s="747">
        <f t="shared" si="16"/>
        <v>12483250745</v>
      </c>
      <c r="AV15" s="19">
        <f t="shared" si="1"/>
        <v>1.0761423056034483</v>
      </c>
    </row>
    <row r="16" spans="1:49" ht="76.5" thickTop="1" thickBot="1">
      <c r="A16" s="2944"/>
      <c r="B16" s="2949"/>
      <c r="C16" s="2968"/>
      <c r="D16" s="129" t="s">
        <v>102</v>
      </c>
      <c r="E16" s="137" t="s">
        <v>103</v>
      </c>
      <c r="F16" s="1083" t="s">
        <v>101</v>
      </c>
      <c r="G16" s="1426">
        <v>24900000000</v>
      </c>
      <c r="H16" s="1426" t="s">
        <v>172</v>
      </c>
      <c r="I16" s="1185">
        <v>1992000000</v>
      </c>
      <c r="J16" s="847">
        <v>446357000</v>
      </c>
      <c r="K16" s="19">
        <f t="shared" si="4"/>
        <v>0.22407479919678716</v>
      </c>
      <c r="L16" s="846">
        <v>1992000000</v>
      </c>
      <c r="M16" s="847">
        <v>1893960000</v>
      </c>
      <c r="N16" s="19">
        <f t="shared" si="5"/>
        <v>0.95078313253012048</v>
      </c>
      <c r="O16" s="846">
        <v>1992000000</v>
      </c>
      <c r="P16" s="847">
        <v>953047000</v>
      </c>
      <c r="Q16" s="19">
        <f t="shared" si="6"/>
        <v>0.47843724899598394</v>
      </c>
      <c r="R16" s="846">
        <v>2241000000</v>
      </c>
      <c r="S16" s="847">
        <v>1670539000</v>
      </c>
      <c r="T16" s="19">
        <f t="shared" si="7"/>
        <v>0.74544355198572065</v>
      </c>
      <c r="U16" s="846">
        <v>2490000000</v>
      </c>
      <c r="V16" s="847">
        <v>7610000</v>
      </c>
      <c r="W16" s="19">
        <f t="shared" si="8"/>
        <v>3.0562248995983938E-3</v>
      </c>
      <c r="X16" s="846">
        <v>2490000000</v>
      </c>
      <c r="Y16" s="847">
        <v>9555000</v>
      </c>
      <c r="Z16" s="19">
        <f t="shared" si="9"/>
        <v>3.8373493975903616E-3</v>
      </c>
      <c r="AA16" s="1447">
        <f t="shared" si="3"/>
        <v>4981068000</v>
      </c>
      <c r="AB16" s="19">
        <f t="shared" si="0"/>
        <v>0.20004289156626506</v>
      </c>
      <c r="AC16" s="846">
        <v>2490000000</v>
      </c>
      <c r="AD16" s="847">
        <v>4056111000</v>
      </c>
      <c r="AE16" s="19">
        <f t="shared" si="10"/>
        <v>1.6289602409638555</v>
      </c>
      <c r="AF16" s="846">
        <v>2490000000</v>
      </c>
      <c r="AG16" s="847">
        <v>1565921000</v>
      </c>
      <c r="AH16" s="19">
        <f t="shared" si="11"/>
        <v>0.62888393574297186</v>
      </c>
      <c r="AI16" s="846">
        <v>2490000000</v>
      </c>
      <c r="AJ16" s="847">
        <v>767577385</v>
      </c>
      <c r="AK16" s="19">
        <f t="shared" si="12"/>
        <v>0.30826401004016063</v>
      </c>
      <c r="AL16" s="846">
        <v>2490000000</v>
      </c>
      <c r="AM16" s="847">
        <v>770583000</v>
      </c>
      <c r="AN16" s="19">
        <f t="shared" si="13"/>
        <v>0.30947108433734938</v>
      </c>
      <c r="AO16" s="846">
        <v>996000000</v>
      </c>
      <c r="AP16" s="847">
        <v>280982677</v>
      </c>
      <c r="AQ16" s="19">
        <f t="shared" si="14"/>
        <v>0.28211112148594375</v>
      </c>
      <c r="AR16" s="846">
        <v>747000000</v>
      </c>
      <c r="AS16" s="847">
        <v>1530309000</v>
      </c>
      <c r="AT16" s="19">
        <f t="shared" si="15"/>
        <v>2.0486064257028112</v>
      </c>
      <c r="AU16" s="1438">
        <f t="shared" si="16"/>
        <v>13952552062</v>
      </c>
      <c r="AV16" s="19">
        <f t="shared" si="1"/>
        <v>0.56034345630522087</v>
      </c>
    </row>
    <row r="17" spans="1:48" ht="76.5" thickTop="1" thickBot="1">
      <c r="A17" s="2944"/>
      <c r="B17" s="2949"/>
      <c r="C17" s="2968"/>
      <c r="D17" s="124" t="s">
        <v>104</v>
      </c>
      <c r="E17" s="125" t="s">
        <v>105</v>
      </c>
      <c r="F17" s="1405" t="s">
        <v>24</v>
      </c>
      <c r="G17" s="1400">
        <v>24</v>
      </c>
      <c r="H17" s="1400" t="s">
        <v>172</v>
      </c>
      <c r="I17" s="1182">
        <v>0</v>
      </c>
      <c r="J17" s="862"/>
      <c r="K17" s="121" t="e">
        <f>+J17/I17</f>
        <v>#DIV/0!</v>
      </c>
      <c r="L17" s="861">
        <v>0</v>
      </c>
      <c r="M17" s="862">
        <v>2</v>
      </c>
      <c r="N17" s="121" t="e">
        <f>+M17/L17</f>
        <v>#DIV/0!</v>
      </c>
      <c r="O17" s="861">
        <v>6</v>
      </c>
      <c r="P17" s="862"/>
      <c r="Q17" s="121">
        <f>+P17/O17</f>
        <v>0</v>
      </c>
      <c r="R17" s="861">
        <v>0</v>
      </c>
      <c r="S17" s="862"/>
      <c r="T17" s="121" t="e">
        <f>+S17/R17</f>
        <v>#DIV/0!</v>
      </c>
      <c r="U17" s="861">
        <v>0</v>
      </c>
      <c r="V17" s="862"/>
      <c r="W17" s="121" t="e">
        <f>+V17/U17</f>
        <v>#DIV/0!</v>
      </c>
      <c r="X17" s="861">
        <v>6</v>
      </c>
      <c r="Y17" s="862"/>
      <c r="Z17" s="121">
        <f>+Y17/X17</f>
        <v>0</v>
      </c>
      <c r="AA17" s="1395">
        <f t="shared" si="3"/>
        <v>2</v>
      </c>
      <c r="AB17" s="19">
        <f t="shared" si="0"/>
        <v>8.3333333333333329E-2</v>
      </c>
      <c r="AC17" s="861">
        <v>0</v>
      </c>
      <c r="AD17" s="862"/>
      <c r="AE17" s="121" t="e">
        <f>+AD17/AC17</f>
        <v>#DIV/0!</v>
      </c>
      <c r="AF17" s="861">
        <v>0</v>
      </c>
      <c r="AG17" s="862"/>
      <c r="AH17" s="121" t="e">
        <f>+AG17/AF17</f>
        <v>#DIV/0!</v>
      </c>
      <c r="AI17" s="861">
        <v>6</v>
      </c>
      <c r="AJ17" s="862"/>
      <c r="AK17" s="121">
        <f>+AJ17/AI17</f>
        <v>0</v>
      </c>
      <c r="AL17" s="861">
        <v>0</v>
      </c>
      <c r="AM17" s="862"/>
      <c r="AN17" s="121" t="e">
        <f>+AM17/AL17</f>
        <v>#DIV/0!</v>
      </c>
      <c r="AO17" s="861">
        <v>0</v>
      </c>
      <c r="AP17" s="862">
        <v>5</v>
      </c>
      <c r="AQ17" s="121" t="e">
        <f>+AP17/AO17</f>
        <v>#DIV/0!</v>
      </c>
      <c r="AR17" s="861">
        <v>6</v>
      </c>
      <c r="AS17" s="862"/>
      <c r="AT17" s="121">
        <f>+AS17/AR17</f>
        <v>0</v>
      </c>
      <c r="AU17" s="123">
        <f t="shared" si="16"/>
        <v>7</v>
      </c>
      <c r="AV17" s="19">
        <f t="shared" si="1"/>
        <v>0.29166666666666669</v>
      </c>
    </row>
    <row r="18" spans="1:48" ht="76.5" thickTop="1" thickBot="1">
      <c r="A18" s="2944"/>
      <c r="B18" s="2949"/>
      <c r="C18" s="2969"/>
      <c r="D18" s="129" t="s">
        <v>106</v>
      </c>
      <c r="E18" s="137" t="s">
        <v>173</v>
      </c>
      <c r="F18" s="1083" t="s">
        <v>24</v>
      </c>
      <c r="G18" s="1396">
        <v>2</v>
      </c>
      <c r="H18" s="1396" t="s">
        <v>172</v>
      </c>
      <c r="I18" s="1182">
        <v>0</v>
      </c>
      <c r="J18" s="862">
        <v>1</v>
      </c>
      <c r="K18" s="19" t="e">
        <f t="shared" si="4"/>
        <v>#DIV/0!</v>
      </c>
      <c r="L18" s="861">
        <v>0</v>
      </c>
      <c r="M18" s="862"/>
      <c r="N18" s="19" t="e">
        <f t="shared" si="5"/>
        <v>#DIV/0!</v>
      </c>
      <c r="O18" s="861">
        <v>0</v>
      </c>
      <c r="P18" s="862">
        <v>1</v>
      </c>
      <c r="Q18" s="19" t="e">
        <f t="shared" si="6"/>
        <v>#DIV/0!</v>
      </c>
      <c r="R18" s="861">
        <v>0</v>
      </c>
      <c r="S18" s="862"/>
      <c r="T18" s="19" t="e">
        <f t="shared" si="7"/>
        <v>#DIV/0!</v>
      </c>
      <c r="U18" s="861">
        <v>0</v>
      </c>
      <c r="V18" s="862"/>
      <c r="W18" s="19" t="e">
        <f t="shared" si="8"/>
        <v>#DIV/0!</v>
      </c>
      <c r="X18" s="861">
        <v>0</v>
      </c>
      <c r="Y18" s="862"/>
      <c r="Z18" s="19" t="e">
        <f t="shared" si="9"/>
        <v>#DIV/0!</v>
      </c>
      <c r="AA18" s="1395">
        <f>+Y18+V18+S18+P18+M18+J18</f>
        <v>2</v>
      </c>
      <c r="AB18" s="19">
        <f t="shared" si="0"/>
        <v>1</v>
      </c>
      <c r="AC18" s="861">
        <v>1</v>
      </c>
      <c r="AD18" s="862"/>
      <c r="AE18" s="19">
        <f t="shared" si="10"/>
        <v>0</v>
      </c>
      <c r="AF18" s="861">
        <v>0</v>
      </c>
      <c r="AG18" s="862"/>
      <c r="AH18" s="19" t="e">
        <f t="shared" si="11"/>
        <v>#DIV/0!</v>
      </c>
      <c r="AI18" s="861">
        <v>0</v>
      </c>
      <c r="AJ18" s="862"/>
      <c r="AK18" s="19" t="e">
        <f t="shared" si="12"/>
        <v>#DIV/0!</v>
      </c>
      <c r="AL18" s="861">
        <v>0</v>
      </c>
      <c r="AM18" s="862"/>
      <c r="AN18" s="19" t="e">
        <f t="shared" si="13"/>
        <v>#DIV/0!</v>
      </c>
      <c r="AO18" s="861">
        <v>0</v>
      </c>
      <c r="AP18" s="862"/>
      <c r="AQ18" s="19" t="e">
        <f t="shared" si="14"/>
        <v>#DIV/0!</v>
      </c>
      <c r="AR18" s="861">
        <v>1</v>
      </c>
      <c r="AS18" s="862"/>
      <c r="AT18" s="19">
        <f t="shared" si="15"/>
        <v>0</v>
      </c>
      <c r="AU18" s="123">
        <f t="shared" si="16"/>
        <v>2</v>
      </c>
      <c r="AV18" s="19">
        <f t="shared" si="1"/>
        <v>1</v>
      </c>
    </row>
    <row r="19" spans="1:48" ht="61.5" thickTop="1" thickBot="1">
      <c r="A19" s="2944"/>
      <c r="B19" s="2949"/>
      <c r="C19" s="3107" t="s">
        <v>507</v>
      </c>
      <c r="D19" s="124" t="s">
        <v>279</v>
      </c>
      <c r="E19" s="1435" t="s">
        <v>624</v>
      </c>
      <c r="F19" s="1435" t="s">
        <v>10</v>
      </c>
      <c r="G19" s="1435">
        <v>0.64100000000000001</v>
      </c>
      <c r="H19" s="1435" t="s">
        <v>7</v>
      </c>
      <c r="I19" s="1449">
        <v>0</v>
      </c>
      <c r="J19" s="1439"/>
      <c r="K19" s="19" t="e">
        <f t="shared" si="4"/>
        <v>#DIV/0!</v>
      </c>
      <c r="L19" s="1030">
        <v>0</v>
      </c>
      <c r="M19" s="1439"/>
      <c r="N19" s="19" t="e">
        <f t="shared" si="5"/>
        <v>#DIV/0!</v>
      </c>
      <c r="O19" s="1030">
        <v>0</v>
      </c>
      <c r="P19" s="1439"/>
      <c r="Q19" s="19" t="e">
        <f t="shared" si="6"/>
        <v>#DIV/0!</v>
      </c>
      <c r="R19" s="1030">
        <v>0</v>
      </c>
      <c r="S19" s="1439"/>
      <c r="T19" s="19" t="e">
        <f t="shared" si="7"/>
        <v>#DIV/0!</v>
      </c>
      <c r="U19" s="1030">
        <v>0</v>
      </c>
      <c r="V19" s="1439"/>
      <c r="W19" s="19" t="e">
        <f t="shared" si="8"/>
        <v>#DIV/0!</v>
      </c>
      <c r="X19" s="1030">
        <v>0</v>
      </c>
      <c r="Y19" s="1439"/>
      <c r="Z19" s="19" t="e">
        <f t="shared" si="9"/>
        <v>#DIV/0!</v>
      </c>
      <c r="AA19" s="1448">
        <f t="shared" si="3"/>
        <v>0</v>
      </c>
      <c r="AB19" s="19">
        <f t="shared" si="0"/>
        <v>0</v>
      </c>
      <c r="AC19" s="1030">
        <v>0</v>
      </c>
      <c r="AD19" s="1439"/>
      <c r="AE19" s="19" t="e">
        <f t="shared" si="10"/>
        <v>#DIV/0!</v>
      </c>
      <c r="AF19" s="1030">
        <v>0</v>
      </c>
      <c r="AG19" s="1439"/>
      <c r="AH19" s="19" t="e">
        <f t="shared" si="11"/>
        <v>#DIV/0!</v>
      </c>
      <c r="AI19" s="1030">
        <v>0</v>
      </c>
      <c r="AJ19" s="1439"/>
      <c r="AK19" s="19" t="e">
        <f t="shared" si="12"/>
        <v>#DIV/0!</v>
      </c>
      <c r="AL19" s="1030">
        <v>0</v>
      </c>
      <c r="AM19" s="1439"/>
      <c r="AN19" s="19" t="e">
        <f t="shared" si="13"/>
        <v>#DIV/0!</v>
      </c>
      <c r="AO19" s="1030">
        <v>0</v>
      </c>
      <c r="AP19" s="1439"/>
      <c r="AQ19" s="19" t="e">
        <f t="shared" si="14"/>
        <v>#DIV/0!</v>
      </c>
      <c r="AR19" s="1030">
        <v>0.64100000000000001</v>
      </c>
      <c r="AS19" s="1439">
        <v>0.69499999999999995</v>
      </c>
      <c r="AT19" s="19">
        <f t="shared" si="15"/>
        <v>1.0842433697347893</v>
      </c>
      <c r="AU19" s="871">
        <f t="shared" si="16"/>
        <v>0.69499999999999995</v>
      </c>
      <c r="AV19" s="19">
        <f t="shared" si="1"/>
        <v>1.0842433697347893</v>
      </c>
    </row>
    <row r="20" spans="1:48" ht="46.5" thickTop="1" thickBot="1">
      <c r="A20" s="2944"/>
      <c r="B20" s="2949"/>
      <c r="C20" s="3107"/>
      <c r="D20" s="129" t="s">
        <v>122</v>
      </c>
      <c r="E20" s="137" t="s">
        <v>123</v>
      </c>
      <c r="F20" s="137" t="s">
        <v>10</v>
      </c>
      <c r="G20" s="1406">
        <v>1</v>
      </c>
      <c r="H20" s="1406" t="s">
        <v>7</v>
      </c>
      <c r="I20" s="1449">
        <v>0</v>
      </c>
      <c r="J20" s="1439"/>
      <c r="K20" s="19" t="e">
        <f t="shared" si="4"/>
        <v>#DIV/0!</v>
      </c>
      <c r="L20" s="1030">
        <v>0</v>
      </c>
      <c r="M20" s="1439"/>
      <c r="N20" s="19" t="e">
        <f t="shared" si="5"/>
        <v>#DIV/0!</v>
      </c>
      <c r="O20" s="1030">
        <v>0</v>
      </c>
      <c r="P20" s="1439">
        <v>1</v>
      </c>
      <c r="Q20" s="19" t="e">
        <f t="shared" si="6"/>
        <v>#DIV/0!</v>
      </c>
      <c r="R20" s="1030">
        <v>1</v>
      </c>
      <c r="S20" s="1439">
        <v>1</v>
      </c>
      <c r="T20" s="19">
        <f t="shared" si="7"/>
        <v>1</v>
      </c>
      <c r="U20" s="1030">
        <v>0</v>
      </c>
      <c r="V20" s="1439">
        <v>1</v>
      </c>
      <c r="W20" s="19" t="e">
        <f t="shared" si="8"/>
        <v>#DIV/0!</v>
      </c>
      <c r="X20" s="1030">
        <v>0</v>
      </c>
      <c r="Y20" s="1439">
        <v>1</v>
      </c>
      <c r="Z20" s="19" t="e">
        <f t="shared" si="9"/>
        <v>#DIV/0!</v>
      </c>
      <c r="AA20" s="1448">
        <f>(S20)</f>
        <v>1</v>
      </c>
      <c r="AB20" s="19">
        <f t="shared" si="0"/>
        <v>1</v>
      </c>
      <c r="AC20" s="1030">
        <v>0</v>
      </c>
      <c r="AD20" s="1439">
        <v>1</v>
      </c>
      <c r="AE20" s="19" t="e">
        <f t="shared" si="10"/>
        <v>#DIV/0!</v>
      </c>
      <c r="AF20" s="1030">
        <v>0</v>
      </c>
      <c r="AG20" s="1439">
        <v>1</v>
      </c>
      <c r="AH20" s="19" t="e">
        <f t="shared" si="11"/>
        <v>#DIV/0!</v>
      </c>
      <c r="AI20" s="1030">
        <v>0</v>
      </c>
      <c r="AJ20" s="1439">
        <v>1</v>
      </c>
      <c r="AK20" s="19" t="e">
        <f t="shared" si="12"/>
        <v>#DIV/0!</v>
      </c>
      <c r="AL20" s="1030">
        <v>1</v>
      </c>
      <c r="AM20" s="1439">
        <v>1</v>
      </c>
      <c r="AN20" s="19">
        <f t="shared" si="13"/>
        <v>1</v>
      </c>
      <c r="AO20" s="1030">
        <v>0</v>
      </c>
      <c r="AP20" s="1439"/>
      <c r="AQ20" s="19" t="e">
        <f t="shared" si="14"/>
        <v>#DIV/0!</v>
      </c>
      <c r="AR20" s="1030" t="s">
        <v>6</v>
      </c>
      <c r="AS20" s="1439"/>
      <c r="AT20" s="19" t="e">
        <f t="shared" si="15"/>
        <v>#VALUE!</v>
      </c>
      <c r="AU20" s="871">
        <f>+(AA20+AM20)/2</f>
        <v>1</v>
      </c>
      <c r="AV20" s="19">
        <f t="shared" si="1"/>
        <v>1</v>
      </c>
    </row>
    <row r="21" spans="1:48" ht="61.5" thickTop="1" thickBot="1">
      <c r="A21" s="2944"/>
      <c r="B21" s="2949"/>
      <c r="C21" s="3107"/>
      <c r="D21" s="124" t="s">
        <v>124</v>
      </c>
      <c r="E21" s="125" t="s">
        <v>125</v>
      </c>
      <c r="F21" s="125" t="s">
        <v>10</v>
      </c>
      <c r="G21" s="1427">
        <v>1</v>
      </c>
      <c r="H21" s="1427" t="s">
        <v>7</v>
      </c>
      <c r="I21" s="1449">
        <v>0</v>
      </c>
      <c r="J21" s="1439"/>
      <c r="K21" s="19" t="e">
        <f t="shared" si="4"/>
        <v>#DIV/0!</v>
      </c>
      <c r="L21" s="1030">
        <v>0</v>
      </c>
      <c r="M21" s="1439"/>
      <c r="N21" s="19" t="e">
        <f t="shared" si="5"/>
        <v>#DIV/0!</v>
      </c>
      <c r="O21" s="1030">
        <v>1</v>
      </c>
      <c r="P21" s="1439"/>
      <c r="Q21" s="19">
        <f t="shared" si="6"/>
        <v>0</v>
      </c>
      <c r="R21" s="1030">
        <v>0</v>
      </c>
      <c r="S21" s="1439"/>
      <c r="T21" s="19" t="e">
        <f t="shared" si="7"/>
        <v>#DIV/0!</v>
      </c>
      <c r="U21" s="1030">
        <v>0</v>
      </c>
      <c r="V21" s="1439"/>
      <c r="W21" s="19" t="e">
        <f t="shared" si="8"/>
        <v>#DIV/0!</v>
      </c>
      <c r="X21" s="1030">
        <v>1</v>
      </c>
      <c r="Y21" s="1439"/>
      <c r="Z21" s="19">
        <f t="shared" si="9"/>
        <v>0</v>
      </c>
      <c r="AA21" s="1448">
        <f>(Y21+P21)/2</f>
        <v>0</v>
      </c>
      <c r="AB21" s="19">
        <f t="shared" si="0"/>
        <v>0</v>
      </c>
      <c r="AC21" s="1030">
        <v>0</v>
      </c>
      <c r="AD21" s="1439"/>
      <c r="AE21" s="19" t="e">
        <f t="shared" si="10"/>
        <v>#DIV/0!</v>
      </c>
      <c r="AF21" s="1030">
        <v>0</v>
      </c>
      <c r="AG21" s="1439"/>
      <c r="AH21" s="19" t="e">
        <f t="shared" si="11"/>
        <v>#DIV/0!</v>
      </c>
      <c r="AI21" s="1030">
        <v>1</v>
      </c>
      <c r="AJ21" s="1439"/>
      <c r="AK21" s="19">
        <f t="shared" si="12"/>
        <v>0</v>
      </c>
      <c r="AL21" s="1030">
        <v>0</v>
      </c>
      <c r="AM21" s="1439"/>
      <c r="AN21" s="19" t="e">
        <f t="shared" si="13"/>
        <v>#DIV/0!</v>
      </c>
      <c r="AO21" s="1030">
        <v>0</v>
      </c>
      <c r="AP21" s="1439"/>
      <c r="AQ21" s="19" t="e">
        <f t="shared" si="14"/>
        <v>#DIV/0!</v>
      </c>
      <c r="AR21" s="1030">
        <v>1</v>
      </c>
      <c r="AS21" s="1439"/>
      <c r="AT21" s="19">
        <f t="shared" si="15"/>
        <v>0</v>
      </c>
      <c r="AU21" s="871">
        <f>(P21+Y21+AJ21+AS21)/4</f>
        <v>0</v>
      </c>
      <c r="AV21" s="19">
        <f t="shared" si="1"/>
        <v>0</v>
      </c>
    </row>
    <row r="22" spans="1:48" ht="46.5" thickTop="1" thickBot="1">
      <c r="A22" s="2944"/>
      <c r="B22" s="2949"/>
      <c r="C22" s="3107"/>
      <c r="D22" s="129" t="s">
        <v>126</v>
      </c>
      <c r="E22" s="137" t="s">
        <v>127</v>
      </c>
      <c r="F22" s="137" t="s">
        <v>10</v>
      </c>
      <c r="G22" s="1406">
        <v>0.4</v>
      </c>
      <c r="H22" s="1406" t="s">
        <v>7</v>
      </c>
      <c r="I22" s="1449">
        <v>0.4</v>
      </c>
      <c r="J22" s="1439">
        <v>0.4</v>
      </c>
      <c r="K22" s="19">
        <f t="shared" si="4"/>
        <v>1</v>
      </c>
      <c r="L22" s="1030">
        <v>0.4</v>
      </c>
      <c r="M22" s="1439">
        <v>0.4</v>
      </c>
      <c r="N22" s="19">
        <f t="shared" si="5"/>
        <v>1</v>
      </c>
      <c r="O22" s="1030">
        <v>0.4</v>
      </c>
      <c r="P22" s="1439">
        <v>0.4</v>
      </c>
      <c r="Q22" s="19">
        <f t="shared" si="6"/>
        <v>1</v>
      </c>
      <c r="R22" s="1030">
        <v>0.4</v>
      </c>
      <c r="S22" s="1439">
        <v>0.4</v>
      </c>
      <c r="T22" s="19">
        <f t="shared" si="7"/>
        <v>1</v>
      </c>
      <c r="U22" s="1030">
        <v>0.4</v>
      </c>
      <c r="V22" s="1439">
        <v>0.4</v>
      </c>
      <c r="W22" s="19">
        <f t="shared" si="8"/>
        <v>1</v>
      </c>
      <c r="X22" s="1030">
        <v>0.4</v>
      </c>
      <c r="Y22" s="1439">
        <v>0.4</v>
      </c>
      <c r="Z22" s="19">
        <f t="shared" si="9"/>
        <v>1</v>
      </c>
      <c r="AA22" s="1448">
        <f>(Y22+V22+S22+P22+M22+J22)/6</f>
        <v>0.39999999999999997</v>
      </c>
      <c r="AB22" s="19">
        <f t="shared" si="0"/>
        <v>0.99999999999999989</v>
      </c>
      <c r="AC22" s="1030">
        <v>0.4</v>
      </c>
      <c r="AD22" s="1439">
        <v>0.4</v>
      </c>
      <c r="AE22" s="19">
        <f t="shared" si="10"/>
        <v>1</v>
      </c>
      <c r="AF22" s="1030">
        <v>0.4</v>
      </c>
      <c r="AG22" s="1439">
        <v>0.4</v>
      </c>
      <c r="AH22" s="19">
        <f t="shared" si="11"/>
        <v>1</v>
      </c>
      <c r="AI22" s="1030">
        <v>0.4</v>
      </c>
      <c r="AJ22" s="1439">
        <v>0.4</v>
      </c>
      <c r="AK22" s="19">
        <f t="shared" si="12"/>
        <v>1</v>
      </c>
      <c r="AL22" s="1030">
        <v>0.4</v>
      </c>
      <c r="AM22" s="1439">
        <v>0.4</v>
      </c>
      <c r="AN22" s="19">
        <f t="shared" si="13"/>
        <v>1</v>
      </c>
      <c r="AO22" s="1030">
        <v>0.4</v>
      </c>
      <c r="AP22" s="1439">
        <v>0.4</v>
      </c>
      <c r="AQ22" s="19">
        <f t="shared" si="14"/>
        <v>1</v>
      </c>
      <c r="AR22" s="1030">
        <v>0.4</v>
      </c>
      <c r="AS22" s="1439">
        <v>0.4</v>
      </c>
      <c r="AT22" s="19">
        <f t="shared" si="15"/>
        <v>1</v>
      </c>
      <c r="AU22" s="871">
        <f>(J22+M22+P22+S22+V22+Y22+AD22+AG22+AJ22+AM22+AP22+AS22)/12</f>
        <v>0.39999999999999997</v>
      </c>
      <c r="AV22" s="19">
        <f t="shared" si="1"/>
        <v>0.99999999999999989</v>
      </c>
    </row>
    <row r="23" spans="1:48" ht="61.5" thickTop="1" thickBot="1">
      <c r="A23" s="2944"/>
      <c r="B23" s="2949"/>
      <c r="C23" s="3107"/>
      <c r="D23" s="124" t="s">
        <v>128</v>
      </c>
      <c r="E23" s="125" t="s">
        <v>625</v>
      </c>
      <c r="F23" s="125" t="s">
        <v>10</v>
      </c>
      <c r="G23" s="1427">
        <v>1</v>
      </c>
      <c r="H23" s="1427" t="s">
        <v>7</v>
      </c>
      <c r="I23" s="1449">
        <v>1</v>
      </c>
      <c r="J23" s="1439">
        <v>1</v>
      </c>
      <c r="K23" s="19">
        <f t="shared" si="4"/>
        <v>1</v>
      </c>
      <c r="L23" s="1030">
        <v>1</v>
      </c>
      <c r="M23" s="1439">
        <v>1</v>
      </c>
      <c r="N23" s="19">
        <f t="shared" si="5"/>
        <v>1</v>
      </c>
      <c r="O23" s="1030">
        <v>1</v>
      </c>
      <c r="P23" s="1439">
        <v>1</v>
      </c>
      <c r="Q23" s="19">
        <f t="shared" si="6"/>
        <v>1</v>
      </c>
      <c r="R23" s="1030">
        <v>1</v>
      </c>
      <c r="S23" s="1439">
        <v>1</v>
      </c>
      <c r="T23" s="19">
        <f t="shared" si="7"/>
        <v>1</v>
      </c>
      <c r="U23" s="1030">
        <v>1</v>
      </c>
      <c r="V23" s="1439">
        <v>1</v>
      </c>
      <c r="W23" s="19">
        <f t="shared" si="8"/>
        <v>1</v>
      </c>
      <c r="X23" s="1030">
        <v>1</v>
      </c>
      <c r="Y23" s="1439">
        <v>1</v>
      </c>
      <c r="Z23" s="19">
        <f t="shared" si="9"/>
        <v>1</v>
      </c>
      <c r="AA23" s="1448">
        <f>(Y23+V23+S23+P23+M23+J23)/6</f>
        <v>1</v>
      </c>
      <c r="AB23" s="19">
        <f t="shared" si="0"/>
        <v>1</v>
      </c>
      <c r="AC23" s="1030">
        <v>1</v>
      </c>
      <c r="AD23" s="1439">
        <v>1</v>
      </c>
      <c r="AE23" s="19">
        <f t="shared" si="10"/>
        <v>1</v>
      </c>
      <c r="AF23" s="1030">
        <v>1</v>
      </c>
      <c r="AG23" s="1439">
        <v>1</v>
      </c>
      <c r="AH23" s="19">
        <f t="shared" si="11"/>
        <v>1</v>
      </c>
      <c r="AI23" s="1030">
        <v>1</v>
      </c>
      <c r="AJ23" s="1439">
        <v>1</v>
      </c>
      <c r="AK23" s="19">
        <f t="shared" si="12"/>
        <v>1</v>
      </c>
      <c r="AL23" s="1030">
        <v>1</v>
      </c>
      <c r="AM23" s="1439">
        <v>1</v>
      </c>
      <c r="AN23" s="19">
        <f t="shared" si="13"/>
        <v>1</v>
      </c>
      <c r="AO23" s="1030">
        <v>1</v>
      </c>
      <c r="AP23" s="1439">
        <v>1</v>
      </c>
      <c r="AQ23" s="19">
        <f t="shared" si="14"/>
        <v>1</v>
      </c>
      <c r="AR23" s="1030">
        <v>1</v>
      </c>
      <c r="AS23" s="1439"/>
      <c r="AT23" s="19">
        <f t="shared" si="15"/>
        <v>0</v>
      </c>
      <c r="AU23" s="871">
        <f>(J23+M23+P23+S23+V23+Y23+AD23+AG23+AJ23+AM23+AP23+AS23)/12</f>
        <v>0.91666666666666663</v>
      </c>
      <c r="AV23" s="19">
        <f t="shared" si="1"/>
        <v>0.91666666666666663</v>
      </c>
    </row>
    <row r="24" spans="1:48" ht="46.5" thickTop="1" thickBot="1">
      <c r="A24" s="2944"/>
      <c r="B24" s="2949"/>
      <c r="C24" s="3107"/>
      <c r="D24" s="129" t="s">
        <v>179</v>
      </c>
      <c r="E24" s="137" t="s">
        <v>131</v>
      </c>
      <c r="F24" s="137" t="s">
        <v>10</v>
      </c>
      <c r="G24" s="1406">
        <v>1</v>
      </c>
      <c r="H24" s="1406" t="s">
        <v>7</v>
      </c>
      <c r="I24" s="1449">
        <v>1</v>
      </c>
      <c r="J24" s="1439">
        <v>1</v>
      </c>
      <c r="K24" s="19">
        <f t="shared" si="4"/>
        <v>1</v>
      </c>
      <c r="L24" s="1030">
        <v>1</v>
      </c>
      <c r="M24" s="1439">
        <v>1</v>
      </c>
      <c r="N24" s="19">
        <f t="shared" si="5"/>
        <v>1</v>
      </c>
      <c r="O24" s="1030">
        <v>1</v>
      </c>
      <c r="P24" s="1439">
        <v>1</v>
      </c>
      <c r="Q24" s="19">
        <f t="shared" si="6"/>
        <v>1</v>
      </c>
      <c r="R24" s="1030">
        <v>1</v>
      </c>
      <c r="S24" s="1439">
        <v>1</v>
      </c>
      <c r="T24" s="19">
        <f t="shared" si="7"/>
        <v>1</v>
      </c>
      <c r="U24" s="1030">
        <v>1</v>
      </c>
      <c r="V24" s="1439">
        <v>1</v>
      </c>
      <c r="W24" s="19">
        <f t="shared" si="8"/>
        <v>1</v>
      </c>
      <c r="X24" s="1030">
        <v>1</v>
      </c>
      <c r="Y24" s="1439">
        <v>1</v>
      </c>
      <c r="Z24" s="19">
        <f t="shared" si="9"/>
        <v>1</v>
      </c>
      <c r="AA24" s="1448">
        <f>(Y24+V24+S24+P24+M24+J24)/6</f>
        <v>1</v>
      </c>
      <c r="AB24" s="19">
        <f t="shared" si="0"/>
        <v>1</v>
      </c>
      <c r="AC24" s="1030">
        <v>1</v>
      </c>
      <c r="AD24" s="1439">
        <v>1</v>
      </c>
      <c r="AE24" s="19">
        <f t="shared" si="10"/>
        <v>1</v>
      </c>
      <c r="AF24" s="1030">
        <v>1</v>
      </c>
      <c r="AG24" s="1439">
        <v>1</v>
      </c>
      <c r="AH24" s="19">
        <f t="shared" si="11"/>
        <v>1</v>
      </c>
      <c r="AI24" s="1030">
        <v>1</v>
      </c>
      <c r="AJ24" s="1439">
        <v>1</v>
      </c>
      <c r="AK24" s="19">
        <f t="shared" si="12"/>
        <v>1</v>
      </c>
      <c r="AL24" s="1030">
        <v>1</v>
      </c>
      <c r="AM24" s="1439">
        <v>1</v>
      </c>
      <c r="AN24" s="19">
        <f t="shared" si="13"/>
        <v>1</v>
      </c>
      <c r="AO24" s="1030">
        <v>1</v>
      </c>
      <c r="AP24" s="1439">
        <v>1</v>
      </c>
      <c r="AQ24" s="19">
        <f t="shared" si="14"/>
        <v>1</v>
      </c>
      <c r="AR24" s="1030">
        <v>1</v>
      </c>
      <c r="AS24" s="1439">
        <v>1</v>
      </c>
      <c r="AT24" s="19">
        <f t="shared" si="15"/>
        <v>1</v>
      </c>
      <c r="AU24" s="871">
        <f>(J24+M24+P24+S24+V24+Y24+AD24+AG24+AJ24+AM24+AP24+AS24)/12</f>
        <v>1</v>
      </c>
      <c r="AV24" s="19">
        <f t="shared" si="1"/>
        <v>1</v>
      </c>
    </row>
    <row r="25" spans="1:48" ht="46.5" thickTop="1" thickBot="1">
      <c r="A25" s="2944"/>
      <c r="B25" s="2949"/>
      <c r="C25" s="3107"/>
      <c r="D25" s="124" t="s">
        <v>132</v>
      </c>
      <c r="E25" s="125" t="s">
        <v>133</v>
      </c>
      <c r="F25" s="125" t="s">
        <v>10</v>
      </c>
      <c r="G25" s="1427">
        <v>1</v>
      </c>
      <c r="H25" s="1427" t="s">
        <v>7</v>
      </c>
      <c r="I25" s="1449">
        <v>0</v>
      </c>
      <c r="J25" s="1439"/>
      <c r="K25" s="19" t="e">
        <f t="shared" si="4"/>
        <v>#DIV/0!</v>
      </c>
      <c r="L25" s="1030">
        <v>0</v>
      </c>
      <c r="M25" s="1439"/>
      <c r="N25" s="19" t="e">
        <f t="shared" si="5"/>
        <v>#DIV/0!</v>
      </c>
      <c r="O25" s="1030">
        <v>0</v>
      </c>
      <c r="P25" s="1439"/>
      <c r="Q25" s="19" t="e">
        <f t="shared" si="6"/>
        <v>#DIV/0!</v>
      </c>
      <c r="R25" s="1030">
        <v>0</v>
      </c>
      <c r="S25" s="1439"/>
      <c r="T25" s="19" t="e">
        <f t="shared" si="7"/>
        <v>#DIV/0!</v>
      </c>
      <c r="U25" s="1030">
        <v>0</v>
      </c>
      <c r="V25" s="1439"/>
      <c r="W25" s="19" t="e">
        <f t="shared" si="8"/>
        <v>#DIV/0!</v>
      </c>
      <c r="X25" s="1030">
        <v>0</v>
      </c>
      <c r="Y25" s="1439"/>
      <c r="Z25" s="19" t="e">
        <f t="shared" si="9"/>
        <v>#DIV/0!</v>
      </c>
      <c r="AA25" s="1448">
        <f>(Y25+V25+S25+P25+M25+J25)/6</f>
        <v>0</v>
      </c>
      <c r="AB25" s="19">
        <f t="shared" si="0"/>
        <v>0</v>
      </c>
      <c r="AC25" s="1030">
        <v>0</v>
      </c>
      <c r="AD25" s="1439">
        <v>1</v>
      </c>
      <c r="AE25" s="19" t="e">
        <f t="shared" si="10"/>
        <v>#DIV/0!</v>
      </c>
      <c r="AF25" s="1030">
        <v>1</v>
      </c>
      <c r="AG25" s="1439">
        <v>1</v>
      </c>
      <c r="AH25" s="19">
        <f t="shared" si="11"/>
        <v>1</v>
      </c>
      <c r="AI25" s="1030">
        <v>0</v>
      </c>
      <c r="AJ25" s="1439">
        <v>0</v>
      </c>
      <c r="AK25" s="19" t="e">
        <f t="shared" si="12"/>
        <v>#DIV/0!</v>
      </c>
      <c r="AL25" s="1030">
        <v>0</v>
      </c>
      <c r="AM25" s="1439"/>
      <c r="AN25" s="19" t="e">
        <f t="shared" si="13"/>
        <v>#DIV/0!</v>
      </c>
      <c r="AO25" s="1030">
        <v>0</v>
      </c>
      <c r="AP25" s="1439"/>
      <c r="AQ25" s="19" t="e">
        <f t="shared" si="14"/>
        <v>#DIV/0!</v>
      </c>
      <c r="AR25" s="1030">
        <v>0</v>
      </c>
      <c r="AS25" s="1439"/>
      <c r="AT25" s="19" t="e">
        <f t="shared" si="15"/>
        <v>#DIV/0!</v>
      </c>
      <c r="AU25" s="871">
        <f>+AG25</f>
        <v>1</v>
      </c>
      <c r="AV25" s="19">
        <f t="shared" si="1"/>
        <v>1</v>
      </c>
    </row>
    <row r="26" spans="1:48" ht="46.5" thickTop="1" thickBot="1">
      <c r="A26" s="2944"/>
      <c r="B26" s="2949"/>
      <c r="C26" s="137" t="s">
        <v>626</v>
      </c>
      <c r="D26" s="623" t="s">
        <v>109</v>
      </c>
      <c r="E26" s="561" t="s">
        <v>110</v>
      </c>
      <c r="F26" s="76" t="s">
        <v>168</v>
      </c>
      <c r="G26" s="1428">
        <v>26856</v>
      </c>
      <c r="H26" s="1429" t="s">
        <v>21</v>
      </c>
      <c r="I26" s="765">
        <v>1652</v>
      </c>
      <c r="J26" s="567">
        <v>2119</v>
      </c>
      <c r="K26" s="19">
        <f>+J26/I26</f>
        <v>1.2826876513317191</v>
      </c>
      <c r="L26" s="747">
        <v>2767</v>
      </c>
      <c r="M26" s="567">
        <v>1203</v>
      </c>
      <c r="N26" s="19"/>
      <c r="O26" s="747">
        <v>2216</v>
      </c>
      <c r="P26" s="567">
        <v>884.4</v>
      </c>
      <c r="Q26" s="19">
        <f>+P26/O26</f>
        <v>0.39909747292418774</v>
      </c>
      <c r="R26" s="747">
        <v>1981</v>
      </c>
      <c r="S26" s="567">
        <v>741.4</v>
      </c>
      <c r="T26" s="19">
        <f>+S26/R26</f>
        <v>0.37425542655224631</v>
      </c>
      <c r="U26" s="747">
        <v>3546</v>
      </c>
      <c r="V26" s="567">
        <v>846.5</v>
      </c>
      <c r="W26" s="19">
        <f>+V26/U26</f>
        <v>0.23871968415115624</v>
      </c>
      <c r="X26" s="747">
        <v>1909</v>
      </c>
      <c r="Y26" s="567">
        <v>987.6</v>
      </c>
      <c r="Z26" s="19">
        <f>+Y26/X26</f>
        <v>0.51733892090099531</v>
      </c>
      <c r="AA26" s="566"/>
      <c r="AB26" s="121">
        <f t="shared" si="0"/>
        <v>0</v>
      </c>
      <c r="AC26" s="747">
        <v>2703</v>
      </c>
      <c r="AD26" s="567">
        <v>1298.5</v>
      </c>
      <c r="AE26" s="19">
        <f>+AD26/AC26</f>
        <v>0.48039215686274511</v>
      </c>
      <c r="AF26" s="747">
        <v>1853</v>
      </c>
      <c r="AG26" s="567">
        <v>1044.5</v>
      </c>
      <c r="AH26" s="19">
        <f>+AG26/AF26</f>
        <v>0.56368051807879116</v>
      </c>
      <c r="AI26" s="747">
        <v>2942</v>
      </c>
      <c r="AJ26" s="567">
        <v>1259.0999999999999</v>
      </c>
      <c r="AK26" s="19">
        <f>+AJ26/AI26</f>
        <v>0.42797416723317466</v>
      </c>
      <c r="AL26" s="747">
        <v>2430</v>
      </c>
      <c r="AM26" s="567">
        <v>1609.1</v>
      </c>
      <c r="AN26" s="19">
        <f>+AM26/AL26</f>
        <v>0.66218106995884773</v>
      </c>
      <c r="AO26" s="747">
        <v>1852</v>
      </c>
      <c r="AP26" s="1455">
        <v>1672.5</v>
      </c>
      <c r="AQ26" s="19">
        <f>+AP26/AO26</f>
        <v>0.90307775377969768</v>
      </c>
      <c r="AR26" s="747">
        <v>1455</v>
      </c>
      <c r="AS26" s="567">
        <v>1209.5</v>
      </c>
      <c r="AT26" s="19">
        <f>+AS26/AR26</f>
        <v>0.83127147766323028</v>
      </c>
      <c r="AU26" s="747">
        <f>+J26+M26+P26+S26+V26+Y26+AD26+AG26+AJ26+AM26+AP26+AS26</f>
        <v>14875.1</v>
      </c>
      <c r="AV26" s="19">
        <f t="shared" si="1"/>
        <v>0.55388367590110221</v>
      </c>
    </row>
    <row r="27" spans="1:48" ht="46.5" thickTop="1" thickBot="1">
      <c r="A27" s="2944"/>
      <c r="B27" s="2949"/>
      <c r="C27" s="125" t="s">
        <v>350</v>
      </c>
      <c r="D27" s="124" t="s">
        <v>111</v>
      </c>
      <c r="E27" s="1407" t="s">
        <v>112</v>
      </c>
      <c r="F27" s="1405" t="s">
        <v>17</v>
      </c>
      <c r="G27" s="1402">
        <v>27</v>
      </c>
      <c r="H27" s="1400" t="s">
        <v>20</v>
      </c>
      <c r="I27" s="1182">
        <v>0</v>
      </c>
      <c r="J27" s="862"/>
      <c r="K27" s="19" t="e">
        <f t="shared" si="4"/>
        <v>#DIV/0!</v>
      </c>
      <c r="L27" s="1182">
        <v>0</v>
      </c>
      <c r="M27" s="862"/>
      <c r="N27" s="19" t="e">
        <f t="shared" si="5"/>
        <v>#DIV/0!</v>
      </c>
      <c r="O27" s="1182"/>
      <c r="P27" s="862"/>
      <c r="Q27" s="19" t="e">
        <f t="shared" si="6"/>
        <v>#DIV/0!</v>
      </c>
      <c r="R27" s="1182"/>
      <c r="S27" s="862"/>
      <c r="T27" s="19" t="e">
        <f t="shared" si="7"/>
        <v>#DIV/0!</v>
      </c>
      <c r="U27" s="1182"/>
      <c r="V27" s="862"/>
      <c r="W27" s="19" t="e">
        <f t="shared" si="8"/>
        <v>#DIV/0!</v>
      </c>
      <c r="X27" s="1182"/>
      <c r="Y27" s="862"/>
      <c r="Z27" s="19" t="e">
        <f t="shared" si="9"/>
        <v>#DIV/0!</v>
      </c>
      <c r="AA27" s="1395">
        <f t="shared" si="3"/>
        <v>0</v>
      </c>
      <c r="AB27" s="19">
        <f t="shared" si="0"/>
        <v>0</v>
      </c>
      <c r="AC27" s="1182"/>
      <c r="AD27" s="862">
        <v>19</v>
      </c>
      <c r="AE27" s="19" t="e">
        <f t="shared" si="10"/>
        <v>#DIV/0!</v>
      </c>
      <c r="AF27" s="1182"/>
      <c r="AG27" s="862"/>
      <c r="AH27" s="19" t="e">
        <f t="shared" si="11"/>
        <v>#DIV/0!</v>
      </c>
      <c r="AI27" s="1182"/>
      <c r="AJ27" s="862">
        <v>6</v>
      </c>
      <c r="AK27" s="19" t="e">
        <f t="shared" si="12"/>
        <v>#DIV/0!</v>
      </c>
      <c r="AL27" s="1182">
        <v>27</v>
      </c>
      <c r="AM27" s="862">
        <v>6</v>
      </c>
      <c r="AN27" s="19">
        <f t="shared" si="13"/>
        <v>0.22222222222222221</v>
      </c>
      <c r="AO27" s="1182"/>
      <c r="AP27" s="862">
        <v>1</v>
      </c>
      <c r="AQ27" s="19" t="e">
        <f>+AP27/AO27</f>
        <v>#DIV/0!</v>
      </c>
      <c r="AR27" s="1182"/>
      <c r="AS27" s="862"/>
      <c r="AT27" s="19" t="e">
        <f t="shared" si="15"/>
        <v>#DIV/0!</v>
      </c>
      <c r="AU27" s="123">
        <f t="shared" si="16"/>
        <v>32</v>
      </c>
      <c r="AV27" s="19">
        <f t="shared" si="1"/>
        <v>1.1851851851851851</v>
      </c>
    </row>
    <row r="28" spans="1:48" ht="46.5" thickTop="1" thickBot="1">
      <c r="A28" s="2944"/>
      <c r="B28" s="2949"/>
      <c r="C28" s="1408" t="s">
        <v>627</v>
      </c>
      <c r="D28" s="623" t="s">
        <v>114</v>
      </c>
      <c r="E28" s="1408" t="s">
        <v>502</v>
      </c>
      <c r="F28" s="1083" t="s">
        <v>10</v>
      </c>
      <c r="G28" s="1409">
        <v>1</v>
      </c>
      <c r="H28" s="1431" t="s">
        <v>20</v>
      </c>
      <c r="I28" s="1449">
        <v>0</v>
      </c>
      <c r="J28" s="1439"/>
      <c r="K28" s="19" t="e">
        <f t="shared" si="4"/>
        <v>#DIV/0!</v>
      </c>
      <c r="L28" s="1030">
        <v>0</v>
      </c>
      <c r="M28" s="1439"/>
      <c r="N28" s="19" t="e">
        <f t="shared" si="5"/>
        <v>#DIV/0!</v>
      </c>
      <c r="O28" s="1030">
        <v>0.25</v>
      </c>
      <c r="P28" s="1439">
        <v>0</v>
      </c>
      <c r="Q28" s="19">
        <f t="shared" si="6"/>
        <v>0</v>
      </c>
      <c r="R28" s="1030">
        <v>0</v>
      </c>
      <c r="S28" s="1439"/>
      <c r="T28" s="19" t="e">
        <f t="shared" si="7"/>
        <v>#DIV/0!</v>
      </c>
      <c r="U28" s="1030">
        <v>0</v>
      </c>
      <c r="V28" s="1439"/>
      <c r="W28" s="19" t="e">
        <f t="shared" si="8"/>
        <v>#DIV/0!</v>
      </c>
      <c r="X28" s="1030">
        <v>0.25</v>
      </c>
      <c r="Y28" s="1439">
        <v>0.25</v>
      </c>
      <c r="Z28" s="19">
        <f t="shared" si="9"/>
        <v>1</v>
      </c>
      <c r="AA28" s="1448">
        <f t="shared" si="3"/>
        <v>0.25</v>
      </c>
      <c r="AB28" s="19">
        <f t="shared" si="0"/>
        <v>0.25</v>
      </c>
      <c r="AC28" s="1030">
        <v>0</v>
      </c>
      <c r="AD28" s="1439"/>
      <c r="AE28" s="19" t="e">
        <f t="shared" si="10"/>
        <v>#DIV/0!</v>
      </c>
      <c r="AF28" s="1030">
        <v>0</v>
      </c>
      <c r="AG28" s="1439"/>
      <c r="AH28" s="19" t="e">
        <f t="shared" si="11"/>
        <v>#DIV/0!</v>
      </c>
      <c r="AI28" s="1030">
        <v>0.25</v>
      </c>
      <c r="AJ28" s="1439">
        <v>0.25</v>
      </c>
      <c r="AK28" s="19">
        <f t="shared" si="12"/>
        <v>1</v>
      </c>
      <c r="AL28" s="1030">
        <v>0</v>
      </c>
      <c r="AM28" s="1439"/>
      <c r="AN28" s="19" t="e">
        <f t="shared" si="13"/>
        <v>#DIV/0!</v>
      </c>
      <c r="AO28" s="1030">
        <v>0</v>
      </c>
      <c r="AP28" s="1439"/>
      <c r="AQ28" s="19" t="e">
        <f t="shared" si="14"/>
        <v>#DIV/0!</v>
      </c>
      <c r="AR28" s="1030">
        <v>0.25</v>
      </c>
      <c r="AS28" s="1439">
        <v>0.25</v>
      </c>
      <c r="AT28" s="19">
        <f t="shared" si="15"/>
        <v>1</v>
      </c>
      <c r="AU28" s="871">
        <f t="shared" si="16"/>
        <v>0.75</v>
      </c>
      <c r="AV28" s="19">
        <f t="shared" si="1"/>
        <v>0.75</v>
      </c>
    </row>
    <row r="29" spans="1:48" ht="91.5" thickTop="1" thickBot="1">
      <c r="A29" s="2944"/>
      <c r="B29" s="2949"/>
      <c r="C29" s="190" t="s">
        <v>481</v>
      </c>
      <c r="D29" s="124" t="s">
        <v>628</v>
      </c>
      <c r="E29" s="125" t="s">
        <v>212</v>
      </c>
      <c r="F29" s="1405" t="s">
        <v>24</v>
      </c>
      <c r="G29" s="1400">
        <v>1</v>
      </c>
      <c r="H29" s="1400" t="s">
        <v>140</v>
      </c>
      <c r="I29" s="141">
        <v>0</v>
      </c>
      <c r="J29" s="142"/>
      <c r="K29" s="19" t="e">
        <f t="shared" si="4"/>
        <v>#DIV/0!</v>
      </c>
      <c r="L29" s="209">
        <v>0</v>
      </c>
      <c r="M29" s="142"/>
      <c r="N29" s="19" t="e">
        <f t="shared" si="5"/>
        <v>#DIV/0!</v>
      </c>
      <c r="O29" s="209">
        <v>1</v>
      </c>
      <c r="P29" s="142">
        <v>1</v>
      </c>
      <c r="Q29" s="19">
        <f t="shared" si="6"/>
        <v>1</v>
      </c>
      <c r="R29" s="209">
        <v>0</v>
      </c>
      <c r="S29" s="142"/>
      <c r="T29" s="19" t="e">
        <f t="shared" si="7"/>
        <v>#DIV/0!</v>
      </c>
      <c r="U29" s="209">
        <v>0</v>
      </c>
      <c r="V29" s="142"/>
      <c r="W29" s="19" t="e">
        <f t="shared" si="8"/>
        <v>#DIV/0!</v>
      </c>
      <c r="X29" s="209">
        <v>0</v>
      </c>
      <c r="Y29" s="142"/>
      <c r="Z29" s="19" t="e">
        <f t="shared" si="9"/>
        <v>#DIV/0!</v>
      </c>
      <c r="AA29" s="1398">
        <f>P29</f>
        <v>1</v>
      </c>
      <c r="AB29" s="19">
        <f t="shared" si="0"/>
        <v>1</v>
      </c>
      <c r="AC29" s="209">
        <v>0</v>
      </c>
      <c r="AD29" s="142"/>
      <c r="AE29" s="19" t="e">
        <f t="shared" si="10"/>
        <v>#DIV/0!</v>
      </c>
      <c r="AF29" s="209">
        <v>0</v>
      </c>
      <c r="AG29" s="142"/>
      <c r="AH29" s="19" t="e">
        <f t="shared" si="11"/>
        <v>#DIV/0!</v>
      </c>
      <c r="AI29" s="209">
        <v>0</v>
      </c>
      <c r="AJ29" s="142"/>
      <c r="AK29" s="19" t="e">
        <f t="shared" si="12"/>
        <v>#DIV/0!</v>
      </c>
      <c r="AL29" s="209">
        <v>0</v>
      </c>
      <c r="AM29" s="142"/>
      <c r="AN29" s="19" t="e">
        <f t="shared" si="13"/>
        <v>#DIV/0!</v>
      </c>
      <c r="AO29" s="209">
        <v>0</v>
      </c>
      <c r="AP29" s="142"/>
      <c r="AQ29" s="19" t="e">
        <f t="shared" si="14"/>
        <v>#DIV/0!</v>
      </c>
      <c r="AR29" s="209">
        <v>0</v>
      </c>
      <c r="AS29" s="142"/>
      <c r="AT29" s="19" t="e">
        <f t="shared" si="15"/>
        <v>#DIV/0!</v>
      </c>
      <c r="AU29" s="209">
        <f>+P29</f>
        <v>1</v>
      </c>
      <c r="AV29" s="19">
        <f t="shared" si="1"/>
        <v>1</v>
      </c>
    </row>
    <row r="30" spans="1:48" ht="121.5" thickTop="1" thickBot="1">
      <c r="A30" s="2944"/>
      <c r="B30" s="2949"/>
      <c r="C30" s="72" t="s">
        <v>482</v>
      </c>
      <c r="D30" s="623" t="s">
        <v>214</v>
      </c>
      <c r="E30" s="137" t="s">
        <v>215</v>
      </c>
      <c r="F30" s="1083" t="s">
        <v>24</v>
      </c>
      <c r="G30" s="1396">
        <v>2</v>
      </c>
      <c r="H30" s="1396" t="s">
        <v>140</v>
      </c>
      <c r="I30" s="119">
        <v>0</v>
      </c>
      <c r="J30" s="120"/>
      <c r="K30" s="19" t="e">
        <f t="shared" si="4"/>
        <v>#DIV/0!</v>
      </c>
      <c r="L30" s="123">
        <v>0</v>
      </c>
      <c r="M30" s="120"/>
      <c r="N30" s="19" t="e">
        <f t="shared" si="5"/>
        <v>#DIV/0!</v>
      </c>
      <c r="O30" s="123">
        <v>0</v>
      </c>
      <c r="P30" s="120"/>
      <c r="Q30" s="19" t="e">
        <f t="shared" si="6"/>
        <v>#DIV/0!</v>
      </c>
      <c r="R30" s="123">
        <v>0</v>
      </c>
      <c r="S30" s="120"/>
      <c r="T30" s="19" t="e">
        <f t="shared" si="7"/>
        <v>#DIV/0!</v>
      </c>
      <c r="U30" s="123">
        <v>1</v>
      </c>
      <c r="V30" s="120">
        <v>1</v>
      </c>
      <c r="W30" s="19">
        <f t="shared" si="8"/>
        <v>1</v>
      </c>
      <c r="X30" s="123">
        <v>0</v>
      </c>
      <c r="Y30" s="120"/>
      <c r="Z30" s="19" t="e">
        <f t="shared" si="9"/>
        <v>#DIV/0!</v>
      </c>
      <c r="AA30" s="122">
        <f>V30</f>
        <v>1</v>
      </c>
      <c r="AB30" s="19">
        <f t="shared" si="0"/>
        <v>0.5</v>
      </c>
      <c r="AC30" s="123">
        <v>0</v>
      </c>
      <c r="AD30" s="120"/>
      <c r="AE30" s="19" t="e">
        <f t="shared" si="10"/>
        <v>#DIV/0!</v>
      </c>
      <c r="AF30" s="123">
        <v>1</v>
      </c>
      <c r="AG30" s="120">
        <v>1</v>
      </c>
      <c r="AH30" s="19">
        <f t="shared" si="11"/>
        <v>1</v>
      </c>
      <c r="AI30" s="123">
        <v>0</v>
      </c>
      <c r="AJ30" s="120"/>
      <c r="AK30" s="19" t="e">
        <f t="shared" si="12"/>
        <v>#DIV/0!</v>
      </c>
      <c r="AL30" s="123">
        <v>0</v>
      </c>
      <c r="AM30" s="120"/>
      <c r="AN30" s="19" t="e">
        <f t="shared" si="13"/>
        <v>#DIV/0!</v>
      </c>
      <c r="AO30" s="123">
        <v>0</v>
      </c>
      <c r="AP30" s="120"/>
      <c r="AQ30" s="19" t="e">
        <f t="shared" si="14"/>
        <v>#DIV/0!</v>
      </c>
      <c r="AR30" s="123">
        <v>0</v>
      </c>
      <c r="AS30" s="120"/>
      <c r="AT30" s="19" t="e">
        <f t="shared" si="15"/>
        <v>#DIV/0!</v>
      </c>
      <c r="AU30" s="123">
        <f>V30+AG30</f>
        <v>2</v>
      </c>
      <c r="AV30" s="19">
        <f t="shared" si="1"/>
        <v>1</v>
      </c>
    </row>
    <row r="31" spans="1:48" ht="46.5" thickTop="1" thickBot="1">
      <c r="A31" s="2944"/>
      <c r="B31" s="2949"/>
      <c r="C31" s="1410" t="s">
        <v>629</v>
      </c>
      <c r="D31" s="124" t="s">
        <v>116</v>
      </c>
      <c r="E31" s="1410" t="s">
        <v>117</v>
      </c>
      <c r="F31" s="1405" t="s">
        <v>17</v>
      </c>
      <c r="G31" s="1402">
        <v>970</v>
      </c>
      <c r="H31" s="1400" t="s">
        <v>118</v>
      </c>
      <c r="I31" s="141">
        <v>0</v>
      </c>
      <c r="J31" s="142"/>
      <c r="K31" s="19" t="e">
        <f t="shared" si="4"/>
        <v>#DIV/0!</v>
      </c>
      <c r="L31" s="209">
        <v>0</v>
      </c>
      <c r="M31" s="142"/>
      <c r="N31" s="19" t="e">
        <f t="shared" si="5"/>
        <v>#DIV/0!</v>
      </c>
      <c r="O31" s="209">
        <v>184</v>
      </c>
      <c r="P31" s="142"/>
      <c r="Q31" s="19">
        <f t="shared" si="6"/>
        <v>0</v>
      </c>
      <c r="R31" s="209">
        <v>150</v>
      </c>
      <c r="S31" s="142">
        <v>157</v>
      </c>
      <c r="T31" s="19">
        <f t="shared" si="7"/>
        <v>1.0466666666666666</v>
      </c>
      <c r="U31" s="209">
        <v>43</v>
      </c>
      <c r="V31" s="142"/>
      <c r="W31" s="19">
        <f t="shared" si="8"/>
        <v>0</v>
      </c>
      <c r="X31" s="209">
        <v>49</v>
      </c>
      <c r="Y31" s="142">
        <v>8</v>
      </c>
      <c r="Z31" s="19">
        <f t="shared" si="9"/>
        <v>0.16326530612244897</v>
      </c>
      <c r="AA31" s="1398">
        <f t="shared" si="3"/>
        <v>165</v>
      </c>
      <c r="AB31" s="19">
        <f t="shared" si="0"/>
        <v>0.17010309278350516</v>
      </c>
      <c r="AC31" s="209">
        <v>90</v>
      </c>
      <c r="AD31" s="142">
        <v>124</v>
      </c>
      <c r="AE31" s="19">
        <f t="shared" si="10"/>
        <v>1.3777777777777778</v>
      </c>
      <c r="AF31" s="209">
        <v>138</v>
      </c>
      <c r="AG31" s="142">
        <v>41</v>
      </c>
      <c r="AH31" s="19">
        <f t="shared" si="11"/>
        <v>0.29710144927536231</v>
      </c>
      <c r="AI31" s="209">
        <v>187</v>
      </c>
      <c r="AJ31" s="142">
        <v>166</v>
      </c>
      <c r="AK31" s="19">
        <f t="shared" si="12"/>
        <v>0.88770053475935828</v>
      </c>
      <c r="AL31" s="209">
        <v>73</v>
      </c>
      <c r="AM31" s="142">
        <v>43</v>
      </c>
      <c r="AN31" s="19">
        <f t="shared" si="13"/>
        <v>0.58904109589041098</v>
      </c>
      <c r="AO31" s="209">
        <v>50</v>
      </c>
      <c r="AP31" s="142"/>
      <c r="AQ31" s="19">
        <f t="shared" si="14"/>
        <v>0</v>
      </c>
      <c r="AR31" s="209">
        <v>6</v>
      </c>
      <c r="AS31" s="142"/>
      <c r="AT31" s="19">
        <f t="shared" si="15"/>
        <v>0</v>
      </c>
      <c r="AU31" s="209">
        <f t="shared" si="16"/>
        <v>539</v>
      </c>
      <c r="AV31" s="19">
        <f t="shared" si="1"/>
        <v>0.55567010309278353</v>
      </c>
    </row>
    <row r="32" spans="1:48" ht="31.5" thickTop="1" thickBot="1">
      <c r="A32" s="2944"/>
      <c r="B32" s="2949"/>
      <c r="C32" s="1418" t="s">
        <v>538</v>
      </c>
      <c r="D32" s="623" t="s">
        <v>135</v>
      </c>
      <c r="E32" s="1411" t="s">
        <v>22</v>
      </c>
      <c r="F32" s="1411" t="s">
        <v>300</v>
      </c>
      <c r="G32" s="1432">
        <v>9068</v>
      </c>
      <c r="H32" s="1432" t="s">
        <v>23</v>
      </c>
      <c r="I32" s="765">
        <v>755.66</v>
      </c>
      <c r="J32" s="567">
        <v>392.37</v>
      </c>
      <c r="K32" s="19">
        <f t="shared" si="4"/>
        <v>0.51924145779848085</v>
      </c>
      <c r="L32" s="765">
        <v>755.66</v>
      </c>
      <c r="M32" s="567">
        <v>761.4</v>
      </c>
      <c r="N32" s="19">
        <f t="shared" si="5"/>
        <v>1.0075960087870206</v>
      </c>
      <c r="O32" s="765">
        <v>755.66</v>
      </c>
      <c r="P32" s="567">
        <v>533.15</v>
      </c>
      <c r="Q32" s="19">
        <f t="shared" si="6"/>
        <v>0.70554217505227224</v>
      </c>
      <c r="R32" s="765">
        <v>755.66</v>
      </c>
      <c r="S32" s="567">
        <v>286.14999999999998</v>
      </c>
      <c r="T32" s="19">
        <f t="shared" si="7"/>
        <v>0.37867559484424212</v>
      </c>
      <c r="U32" s="765">
        <v>755.66</v>
      </c>
      <c r="V32" s="567">
        <v>238.91</v>
      </c>
      <c r="W32" s="19">
        <f t="shared" si="8"/>
        <v>0.31616070719635814</v>
      </c>
      <c r="X32" s="765">
        <v>755.66</v>
      </c>
      <c r="Y32" s="567">
        <v>501.08</v>
      </c>
      <c r="Z32" s="19">
        <f t="shared" si="9"/>
        <v>0.66310245348437125</v>
      </c>
      <c r="AA32" s="1446">
        <f t="shared" si="3"/>
        <v>2713.06</v>
      </c>
      <c r="AB32" s="19">
        <f t="shared" si="0"/>
        <v>0.29919056021173357</v>
      </c>
      <c r="AC32" s="765">
        <v>755.66</v>
      </c>
      <c r="AD32" s="567">
        <v>793.82600000000002</v>
      </c>
      <c r="AE32" s="19">
        <f t="shared" si="10"/>
        <v>1.0505068417012944</v>
      </c>
      <c r="AF32" s="765">
        <v>755.66</v>
      </c>
      <c r="AG32" s="567">
        <v>1305.4590000000001</v>
      </c>
      <c r="AH32" s="19">
        <f t="shared" si="11"/>
        <v>1.7275745705740679</v>
      </c>
      <c r="AI32" s="765">
        <v>755.66</v>
      </c>
      <c r="AJ32" s="567">
        <v>1179.6880000000001</v>
      </c>
      <c r="AK32" s="19">
        <f t="shared" si="12"/>
        <v>1.5611359606172091</v>
      </c>
      <c r="AL32" s="765">
        <v>755.66</v>
      </c>
      <c r="AM32" s="567">
        <v>2086.2759999999998</v>
      </c>
      <c r="AN32" s="19">
        <f t="shared" si="13"/>
        <v>2.7608659979355794</v>
      </c>
      <c r="AO32" s="765">
        <v>755.66</v>
      </c>
      <c r="AP32" s="567">
        <v>774</v>
      </c>
      <c r="AQ32" s="19">
        <f t="shared" si="14"/>
        <v>1.0242701744170659</v>
      </c>
      <c r="AR32" s="765">
        <v>755.66</v>
      </c>
      <c r="AS32" s="567">
        <v>774</v>
      </c>
      <c r="AT32" s="19">
        <f t="shared" si="15"/>
        <v>1.0242701744170659</v>
      </c>
      <c r="AU32" s="747">
        <f t="shared" si="16"/>
        <v>9626.3090000000011</v>
      </c>
      <c r="AV32" s="19">
        <f t="shared" si="1"/>
        <v>1.0615691442434938</v>
      </c>
    </row>
    <row r="33" spans="1:48" ht="46.5" thickTop="1" thickBot="1">
      <c r="A33" s="2944"/>
      <c r="B33" s="3108" t="s">
        <v>508</v>
      </c>
      <c r="C33" s="191" t="s">
        <v>595</v>
      </c>
      <c r="D33" s="623" t="s">
        <v>224</v>
      </c>
      <c r="E33" s="76" t="s">
        <v>225</v>
      </c>
      <c r="F33" s="1397" t="s">
        <v>17</v>
      </c>
      <c r="G33" s="1397">
        <v>239</v>
      </c>
      <c r="H33" s="1397" t="s">
        <v>226</v>
      </c>
      <c r="I33" s="141">
        <v>10</v>
      </c>
      <c r="J33" s="142">
        <v>340</v>
      </c>
      <c r="K33" s="19">
        <f t="shared" si="4"/>
        <v>34</v>
      </c>
      <c r="L33" s="141">
        <v>19</v>
      </c>
      <c r="M33" s="142">
        <v>257</v>
      </c>
      <c r="N33" s="19">
        <f t="shared" si="5"/>
        <v>13.526315789473685</v>
      </c>
      <c r="O33" s="141">
        <v>11</v>
      </c>
      <c r="P33" s="142">
        <v>162</v>
      </c>
      <c r="Q33" s="19">
        <f t="shared" si="6"/>
        <v>14.727272727272727</v>
      </c>
      <c r="R33" s="141">
        <v>3</v>
      </c>
      <c r="S33" s="142">
        <v>257</v>
      </c>
      <c r="T33" s="19">
        <f t="shared" si="7"/>
        <v>85.666666666666671</v>
      </c>
      <c r="U33" s="141">
        <v>6</v>
      </c>
      <c r="V33" s="142">
        <v>287</v>
      </c>
      <c r="W33" s="19">
        <f t="shared" si="8"/>
        <v>47.833333333333336</v>
      </c>
      <c r="X33" s="141">
        <v>9</v>
      </c>
      <c r="Y33" s="142">
        <v>208</v>
      </c>
      <c r="Z33" s="19">
        <f t="shared" si="9"/>
        <v>23.111111111111111</v>
      </c>
      <c r="AA33" s="1398">
        <f>+Y33+V33+S33+P33+M33+J33</f>
        <v>1511</v>
      </c>
      <c r="AB33" s="19">
        <f t="shared" si="0"/>
        <v>6.3221757322175733</v>
      </c>
      <c r="AC33" s="141">
        <v>19</v>
      </c>
      <c r="AD33" s="142">
        <v>250</v>
      </c>
      <c r="AE33" s="19">
        <f t="shared" si="10"/>
        <v>13.157894736842104</v>
      </c>
      <c r="AF33" s="141">
        <v>16</v>
      </c>
      <c r="AG33" s="142">
        <v>274</v>
      </c>
      <c r="AH33" s="19">
        <f t="shared" si="11"/>
        <v>17.125</v>
      </c>
      <c r="AI33" s="141">
        <v>34</v>
      </c>
      <c r="AJ33" s="142">
        <v>312</v>
      </c>
      <c r="AK33" s="19">
        <f t="shared" si="12"/>
        <v>9.1764705882352935</v>
      </c>
      <c r="AL33" s="141">
        <v>32</v>
      </c>
      <c r="AM33" s="142">
        <v>247</v>
      </c>
      <c r="AN33" s="19">
        <f t="shared" si="13"/>
        <v>7.71875</v>
      </c>
      <c r="AO33" s="141">
        <v>50</v>
      </c>
      <c r="AP33" s="142">
        <v>200</v>
      </c>
      <c r="AQ33" s="19">
        <f t="shared" si="14"/>
        <v>4</v>
      </c>
      <c r="AR33" s="141">
        <v>30</v>
      </c>
      <c r="AS33" s="142">
        <v>195</v>
      </c>
      <c r="AT33" s="19">
        <f t="shared" si="15"/>
        <v>6.5</v>
      </c>
      <c r="AU33" s="209">
        <f t="shared" si="16"/>
        <v>2989</v>
      </c>
      <c r="AV33" s="19">
        <f t="shared" si="1"/>
        <v>12.506276150627615</v>
      </c>
    </row>
    <row r="34" spans="1:48" ht="61.5" thickTop="1" thickBot="1">
      <c r="A34" s="2944"/>
      <c r="B34" s="3109"/>
      <c r="C34" s="72" t="s">
        <v>284</v>
      </c>
      <c r="D34" s="1422" t="s">
        <v>227</v>
      </c>
      <c r="E34" s="1413" t="s">
        <v>228</v>
      </c>
      <c r="F34" s="1414" t="s">
        <v>101</v>
      </c>
      <c r="G34" s="1433">
        <f>+'[4]FIS-24'!$CV$16</f>
        <v>31350000000</v>
      </c>
      <c r="H34" s="1433" t="s">
        <v>140</v>
      </c>
      <c r="I34" s="752">
        <v>2000000000</v>
      </c>
      <c r="J34" s="1401">
        <v>1438290597</v>
      </c>
      <c r="K34" s="19">
        <f>+J34/I34</f>
        <v>0.71914529849999997</v>
      </c>
      <c r="L34" s="1438">
        <v>2000000000</v>
      </c>
      <c r="M34" s="753">
        <v>171520481</v>
      </c>
      <c r="N34" s="19">
        <f t="shared" si="5"/>
        <v>8.5760240500000001E-2</v>
      </c>
      <c r="O34" s="1438">
        <v>2000000000</v>
      </c>
      <c r="P34" s="753">
        <v>373285760</v>
      </c>
      <c r="Q34" s="19">
        <f t="shared" si="6"/>
        <v>0.18664288000000001</v>
      </c>
      <c r="R34" s="1438">
        <v>3966666667</v>
      </c>
      <c r="S34" s="753">
        <v>79721380</v>
      </c>
      <c r="T34" s="19">
        <f t="shared" si="7"/>
        <v>2.0097826889067409E-2</v>
      </c>
      <c r="U34" s="1438">
        <v>3966666667</v>
      </c>
      <c r="V34" s="753">
        <v>45138898</v>
      </c>
      <c r="W34" s="19">
        <f t="shared" si="8"/>
        <v>1.1379554116690794E-2</v>
      </c>
      <c r="X34" s="1438">
        <v>3966666667</v>
      </c>
      <c r="Y34" s="753">
        <v>172433408</v>
      </c>
      <c r="Z34" s="19">
        <f t="shared" si="9"/>
        <v>4.3470607055170536E-2</v>
      </c>
      <c r="AA34" s="1445">
        <f t="shared" si="3"/>
        <v>2280390524</v>
      </c>
      <c r="AB34" s="19">
        <f t="shared" si="0"/>
        <v>7.273972963317385E-2</v>
      </c>
      <c r="AC34" s="1438">
        <v>3966666667</v>
      </c>
      <c r="AD34" s="753">
        <v>4323513936</v>
      </c>
      <c r="AE34" s="19">
        <f t="shared" si="10"/>
        <v>1.0899614963789948</v>
      </c>
      <c r="AF34" s="1438">
        <v>2181166666.3600001</v>
      </c>
      <c r="AG34" s="753">
        <v>1652676492</v>
      </c>
      <c r="AH34" s="19">
        <f t="shared" si="11"/>
        <v>0.75770298413648451</v>
      </c>
      <c r="AI34" s="1438">
        <v>2181166666.3600001</v>
      </c>
      <c r="AJ34" s="753">
        <v>1191761452</v>
      </c>
      <c r="AK34" s="19">
        <f t="shared" si="12"/>
        <v>0.54638715618593658</v>
      </c>
      <c r="AL34" s="1438">
        <v>2181166666.3600001</v>
      </c>
      <c r="AM34" s="753">
        <v>1087585420</v>
      </c>
      <c r="AN34" s="19">
        <f t="shared" si="13"/>
        <v>0.4986255460317468</v>
      </c>
      <c r="AO34" s="1438">
        <v>1469916666.46</v>
      </c>
      <c r="AP34" s="753">
        <v>2765778990</v>
      </c>
      <c r="AQ34" s="19">
        <f t="shared" si="14"/>
        <v>1.8815889724285015</v>
      </c>
      <c r="AR34" s="1438">
        <v>1469916666.46</v>
      </c>
      <c r="AS34" s="753">
        <v>2446201255</v>
      </c>
      <c r="AT34" s="19">
        <f t="shared" si="15"/>
        <v>1.6641768277185305</v>
      </c>
      <c r="AU34" s="1438">
        <f t="shared" si="16"/>
        <v>15747908069</v>
      </c>
      <c r="AV34" s="19">
        <f t="shared" si="1"/>
        <v>0.50232561623604466</v>
      </c>
    </row>
    <row r="35" spans="1:48" ht="76.5" thickTop="1" thickBot="1">
      <c r="A35" s="2944"/>
      <c r="B35" s="3109"/>
      <c r="C35" s="190" t="s">
        <v>484</v>
      </c>
      <c r="D35" s="623" t="s">
        <v>230</v>
      </c>
      <c r="E35" s="76" t="s">
        <v>231</v>
      </c>
      <c r="F35" s="78" t="s">
        <v>101</v>
      </c>
      <c r="G35" s="1429">
        <v>1440644765</v>
      </c>
      <c r="H35" s="1429" t="s">
        <v>140</v>
      </c>
      <c r="I35" s="752">
        <v>96042984.333333328</v>
      </c>
      <c r="J35" s="1401">
        <v>82445596</v>
      </c>
      <c r="K35" s="19">
        <f t="shared" si="4"/>
        <v>0.85842392937165191</v>
      </c>
      <c r="L35" s="1438">
        <v>96042984.333333328</v>
      </c>
      <c r="M35" s="753">
        <v>12639643</v>
      </c>
      <c r="N35" s="19">
        <f t="shared" si="5"/>
        <v>0.13160402175896568</v>
      </c>
      <c r="O35" s="1438">
        <v>96042984.333333328</v>
      </c>
      <c r="P35" s="753">
        <v>1101389218</v>
      </c>
      <c r="Q35" s="19">
        <f t="shared" si="6"/>
        <v>11.467669665255752</v>
      </c>
      <c r="R35" s="1438">
        <v>144064476.5</v>
      </c>
      <c r="S35" s="753"/>
      <c r="T35" s="19">
        <f t="shared" si="7"/>
        <v>0</v>
      </c>
      <c r="U35" s="1438">
        <v>144064476.5</v>
      </c>
      <c r="V35" s="753">
        <v>22308000</v>
      </c>
      <c r="W35" s="19">
        <f t="shared" si="8"/>
        <v>0.15484733323554609</v>
      </c>
      <c r="X35" s="1438">
        <v>144064476.5</v>
      </c>
      <c r="Y35" s="753">
        <v>7206000</v>
      </c>
      <c r="Z35" s="19">
        <f t="shared" si="9"/>
        <v>5.0019270364682858E-2</v>
      </c>
      <c r="AA35" s="1445">
        <f t="shared" si="3"/>
        <v>1225988457</v>
      </c>
      <c r="AB35" s="19">
        <f t="shared" si="0"/>
        <v>0.85099983478578078</v>
      </c>
      <c r="AC35" s="1438">
        <v>144064476.5</v>
      </c>
      <c r="AD35" s="753">
        <v>166766143</v>
      </c>
      <c r="AE35" s="19">
        <f t="shared" si="10"/>
        <v>1.1575799048560038</v>
      </c>
      <c r="AF35" s="1438">
        <v>144064476.5</v>
      </c>
      <c r="AG35" s="753">
        <v>95955212</v>
      </c>
      <c r="AH35" s="19">
        <f t="shared" si="11"/>
        <v>0.66605740937114366</v>
      </c>
      <c r="AI35" s="1438">
        <v>144064476.5</v>
      </c>
      <c r="AJ35" s="753">
        <v>1648019807</v>
      </c>
      <c r="AK35" s="19">
        <f t="shared" si="12"/>
        <v>11.439459935149246</v>
      </c>
      <c r="AL35" s="1438">
        <v>96042984.333333328</v>
      </c>
      <c r="AM35" s="753"/>
      <c r="AN35" s="19">
        <f t="shared" si="13"/>
        <v>0</v>
      </c>
      <c r="AO35" s="1438">
        <v>96042984.333333328</v>
      </c>
      <c r="AP35" s="753">
        <v>441105467</v>
      </c>
      <c r="AQ35" s="19">
        <f t="shared" si="14"/>
        <v>4.592792175939362</v>
      </c>
      <c r="AR35" s="1438">
        <v>96042984.333333328</v>
      </c>
      <c r="AS35" s="753">
        <v>3352576143</v>
      </c>
      <c r="AT35" s="19">
        <f t="shared" si="15"/>
        <v>34.907038408597558</v>
      </c>
      <c r="AU35" s="1438">
        <f t="shared" si="16"/>
        <v>6930411229</v>
      </c>
      <c r="AV35" s="19">
        <f t="shared" si="1"/>
        <v>4.8106315986925479</v>
      </c>
    </row>
    <row r="36" spans="1:48" ht="46.5" thickTop="1" thickBot="1">
      <c r="A36" s="2944"/>
      <c r="B36" s="3109"/>
      <c r="C36" s="3024" t="s">
        <v>232</v>
      </c>
      <c r="D36" s="124" t="s">
        <v>233</v>
      </c>
      <c r="E36" s="1412" t="s">
        <v>234</v>
      </c>
      <c r="F36" s="1412" t="s">
        <v>10</v>
      </c>
      <c r="G36" s="1427">
        <v>0.02</v>
      </c>
      <c r="H36" s="1427" t="s">
        <v>23</v>
      </c>
      <c r="I36" s="146">
        <v>0</v>
      </c>
      <c r="J36" s="150">
        <f>1/143</f>
        <v>6.993006993006993E-3</v>
      </c>
      <c r="K36" s="19" t="e">
        <f t="shared" si="4"/>
        <v>#DIV/0!</v>
      </c>
      <c r="L36" s="1440">
        <v>0</v>
      </c>
      <c r="M36" s="150">
        <f>3/265</f>
        <v>1.1320754716981131E-2</v>
      </c>
      <c r="N36" s="19" t="e">
        <f t="shared" si="5"/>
        <v>#DIV/0!</v>
      </c>
      <c r="O36" s="1440">
        <v>0</v>
      </c>
      <c r="P36" s="150">
        <v>0.01</v>
      </c>
      <c r="Q36" s="19" t="e">
        <f t="shared" si="6"/>
        <v>#DIV/0!</v>
      </c>
      <c r="R36" s="1440">
        <v>0.02</v>
      </c>
      <c r="S36" s="150"/>
      <c r="T36" s="19">
        <f t="shared" si="7"/>
        <v>0</v>
      </c>
      <c r="U36" s="1440">
        <v>0.02</v>
      </c>
      <c r="V36" s="150">
        <v>1.43E-2</v>
      </c>
      <c r="W36" s="19">
        <f t="shared" si="8"/>
        <v>0.71499999999999997</v>
      </c>
      <c r="X36" s="1440">
        <v>0.02</v>
      </c>
      <c r="Y36" s="150"/>
      <c r="Z36" s="19">
        <f t="shared" si="9"/>
        <v>0</v>
      </c>
      <c r="AA36" s="1452">
        <f>(Y36+V36+S36)/3</f>
        <v>4.7666666666666664E-3</v>
      </c>
      <c r="AB36" s="19">
        <f t="shared" si="0"/>
        <v>0.23833333333333331</v>
      </c>
      <c r="AC36" s="1440">
        <v>0.02</v>
      </c>
      <c r="AD36" s="150">
        <v>1.49E-2</v>
      </c>
      <c r="AE36" s="19">
        <f t="shared" si="10"/>
        <v>0.745</v>
      </c>
      <c r="AF36" s="1440">
        <v>0.02</v>
      </c>
      <c r="AG36" s="150">
        <v>8.8000000000000005E-3</v>
      </c>
      <c r="AH36" s="19">
        <f t="shared" si="11"/>
        <v>0.44</v>
      </c>
      <c r="AI36" s="1440">
        <v>0.02</v>
      </c>
      <c r="AJ36" s="150">
        <v>1.03E-2</v>
      </c>
      <c r="AK36" s="19">
        <f t="shared" si="12"/>
        <v>0.51500000000000001</v>
      </c>
      <c r="AL36" s="1440">
        <v>0.02</v>
      </c>
      <c r="AM36" s="150">
        <v>7.8200000000000006E-2</v>
      </c>
      <c r="AN36" s="19">
        <f t="shared" si="13"/>
        <v>3.91</v>
      </c>
      <c r="AO36" s="1440">
        <v>0.01</v>
      </c>
      <c r="AP36" s="150">
        <v>0.01</v>
      </c>
      <c r="AQ36" s="19">
        <f t="shared" si="14"/>
        <v>1</v>
      </c>
      <c r="AR36" s="1440">
        <v>0.02</v>
      </c>
      <c r="AS36" s="150">
        <v>0.02</v>
      </c>
      <c r="AT36" s="19">
        <f t="shared" si="15"/>
        <v>1</v>
      </c>
      <c r="AU36" s="1440">
        <f>(S36+V36+Y36+AD36+AG36+AJ36+AM36+AP36+AS36)/9</f>
        <v>1.7388888888888888E-2</v>
      </c>
      <c r="AV36" s="19">
        <f t="shared" si="1"/>
        <v>0.86944444444444435</v>
      </c>
    </row>
    <row r="37" spans="1:48" ht="46.5" thickTop="1" thickBot="1">
      <c r="A37" s="2944"/>
      <c r="B37" s="3109"/>
      <c r="C37" s="3025"/>
      <c r="D37" s="86" t="s">
        <v>236</v>
      </c>
      <c r="E37" s="81" t="s">
        <v>237</v>
      </c>
      <c r="F37" s="88" t="s">
        <v>10</v>
      </c>
      <c r="G37" s="167">
        <v>0.02</v>
      </c>
      <c r="H37" s="87" t="s">
        <v>23</v>
      </c>
      <c r="I37" s="163">
        <v>0</v>
      </c>
      <c r="J37" s="164"/>
      <c r="K37" s="19" t="e">
        <f t="shared" si="4"/>
        <v>#DIV/0!</v>
      </c>
      <c r="L37" s="163">
        <v>0</v>
      </c>
      <c r="M37" s="164"/>
      <c r="N37" s="19" t="e">
        <f t="shared" si="5"/>
        <v>#DIV/0!</v>
      </c>
      <c r="O37" s="163">
        <v>0</v>
      </c>
      <c r="P37" s="164"/>
      <c r="Q37" s="19" t="e">
        <f t="shared" si="6"/>
        <v>#DIV/0!</v>
      </c>
      <c r="R37" s="163">
        <v>0.03</v>
      </c>
      <c r="S37" s="164">
        <f>22/2592</f>
        <v>8.4876543209876538E-3</v>
      </c>
      <c r="T37" s="19">
        <f t="shared" si="7"/>
        <v>0.28292181069958849</v>
      </c>
      <c r="U37" s="163">
        <v>0.03</v>
      </c>
      <c r="V37" s="164">
        <v>7.1000000000000004E-3</v>
      </c>
      <c r="W37" s="19">
        <f t="shared" si="8"/>
        <v>0.23666666666666669</v>
      </c>
      <c r="X37" s="163">
        <v>0.03</v>
      </c>
      <c r="Y37" s="164">
        <f>30/3165</f>
        <v>9.4786729857819912E-3</v>
      </c>
      <c r="Z37" s="19">
        <f t="shared" si="9"/>
        <v>0.31595576619273308</v>
      </c>
      <c r="AA37" s="165">
        <f>(S37+V37+Y37)/3</f>
        <v>8.3554424355898813E-3</v>
      </c>
      <c r="AB37" s="19">
        <f t="shared" si="0"/>
        <v>0.41777212177949408</v>
      </c>
      <c r="AC37" s="163">
        <v>0.03</v>
      </c>
      <c r="AD37" s="164">
        <f>89/4821</f>
        <v>1.8460900228168431E-2</v>
      </c>
      <c r="AE37" s="19">
        <f t="shared" si="10"/>
        <v>0.61536334093894773</v>
      </c>
      <c r="AF37" s="163">
        <v>0.03</v>
      </c>
      <c r="AG37" s="164">
        <v>7.4000000000000003E-3</v>
      </c>
      <c r="AH37" s="19">
        <f t="shared" si="11"/>
        <v>0.24666666666666667</v>
      </c>
      <c r="AI37" s="163">
        <v>0.02</v>
      </c>
      <c r="AJ37" s="164">
        <v>2.1499999999999998E-2</v>
      </c>
      <c r="AK37" s="19">
        <f t="shared" si="12"/>
        <v>1.075</v>
      </c>
      <c r="AL37" s="163">
        <v>0.02</v>
      </c>
      <c r="AM37" s="164">
        <v>1.7500000000000002E-2</v>
      </c>
      <c r="AN37" s="19">
        <f t="shared" si="13"/>
        <v>0.87500000000000011</v>
      </c>
      <c r="AO37" s="163">
        <v>0.02</v>
      </c>
      <c r="AP37" s="164">
        <v>0.01</v>
      </c>
      <c r="AQ37" s="19">
        <f t="shared" si="14"/>
        <v>0.5</v>
      </c>
      <c r="AR37" s="163">
        <v>0.02</v>
      </c>
      <c r="AS37" s="164">
        <v>0.01</v>
      </c>
      <c r="AT37" s="19">
        <f t="shared" si="15"/>
        <v>0.5</v>
      </c>
      <c r="AU37" s="163">
        <f>+(S37+V37+Y37+AD37+AG37+AJ37+AM37+AP37+AS37)/9</f>
        <v>1.2214136392770896E-2</v>
      </c>
      <c r="AV37" s="19">
        <f t="shared" si="1"/>
        <v>0.61070681963854478</v>
      </c>
    </row>
    <row r="38" spans="1:48" ht="61.5" thickTop="1" thickBot="1">
      <c r="A38" s="2944"/>
      <c r="B38" s="3109"/>
      <c r="C38" s="3025"/>
      <c r="D38" s="86" t="s">
        <v>238</v>
      </c>
      <c r="E38" s="81" t="s">
        <v>239</v>
      </c>
      <c r="F38" s="88" t="s">
        <v>10</v>
      </c>
      <c r="G38" s="167">
        <v>0.01</v>
      </c>
      <c r="H38" s="87" t="s">
        <v>23</v>
      </c>
      <c r="I38" s="163">
        <v>0</v>
      </c>
      <c r="J38" s="164">
        <v>0</v>
      </c>
      <c r="K38" s="19" t="e">
        <f t="shared" si="4"/>
        <v>#DIV/0!</v>
      </c>
      <c r="L38" s="163">
        <v>0</v>
      </c>
      <c r="M38" s="164">
        <v>0</v>
      </c>
      <c r="N38" s="19" t="e">
        <f t="shared" si="5"/>
        <v>#DIV/0!</v>
      </c>
      <c r="O38" s="163">
        <v>0</v>
      </c>
      <c r="P38" s="164">
        <v>0</v>
      </c>
      <c r="Q38" s="19" t="e">
        <f t="shared" si="6"/>
        <v>#DIV/0!</v>
      </c>
      <c r="R38" s="163">
        <v>0</v>
      </c>
      <c r="S38" s="164"/>
      <c r="T38" s="19" t="e">
        <f t="shared" si="7"/>
        <v>#DIV/0!</v>
      </c>
      <c r="U38" s="163">
        <v>0</v>
      </c>
      <c r="V38" s="164"/>
      <c r="W38" s="19" t="e">
        <f t="shared" si="8"/>
        <v>#DIV/0!</v>
      </c>
      <c r="X38" s="163">
        <v>0</v>
      </c>
      <c r="Y38" s="164"/>
      <c r="Z38" s="19" t="e">
        <f t="shared" si="9"/>
        <v>#DIV/0!</v>
      </c>
      <c r="AA38" s="165">
        <f t="shared" ref="AA38" si="17">(S38+V38+Y38)/3</f>
        <v>0</v>
      </c>
      <c r="AB38" s="19">
        <f t="shared" si="0"/>
        <v>0</v>
      </c>
      <c r="AC38" s="163">
        <v>0</v>
      </c>
      <c r="AD38" s="164"/>
      <c r="AE38" s="19" t="e">
        <f t="shared" si="10"/>
        <v>#DIV/0!</v>
      </c>
      <c r="AF38" s="163">
        <v>0</v>
      </c>
      <c r="AG38" s="164"/>
      <c r="AH38" s="19" t="e">
        <f t="shared" si="11"/>
        <v>#DIV/0!</v>
      </c>
      <c r="AI38" s="163">
        <v>0.01</v>
      </c>
      <c r="AJ38" s="164">
        <v>1.32E-2</v>
      </c>
      <c r="AK38" s="19">
        <f t="shared" si="12"/>
        <v>1.32</v>
      </c>
      <c r="AL38" s="163">
        <v>0.01</v>
      </c>
      <c r="AM38" s="164">
        <v>9.4999999999999998E-3</v>
      </c>
      <c r="AN38" s="19">
        <f t="shared" si="13"/>
        <v>0.95</v>
      </c>
      <c r="AO38" s="163">
        <v>0.01</v>
      </c>
      <c r="AP38" s="164">
        <v>1.3299999999999999E-2</v>
      </c>
      <c r="AQ38" s="19">
        <f t="shared" si="14"/>
        <v>1.3299999999999998</v>
      </c>
      <c r="AR38" s="163">
        <v>0.01</v>
      </c>
      <c r="AS38" s="164">
        <v>1.4500000000000001E-2</v>
      </c>
      <c r="AT38" s="19">
        <f t="shared" si="15"/>
        <v>1.45</v>
      </c>
      <c r="AU38" s="163">
        <f>+(AS38+AP38+AM38+AJ38)/4</f>
        <v>1.2625000000000001E-2</v>
      </c>
      <c r="AV38" s="19">
        <f t="shared" si="1"/>
        <v>1.2625</v>
      </c>
    </row>
    <row r="39" spans="1:48" ht="76.5" thickTop="1" thickBot="1">
      <c r="A39" s="2944"/>
      <c r="B39" s="3109"/>
      <c r="C39" s="3025"/>
      <c r="D39" s="171" t="s">
        <v>242</v>
      </c>
      <c r="E39" s="172" t="s">
        <v>243</v>
      </c>
      <c r="F39" s="172" t="s">
        <v>10</v>
      </c>
      <c r="G39" s="173">
        <v>0.3</v>
      </c>
      <c r="H39" s="172" t="s">
        <v>244</v>
      </c>
      <c r="I39" s="146">
        <v>0</v>
      </c>
      <c r="J39" s="150"/>
      <c r="K39" s="19" t="e">
        <f t="shared" si="4"/>
        <v>#DIV/0!</v>
      </c>
      <c r="L39" s="1440">
        <v>0</v>
      </c>
      <c r="M39" s="150"/>
      <c r="N39" s="19" t="e">
        <f t="shared" si="5"/>
        <v>#DIV/0!</v>
      </c>
      <c r="O39" s="1440">
        <v>0</v>
      </c>
      <c r="P39" s="150"/>
      <c r="Q39" s="19" t="e">
        <f t="shared" si="6"/>
        <v>#DIV/0!</v>
      </c>
      <c r="R39" s="1440">
        <v>0</v>
      </c>
      <c r="S39" s="150"/>
      <c r="T39" s="19" t="e">
        <f t="shared" si="7"/>
        <v>#DIV/0!</v>
      </c>
      <c r="U39" s="1440">
        <v>0.3</v>
      </c>
      <c r="V39" s="150">
        <v>0.5</v>
      </c>
      <c r="W39" s="19">
        <f t="shared" si="8"/>
        <v>1.6666666666666667</v>
      </c>
      <c r="X39" s="1440">
        <v>0</v>
      </c>
      <c r="Y39" s="150"/>
      <c r="Z39" s="19" t="e">
        <f t="shared" si="9"/>
        <v>#DIV/0!</v>
      </c>
      <c r="AA39" s="1452">
        <f>V39</f>
        <v>0.5</v>
      </c>
      <c r="AB39" s="19">
        <f t="shared" si="0"/>
        <v>1.6666666666666667</v>
      </c>
      <c r="AC39" s="1440">
        <v>0</v>
      </c>
      <c r="AD39" s="150"/>
      <c r="AE39" s="19" t="e">
        <f t="shared" si="10"/>
        <v>#DIV/0!</v>
      </c>
      <c r="AF39" s="1440">
        <v>0</v>
      </c>
      <c r="AG39" s="150"/>
      <c r="AH39" s="19" t="e">
        <f t="shared" si="11"/>
        <v>#DIV/0!</v>
      </c>
      <c r="AI39" s="1440">
        <v>0</v>
      </c>
      <c r="AJ39" s="150"/>
      <c r="AK39" s="19" t="e">
        <f t="shared" si="12"/>
        <v>#DIV/0!</v>
      </c>
      <c r="AL39" s="1440">
        <v>0.3</v>
      </c>
      <c r="AM39" s="150">
        <v>0.5</v>
      </c>
      <c r="AN39" s="19">
        <f t="shared" si="13"/>
        <v>1.6666666666666667</v>
      </c>
      <c r="AO39" s="1440">
        <v>0</v>
      </c>
      <c r="AP39" s="150"/>
      <c r="AQ39" s="19" t="e">
        <f t="shared" si="14"/>
        <v>#DIV/0!</v>
      </c>
      <c r="AR39" s="1440">
        <v>0</v>
      </c>
      <c r="AS39" s="150"/>
      <c r="AT39" s="19" t="e">
        <f t="shared" si="15"/>
        <v>#DIV/0!</v>
      </c>
      <c r="AU39" s="1440">
        <f>AM39</f>
        <v>0.5</v>
      </c>
      <c r="AV39" s="19">
        <f t="shared" si="1"/>
        <v>1.6666666666666667</v>
      </c>
    </row>
    <row r="40" spans="1:48" ht="91.5" thickTop="1" thickBot="1">
      <c r="A40" s="2944"/>
      <c r="B40" s="3109"/>
      <c r="C40" s="3025"/>
      <c r="D40" s="111" t="s">
        <v>245</v>
      </c>
      <c r="E40" s="177" t="s">
        <v>246</v>
      </c>
      <c r="F40" s="177" t="s">
        <v>10</v>
      </c>
      <c r="G40" s="888">
        <v>0.1</v>
      </c>
      <c r="H40" s="179" t="s">
        <v>244</v>
      </c>
      <c r="I40" s="146">
        <v>0</v>
      </c>
      <c r="J40" s="150"/>
      <c r="K40" s="19" t="e">
        <f t="shared" si="4"/>
        <v>#DIV/0!</v>
      </c>
      <c r="L40" s="1440">
        <v>0</v>
      </c>
      <c r="M40" s="150"/>
      <c r="N40" s="19" t="e">
        <f t="shared" si="5"/>
        <v>#DIV/0!</v>
      </c>
      <c r="O40" s="1440">
        <v>0</v>
      </c>
      <c r="P40" s="150"/>
      <c r="Q40" s="19" t="e">
        <f t="shared" si="6"/>
        <v>#DIV/0!</v>
      </c>
      <c r="R40" s="1440">
        <v>0</v>
      </c>
      <c r="S40" s="150"/>
      <c r="T40" s="19" t="e">
        <f t="shared" si="7"/>
        <v>#DIV/0!</v>
      </c>
      <c r="U40" s="1440">
        <v>0</v>
      </c>
      <c r="V40" s="150"/>
      <c r="W40" s="19" t="e">
        <f t="shared" si="8"/>
        <v>#DIV/0!</v>
      </c>
      <c r="X40" s="1440">
        <v>0</v>
      </c>
      <c r="Y40" s="150"/>
      <c r="Z40" s="19" t="e">
        <f t="shared" si="9"/>
        <v>#DIV/0!</v>
      </c>
      <c r="AA40" s="1452">
        <f t="shared" si="3"/>
        <v>0</v>
      </c>
      <c r="AB40" s="19">
        <f>+AA40/50%</f>
        <v>0</v>
      </c>
      <c r="AC40" s="1440">
        <v>0</v>
      </c>
      <c r="AD40" s="150"/>
      <c r="AE40" s="19" t="e">
        <f t="shared" si="10"/>
        <v>#DIV/0!</v>
      </c>
      <c r="AF40" s="1440">
        <v>0</v>
      </c>
      <c r="AG40" s="150"/>
      <c r="AH40" s="19" t="e">
        <f t="shared" si="11"/>
        <v>#DIV/0!</v>
      </c>
      <c r="AI40" s="1440">
        <v>0</v>
      </c>
      <c r="AJ40" s="150"/>
      <c r="AK40" s="19" t="e">
        <f t="shared" si="12"/>
        <v>#DIV/0!</v>
      </c>
      <c r="AL40" s="1440">
        <v>0.1</v>
      </c>
      <c r="AM40" s="150">
        <v>0.1</v>
      </c>
      <c r="AN40" s="19">
        <f t="shared" si="13"/>
        <v>1</v>
      </c>
      <c r="AO40" s="1440">
        <v>0</v>
      </c>
      <c r="AP40" s="150"/>
      <c r="AQ40" s="19" t="e">
        <f t="shared" si="14"/>
        <v>#DIV/0!</v>
      </c>
      <c r="AR40" s="1440">
        <v>0</v>
      </c>
      <c r="AS40" s="150"/>
      <c r="AT40" s="19" t="e">
        <f t="shared" si="15"/>
        <v>#DIV/0!</v>
      </c>
      <c r="AU40" s="1440">
        <f>+AM40</f>
        <v>0.1</v>
      </c>
      <c r="AV40" s="19">
        <f t="shared" si="1"/>
        <v>1</v>
      </c>
    </row>
    <row r="41" spans="1:48" ht="121.5" thickTop="1" thickBot="1">
      <c r="A41" s="2944"/>
      <c r="B41" s="3109"/>
      <c r="C41" s="3025"/>
      <c r="D41" s="124" t="s">
        <v>247</v>
      </c>
      <c r="E41" s="1410" t="s">
        <v>447</v>
      </c>
      <c r="F41" s="1414" t="s">
        <v>24</v>
      </c>
      <c r="G41" s="1399">
        <v>510</v>
      </c>
      <c r="H41" s="1399" t="s">
        <v>249</v>
      </c>
      <c r="I41" s="141">
        <v>0</v>
      </c>
      <c r="J41" s="142"/>
      <c r="K41" s="19" t="e">
        <f t="shared" si="4"/>
        <v>#DIV/0!</v>
      </c>
      <c r="L41" s="209">
        <v>0</v>
      </c>
      <c r="M41" s="142"/>
      <c r="N41" s="19" t="e">
        <f t="shared" si="5"/>
        <v>#DIV/0!</v>
      </c>
      <c r="O41" s="209">
        <v>0</v>
      </c>
      <c r="P41" s="142"/>
      <c r="Q41" s="19" t="e">
        <f t="shared" si="6"/>
        <v>#DIV/0!</v>
      </c>
      <c r="R41" s="209">
        <v>0</v>
      </c>
      <c r="S41" s="142"/>
      <c r="T41" s="19" t="e">
        <f t="shared" si="7"/>
        <v>#DIV/0!</v>
      </c>
      <c r="U41" s="209">
        <v>50</v>
      </c>
      <c r="V41" s="142">
        <v>447</v>
      </c>
      <c r="W41" s="19">
        <f t="shared" si="8"/>
        <v>8.94</v>
      </c>
      <c r="X41" s="209">
        <v>50</v>
      </c>
      <c r="Y41" s="142">
        <v>33</v>
      </c>
      <c r="Z41" s="19">
        <f t="shared" si="9"/>
        <v>0.66</v>
      </c>
      <c r="AA41" s="1398">
        <f t="shared" si="3"/>
        <v>480</v>
      </c>
      <c r="AB41" s="19">
        <f>+AA41/G41</f>
        <v>0.94117647058823528</v>
      </c>
      <c r="AC41" s="209">
        <v>70</v>
      </c>
      <c r="AD41" s="142">
        <v>43</v>
      </c>
      <c r="AE41" s="19">
        <f t="shared" si="10"/>
        <v>0.61428571428571432</v>
      </c>
      <c r="AF41" s="209">
        <v>70</v>
      </c>
      <c r="AG41" s="142">
        <v>57</v>
      </c>
      <c r="AH41" s="19">
        <f t="shared" si="11"/>
        <v>0.81428571428571428</v>
      </c>
      <c r="AI41" s="209">
        <v>70</v>
      </c>
      <c r="AJ41" s="142">
        <v>64</v>
      </c>
      <c r="AK41" s="19">
        <f t="shared" si="12"/>
        <v>0.91428571428571426</v>
      </c>
      <c r="AL41" s="209">
        <v>70</v>
      </c>
      <c r="AM41" s="142">
        <v>12</v>
      </c>
      <c r="AN41" s="19">
        <f t="shared" si="13"/>
        <v>0.17142857142857143</v>
      </c>
      <c r="AO41" s="209">
        <v>70</v>
      </c>
      <c r="AP41" s="142">
        <v>79</v>
      </c>
      <c r="AQ41" s="19">
        <f t="shared" si="14"/>
        <v>1.1285714285714286</v>
      </c>
      <c r="AR41" s="209">
        <v>60</v>
      </c>
      <c r="AS41" s="142">
        <v>60</v>
      </c>
      <c r="AT41" s="19">
        <f t="shared" si="15"/>
        <v>1</v>
      </c>
      <c r="AU41" s="209">
        <f t="shared" si="16"/>
        <v>795</v>
      </c>
      <c r="AV41" s="19">
        <f t="shared" si="1"/>
        <v>1.5588235294117647</v>
      </c>
    </row>
    <row r="42" spans="1:48" ht="61.5" thickTop="1" thickBot="1">
      <c r="A42" s="2945"/>
      <c r="B42" s="3110"/>
      <c r="C42" s="3026"/>
      <c r="D42" s="623" t="s">
        <v>630</v>
      </c>
      <c r="E42" s="72" t="s">
        <v>255</v>
      </c>
      <c r="F42" s="1411" t="s">
        <v>10</v>
      </c>
      <c r="G42" s="1415">
        <v>1</v>
      </c>
      <c r="H42" s="1415" t="s">
        <v>249</v>
      </c>
      <c r="I42" s="1450">
        <v>1</v>
      </c>
      <c r="J42" s="1442">
        <v>1</v>
      </c>
      <c r="K42" s="19">
        <f t="shared" si="4"/>
        <v>1</v>
      </c>
      <c r="L42" s="1441">
        <v>1</v>
      </c>
      <c r="M42" s="1442">
        <v>1</v>
      </c>
      <c r="N42" s="19">
        <f t="shared" si="5"/>
        <v>1</v>
      </c>
      <c r="O42" s="1441">
        <v>1</v>
      </c>
      <c r="P42" s="1442">
        <v>1</v>
      </c>
      <c r="Q42" s="19">
        <f t="shared" si="6"/>
        <v>1</v>
      </c>
      <c r="R42" s="1441">
        <v>1</v>
      </c>
      <c r="S42" s="1442">
        <v>1</v>
      </c>
      <c r="T42" s="19">
        <f t="shared" si="7"/>
        <v>1</v>
      </c>
      <c r="U42" s="1441">
        <v>1</v>
      </c>
      <c r="V42" s="1442">
        <v>1</v>
      </c>
      <c r="W42" s="19">
        <f t="shared" si="8"/>
        <v>1</v>
      </c>
      <c r="X42" s="1441">
        <v>1</v>
      </c>
      <c r="Y42" s="1442">
        <v>1</v>
      </c>
      <c r="Z42" s="19">
        <f t="shared" si="9"/>
        <v>1</v>
      </c>
      <c r="AA42" s="1398">
        <f>(Y42+V42+S42+P42+M42+J42)/6</f>
        <v>1</v>
      </c>
      <c r="AB42" s="19">
        <f>+AA42/G42</f>
        <v>1</v>
      </c>
      <c r="AC42" s="1441">
        <v>1</v>
      </c>
      <c r="AD42" s="1442">
        <v>1</v>
      </c>
      <c r="AE42" s="19">
        <f t="shared" si="10"/>
        <v>1</v>
      </c>
      <c r="AF42" s="1441">
        <v>1</v>
      </c>
      <c r="AG42" s="1442">
        <v>1</v>
      </c>
      <c r="AH42" s="19">
        <f t="shared" si="11"/>
        <v>1</v>
      </c>
      <c r="AI42" s="1441">
        <v>1</v>
      </c>
      <c r="AJ42" s="1442">
        <v>1</v>
      </c>
      <c r="AK42" s="19">
        <f t="shared" si="12"/>
        <v>1</v>
      </c>
      <c r="AL42" s="1441">
        <v>1</v>
      </c>
      <c r="AM42" s="1442">
        <v>1</v>
      </c>
      <c r="AN42" s="19">
        <f t="shared" si="13"/>
        <v>1</v>
      </c>
      <c r="AO42" s="1441">
        <v>1</v>
      </c>
      <c r="AP42" s="1442">
        <v>1</v>
      </c>
      <c r="AQ42" s="19">
        <f t="shared" si="14"/>
        <v>1</v>
      </c>
      <c r="AR42" s="1441">
        <v>1</v>
      </c>
      <c r="AS42" s="1442">
        <v>1</v>
      </c>
      <c r="AT42" s="19">
        <f t="shared" si="15"/>
        <v>1</v>
      </c>
      <c r="AU42" s="871">
        <f>(J42+M42+P42+S42+V42+Y42+AD42+AG42+AJ42+AM42+AP42+AS42)/12</f>
        <v>1</v>
      </c>
      <c r="AV42" s="19">
        <f t="shared" si="1"/>
        <v>1</v>
      </c>
    </row>
    <row r="43" spans="1:48" ht="22.5" thickTop="1" thickBot="1">
      <c r="A43"/>
      <c r="B43"/>
      <c r="C43"/>
      <c r="D43"/>
      <c r="E43"/>
      <c r="F43"/>
      <c r="G43"/>
      <c r="H43"/>
      <c r="I43" s="143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1454"/>
      <c r="AV43" s="1454"/>
    </row>
    <row r="44" spans="1:48" ht="91.5" thickTop="1" thickBot="1">
      <c r="A44" s="2905" t="s">
        <v>181</v>
      </c>
      <c r="B44" s="3111" t="s">
        <v>631</v>
      </c>
      <c r="C44" s="1416" t="s">
        <v>632</v>
      </c>
      <c r="D44" s="1034" t="s">
        <v>144</v>
      </c>
      <c r="E44" s="1404" t="s">
        <v>633</v>
      </c>
      <c r="F44" s="1405" t="s">
        <v>17</v>
      </c>
      <c r="G44" s="1400">
        <v>150</v>
      </c>
      <c r="H44" s="1400" t="s">
        <v>146</v>
      </c>
      <c r="I44" s="141">
        <v>0</v>
      </c>
      <c r="J44" s="142">
        <v>31</v>
      </c>
      <c r="K44" s="19" t="e">
        <f t="shared" si="4"/>
        <v>#DIV/0!</v>
      </c>
      <c r="L44" s="209">
        <v>0</v>
      </c>
      <c r="M44" s="142"/>
      <c r="N44" s="19" t="e">
        <f t="shared" si="5"/>
        <v>#DIV/0!</v>
      </c>
      <c r="O44" s="209">
        <v>0</v>
      </c>
      <c r="P44" s="142"/>
      <c r="Q44" s="19" t="e">
        <f t="shared" si="6"/>
        <v>#DIV/0!</v>
      </c>
      <c r="R44" s="209">
        <v>30</v>
      </c>
      <c r="S44" s="142"/>
      <c r="T44" s="19">
        <f t="shared" si="7"/>
        <v>0</v>
      </c>
      <c r="U44" s="209">
        <v>0</v>
      </c>
      <c r="V44" s="142"/>
      <c r="W44" s="19" t="e">
        <f t="shared" si="8"/>
        <v>#DIV/0!</v>
      </c>
      <c r="X44" s="209">
        <v>0</v>
      </c>
      <c r="Y44" s="142">
        <v>40</v>
      </c>
      <c r="Z44" s="19" t="e">
        <f t="shared" si="9"/>
        <v>#DIV/0!</v>
      </c>
      <c r="AA44" s="1398">
        <f t="shared" si="3"/>
        <v>71</v>
      </c>
      <c r="AB44" s="19">
        <f>+AA44/G44</f>
        <v>0.47333333333333333</v>
      </c>
      <c r="AC44" s="209">
        <v>0</v>
      </c>
      <c r="AD44" s="142"/>
      <c r="AE44" s="19" t="e">
        <f t="shared" si="10"/>
        <v>#DIV/0!</v>
      </c>
      <c r="AF44" s="209">
        <v>45</v>
      </c>
      <c r="AG44" s="142"/>
      <c r="AH44" s="19">
        <f t="shared" si="11"/>
        <v>0</v>
      </c>
      <c r="AI44" s="209">
        <v>0</v>
      </c>
      <c r="AJ44" s="142"/>
      <c r="AK44" s="19" t="e">
        <f t="shared" si="12"/>
        <v>#DIV/0!</v>
      </c>
      <c r="AL44" s="209">
        <v>0</v>
      </c>
      <c r="AM44" s="142">
        <v>111</v>
      </c>
      <c r="AN44" s="19" t="e">
        <f t="shared" si="13"/>
        <v>#DIV/0!</v>
      </c>
      <c r="AO44" s="209">
        <v>0</v>
      </c>
      <c r="AP44" s="142">
        <v>79</v>
      </c>
      <c r="AQ44" s="19" t="e">
        <f t="shared" si="14"/>
        <v>#DIV/0!</v>
      </c>
      <c r="AR44" s="209">
        <v>75</v>
      </c>
      <c r="AS44" s="142"/>
      <c r="AT44" s="19">
        <f t="shared" si="15"/>
        <v>0</v>
      </c>
      <c r="AU44" s="209">
        <f t="shared" si="16"/>
        <v>261</v>
      </c>
      <c r="AV44" s="121">
        <f>+AU44/G44</f>
        <v>1.74</v>
      </c>
    </row>
    <row r="45" spans="1:48" ht="61.5" thickTop="1" thickBot="1">
      <c r="A45" s="2906"/>
      <c r="B45" s="3112"/>
      <c r="C45" s="1417" t="s">
        <v>317</v>
      </c>
      <c r="D45" s="1423" t="s">
        <v>182</v>
      </c>
      <c r="E45" s="1418" t="s">
        <v>149</v>
      </c>
      <c r="F45" s="1083" t="s">
        <v>8</v>
      </c>
      <c r="G45" s="1403">
        <v>10.199999999999999</v>
      </c>
      <c r="H45" s="154" t="s">
        <v>9</v>
      </c>
      <c r="I45" s="119">
        <v>10.199999999999999</v>
      </c>
      <c r="J45" s="120">
        <v>0</v>
      </c>
      <c r="K45" s="121" t="e">
        <f>+I45/J45</f>
        <v>#DIV/0!</v>
      </c>
      <c r="L45" s="123">
        <v>10.199999999999999</v>
      </c>
      <c r="M45" s="120">
        <v>0</v>
      </c>
      <c r="N45" s="121" t="e">
        <f>+L45/M45</f>
        <v>#DIV/0!</v>
      </c>
      <c r="O45" s="123">
        <v>10.199999999999999</v>
      </c>
      <c r="P45" s="120">
        <v>0</v>
      </c>
      <c r="Q45" s="121" t="e">
        <f>+O45/P45</f>
        <v>#DIV/0!</v>
      </c>
      <c r="R45" s="123">
        <v>10.199999999999999</v>
      </c>
      <c r="S45" s="120">
        <v>0</v>
      </c>
      <c r="T45" s="121" t="e">
        <f>+R45/S45</f>
        <v>#DIV/0!</v>
      </c>
      <c r="U45" s="123">
        <v>10.199999999999999</v>
      </c>
      <c r="V45" s="120">
        <v>0</v>
      </c>
      <c r="W45" s="121" t="e">
        <f>+U45/V45</f>
        <v>#DIV/0!</v>
      </c>
      <c r="X45" s="123">
        <v>10.199999999999999</v>
      </c>
      <c r="Y45" s="120">
        <v>0</v>
      </c>
      <c r="Z45" s="121" t="e">
        <f>+X45/Y45</f>
        <v>#DIV/0!</v>
      </c>
      <c r="AA45" s="122">
        <f>(Y45+V45+S45+P45+M45+J45)/6</f>
        <v>0</v>
      </c>
      <c r="AB45" s="121" t="e">
        <f>+G45/AA45</f>
        <v>#DIV/0!</v>
      </c>
      <c r="AC45" s="123">
        <v>10.199999999999999</v>
      </c>
      <c r="AD45" s="120">
        <v>0</v>
      </c>
      <c r="AE45" s="121" t="e">
        <f>+AC45/AD45</f>
        <v>#DIV/0!</v>
      </c>
      <c r="AF45" s="123">
        <v>10.199999999999999</v>
      </c>
      <c r="AG45" s="120">
        <v>0</v>
      </c>
      <c r="AH45" s="121" t="e">
        <f>+AF45/AG45</f>
        <v>#DIV/0!</v>
      </c>
      <c r="AI45" s="123">
        <v>10.199999999999999</v>
      </c>
      <c r="AJ45" s="120">
        <v>0</v>
      </c>
      <c r="AK45" s="121" t="e">
        <f>+AI45/AJ45</f>
        <v>#DIV/0!</v>
      </c>
      <c r="AL45" s="123">
        <v>10.199999999999999</v>
      </c>
      <c r="AM45" s="120">
        <v>0</v>
      </c>
      <c r="AN45" s="121" t="e">
        <f>+AL45/AM45</f>
        <v>#DIV/0!</v>
      </c>
      <c r="AO45" s="123">
        <v>10.199999999999999</v>
      </c>
      <c r="AP45" s="120">
        <v>0</v>
      </c>
      <c r="AQ45" s="121" t="e">
        <f>+AO45/AP45</f>
        <v>#DIV/0!</v>
      </c>
      <c r="AR45" s="123">
        <v>10.199999999999999</v>
      </c>
      <c r="AS45" s="120">
        <v>0</v>
      </c>
      <c r="AT45" s="121" t="e">
        <f>+AR45/AS45</f>
        <v>#DIV/0!</v>
      </c>
      <c r="AU45" s="123">
        <v>0</v>
      </c>
      <c r="AV45" s="1456">
        <v>0</v>
      </c>
    </row>
    <row r="46" spans="1:48" ht="106.5" thickTop="1" thickBot="1">
      <c r="A46" s="2906"/>
      <c r="B46" s="3112"/>
      <c r="C46" s="190" t="s">
        <v>256</v>
      </c>
      <c r="D46" s="124" t="s">
        <v>257</v>
      </c>
      <c r="E46" s="190" t="s">
        <v>258</v>
      </c>
      <c r="F46" s="190" t="s">
        <v>10</v>
      </c>
      <c r="G46" s="1419">
        <v>1</v>
      </c>
      <c r="H46" s="1434" t="s">
        <v>259</v>
      </c>
      <c r="I46" s="1451">
        <v>0</v>
      </c>
      <c r="J46" s="1444">
        <v>0</v>
      </c>
      <c r="K46" s="19" t="e">
        <f t="shared" si="4"/>
        <v>#DIV/0!</v>
      </c>
      <c r="L46" s="1443">
        <v>0</v>
      </c>
      <c r="M46" s="1444">
        <v>0</v>
      </c>
      <c r="N46" s="19" t="e">
        <f t="shared" si="5"/>
        <v>#DIV/0!</v>
      </c>
      <c r="O46" s="1443">
        <v>0</v>
      </c>
      <c r="P46" s="1444"/>
      <c r="Q46" s="19" t="e">
        <f t="shared" si="6"/>
        <v>#DIV/0!</v>
      </c>
      <c r="R46" s="1443">
        <v>0</v>
      </c>
      <c r="S46" s="1444" t="s">
        <v>6</v>
      </c>
      <c r="T46" s="19" t="e">
        <f t="shared" si="7"/>
        <v>#VALUE!</v>
      </c>
      <c r="U46" s="1443">
        <v>0</v>
      </c>
      <c r="V46" s="1444">
        <v>0</v>
      </c>
      <c r="W46" s="19" t="e">
        <f t="shared" si="8"/>
        <v>#DIV/0!</v>
      </c>
      <c r="X46" s="1443">
        <v>0</v>
      </c>
      <c r="Y46" s="1444"/>
      <c r="Z46" s="19" t="e">
        <f t="shared" si="9"/>
        <v>#DIV/0!</v>
      </c>
      <c r="AA46" s="1443" t="e">
        <f t="shared" si="3"/>
        <v>#VALUE!</v>
      </c>
      <c r="AB46" s="19" t="e">
        <f>+AA46/G46</f>
        <v>#VALUE!</v>
      </c>
      <c r="AC46" s="1443">
        <v>0</v>
      </c>
      <c r="AD46" s="1444"/>
      <c r="AE46" s="19" t="e">
        <f t="shared" si="10"/>
        <v>#DIV/0!</v>
      </c>
      <c r="AF46" s="1443">
        <v>0</v>
      </c>
      <c r="AG46" s="1444"/>
      <c r="AH46" s="19" t="e">
        <f t="shared" si="11"/>
        <v>#DIV/0!</v>
      </c>
      <c r="AI46" s="1443">
        <v>0</v>
      </c>
      <c r="AJ46" s="1444"/>
      <c r="AK46" s="19" t="e">
        <f t="shared" si="12"/>
        <v>#DIV/0!</v>
      </c>
      <c r="AL46" s="1443">
        <v>0</v>
      </c>
      <c r="AM46" s="1444"/>
      <c r="AN46" s="19" t="e">
        <f t="shared" si="13"/>
        <v>#DIV/0!</v>
      </c>
      <c r="AO46" s="1443">
        <v>1</v>
      </c>
      <c r="AP46" s="1444">
        <v>1</v>
      </c>
      <c r="AQ46" s="19">
        <f t="shared" si="14"/>
        <v>1</v>
      </c>
      <c r="AR46" s="1443">
        <v>0</v>
      </c>
      <c r="AS46" s="1444"/>
      <c r="AT46" s="19" t="e">
        <f>+AS46/AR46</f>
        <v>#DIV/0!</v>
      </c>
      <c r="AU46" s="1440">
        <f>+AP46</f>
        <v>1</v>
      </c>
      <c r="AV46" s="19">
        <f>+AU46/G46</f>
        <v>1</v>
      </c>
    </row>
    <row r="47" spans="1:48" ht="61.5" thickTop="1" thickBot="1">
      <c r="A47" s="2906"/>
      <c r="B47" s="3113"/>
      <c r="C47" s="371" t="s">
        <v>634</v>
      </c>
      <c r="D47" s="623" t="s">
        <v>263</v>
      </c>
      <c r="E47" s="561" t="s">
        <v>264</v>
      </c>
      <c r="F47" s="561" t="s">
        <v>10</v>
      </c>
      <c r="G47" s="656">
        <v>1</v>
      </c>
      <c r="H47" s="656" t="s">
        <v>226</v>
      </c>
      <c r="I47" s="1451">
        <v>0</v>
      </c>
      <c r="J47" s="1444"/>
      <c r="K47" s="19" t="e">
        <f t="shared" si="4"/>
        <v>#DIV/0!</v>
      </c>
      <c r="L47" s="1443">
        <v>0</v>
      </c>
      <c r="M47" s="1444"/>
      <c r="N47" s="19" t="e">
        <f t="shared" si="5"/>
        <v>#DIV/0!</v>
      </c>
      <c r="O47" s="1443">
        <v>0</v>
      </c>
      <c r="P47" s="1444"/>
      <c r="Q47" s="19" t="e">
        <f t="shared" si="6"/>
        <v>#DIV/0!</v>
      </c>
      <c r="R47" s="1443">
        <v>0</v>
      </c>
      <c r="S47" s="1444"/>
      <c r="T47" s="19" t="e">
        <f t="shared" si="7"/>
        <v>#DIV/0!</v>
      </c>
      <c r="U47" s="1443">
        <v>0</v>
      </c>
      <c r="V47" s="1444"/>
      <c r="W47" s="19" t="e">
        <f t="shared" si="8"/>
        <v>#DIV/0!</v>
      </c>
      <c r="X47" s="1443">
        <v>0</v>
      </c>
      <c r="Y47" s="1444"/>
      <c r="Z47" s="19" t="e">
        <f t="shared" si="9"/>
        <v>#DIV/0!</v>
      </c>
      <c r="AA47" s="1437">
        <f t="shared" si="3"/>
        <v>0</v>
      </c>
      <c r="AB47" s="19">
        <f>+AA47/G47</f>
        <v>0</v>
      </c>
      <c r="AC47" s="1443">
        <v>0</v>
      </c>
      <c r="AD47" s="1444"/>
      <c r="AE47" s="19" t="e">
        <f t="shared" si="10"/>
        <v>#DIV/0!</v>
      </c>
      <c r="AF47" s="1443">
        <v>0</v>
      </c>
      <c r="AG47" s="1444"/>
      <c r="AH47" s="19" t="e">
        <f t="shared" si="11"/>
        <v>#DIV/0!</v>
      </c>
      <c r="AI47" s="1443">
        <v>0.5</v>
      </c>
      <c r="AJ47" s="1444">
        <v>0.5</v>
      </c>
      <c r="AK47" s="19">
        <f t="shared" si="12"/>
        <v>1</v>
      </c>
      <c r="AL47" s="1443">
        <v>0</v>
      </c>
      <c r="AM47" s="1444"/>
      <c r="AN47" s="19" t="e">
        <f t="shared" si="13"/>
        <v>#DIV/0!</v>
      </c>
      <c r="AO47" s="1443">
        <v>0</v>
      </c>
      <c r="AP47" s="1444"/>
      <c r="AQ47" s="19" t="e">
        <f t="shared" si="14"/>
        <v>#DIV/0!</v>
      </c>
      <c r="AR47" s="1443">
        <v>0.5</v>
      </c>
      <c r="AS47" s="1444">
        <v>0.5</v>
      </c>
      <c r="AT47" s="19">
        <f t="shared" si="15"/>
        <v>1</v>
      </c>
      <c r="AU47" s="1440">
        <f>AJ47+AS47</f>
        <v>1</v>
      </c>
      <c r="AV47" s="19">
        <f>+AU47/G47</f>
        <v>1</v>
      </c>
    </row>
    <row r="48" spans="1:48" ht="57.75" thickTop="1" thickBot="1">
      <c r="A48" s="2906"/>
      <c r="B48" s="1101" t="s">
        <v>150</v>
      </c>
      <c r="C48" s="1420" t="s">
        <v>379</v>
      </c>
      <c r="D48" s="1422" t="s">
        <v>319</v>
      </c>
      <c r="E48" s="1407" t="s">
        <v>339</v>
      </c>
      <c r="F48" s="1414" t="s">
        <v>17</v>
      </c>
      <c r="G48" s="1399">
        <v>37</v>
      </c>
      <c r="H48" s="1399" t="s">
        <v>21</v>
      </c>
      <c r="I48" s="205">
        <v>37</v>
      </c>
      <c r="J48" s="206">
        <v>30</v>
      </c>
      <c r="K48" s="19">
        <f>J48/I48</f>
        <v>0.81081081081081086</v>
      </c>
      <c r="L48" s="1457">
        <v>37</v>
      </c>
      <c r="M48" s="206">
        <v>37</v>
      </c>
      <c r="N48" s="19">
        <f>+M48/L48</f>
        <v>1</v>
      </c>
      <c r="O48" s="1457">
        <v>37</v>
      </c>
      <c r="P48" s="206">
        <v>37</v>
      </c>
      <c r="Q48" s="19">
        <f>+P48/O48</f>
        <v>1</v>
      </c>
      <c r="R48" s="1457">
        <v>37</v>
      </c>
      <c r="S48" s="206">
        <v>37</v>
      </c>
      <c r="T48" s="19">
        <f>+S48/R48</f>
        <v>1</v>
      </c>
      <c r="U48" s="1457">
        <v>37</v>
      </c>
      <c r="V48" s="206">
        <v>30</v>
      </c>
      <c r="W48" s="19">
        <f>+V48/U48</f>
        <v>0.81081081081081086</v>
      </c>
      <c r="X48" s="1457">
        <v>37</v>
      </c>
      <c r="Y48" s="206">
        <v>28</v>
      </c>
      <c r="Z48" s="19">
        <f>+Y48/X48</f>
        <v>0.7567567567567568</v>
      </c>
      <c r="AA48" s="1458">
        <f>(Y48+V48+S48+P48)/4</f>
        <v>33</v>
      </c>
      <c r="AB48" s="19">
        <f>+G48/AA48</f>
        <v>1.1212121212121211</v>
      </c>
      <c r="AC48" s="1457">
        <v>37</v>
      </c>
      <c r="AD48" s="206">
        <v>37</v>
      </c>
      <c r="AE48" s="19">
        <f>+AD48/AC48</f>
        <v>1</v>
      </c>
      <c r="AF48" s="1457">
        <v>37</v>
      </c>
      <c r="AG48" s="206">
        <v>37</v>
      </c>
      <c r="AH48" s="19">
        <f>+AG48/AF48</f>
        <v>1</v>
      </c>
      <c r="AI48" s="1457">
        <v>37</v>
      </c>
      <c r="AJ48" s="206">
        <v>37</v>
      </c>
      <c r="AK48" s="19">
        <f>+AJ48/AI48</f>
        <v>1</v>
      </c>
      <c r="AL48" s="1457">
        <v>37</v>
      </c>
      <c r="AM48" s="206">
        <v>34</v>
      </c>
      <c r="AN48" s="19">
        <f>+AM48/AL48</f>
        <v>0.91891891891891897</v>
      </c>
      <c r="AO48" s="1457">
        <v>37</v>
      </c>
      <c r="AP48" s="206">
        <v>37</v>
      </c>
      <c r="AQ48" s="19">
        <f>+AP48/AO48</f>
        <v>1</v>
      </c>
      <c r="AR48" s="1457">
        <v>37</v>
      </c>
      <c r="AS48" s="206">
        <v>36.6</v>
      </c>
      <c r="AT48" s="19">
        <f>+AS48/AR48</f>
        <v>0.98918918918918919</v>
      </c>
      <c r="AU48" s="209">
        <f>(P48+S48+V48+Y48+AD48+AG48+AJ48+AM48+AP48+AS48)/10</f>
        <v>35.06</v>
      </c>
      <c r="AV48" s="19">
        <f>+G48/AU48</f>
        <v>1.0553337136337706</v>
      </c>
    </row>
    <row r="49" spans="1:48" ht="22.5" thickTop="1" thickBot="1">
      <c r="A49"/>
      <c r="B49"/>
      <c r="C49"/>
      <c r="D49"/>
      <c r="E49"/>
      <c r="F49"/>
      <c r="G49"/>
      <c r="H49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1"/>
      <c r="AV49" s="201"/>
    </row>
    <row r="50" spans="1:48" ht="64.5" thickTop="1" thickBot="1">
      <c r="A50" s="202" t="s">
        <v>155</v>
      </c>
      <c r="B50" s="97" t="s">
        <v>156</v>
      </c>
      <c r="C50" s="74" t="s">
        <v>157</v>
      </c>
      <c r="D50" s="111" t="s">
        <v>158</v>
      </c>
      <c r="E50" s="74" t="s">
        <v>159</v>
      </c>
      <c r="F50" s="74" t="s">
        <v>265</v>
      </c>
      <c r="G50" s="203">
        <v>10</v>
      </c>
      <c r="H50" s="25" t="s">
        <v>27</v>
      </c>
      <c r="I50" s="205">
        <v>0</v>
      </c>
      <c r="J50" s="206"/>
      <c r="K50" s="19" t="e">
        <f t="shared" ref="K50" si="18">+J50/I50</f>
        <v>#DIV/0!</v>
      </c>
      <c r="L50" s="205">
        <v>0</v>
      </c>
      <c r="M50" s="206"/>
      <c r="N50" s="19" t="e">
        <f t="shared" ref="N50" si="19">+M50/L50</f>
        <v>#DIV/0!</v>
      </c>
      <c r="O50" s="205">
        <v>0</v>
      </c>
      <c r="P50" s="206"/>
      <c r="Q50" s="19" t="e">
        <f t="shared" ref="Q50" si="20">+P50/O50</f>
        <v>#DIV/0!</v>
      </c>
      <c r="R50" s="205">
        <v>0</v>
      </c>
      <c r="S50" s="206"/>
      <c r="T50" s="19" t="e">
        <f t="shared" ref="T50" si="21">+S50/R50</f>
        <v>#DIV/0!</v>
      </c>
      <c r="U50" s="205">
        <v>2</v>
      </c>
      <c r="V50" s="206">
        <v>2</v>
      </c>
      <c r="W50" s="19">
        <f t="shared" ref="W50" si="22">+V50/U50</f>
        <v>1</v>
      </c>
      <c r="X50" s="205">
        <v>0</v>
      </c>
      <c r="Y50" s="206"/>
      <c r="Z50" s="19" t="e">
        <f t="shared" ref="Z50" si="23">+Y50/X50</f>
        <v>#DIV/0!</v>
      </c>
      <c r="AA50" s="207">
        <f t="shared" ref="AA50" si="24">+Y50+V50+S50+P50+M50+J50</f>
        <v>2</v>
      </c>
      <c r="AB50" s="19">
        <f>+AA50/G50</f>
        <v>0.2</v>
      </c>
      <c r="AC50" s="205">
        <v>1</v>
      </c>
      <c r="AD50" s="206">
        <v>1</v>
      </c>
      <c r="AE50" s="208">
        <f t="shared" ref="AE50" si="25">+AD50/AC50</f>
        <v>1</v>
      </c>
      <c r="AF50" s="205">
        <v>3</v>
      </c>
      <c r="AG50" s="206">
        <v>3</v>
      </c>
      <c r="AH50" s="208">
        <f t="shared" ref="AH50" si="26">+AG50/AF50</f>
        <v>1</v>
      </c>
      <c r="AI50" s="205">
        <v>1</v>
      </c>
      <c r="AJ50" s="206">
        <v>1</v>
      </c>
      <c r="AK50" s="208">
        <f t="shared" ref="AK50" si="27">+AJ50/AI50</f>
        <v>1</v>
      </c>
      <c r="AL50" s="205">
        <v>3</v>
      </c>
      <c r="AM50" s="206">
        <v>3</v>
      </c>
      <c r="AN50" s="19">
        <f t="shared" ref="AN50" si="28">+AM50/AL50</f>
        <v>1</v>
      </c>
      <c r="AO50" s="205">
        <v>0</v>
      </c>
      <c r="AP50" s="206"/>
      <c r="AQ50" s="19" t="e">
        <f t="shared" ref="AQ50" si="29">+AP50/AO50</f>
        <v>#DIV/0!</v>
      </c>
      <c r="AR50" s="205">
        <v>0</v>
      </c>
      <c r="AS50" s="206"/>
      <c r="AT50" s="19" t="e">
        <f t="shared" ref="AT50" si="30">+AS50/AR50</f>
        <v>#DIV/0!</v>
      </c>
      <c r="AU50" s="209">
        <f t="shared" ref="AU50" si="31">+J50+M50+P50+S50+V50+Y50+AD50+AG50+AJ50+AM50+AP50+AS50</f>
        <v>10</v>
      </c>
      <c r="AV50" s="19">
        <f>+AU50/G50</f>
        <v>1</v>
      </c>
    </row>
    <row r="51" spans="1:48" ht="17.25" thickTop="1"/>
  </sheetData>
  <sheetProtection algorithmName="SHA-512" hashValue="9ZIfNY6MNB+NPN8bmtj5ZMnR4BAI+blbplGQTucZ4kDhQxfp0AqQT3SDZ+iUa4Qz/mjcpfGEVxfeWjMeaT2MnQ==" saltValue="gsdK2zB1MkZb8Tbr0SH6B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39:D40" name="Rango1"/>
    <protectedRange algorithmName="SHA-512" hashValue="Uds9cYMsxnQI1SjFHe8NNqfDC/fFeray9QhmtAdG/GCgT0L97QBkFAQ9tCw5vTy3J/lQFdDpBTyQoZDg0KZNmQ==" saltValue="0HoWkw5WsZ+PdZDtJpkerg==" spinCount="100000" sqref="E39:E40" name="Rango1_1"/>
    <protectedRange algorithmName="SHA-512" hashValue="Uds9cYMsxnQI1SjFHe8NNqfDC/fFeray9QhmtAdG/GCgT0L97QBkFAQ9tCw5vTy3J/lQFdDpBTyQoZDg0KZNmQ==" saltValue="0HoWkw5WsZ+PdZDtJpkerg==" spinCount="100000" sqref="F39:F40" name="Rango1_2"/>
    <protectedRange algorithmName="SHA-512" hashValue="Uds9cYMsxnQI1SjFHe8NNqfDC/fFeray9QhmtAdG/GCgT0L97QBkFAQ9tCw5vTy3J/lQFdDpBTyQoZDg0KZNmQ==" saltValue="0HoWkw5WsZ+PdZDtJpkerg==" spinCount="100000" sqref="G39:G40" name="Rango1_3"/>
    <protectedRange algorithmName="SHA-512" hashValue="Uds9cYMsxnQI1SjFHe8NNqfDC/fFeray9QhmtAdG/GCgT0L97QBkFAQ9tCw5vTy3J/lQFdDpBTyQoZDg0KZNmQ==" saltValue="0HoWkw5WsZ+PdZDtJpkerg==" spinCount="100000" sqref="H39:H40" name="Rango1_4"/>
    <protectedRange algorithmName="SHA-512" hashValue="Uds9cYMsxnQI1SjFHe8NNqfDC/fFeray9QhmtAdG/GCgT0L97QBkFAQ9tCw5vTy3J/lQFdDpBTyQoZDg0KZNmQ==" saltValue="0HoWkw5WsZ+PdZDtJpkerg==" spinCount="100000" sqref="AA37:AA38" name="Rango1_1_1"/>
    <protectedRange algorithmName="SHA-512" hashValue="Uds9cYMsxnQI1SjFHe8NNqfDC/fFeray9QhmtAdG/GCgT0L97QBkFAQ9tCw5vTy3J/lQFdDpBTyQoZDg0KZNmQ==" saltValue="0HoWkw5WsZ+PdZDtJpkerg==" spinCount="100000" sqref="AU37:AU38" name="Rango1_1_1_1"/>
  </protectedRanges>
  <mergeCells count="37">
    <mergeCell ref="A44:A48"/>
    <mergeCell ref="B5:B7"/>
    <mergeCell ref="B9:B10"/>
    <mergeCell ref="B11:B32"/>
    <mergeCell ref="B33:B42"/>
    <mergeCell ref="B44:B47"/>
    <mergeCell ref="C12:C18"/>
    <mergeCell ref="C19:C25"/>
    <mergeCell ref="C36:C42"/>
    <mergeCell ref="D5:D7"/>
    <mergeCell ref="E5:E7"/>
    <mergeCell ref="A8:H8"/>
    <mergeCell ref="C5:C7"/>
    <mergeCell ref="A5:A7"/>
    <mergeCell ref="A9:A42"/>
    <mergeCell ref="AC5:AE7"/>
    <mergeCell ref="AF5:AH7"/>
    <mergeCell ref="F5:F7"/>
    <mergeCell ref="G5:G7"/>
    <mergeCell ref="H5:H7"/>
    <mergeCell ref="I5:K7"/>
    <mergeCell ref="L5:N7"/>
    <mergeCell ref="O5:Q7"/>
    <mergeCell ref="R5:T7"/>
    <mergeCell ref="U5:W7"/>
    <mergeCell ref="X5:Z7"/>
    <mergeCell ref="AA5:AB7"/>
    <mergeCell ref="AI5:AK7"/>
    <mergeCell ref="AL5:AN7"/>
    <mergeCell ref="AO5:AQ7"/>
    <mergeCell ref="AR5:AT7"/>
    <mergeCell ref="AU5:AV7"/>
    <mergeCell ref="A1:B4"/>
    <mergeCell ref="C1:H1"/>
    <mergeCell ref="C2:H2"/>
    <mergeCell ref="C3:H3"/>
    <mergeCell ref="C4:H4"/>
  </mergeCells>
  <conditionalFormatting sqref="K11:K25 K27:K36">
    <cfRule type="cellIs" dxfId="6839" priority="526" operator="greaterThan">
      <formula>110%</formula>
    </cfRule>
    <cfRule type="cellIs" dxfId="6838" priority="527" operator="between">
      <formula>100.001%</formula>
      <formula>110%</formula>
    </cfRule>
    <cfRule type="cellIs" dxfId="6837" priority="528" operator="between">
      <formula>70.001%</formula>
      <formula>100%</formula>
    </cfRule>
    <cfRule type="cellIs" dxfId="6836" priority="529" operator="between">
      <formula>0.00001%</formula>
      <formula>70%</formula>
    </cfRule>
    <cfRule type="cellIs" dxfId="6835" priority="530" operator="equal">
      <formula>0</formula>
    </cfRule>
  </conditionalFormatting>
  <conditionalFormatting sqref="K44:K48 K39:K42">
    <cfRule type="cellIs" dxfId="6834" priority="521" operator="greaterThan">
      <formula>110%</formula>
    </cfRule>
    <cfRule type="cellIs" dxfId="6833" priority="522" operator="between">
      <formula>100.001%</formula>
      <formula>110%</formula>
    </cfRule>
    <cfRule type="cellIs" dxfId="6832" priority="523" operator="between">
      <formula>70.001%</formula>
      <formula>100%</formula>
    </cfRule>
    <cfRule type="cellIs" dxfId="6831" priority="524" operator="between">
      <formula>0.00001%</formula>
      <formula>70%</formula>
    </cfRule>
    <cfRule type="cellIs" dxfId="6830" priority="525" operator="equal">
      <formula>0</formula>
    </cfRule>
  </conditionalFormatting>
  <conditionalFormatting sqref="K9:K10">
    <cfRule type="cellIs" dxfId="6829" priority="516" operator="greaterThan">
      <formula>110%</formula>
    </cfRule>
    <cfRule type="cellIs" dxfId="6828" priority="517" operator="between">
      <formula>100.001%</formula>
      <formula>110%</formula>
    </cfRule>
    <cfRule type="cellIs" dxfId="6827" priority="518" operator="between">
      <formula>70.001%</formula>
      <formula>100%</formula>
    </cfRule>
    <cfRule type="cellIs" dxfId="6826" priority="519" operator="between">
      <formula>0.00001%</formula>
      <formula>70%</formula>
    </cfRule>
    <cfRule type="cellIs" dxfId="6825" priority="520" operator="equal">
      <formula>0</formula>
    </cfRule>
  </conditionalFormatting>
  <conditionalFormatting sqref="K50">
    <cfRule type="cellIs" dxfId="6824" priority="511" operator="greaterThan">
      <formula>110%</formula>
    </cfRule>
    <cfRule type="cellIs" dxfId="6823" priority="512" operator="between">
      <formula>100.001%</formula>
      <formula>110%</formula>
    </cfRule>
    <cfRule type="cellIs" dxfId="6822" priority="513" operator="between">
      <formula>70.001%</formula>
      <formula>100%</formula>
    </cfRule>
    <cfRule type="cellIs" dxfId="6821" priority="514" operator="between">
      <formula>0.00001%</formula>
      <formula>70%</formula>
    </cfRule>
    <cfRule type="cellIs" dxfId="6820" priority="515" operator="equal">
      <formula>0</formula>
    </cfRule>
  </conditionalFormatting>
  <conditionalFormatting sqref="K37">
    <cfRule type="cellIs" dxfId="6819" priority="506" operator="greaterThan">
      <formula>110%</formula>
    </cfRule>
    <cfRule type="cellIs" dxfId="6818" priority="507" operator="between">
      <formula>100.001%</formula>
      <formula>110%</formula>
    </cfRule>
    <cfRule type="cellIs" dxfId="6817" priority="508" operator="between">
      <formula>70.001%</formula>
      <formula>100%</formula>
    </cfRule>
    <cfRule type="cellIs" dxfId="6816" priority="509" operator="between">
      <formula>0.00001%</formula>
      <formula>70%</formula>
    </cfRule>
    <cfRule type="cellIs" dxfId="6815" priority="510" operator="equal">
      <formula>0%</formula>
    </cfRule>
  </conditionalFormatting>
  <conditionalFormatting sqref="K38">
    <cfRule type="cellIs" dxfId="6814" priority="501" operator="greaterThan">
      <formula>110%</formula>
    </cfRule>
    <cfRule type="cellIs" dxfId="6813" priority="502" operator="between">
      <formula>100.001%</formula>
      <formula>110%</formula>
    </cfRule>
    <cfRule type="cellIs" dxfId="6812" priority="503" operator="between">
      <formula>70.001%</formula>
      <formula>100%</formula>
    </cfRule>
    <cfRule type="cellIs" dxfId="6811" priority="504" operator="between">
      <formula>0.00001%</formula>
      <formula>70%</formula>
    </cfRule>
    <cfRule type="cellIs" dxfId="6810" priority="505" operator="equal">
      <formula>0%</formula>
    </cfRule>
  </conditionalFormatting>
  <conditionalFormatting sqref="K26">
    <cfRule type="cellIs" dxfId="6809" priority="496" operator="greaterThan">
      <formula>110%</formula>
    </cfRule>
    <cfRule type="cellIs" dxfId="6808" priority="497" operator="between">
      <formula>100.001%</formula>
      <formula>110%</formula>
    </cfRule>
    <cfRule type="cellIs" dxfId="6807" priority="498" operator="between">
      <formula>70.001%</formula>
      <formula>100%</formula>
    </cfRule>
    <cfRule type="cellIs" dxfId="6806" priority="499" operator="between">
      <formula>0.00001%</formula>
      <formula>70%</formula>
    </cfRule>
    <cfRule type="cellIs" dxfId="6805" priority="500" operator="equal">
      <formula>0</formula>
    </cfRule>
  </conditionalFormatting>
  <conditionalFormatting sqref="AB44:AB48 AB39:AB42 AB11:AB25 AV11:AV36 N11:N25 Q11:Q25 T11:T25 W11:W25 Z11:Z25 AE11:AE25 AH11:AH25 AK11:AK25 AN11:AN25 AQ11:AQ25 AT11:AT25 AT27:AT36 AQ27:AQ36 AN27:AN36 AK27:AK36 AH27:AH36 AE27:AE36 Z27:Z36 W27:W36 T27:T36 Q27:Q36 N27:N36 AB27:AB36">
    <cfRule type="cellIs" dxfId="6804" priority="491" operator="greaterThan">
      <formula>110%</formula>
    </cfRule>
    <cfRule type="cellIs" dxfId="6803" priority="492" operator="between">
      <formula>100.001%</formula>
      <formula>110%</formula>
    </cfRule>
    <cfRule type="cellIs" dxfId="6802" priority="493" operator="between">
      <formula>70.001%</formula>
      <formula>100%</formula>
    </cfRule>
    <cfRule type="cellIs" dxfId="6801" priority="494" operator="between">
      <formula>0.00001%</formula>
      <formula>70%</formula>
    </cfRule>
    <cfRule type="cellIs" dxfId="6800" priority="495" operator="equal">
      <formula>0</formula>
    </cfRule>
  </conditionalFormatting>
  <conditionalFormatting sqref="AV44:AV48 AV39:AV42">
    <cfRule type="cellIs" dxfId="6799" priority="486" operator="greaterThan">
      <formula>110%</formula>
    </cfRule>
    <cfRule type="cellIs" dxfId="6798" priority="487" operator="between">
      <formula>100.001%</formula>
      <formula>110%</formula>
    </cfRule>
    <cfRule type="cellIs" dxfId="6797" priority="488" operator="between">
      <formula>70.001%</formula>
      <formula>100%</formula>
    </cfRule>
    <cfRule type="cellIs" dxfId="6796" priority="489" operator="between">
      <formula>0.00001%</formula>
      <formula>70%</formula>
    </cfRule>
    <cfRule type="cellIs" dxfId="6795" priority="490" operator="equal">
      <formula>0</formula>
    </cfRule>
  </conditionalFormatting>
  <conditionalFormatting sqref="N44 N47 N39:N42">
    <cfRule type="cellIs" dxfId="6794" priority="481" operator="greaterThan">
      <formula>110%</formula>
    </cfRule>
    <cfRule type="cellIs" dxfId="6793" priority="482" operator="between">
      <formula>100.001%</formula>
      <formula>110%</formula>
    </cfRule>
    <cfRule type="cellIs" dxfId="6792" priority="483" operator="between">
      <formula>70.001%</formula>
      <formula>100%</formula>
    </cfRule>
    <cfRule type="cellIs" dxfId="6791" priority="484" operator="between">
      <formula>0.00001%</formula>
      <formula>70%</formula>
    </cfRule>
    <cfRule type="cellIs" dxfId="6790" priority="485" operator="equal">
      <formula>0</formula>
    </cfRule>
  </conditionalFormatting>
  <conditionalFormatting sqref="Q44 Q47 Q39:Q42">
    <cfRule type="cellIs" dxfId="6789" priority="476" operator="greaterThan">
      <formula>110%</formula>
    </cfRule>
    <cfRule type="cellIs" dxfId="6788" priority="477" operator="between">
      <formula>100.001%</formula>
      <formula>110%</formula>
    </cfRule>
    <cfRule type="cellIs" dxfId="6787" priority="478" operator="between">
      <formula>70.001%</formula>
      <formula>100%</formula>
    </cfRule>
    <cfRule type="cellIs" dxfId="6786" priority="479" operator="between">
      <formula>0.00001%</formula>
      <formula>70%</formula>
    </cfRule>
    <cfRule type="cellIs" dxfId="6785" priority="480" operator="equal">
      <formula>0</formula>
    </cfRule>
  </conditionalFormatting>
  <conditionalFormatting sqref="T44 T47 T39:T42">
    <cfRule type="cellIs" dxfId="6784" priority="471" operator="greaterThan">
      <formula>110%</formula>
    </cfRule>
    <cfRule type="cellIs" dxfId="6783" priority="472" operator="between">
      <formula>100.001%</formula>
      <formula>110%</formula>
    </cfRule>
    <cfRule type="cellIs" dxfId="6782" priority="473" operator="between">
      <formula>70.001%</formula>
      <formula>100%</formula>
    </cfRule>
    <cfRule type="cellIs" dxfId="6781" priority="474" operator="between">
      <formula>0.00001%</formula>
      <formula>70%</formula>
    </cfRule>
    <cfRule type="cellIs" dxfId="6780" priority="475" operator="equal">
      <formula>0</formula>
    </cfRule>
  </conditionalFormatting>
  <conditionalFormatting sqref="W44 W47 W39:W42">
    <cfRule type="cellIs" dxfId="6779" priority="466" operator="greaterThan">
      <formula>110%</formula>
    </cfRule>
    <cfRule type="cellIs" dxfId="6778" priority="467" operator="between">
      <formula>100.001%</formula>
      <formula>110%</formula>
    </cfRule>
    <cfRule type="cellIs" dxfId="6777" priority="468" operator="between">
      <formula>70.001%</formula>
      <formula>100%</formula>
    </cfRule>
    <cfRule type="cellIs" dxfId="6776" priority="469" operator="between">
      <formula>0.00001%</formula>
      <formula>70%</formula>
    </cfRule>
    <cfRule type="cellIs" dxfId="6775" priority="470" operator="equal">
      <formula>0</formula>
    </cfRule>
  </conditionalFormatting>
  <conditionalFormatting sqref="Z44 Z47 Z39:Z42">
    <cfRule type="cellIs" dxfId="6774" priority="461" operator="greaterThan">
      <formula>110%</formula>
    </cfRule>
    <cfRule type="cellIs" dxfId="6773" priority="462" operator="between">
      <formula>100.001%</formula>
      <formula>110%</formula>
    </cfRule>
    <cfRule type="cellIs" dxfId="6772" priority="463" operator="between">
      <formula>70.001%</formula>
      <formula>100%</formula>
    </cfRule>
    <cfRule type="cellIs" dxfId="6771" priority="464" operator="between">
      <formula>0.00001%</formula>
      <formula>70%</formula>
    </cfRule>
    <cfRule type="cellIs" dxfId="6770" priority="465" operator="equal">
      <formula>0</formula>
    </cfRule>
  </conditionalFormatting>
  <conditionalFormatting sqref="AE44 AE47 AE39:AE42">
    <cfRule type="cellIs" dxfId="6769" priority="456" operator="greaterThan">
      <formula>110%</formula>
    </cfRule>
    <cfRule type="cellIs" dxfId="6768" priority="457" operator="between">
      <formula>100.001%</formula>
      <formula>110%</formula>
    </cfRule>
    <cfRule type="cellIs" dxfId="6767" priority="458" operator="between">
      <formula>70.001%</formula>
      <formula>100%</formula>
    </cfRule>
    <cfRule type="cellIs" dxfId="6766" priority="459" operator="between">
      <formula>0.00001%</formula>
      <formula>70%</formula>
    </cfRule>
    <cfRule type="cellIs" dxfId="6765" priority="460" operator="equal">
      <formula>0</formula>
    </cfRule>
  </conditionalFormatting>
  <conditionalFormatting sqref="AH44 AH47 AH39:AH42">
    <cfRule type="cellIs" dxfId="6764" priority="451" operator="greaterThan">
      <formula>110%</formula>
    </cfRule>
    <cfRule type="cellIs" dxfId="6763" priority="452" operator="between">
      <formula>100.001%</formula>
      <formula>110%</formula>
    </cfRule>
    <cfRule type="cellIs" dxfId="6762" priority="453" operator="between">
      <formula>70.001%</formula>
      <formula>100%</formula>
    </cfRule>
    <cfRule type="cellIs" dxfId="6761" priority="454" operator="between">
      <formula>0.00001%</formula>
      <formula>70%</formula>
    </cfRule>
    <cfRule type="cellIs" dxfId="6760" priority="455" operator="equal">
      <formula>0</formula>
    </cfRule>
  </conditionalFormatting>
  <conditionalFormatting sqref="AK44 AK47 AK39:AK42">
    <cfRule type="cellIs" dxfId="6759" priority="446" operator="greaterThan">
      <formula>110%</formula>
    </cfRule>
    <cfRule type="cellIs" dxfId="6758" priority="447" operator="between">
      <formula>100.001%</formula>
      <formula>110%</formula>
    </cfRule>
    <cfRule type="cellIs" dxfId="6757" priority="448" operator="between">
      <formula>70.001%</formula>
      <formula>100%</formula>
    </cfRule>
    <cfRule type="cellIs" dxfId="6756" priority="449" operator="between">
      <formula>0.00001%</formula>
      <formula>70%</formula>
    </cfRule>
    <cfRule type="cellIs" dxfId="6755" priority="450" operator="equal">
      <formula>0</formula>
    </cfRule>
  </conditionalFormatting>
  <conditionalFormatting sqref="AN44 AN47 AN39:AN42">
    <cfRule type="cellIs" dxfId="6754" priority="441" operator="greaterThan">
      <formula>110%</formula>
    </cfRule>
    <cfRule type="cellIs" dxfId="6753" priority="442" operator="between">
      <formula>100.001%</formula>
      <formula>110%</formula>
    </cfRule>
    <cfRule type="cellIs" dxfId="6752" priority="443" operator="between">
      <formula>70.001%</formula>
      <formula>100%</formula>
    </cfRule>
    <cfRule type="cellIs" dxfId="6751" priority="444" operator="between">
      <formula>0.00001%</formula>
      <formula>70%</formula>
    </cfRule>
    <cfRule type="cellIs" dxfId="6750" priority="445" operator="equal">
      <formula>0</formula>
    </cfRule>
  </conditionalFormatting>
  <conditionalFormatting sqref="AQ44 AQ47 AQ39:AQ42">
    <cfRule type="cellIs" dxfId="6749" priority="436" operator="greaterThan">
      <formula>110%</formula>
    </cfRule>
    <cfRule type="cellIs" dxfId="6748" priority="437" operator="between">
      <formula>100.001%</formula>
      <formula>110%</formula>
    </cfRule>
    <cfRule type="cellIs" dxfId="6747" priority="438" operator="between">
      <formula>70.001%</formula>
      <formula>100%</formula>
    </cfRule>
    <cfRule type="cellIs" dxfId="6746" priority="439" operator="between">
      <formula>0.00001%</formula>
      <formula>70%</formula>
    </cfRule>
    <cfRule type="cellIs" dxfId="6745" priority="440" operator="equal">
      <formula>0</formula>
    </cfRule>
  </conditionalFormatting>
  <conditionalFormatting sqref="AT44 AT47 AT39:AT42">
    <cfRule type="cellIs" dxfId="6744" priority="431" operator="greaterThan">
      <formula>110%</formula>
    </cfRule>
    <cfRule type="cellIs" dxfId="6743" priority="432" operator="between">
      <formula>100.001%</formula>
      <formula>110%</formula>
    </cfRule>
    <cfRule type="cellIs" dxfId="6742" priority="433" operator="between">
      <formula>70.001%</formula>
      <formula>100%</formula>
    </cfRule>
    <cfRule type="cellIs" dxfId="6741" priority="434" operator="between">
      <formula>0.00001%</formula>
      <formula>70%</formula>
    </cfRule>
    <cfRule type="cellIs" dxfId="6740" priority="435" operator="equal">
      <formula>0</formula>
    </cfRule>
  </conditionalFormatting>
  <conditionalFormatting sqref="AB9:AB10">
    <cfRule type="cellIs" dxfId="6739" priority="426" operator="greaterThan">
      <formula>110%</formula>
    </cfRule>
    <cfRule type="cellIs" dxfId="6738" priority="427" operator="between">
      <formula>100.001%</formula>
      <formula>110%</formula>
    </cfRule>
    <cfRule type="cellIs" dxfId="6737" priority="428" operator="between">
      <formula>70.001%</formula>
      <formula>100%</formula>
    </cfRule>
    <cfRule type="cellIs" dxfId="6736" priority="429" operator="between">
      <formula>0.00001%</formula>
      <formula>70%</formula>
    </cfRule>
    <cfRule type="cellIs" dxfId="6735" priority="430" operator="equal">
      <formula>0</formula>
    </cfRule>
  </conditionalFormatting>
  <conditionalFormatting sqref="AV9:AV10">
    <cfRule type="cellIs" dxfId="6734" priority="421" operator="greaterThan">
      <formula>110%</formula>
    </cfRule>
    <cfRule type="cellIs" dxfId="6733" priority="422" operator="between">
      <formula>100.001%</formula>
      <formula>110%</formula>
    </cfRule>
    <cfRule type="cellIs" dxfId="6732" priority="423" operator="between">
      <formula>70.001%</formula>
      <formula>100%</formula>
    </cfRule>
    <cfRule type="cellIs" dxfId="6731" priority="424" operator="between">
      <formula>0.00001%</formula>
      <formula>70%</formula>
    </cfRule>
    <cfRule type="cellIs" dxfId="6730" priority="425" operator="equal">
      <formula>0</formula>
    </cfRule>
  </conditionalFormatting>
  <conditionalFormatting sqref="N9:N10">
    <cfRule type="cellIs" dxfId="6729" priority="416" operator="greaterThan">
      <formula>110%</formula>
    </cfRule>
    <cfRule type="cellIs" dxfId="6728" priority="417" operator="between">
      <formula>100.001%</formula>
      <formula>110%</formula>
    </cfRule>
    <cfRule type="cellIs" dxfId="6727" priority="418" operator="between">
      <formula>70.001%</formula>
      <formula>100%</formula>
    </cfRule>
    <cfRule type="cellIs" dxfId="6726" priority="419" operator="between">
      <formula>0.00001%</formula>
      <formula>70%</formula>
    </cfRule>
    <cfRule type="cellIs" dxfId="6725" priority="420" operator="equal">
      <formula>0</formula>
    </cfRule>
  </conditionalFormatting>
  <conditionalFormatting sqref="Q9:Q10">
    <cfRule type="cellIs" dxfId="6724" priority="411" operator="greaterThan">
      <formula>110%</formula>
    </cfRule>
    <cfRule type="cellIs" dxfId="6723" priority="412" operator="between">
      <formula>100.001%</formula>
      <formula>110%</formula>
    </cfRule>
    <cfRule type="cellIs" dxfId="6722" priority="413" operator="between">
      <formula>70.001%</formula>
      <formula>100%</formula>
    </cfRule>
    <cfRule type="cellIs" dxfId="6721" priority="414" operator="between">
      <formula>0.00001%</formula>
      <formula>70%</formula>
    </cfRule>
    <cfRule type="cellIs" dxfId="6720" priority="415" operator="equal">
      <formula>0</formula>
    </cfRule>
  </conditionalFormatting>
  <conditionalFormatting sqref="T9:T10">
    <cfRule type="cellIs" dxfId="6719" priority="406" operator="greaterThan">
      <formula>110%</formula>
    </cfRule>
    <cfRule type="cellIs" dxfId="6718" priority="407" operator="between">
      <formula>100.001%</formula>
      <formula>110%</formula>
    </cfRule>
    <cfRule type="cellIs" dxfId="6717" priority="408" operator="between">
      <formula>70.001%</formula>
      <formula>100%</formula>
    </cfRule>
    <cfRule type="cellIs" dxfId="6716" priority="409" operator="between">
      <formula>0.00001%</formula>
      <formula>70%</formula>
    </cfRule>
    <cfRule type="cellIs" dxfId="6715" priority="410" operator="equal">
      <formula>0</formula>
    </cfRule>
  </conditionalFormatting>
  <conditionalFormatting sqref="W9:W10">
    <cfRule type="cellIs" dxfId="6714" priority="401" operator="greaterThan">
      <formula>110%</formula>
    </cfRule>
    <cfRule type="cellIs" dxfId="6713" priority="402" operator="between">
      <formula>100.001%</formula>
      <formula>110%</formula>
    </cfRule>
    <cfRule type="cellIs" dxfId="6712" priority="403" operator="between">
      <formula>70.001%</formula>
      <formula>100%</formula>
    </cfRule>
    <cfRule type="cellIs" dxfId="6711" priority="404" operator="between">
      <formula>0.00001%</formula>
      <formula>70%</formula>
    </cfRule>
    <cfRule type="cellIs" dxfId="6710" priority="405" operator="equal">
      <formula>0</formula>
    </cfRule>
  </conditionalFormatting>
  <conditionalFormatting sqref="Z9:Z10">
    <cfRule type="cellIs" dxfId="6709" priority="396" operator="greaterThan">
      <formula>110%</formula>
    </cfRule>
    <cfRule type="cellIs" dxfId="6708" priority="397" operator="between">
      <formula>100.001%</formula>
      <formula>110%</formula>
    </cfRule>
    <cfRule type="cellIs" dxfId="6707" priority="398" operator="between">
      <formula>70.001%</formula>
      <formula>100%</formula>
    </cfRule>
    <cfRule type="cellIs" dxfId="6706" priority="399" operator="between">
      <formula>0.00001%</formula>
      <formula>70%</formula>
    </cfRule>
    <cfRule type="cellIs" dxfId="6705" priority="400" operator="equal">
      <formula>0</formula>
    </cfRule>
  </conditionalFormatting>
  <conditionalFormatting sqref="AE9:AE10">
    <cfRule type="cellIs" dxfId="6704" priority="391" operator="greaterThan">
      <formula>110%</formula>
    </cfRule>
    <cfRule type="cellIs" dxfId="6703" priority="392" operator="between">
      <formula>100.001%</formula>
      <formula>110%</formula>
    </cfRule>
    <cfRule type="cellIs" dxfId="6702" priority="393" operator="between">
      <formula>70.001%</formula>
      <formula>100%</formula>
    </cfRule>
    <cfRule type="cellIs" dxfId="6701" priority="394" operator="between">
      <formula>0.00001%</formula>
      <formula>70%</formula>
    </cfRule>
    <cfRule type="cellIs" dxfId="6700" priority="395" operator="equal">
      <formula>0</formula>
    </cfRule>
  </conditionalFormatting>
  <conditionalFormatting sqref="AH9:AH10">
    <cfRule type="cellIs" dxfId="6699" priority="386" operator="greaterThan">
      <formula>110%</formula>
    </cfRule>
    <cfRule type="cellIs" dxfId="6698" priority="387" operator="between">
      <formula>100.001%</formula>
      <formula>110%</formula>
    </cfRule>
    <cfRule type="cellIs" dxfId="6697" priority="388" operator="between">
      <formula>70.001%</formula>
      <formula>100%</formula>
    </cfRule>
    <cfRule type="cellIs" dxfId="6696" priority="389" operator="between">
      <formula>0.00001%</formula>
      <formula>70%</formula>
    </cfRule>
    <cfRule type="cellIs" dxfId="6695" priority="390" operator="equal">
      <formula>0</formula>
    </cfRule>
  </conditionalFormatting>
  <conditionalFormatting sqref="AK9:AK10">
    <cfRule type="cellIs" dxfId="6694" priority="381" operator="greaterThan">
      <formula>110%</formula>
    </cfRule>
    <cfRule type="cellIs" dxfId="6693" priority="382" operator="between">
      <formula>100.001%</formula>
      <formula>110%</formula>
    </cfRule>
    <cfRule type="cellIs" dxfId="6692" priority="383" operator="between">
      <formula>70.001%</formula>
      <formula>100%</formula>
    </cfRule>
    <cfRule type="cellIs" dxfId="6691" priority="384" operator="between">
      <formula>0.00001%</formula>
      <formula>70%</formula>
    </cfRule>
    <cfRule type="cellIs" dxfId="6690" priority="385" operator="equal">
      <formula>0</formula>
    </cfRule>
  </conditionalFormatting>
  <conditionalFormatting sqref="AN9:AN10">
    <cfRule type="cellIs" dxfId="6689" priority="376" operator="greaterThan">
      <formula>110%</formula>
    </cfRule>
    <cfRule type="cellIs" dxfId="6688" priority="377" operator="between">
      <formula>100.001%</formula>
      <formula>110%</formula>
    </cfRule>
    <cfRule type="cellIs" dxfId="6687" priority="378" operator="between">
      <formula>70.001%</formula>
      <formula>100%</formula>
    </cfRule>
    <cfRule type="cellIs" dxfId="6686" priority="379" operator="between">
      <formula>0.00001%</formula>
      <formula>70%</formula>
    </cfRule>
    <cfRule type="cellIs" dxfId="6685" priority="380" operator="equal">
      <formula>0</formula>
    </cfRule>
  </conditionalFormatting>
  <conditionalFormatting sqref="AQ9:AQ10">
    <cfRule type="cellIs" dxfId="6684" priority="371" operator="greaterThan">
      <formula>110%</formula>
    </cfRule>
    <cfRule type="cellIs" dxfId="6683" priority="372" operator="between">
      <formula>100.001%</formula>
      <formula>110%</formula>
    </cfRule>
    <cfRule type="cellIs" dxfId="6682" priority="373" operator="between">
      <formula>70.001%</formula>
      <formula>100%</formula>
    </cfRule>
    <cfRule type="cellIs" dxfId="6681" priority="374" operator="between">
      <formula>0.00001%</formula>
      <formula>70%</formula>
    </cfRule>
    <cfRule type="cellIs" dxfId="6680" priority="375" operator="equal">
      <formula>0</formula>
    </cfRule>
  </conditionalFormatting>
  <conditionalFormatting sqref="AT9:AT10">
    <cfRule type="cellIs" dxfId="6679" priority="366" operator="greaterThan">
      <formula>110%</formula>
    </cfRule>
    <cfRule type="cellIs" dxfId="6678" priority="367" operator="between">
      <formula>100.001%</formula>
      <formula>110%</formula>
    </cfRule>
    <cfRule type="cellIs" dxfId="6677" priority="368" operator="between">
      <formula>70.001%</formula>
      <formula>100%</formula>
    </cfRule>
    <cfRule type="cellIs" dxfId="6676" priority="369" operator="between">
      <formula>0.00001%</formula>
      <formula>70%</formula>
    </cfRule>
    <cfRule type="cellIs" dxfId="6675" priority="370" operator="equal">
      <formula>0</formula>
    </cfRule>
  </conditionalFormatting>
  <conditionalFormatting sqref="AB50">
    <cfRule type="cellIs" dxfId="6674" priority="361" operator="greaterThan">
      <formula>110%</formula>
    </cfRule>
    <cfRule type="cellIs" dxfId="6673" priority="362" operator="between">
      <formula>100.001%</formula>
      <formula>110%</formula>
    </cfRule>
    <cfRule type="cellIs" dxfId="6672" priority="363" operator="between">
      <formula>70.001%</formula>
      <formula>100%</formula>
    </cfRule>
    <cfRule type="cellIs" dxfId="6671" priority="364" operator="between">
      <formula>0.00001%</formula>
      <formula>70%</formula>
    </cfRule>
    <cfRule type="cellIs" dxfId="6670" priority="365" operator="equal">
      <formula>0</formula>
    </cfRule>
  </conditionalFormatting>
  <conditionalFormatting sqref="AV50">
    <cfRule type="cellIs" dxfId="6669" priority="356" operator="greaterThan">
      <formula>110%</formula>
    </cfRule>
    <cfRule type="cellIs" dxfId="6668" priority="357" operator="between">
      <formula>100.001%</formula>
      <formula>110%</formula>
    </cfRule>
    <cfRule type="cellIs" dxfId="6667" priority="358" operator="between">
      <formula>70.001%</formula>
      <formula>100%</formula>
    </cfRule>
    <cfRule type="cellIs" dxfId="6666" priority="359" operator="between">
      <formula>0.00001%</formula>
      <formula>70%</formula>
    </cfRule>
    <cfRule type="cellIs" dxfId="6665" priority="360" operator="equal">
      <formula>0</formula>
    </cfRule>
  </conditionalFormatting>
  <conditionalFormatting sqref="N50">
    <cfRule type="cellIs" dxfId="6664" priority="351" operator="greaterThan">
      <formula>110%</formula>
    </cfRule>
    <cfRule type="cellIs" dxfId="6663" priority="352" operator="between">
      <formula>100.001%</formula>
      <formula>110%</formula>
    </cfRule>
    <cfRule type="cellIs" dxfId="6662" priority="353" operator="between">
      <formula>70.001%</formula>
      <formula>100%</formula>
    </cfRule>
    <cfRule type="cellIs" dxfId="6661" priority="354" operator="between">
      <formula>0.00001%</formula>
      <formula>70%</formula>
    </cfRule>
    <cfRule type="cellIs" dxfId="6660" priority="355" operator="equal">
      <formula>0</formula>
    </cfRule>
  </conditionalFormatting>
  <conditionalFormatting sqref="Q50">
    <cfRule type="cellIs" dxfId="6659" priority="346" operator="greaterThan">
      <formula>110%</formula>
    </cfRule>
    <cfRule type="cellIs" dxfId="6658" priority="347" operator="between">
      <formula>100.001%</formula>
      <formula>110%</formula>
    </cfRule>
    <cfRule type="cellIs" dxfId="6657" priority="348" operator="between">
      <formula>70.001%</formula>
      <formula>100%</formula>
    </cfRule>
    <cfRule type="cellIs" dxfId="6656" priority="349" operator="between">
      <formula>0.00001%</formula>
      <formula>70%</formula>
    </cfRule>
    <cfRule type="cellIs" dxfId="6655" priority="350" operator="equal">
      <formula>0</formula>
    </cfRule>
  </conditionalFormatting>
  <conditionalFormatting sqref="T50">
    <cfRule type="cellIs" dxfId="6654" priority="341" operator="greaterThan">
      <formula>110%</formula>
    </cfRule>
    <cfRule type="cellIs" dxfId="6653" priority="342" operator="between">
      <formula>100.001%</formula>
      <formula>110%</formula>
    </cfRule>
    <cfRule type="cellIs" dxfId="6652" priority="343" operator="between">
      <formula>70.001%</formula>
      <formula>100%</formula>
    </cfRule>
    <cfRule type="cellIs" dxfId="6651" priority="344" operator="between">
      <formula>0.00001%</formula>
      <formula>70%</formula>
    </cfRule>
    <cfRule type="cellIs" dxfId="6650" priority="345" operator="equal">
      <formula>0</formula>
    </cfRule>
  </conditionalFormatting>
  <conditionalFormatting sqref="W50">
    <cfRule type="cellIs" dxfId="6649" priority="336" operator="greaterThan">
      <formula>110%</formula>
    </cfRule>
    <cfRule type="cellIs" dxfId="6648" priority="337" operator="between">
      <formula>100.001%</formula>
      <formula>110%</formula>
    </cfRule>
    <cfRule type="cellIs" dxfId="6647" priority="338" operator="between">
      <formula>70.001%</formula>
      <formula>100%</formula>
    </cfRule>
    <cfRule type="cellIs" dxfId="6646" priority="339" operator="between">
      <formula>0.00001%</formula>
      <formula>70%</formula>
    </cfRule>
    <cfRule type="cellIs" dxfId="6645" priority="340" operator="equal">
      <formula>0</formula>
    </cfRule>
  </conditionalFormatting>
  <conditionalFormatting sqref="Z50">
    <cfRule type="cellIs" dxfId="6644" priority="331" operator="greaterThan">
      <formula>110%</formula>
    </cfRule>
    <cfRule type="cellIs" dxfId="6643" priority="332" operator="between">
      <formula>100.001%</formula>
      <formula>110%</formula>
    </cfRule>
    <cfRule type="cellIs" dxfId="6642" priority="333" operator="between">
      <formula>70.001%</formula>
      <formula>100%</formula>
    </cfRule>
    <cfRule type="cellIs" dxfId="6641" priority="334" operator="between">
      <formula>0.00001%</formula>
      <formula>70%</formula>
    </cfRule>
    <cfRule type="cellIs" dxfId="6640" priority="335" operator="equal">
      <formula>0</formula>
    </cfRule>
  </conditionalFormatting>
  <conditionalFormatting sqref="AE50">
    <cfRule type="cellIs" dxfId="6639" priority="326" operator="greaterThan">
      <formula>110%</formula>
    </cfRule>
    <cfRule type="cellIs" dxfId="6638" priority="327" operator="between">
      <formula>100.001%</formula>
      <formula>110%</formula>
    </cfRule>
    <cfRule type="cellIs" dxfId="6637" priority="328" operator="between">
      <formula>70.001%</formula>
      <formula>100%</formula>
    </cfRule>
    <cfRule type="cellIs" dxfId="6636" priority="329" operator="between">
      <formula>0.00001%</formula>
      <formula>70%</formula>
    </cfRule>
    <cfRule type="cellIs" dxfId="6635" priority="330" operator="equal">
      <formula>0</formula>
    </cfRule>
  </conditionalFormatting>
  <conditionalFormatting sqref="AH50">
    <cfRule type="cellIs" dxfId="6634" priority="321" operator="greaterThan">
      <formula>110%</formula>
    </cfRule>
    <cfRule type="cellIs" dxfId="6633" priority="322" operator="between">
      <formula>100.001%</formula>
      <formula>110%</formula>
    </cfRule>
    <cfRule type="cellIs" dxfId="6632" priority="323" operator="between">
      <formula>70.001%</formula>
      <formula>100%</formula>
    </cfRule>
    <cfRule type="cellIs" dxfId="6631" priority="324" operator="between">
      <formula>0.00001%</formula>
      <formula>70%</formula>
    </cfRule>
    <cfRule type="cellIs" dxfId="6630" priority="325" operator="equal">
      <formula>0</formula>
    </cfRule>
  </conditionalFormatting>
  <conditionalFormatting sqref="AK50">
    <cfRule type="cellIs" dxfId="6629" priority="316" operator="greaterThan">
      <formula>110%</formula>
    </cfRule>
    <cfRule type="cellIs" dxfId="6628" priority="317" operator="between">
      <formula>100.001%</formula>
      <formula>110%</formula>
    </cfRule>
    <cfRule type="cellIs" dxfId="6627" priority="318" operator="between">
      <formula>70.001%</formula>
      <formula>100%</formula>
    </cfRule>
    <cfRule type="cellIs" dxfId="6626" priority="319" operator="between">
      <formula>0.00001%</formula>
      <formula>70%</formula>
    </cfRule>
    <cfRule type="cellIs" dxfId="6625" priority="320" operator="equal">
      <formula>0</formula>
    </cfRule>
  </conditionalFormatting>
  <conditionalFormatting sqref="AN50">
    <cfRule type="cellIs" dxfId="6624" priority="311" operator="greaterThan">
      <formula>110%</formula>
    </cfRule>
    <cfRule type="cellIs" dxfId="6623" priority="312" operator="between">
      <formula>100.001%</formula>
      <formula>110%</formula>
    </cfRule>
    <cfRule type="cellIs" dxfId="6622" priority="313" operator="between">
      <formula>70.001%</formula>
      <formula>100%</formula>
    </cfRule>
    <cfRule type="cellIs" dxfId="6621" priority="314" operator="between">
      <formula>0.00001%</formula>
      <formula>70%</formula>
    </cfRule>
    <cfRule type="cellIs" dxfId="6620" priority="315" operator="equal">
      <formula>0</formula>
    </cfRule>
  </conditionalFormatting>
  <conditionalFormatting sqref="AQ50">
    <cfRule type="cellIs" dxfId="6619" priority="306" operator="greaterThan">
      <formula>110%</formula>
    </cfRule>
    <cfRule type="cellIs" dxfId="6618" priority="307" operator="between">
      <formula>100.001%</formula>
      <formula>110%</formula>
    </cfRule>
    <cfRule type="cellIs" dxfId="6617" priority="308" operator="between">
      <formula>70.001%</formula>
      <formula>100%</formula>
    </cfRule>
    <cfRule type="cellIs" dxfId="6616" priority="309" operator="between">
      <formula>0.00001%</formula>
      <formula>70%</formula>
    </cfRule>
    <cfRule type="cellIs" dxfId="6615" priority="310" operator="equal">
      <formula>0</formula>
    </cfRule>
  </conditionalFormatting>
  <conditionalFormatting sqref="AT50">
    <cfRule type="cellIs" dxfId="6614" priority="301" operator="greaterThan">
      <formula>110%</formula>
    </cfRule>
    <cfRule type="cellIs" dxfId="6613" priority="302" operator="between">
      <formula>100.001%</formula>
      <formula>110%</formula>
    </cfRule>
    <cfRule type="cellIs" dxfId="6612" priority="303" operator="between">
      <formula>70.001%</formula>
      <formula>100%</formula>
    </cfRule>
    <cfRule type="cellIs" dxfId="6611" priority="304" operator="between">
      <formula>0.00001%</formula>
      <formula>70%</formula>
    </cfRule>
    <cfRule type="cellIs" dxfId="6610" priority="305" operator="equal">
      <formula>0</formula>
    </cfRule>
  </conditionalFormatting>
  <conditionalFormatting sqref="N46">
    <cfRule type="cellIs" dxfId="6609" priority="296" operator="greaterThan">
      <formula>110%</formula>
    </cfRule>
    <cfRule type="cellIs" dxfId="6608" priority="297" operator="between">
      <formula>100.001%</formula>
      <formula>110%</formula>
    </cfRule>
    <cfRule type="cellIs" dxfId="6607" priority="298" operator="between">
      <formula>70.001%</formula>
      <formula>100%</formula>
    </cfRule>
    <cfRule type="cellIs" dxfId="6606" priority="299" operator="between">
      <formula>0.00001%</formula>
      <formula>70%</formula>
    </cfRule>
    <cfRule type="cellIs" dxfId="6605" priority="300" operator="equal">
      <formula>0</formula>
    </cfRule>
  </conditionalFormatting>
  <conditionalFormatting sqref="Q46">
    <cfRule type="cellIs" dxfId="6604" priority="291" operator="greaterThan">
      <formula>110%</formula>
    </cfRule>
    <cfRule type="cellIs" dxfId="6603" priority="292" operator="between">
      <formula>100.001%</formula>
      <formula>110%</formula>
    </cfRule>
    <cfRule type="cellIs" dxfId="6602" priority="293" operator="between">
      <formula>70.001%</formula>
      <formula>100%</formula>
    </cfRule>
    <cfRule type="cellIs" dxfId="6601" priority="294" operator="between">
      <formula>0.00001%</formula>
      <formula>70%</formula>
    </cfRule>
    <cfRule type="cellIs" dxfId="6600" priority="295" operator="equal">
      <formula>0</formula>
    </cfRule>
  </conditionalFormatting>
  <conditionalFormatting sqref="T46">
    <cfRule type="cellIs" dxfId="6599" priority="286" operator="greaterThan">
      <formula>110%</formula>
    </cfRule>
    <cfRule type="cellIs" dxfId="6598" priority="287" operator="between">
      <formula>100.001%</formula>
      <formula>110%</formula>
    </cfRule>
    <cfRule type="cellIs" dxfId="6597" priority="288" operator="between">
      <formula>70.001%</formula>
      <formula>100%</formula>
    </cfRule>
    <cfRule type="cellIs" dxfId="6596" priority="289" operator="between">
      <formula>0.00001%</formula>
      <formula>70%</formula>
    </cfRule>
    <cfRule type="cellIs" dxfId="6595" priority="290" operator="equal">
      <formula>0</formula>
    </cfRule>
  </conditionalFormatting>
  <conditionalFormatting sqref="W46">
    <cfRule type="cellIs" dxfId="6594" priority="281" operator="greaterThan">
      <formula>110%</formula>
    </cfRule>
    <cfRule type="cellIs" dxfId="6593" priority="282" operator="between">
      <formula>100.001%</formula>
      <formula>110%</formula>
    </cfRule>
    <cfRule type="cellIs" dxfId="6592" priority="283" operator="between">
      <formula>70.001%</formula>
      <formula>100%</formula>
    </cfRule>
    <cfRule type="cellIs" dxfId="6591" priority="284" operator="between">
      <formula>0.00001%</formula>
      <formula>70%</formula>
    </cfRule>
    <cfRule type="cellIs" dxfId="6590" priority="285" operator="equal">
      <formula>0</formula>
    </cfRule>
  </conditionalFormatting>
  <conditionalFormatting sqref="Z46">
    <cfRule type="cellIs" dxfId="6589" priority="276" operator="greaterThan">
      <formula>110%</formula>
    </cfRule>
    <cfRule type="cellIs" dxfId="6588" priority="277" operator="between">
      <formula>100.001%</formula>
      <formula>110%</formula>
    </cfRule>
    <cfRule type="cellIs" dxfId="6587" priority="278" operator="between">
      <formula>70.001%</formula>
      <formula>100%</formula>
    </cfRule>
    <cfRule type="cellIs" dxfId="6586" priority="279" operator="between">
      <formula>0.00001%</formula>
      <formula>70%</formula>
    </cfRule>
    <cfRule type="cellIs" dxfId="6585" priority="280" operator="equal">
      <formula>0</formula>
    </cfRule>
  </conditionalFormatting>
  <conditionalFormatting sqref="AE46">
    <cfRule type="cellIs" dxfId="6584" priority="271" operator="greaterThan">
      <formula>110%</formula>
    </cfRule>
    <cfRule type="cellIs" dxfId="6583" priority="272" operator="between">
      <formula>100.001%</formula>
      <formula>110%</formula>
    </cfRule>
    <cfRule type="cellIs" dxfId="6582" priority="273" operator="between">
      <formula>70.001%</formula>
      <formula>100%</formula>
    </cfRule>
    <cfRule type="cellIs" dxfId="6581" priority="274" operator="between">
      <formula>0.00001%</formula>
      <formula>70%</formula>
    </cfRule>
    <cfRule type="cellIs" dxfId="6580" priority="275" operator="equal">
      <formula>0</formula>
    </cfRule>
  </conditionalFormatting>
  <conditionalFormatting sqref="AH46">
    <cfRule type="cellIs" dxfId="6579" priority="266" operator="greaterThan">
      <formula>110%</formula>
    </cfRule>
    <cfRule type="cellIs" dxfId="6578" priority="267" operator="between">
      <formula>100.001%</formula>
      <formula>110%</formula>
    </cfRule>
    <cfRule type="cellIs" dxfId="6577" priority="268" operator="between">
      <formula>70.001%</formula>
      <formula>100%</formula>
    </cfRule>
    <cfRule type="cellIs" dxfId="6576" priority="269" operator="between">
      <formula>0.00001%</formula>
      <formula>70%</formula>
    </cfRule>
    <cfRule type="cellIs" dxfId="6575" priority="270" operator="equal">
      <formula>0</formula>
    </cfRule>
  </conditionalFormatting>
  <conditionalFormatting sqref="AK46">
    <cfRule type="cellIs" dxfId="6574" priority="261" operator="greaterThan">
      <formula>110%</formula>
    </cfRule>
    <cfRule type="cellIs" dxfId="6573" priority="262" operator="between">
      <formula>100.001%</formula>
      <formula>110%</formula>
    </cfRule>
    <cfRule type="cellIs" dxfId="6572" priority="263" operator="between">
      <formula>70.001%</formula>
      <formula>100%</formula>
    </cfRule>
    <cfRule type="cellIs" dxfId="6571" priority="264" operator="between">
      <formula>0.00001%</formula>
      <formula>70%</formula>
    </cfRule>
    <cfRule type="cellIs" dxfId="6570" priority="265" operator="equal">
      <formula>0</formula>
    </cfRule>
  </conditionalFormatting>
  <conditionalFormatting sqref="AN46">
    <cfRule type="cellIs" dxfId="6569" priority="256" operator="greaterThan">
      <formula>110%</formula>
    </cfRule>
    <cfRule type="cellIs" dxfId="6568" priority="257" operator="between">
      <formula>100.001%</formula>
      <formula>110%</formula>
    </cfRule>
    <cfRule type="cellIs" dxfId="6567" priority="258" operator="between">
      <formula>70.001%</formula>
      <formula>100%</formula>
    </cfRule>
    <cfRule type="cellIs" dxfId="6566" priority="259" operator="between">
      <formula>0.00001%</formula>
      <formula>70%</formula>
    </cfRule>
    <cfRule type="cellIs" dxfId="6565" priority="260" operator="equal">
      <formula>0</formula>
    </cfRule>
  </conditionalFormatting>
  <conditionalFormatting sqref="AQ46">
    <cfRule type="cellIs" dxfId="6564" priority="251" operator="greaterThan">
      <formula>110%</formula>
    </cfRule>
    <cfRule type="cellIs" dxfId="6563" priority="252" operator="between">
      <formula>100.001%</formula>
      <formula>110%</formula>
    </cfRule>
    <cfRule type="cellIs" dxfId="6562" priority="253" operator="between">
      <formula>70.001%</formula>
      <formula>100%</formula>
    </cfRule>
    <cfRule type="cellIs" dxfId="6561" priority="254" operator="between">
      <formula>0.00001%</formula>
      <formula>70%</formula>
    </cfRule>
    <cfRule type="cellIs" dxfId="6560" priority="255" operator="equal">
      <formula>0</formula>
    </cfRule>
  </conditionalFormatting>
  <conditionalFormatting sqref="AT46">
    <cfRule type="cellIs" dxfId="6559" priority="246" operator="greaterThan">
      <formula>110%</formula>
    </cfRule>
    <cfRule type="cellIs" dxfId="6558" priority="247" operator="between">
      <formula>100.001%</formula>
      <formula>110%</formula>
    </cfRule>
    <cfRule type="cellIs" dxfId="6557" priority="248" operator="between">
      <formula>70.001%</formula>
      <formula>100%</formula>
    </cfRule>
    <cfRule type="cellIs" dxfId="6556" priority="249" operator="between">
      <formula>0.00001%</formula>
      <formula>70%</formula>
    </cfRule>
    <cfRule type="cellIs" dxfId="6555" priority="250" operator="equal">
      <formula>0</formula>
    </cfRule>
  </conditionalFormatting>
  <conditionalFormatting sqref="N45">
    <cfRule type="cellIs" dxfId="6554" priority="241" operator="greaterThan">
      <formula>110%</formula>
    </cfRule>
    <cfRule type="cellIs" dxfId="6553" priority="242" operator="between">
      <formula>100.001%</formula>
      <formula>110%</formula>
    </cfRule>
    <cfRule type="cellIs" dxfId="6552" priority="243" operator="between">
      <formula>70.001%</formula>
      <formula>100%</formula>
    </cfRule>
    <cfRule type="cellIs" dxfId="6551" priority="244" operator="between">
      <formula>0.00001%</formula>
      <formula>70%</formula>
    </cfRule>
    <cfRule type="cellIs" dxfId="6550" priority="245" operator="equal">
      <formula>0</formula>
    </cfRule>
  </conditionalFormatting>
  <conditionalFormatting sqref="Q45">
    <cfRule type="cellIs" dxfId="6549" priority="236" operator="greaterThan">
      <formula>110%</formula>
    </cfRule>
    <cfRule type="cellIs" dxfId="6548" priority="237" operator="between">
      <formula>100.001%</formula>
      <formula>110%</formula>
    </cfRule>
    <cfRule type="cellIs" dxfId="6547" priority="238" operator="between">
      <formula>70.001%</formula>
      <formula>100%</formula>
    </cfRule>
    <cfRule type="cellIs" dxfId="6546" priority="239" operator="between">
      <formula>0.00001%</formula>
      <formula>70%</formula>
    </cfRule>
    <cfRule type="cellIs" dxfId="6545" priority="240" operator="equal">
      <formula>0</formula>
    </cfRule>
  </conditionalFormatting>
  <conditionalFormatting sqref="T45">
    <cfRule type="cellIs" dxfId="6544" priority="231" operator="greaterThan">
      <formula>110%</formula>
    </cfRule>
    <cfRule type="cellIs" dxfId="6543" priority="232" operator="between">
      <formula>100.001%</formula>
      <formula>110%</formula>
    </cfRule>
    <cfRule type="cellIs" dxfId="6542" priority="233" operator="between">
      <formula>70.001%</formula>
      <formula>100%</formula>
    </cfRule>
    <cfRule type="cellIs" dxfId="6541" priority="234" operator="between">
      <formula>0.00001%</formula>
      <formula>70%</formula>
    </cfRule>
    <cfRule type="cellIs" dxfId="6540" priority="235" operator="equal">
      <formula>0</formula>
    </cfRule>
  </conditionalFormatting>
  <conditionalFormatting sqref="W45">
    <cfRule type="cellIs" dxfId="6539" priority="226" operator="greaterThan">
      <formula>110%</formula>
    </cfRule>
    <cfRule type="cellIs" dxfId="6538" priority="227" operator="between">
      <formula>100.001%</formula>
      <formula>110%</formula>
    </cfRule>
    <cfRule type="cellIs" dxfId="6537" priority="228" operator="between">
      <formula>70.001%</formula>
      <formula>100%</formula>
    </cfRule>
    <cfRule type="cellIs" dxfId="6536" priority="229" operator="between">
      <formula>0.00001%</formula>
      <formula>70%</formula>
    </cfRule>
    <cfRule type="cellIs" dxfId="6535" priority="230" operator="equal">
      <formula>0</formula>
    </cfRule>
  </conditionalFormatting>
  <conditionalFormatting sqref="Z45">
    <cfRule type="cellIs" dxfId="6534" priority="221" operator="greaterThan">
      <formula>110%</formula>
    </cfRule>
    <cfRule type="cellIs" dxfId="6533" priority="222" operator="between">
      <formula>100.001%</formula>
      <formula>110%</formula>
    </cfRule>
    <cfRule type="cellIs" dxfId="6532" priority="223" operator="between">
      <formula>70.001%</formula>
      <formula>100%</formula>
    </cfRule>
    <cfRule type="cellIs" dxfId="6531" priority="224" operator="between">
      <formula>0.00001%</formula>
      <formula>70%</formula>
    </cfRule>
    <cfRule type="cellIs" dxfId="6530" priority="225" operator="equal">
      <formula>0</formula>
    </cfRule>
  </conditionalFormatting>
  <conditionalFormatting sqref="AE45">
    <cfRule type="cellIs" dxfId="6529" priority="216" operator="greaterThan">
      <formula>110%</formula>
    </cfRule>
    <cfRule type="cellIs" dxfId="6528" priority="217" operator="between">
      <formula>100.001%</formula>
      <formula>110%</formula>
    </cfRule>
    <cfRule type="cellIs" dxfId="6527" priority="218" operator="between">
      <formula>70.001%</formula>
      <formula>100%</formula>
    </cfRule>
    <cfRule type="cellIs" dxfId="6526" priority="219" operator="between">
      <formula>0.00001%</formula>
      <formula>70%</formula>
    </cfRule>
    <cfRule type="cellIs" dxfId="6525" priority="220" operator="equal">
      <formula>0</formula>
    </cfRule>
  </conditionalFormatting>
  <conditionalFormatting sqref="AH45">
    <cfRule type="cellIs" dxfId="6524" priority="211" operator="greaterThan">
      <formula>110%</formula>
    </cfRule>
    <cfRule type="cellIs" dxfId="6523" priority="212" operator="between">
      <formula>100.001%</formula>
      <formula>110%</formula>
    </cfRule>
    <cfRule type="cellIs" dxfId="6522" priority="213" operator="between">
      <formula>70.001%</formula>
      <formula>100%</formula>
    </cfRule>
    <cfRule type="cellIs" dxfId="6521" priority="214" operator="between">
      <formula>0.00001%</formula>
      <formula>70%</formula>
    </cfRule>
    <cfRule type="cellIs" dxfId="6520" priority="215" operator="equal">
      <formula>0</formula>
    </cfRule>
  </conditionalFormatting>
  <conditionalFormatting sqref="AK45">
    <cfRule type="cellIs" dxfId="6519" priority="206" operator="greaterThan">
      <formula>110%</formula>
    </cfRule>
    <cfRule type="cellIs" dxfId="6518" priority="207" operator="between">
      <formula>100.001%</formula>
      <formula>110%</formula>
    </cfRule>
    <cfRule type="cellIs" dxfId="6517" priority="208" operator="between">
      <formula>70.001%</formula>
      <formula>100%</formula>
    </cfRule>
    <cfRule type="cellIs" dxfId="6516" priority="209" operator="between">
      <formula>0.00001%</formula>
      <formula>70%</formula>
    </cfRule>
    <cfRule type="cellIs" dxfId="6515" priority="210" operator="equal">
      <formula>0</formula>
    </cfRule>
  </conditionalFormatting>
  <conditionalFormatting sqref="AN45">
    <cfRule type="cellIs" dxfId="6514" priority="201" operator="greaterThan">
      <formula>110%</formula>
    </cfRule>
    <cfRule type="cellIs" dxfId="6513" priority="202" operator="between">
      <formula>100.001%</formula>
      <formula>110%</formula>
    </cfRule>
    <cfRule type="cellIs" dxfId="6512" priority="203" operator="between">
      <formula>70.001%</formula>
      <formula>100%</formula>
    </cfRule>
    <cfRule type="cellIs" dxfId="6511" priority="204" operator="between">
      <formula>0.00001%</formula>
      <formula>70%</formula>
    </cfRule>
    <cfRule type="cellIs" dxfId="6510" priority="205" operator="equal">
      <formula>0</formula>
    </cfRule>
  </conditionalFormatting>
  <conditionalFormatting sqref="AQ45">
    <cfRule type="cellIs" dxfId="6509" priority="196" operator="greaterThan">
      <formula>110%</formula>
    </cfRule>
    <cfRule type="cellIs" dxfId="6508" priority="197" operator="between">
      <formula>100.001%</formula>
      <formula>110%</formula>
    </cfRule>
    <cfRule type="cellIs" dxfId="6507" priority="198" operator="between">
      <formula>70.001%</formula>
      <formula>100%</formula>
    </cfRule>
    <cfRule type="cellIs" dxfId="6506" priority="199" operator="between">
      <formula>0.00001%</formula>
      <formula>70%</formula>
    </cfRule>
    <cfRule type="cellIs" dxfId="6505" priority="200" operator="equal">
      <formula>0</formula>
    </cfRule>
  </conditionalFormatting>
  <conditionalFormatting sqref="AT45">
    <cfRule type="cellIs" dxfId="6504" priority="191" operator="greaterThan">
      <formula>110%</formula>
    </cfRule>
    <cfRule type="cellIs" dxfId="6503" priority="192" operator="between">
      <formula>100.001%</formula>
      <formula>110%</formula>
    </cfRule>
    <cfRule type="cellIs" dxfId="6502" priority="193" operator="between">
      <formula>70.001%</formula>
      <formula>100%</formula>
    </cfRule>
    <cfRule type="cellIs" dxfId="6501" priority="194" operator="between">
      <formula>0.00001%</formula>
      <formula>70%</formula>
    </cfRule>
    <cfRule type="cellIs" dxfId="6500" priority="195" operator="equal">
      <formula>0</formula>
    </cfRule>
  </conditionalFormatting>
  <conditionalFormatting sqref="N48">
    <cfRule type="cellIs" dxfId="6499" priority="186" operator="greaterThan">
      <formula>110%</formula>
    </cfRule>
    <cfRule type="cellIs" dxfId="6498" priority="187" operator="between">
      <formula>100.001%</formula>
      <formula>110%</formula>
    </cfRule>
    <cfRule type="cellIs" dxfId="6497" priority="188" operator="between">
      <formula>70.001%</formula>
      <formula>100%</formula>
    </cfRule>
    <cfRule type="cellIs" dxfId="6496" priority="189" operator="between">
      <formula>0.00001%</formula>
      <formula>70%</formula>
    </cfRule>
    <cfRule type="cellIs" dxfId="6495" priority="190" operator="equal">
      <formula>0</formula>
    </cfRule>
  </conditionalFormatting>
  <conditionalFormatting sqref="Q48">
    <cfRule type="cellIs" dxfId="6494" priority="181" operator="greaterThan">
      <formula>110%</formula>
    </cfRule>
    <cfRule type="cellIs" dxfId="6493" priority="182" operator="between">
      <formula>100.001%</formula>
      <formula>110%</formula>
    </cfRule>
    <cfRule type="cellIs" dxfId="6492" priority="183" operator="between">
      <formula>70.001%</formula>
      <formula>100%</formula>
    </cfRule>
    <cfRule type="cellIs" dxfId="6491" priority="184" operator="between">
      <formula>0.00001%</formula>
      <formula>70%</formula>
    </cfRule>
    <cfRule type="cellIs" dxfId="6490" priority="185" operator="equal">
      <formula>0</formula>
    </cfRule>
  </conditionalFormatting>
  <conditionalFormatting sqref="T48">
    <cfRule type="cellIs" dxfId="6489" priority="176" operator="greaterThan">
      <formula>110%</formula>
    </cfRule>
    <cfRule type="cellIs" dxfId="6488" priority="177" operator="between">
      <formula>100.001%</formula>
      <formula>110%</formula>
    </cfRule>
    <cfRule type="cellIs" dxfId="6487" priority="178" operator="between">
      <formula>70.001%</formula>
      <formula>100%</formula>
    </cfRule>
    <cfRule type="cellIs" dxfId="6486" priority="179" operator="between">
      <formula>0.00001%</formula>
      <formula>70%</formula>
    </cfRule>
    <cfRule type="cellIs" dxfId="6485" priority="180" operator="equal">
      <formula>0</formula>
    </cfRule>
  </conditionalFormatting>
  <conditionalFormatting sqref="W48">
    <cfRule type="cellIs" dxfId="6484" priority="171" operator="greaterThan">
      <formula>110%</formula>
    </cfRule>
    <cfRule type="cellIs" dxfId="6483" priority="172" operator="between">
      <formula>100.001%</formula>
      <formula>110%</formula>
    </cfRule>
    <cfRule type="cellIs" dxfId="6482" priority="173" operator="between">
      <formula>70.001%</formula>
      <formula>100%</formula>
    </cfRule>
    <cfRule type="cellIs" dxfId="6481" priority="174" operator="between">
      <formula>0.00001%</formula>
      <formula>70%</formula>
    </cfRule>
    <cfRule type="cellIs" dxfId="6480" priority="175" operator="equal">
      <formula>0</formula>
    </cfRule>
  </conditionalFormatting>
  <conditionalFormatting sqref="Z48">
    <cfRule type="cellIs" dxfId="6479" priority="166" operator="greaterThan">
      <formula>110%</formula>
    </cfRule>
    <cfRule type="cellIs" dxfId="6478" priority="167" operator="between">
      <formula>100.001%</formula>
      <formula>110%</formula>
    </cfRule>
    <cfRule type="cellIs" dxfId="6477" priority="168" operator="between">
      <formula>70.001%</formula>
      <formula>100%</formula>
    </cfRule>
    <cfRule type="cellIs" dxfId="6476" priority="169" operator="between">
      <formula>0.00001%</formula>
      <formula>70%</formula>
    </cfRule>
    <cfRule type="cellIs" dxfId="6475" priority="170" operator="equal">
      <formula>0</formula>
    </cfRule>
  </conditionalFormatting>
  <conditionalFormatting sqref="AE48">
    <cfRule type="cellIs" dxfId="6474" priority="161" operator="greaterThan">
      <formula>110%</formula>
    </cfRule>
    <cfRule type="cellIs" dxfId="6473" priority="162" operator="between">
      <formula>100.001%</formula>
      <formula>110%</formula>
    </cfRule>
    <cfRule type="cellIs" dxfId="6472" priority="163" operator="between">
      <formula>70.001%</formula>
      <formula>100%</formula>
    </cfRule>
    <cfRule type="cellIs" dxfId="6471" priority="164" operator="between">
      <formula>0.00001%</formula>
      <formula>70%</formula>
    </cfRule>
    <cfRule type="cellIs" dxfId="6470" priority="165" operator="equal">
      <formula>0</formula>
    </cfRule>
  </conditionalFormatting>
  <conditionalFormatting sqref="AH48">
    <cfRule type="cellIs" dxfId="6469" priority="156" operator="greaterThan">
      <formula>110%</formula>
    </cfRule>
    <cfRule type="cellIs" dxfId="6468" priority="157" operator="between">
      <formula>100.001%</formula>
      <formula>110%</formula>
    </cfRule>
    <cfRule type="cellIs" dxfId="6467" priority="158" operator="between">
      <formula>70.001%</formula>
      <formula>100%</formula>
    </cfRule>
    <cfRule type="cellIs" dxfId="6466" priority="159" operator="between">
      <formula>0.00001%</formula>
      <formula>70%</formula>
    </cfRule>
    <cfRule type="cellIs" dxfId="6465" priority="160" operator="equal">
      <formula>0</formula>
    </cfRule>
  </conditionalFormatting>
  <conditionalFormatting sqref="AK48">
    <cfRule type="cellIs" dxfId="6464" priority="151" operator="greaterThan">
      <formula>110%</formula>
    </cfRule>
    <cfRule type="cellIs" dxfId="6463" priority="152" operator="between">
      <formula>100.001%</formula>
      <formula>110%</formula>
    </cfRule>
    <cfRule type="cellIs" dxfId="6462" priority="153" operator="between">
      <formula>70.001%</formula>
      <formula>100%</formula>
    </cfRule>
    <cfRule type="cellIs" dxfId="6461" priority="154" operator="between">
      <formula>0.00001%</formula>
      <formula>70%</formula>
    </cfRule>
    <cfRule type="cellIs" dxfId="6460" priority="155" operator="equal">
      <formula>0</formula>
    </cfRule>
  </conditionalFormatting>
  <conditionalFormatting sqref="AN48">
    <cfRule type="cellIs" dxfId="6459" priority="146" operator="greaterThan">
      <formula>110%</formula>
    </cfRule>
    <cfRule type="cellIs" dxfId="6458" priority="147" operator="between">
      <formula>100.001%</formula>
      <formula>110%</formula>
    </cfRule>
    <cfRule type="cellIs" dxfId="6457" priority="148" operator="between">
      <formula>70.001%</formula>
      <formula>100%</formula>
    </cfRule>
    <cfRule type="cellIs" dxfId="6456" priority="149" operator="between">
      <formula>0.00001%</formula>
      <formula>70%</formula>
    </cfRule>
    <cfRule type="cellIs" dxfId="6455" priority="150" operator="equal">
      <formula>0</formula>
    </cfRule>
  </conditionalFormatting>
  <conditionalFormatting sqref="AQ48">
    <cfRule type="cellIs" dxfId="6454" priority="141" operator="greaterThan">
      <formula>110%</formula>
    </cfRule>
    <cfRule type="cellIs" dxfId="6453" priority="142" operator="between">
      <formula>100.001%</formula>
      <formula>110%</formula>
    </cfRule>
    <cfRule type="cellIs" dxfId="6452" priority="143" operator="between">
      <formula>70.001%</formula>
      <formula>100%</formula>
    </cfRule>
    <cfRule type="cellIs" dxfId="6451" priority="144" operator="between">
      <formula>0.00001%</formula>
      <formula>70%</formula>
    </cfRule>
    <cfRule type="cellIs" dxfId="6450" priority="145" operator="equal">
      <formula>0</formula>
    </cfRule>
  </conditionalFormatting>
  <conditionalFormatting sqref="AT48">
    <cfRule type="cellIs" dxfId="6449" priority="136" operator="greaterThan">
      <formula>110%</formula>
    </cfRule>
    <cfRule type="cellIs" dxfId="6448" priority="137" operator="between">
      <formula>100.001%</formula>
      <formula>110%</formula>
    </cfRule>
    <cfRule type="cellIs" dxfId="6447" priority="138" operator="between">
      <formula>70.001%</formula>
      <formula>100%</formula>
    </cfRule>
    <cfRule type="cellIs" dxfId="6446" priority="139" operator="between">
      <formula>0.00001%</formula>
      <formula>70%</formula>
    </cfRule>
    <cfRule type="cellIs" dxfId="6445" priority="140" operator="equal">
      <formula>0</formula>
    </cfRule>
  </conditionalFormatting>
  <conditionalFormatting sqref="N37">
    <cfRule type="cellIs" dxfId="6444" priority="131" operator="greaterThan">
      <formula>110%</formula>
    </cfRule>
    <cfRule type="cellIs" dxfId="6443" priority="132" operator="between">
      <formula>100.001%</formula>
      <formula>110%</formula>
    </cfRule>
    <cfRule type="cellIs" dxfId="6442" priority="133" operator="between">
      <formula>70.001%</formula>
      <formula>100%</formula>
    </cfRule>
    <cfRule type="cellIs" dxfId="6441" priority="134" operator="between">
      <formula>0.00001%</formula>
      <formula>70%</formula>
    </cfRule>
    <cfRule type="cellIs" dxfId="6440" priority="135" operator="equal">
      <formula>0%</formula>
    </cfRule>
  </conditionalFormatting>
  <conditionalFormatting sqref="Q37">
    <cfRule type="cellIs" dxfId="6439" priority="126" operator="greaterThan">
      <formula>110%</formula>
    </cfRule>
    <cfRule type="cellIs" dxfId="6438" priority="127" operator="between">
      <formula>100.001%</formula>
      <formula>110%</formula>
    </cfRule>
    <cfRule type="cellIs" dxfId="6437" priority="128" operator="between">
      <formula>70.001%</formula>
      <formula>100%</formula>
    </cfRule>
    <cfRule type="cellIs" dxfId="6436" priority="129" operator="between">
      <formula>0.00001%</formula>
      <formula>70%</formula>
    </cfRule>
    <cfRule type="cellIs" dxfId="6435" priority="130" operator="equal">
      <formula>0%</formula>
    </cfRule>
  </conditionalFormatting>
  <conditionalFormatting sqref="T37">
    <cfRule type="cellIs" dxfId="6434" priority="121" operator="greaterThan">
      <formula>110%</formula>
    </cfRule>
    <cfRule type="cellIs" dxfId="6433" priority="122" operator="between">
      <formula>100.001%</formula>
      <formula>110%</formula>
    </cfRule>
    <cfRule type="cellIs" dxfId="6432" priority="123" operator="between">
      <formula>70.001%</formula>
      <formula>100%</formula>
    </cfRule>
    <cfRule type="cellIs" dxfId="6431" priority="124" operator="between">
      <formula>0.00001%</formula>
      <formula>70%</formula>
    </cfRule>
    <cfRule type="cellIs" dxfId="6430" priority="125" operator="equal">
      <formula>0%</formula>
    </cfRule>
  </conditionalFormatting>
  <conditionalFormatting sqref="W37">
    <cfRule type="cellIs" dxfId="6429" priority="116" operator="greaterThan">
      <formula>110%</formula>
    </cfRule>
    <cfRule type="cellIs" dxfId="6428" priority="117" operator="between">
      <formula>100.001%</formula>
      <formula>110%</formula>
    </cfRule>
    <cfRule type="cellIs" dxfId="6427" priority="118" operator="between">
      <formula>70.001%</formula>
      <formula>100%</formula>
    </cfRule>
    <cfRule type="cellIs" dxfId="6426" priority="119" operator="between">
      <formula>0.00001%</formula>
      <formula>70%</formula>
    </cfRule>
    <cfRule type="cellIs" dxfId="6425" priority="120" operator="equal">
      <formula>0%</formula>
    </cfRule>
  </conditionalFormatting>
  <conditionalFormatting sqref="Z37">
    <cfRule type="cellIs" dxfId="6424" priority="111" operator="greaterThan">
      <formula>110%</formula>
    </cfRule>
    <cfRule type="cellIs" dxfId="6423" priority="112" operator="between">
      <formula>100.001%</formula>
      <formula>110%</formula>
    </cfRule>
    <cfRule type="cellIs" dxfId="6422" priority="113" operator="between">
      <formula>70.001%</formula>
      <formula>100%</formula>
    </cfRule>
    <cfRule type="cellIs" dxfId="6421" priority="114" operator="between">
      <formula>0.00001%</formula>
      <formula>70%</formula>
    </cfRule>
    <cfRule type="cellIs" dxfId="6420" priority="115" operator="equal">
      <formula>0%</formula>
    </cfRule>
  </conditionalFormatting>
  <conditionalFormatting sqref="AB37">
    <cfRule type="cellIs" dxfId="6419" priority="106" operator="greaterThan">
      <formula>110%</formula>
    </cfRule>
    <cfRule type="cellIs" dxfId="6418" priority="107" operator="between">
      <formula>100.001%</formula>
      <formula>110%</formula>
    </cfRule>
    <cfRule type="cellIs" dxfId="6417" priority="108" operator="between">
      <formula>70.001%</formula>
      <formula>100%</formula>
    </cfRule>
    <cfRule type="cellIs" dxfId="6416" priority="109" operator="between">
      <formula>0.00001%</formula>
      <formula>70%</formula>
    </cfRule>
    <cfRule type="cellIs" dxfId="6415" priority="110" operator="equal">
      <formula>0%</formula>
    </cfRule>
  </conditionalFormatting>
  <conditionalFormatting sqref="AE37">
    <cfRule type="cellIs" dxfId="6414" priority="101" operator="greaterThan">
      <formula>110%</formula>
    </cfRule>
    <cfRule type="cellIs" dxfId="6413" priority="102" operator="between">
      <formula>100.001%</formula>
      <formula>110%</formula>
    </cfRule>
    <cfRule type="cellIs" dxfId="6412" priority="103" operator="between">
      <formula>70.001%</formula>
      <formula>100%</formula>
    </cfRule>
    <cfRule type="cellIs" dxfId="6411" priority="104" operator="between">
      <formula>0.00001%</formula>
      <formula>70%</formula>
    </cfRule>
    <cfRule type="cellIs" dxfId="6410" priority="105" operator="equal">
      <formula>0%</formula>
    </cfRule>
  </conditionalFormatting>
  <conditionalFormatting sqref="AH37">
    <cfRule type="cellIs" dxfId="6409" priority="96" operator="greaterThan">
      <formula>110%</formula>
    </cfRule>
    <cfRule type="cellIs" dxfId="6408" priority="97" operator="between">
      <formula>100.001%</formula>
      <formula>110%</formula>
    </cfRule>
    <cfRule type="cellIs" dxfId="6407" priority="98" operator="between">
      <formula>70.001%</formula>
      <formula>100%</formula>
    </cfRule>
    <cfRule type="cellIs" dxfId="6406" priority="99" operator="between">
      <formula>0.00001%</formula>
      <formula>70%</formula>
    </cfRule>
    <cfRule type="cellIs" dxfId="6405" priority="100" operator="equal">
      <formula>0%</formula>
    </cfRule>
  </conditionalFormatting>
  <conditionalFormatting sqref="AK37">
    <cfRule type="cellIs" dxfId="6404" priority="91" operator="greaterThan">
      <formula>110%</formula>
    </cfRule>
    <cfRule type="cellIs" dxfId="6403" priority="92" operator="between">
      <formula>100.001%</formula>
      <formula>110%</formula>
    </cfRule>
    <cfRule type="cellIs" dxfId="6402" priority="93" operator="between">
      <formula>70.001%</formula>
      <formula>100%</formula>
    </cfRule>
    <cfRule type="cellIs" dxfId="6401" priority="94" operator="between">
      <formula>0.00001%</formula>
      <formula>70%</formula>
    </cfRule>
    <cfRule type="cellIs" dxfId="6400" priority="95" operator="equal">
      <formula>0%</formula>
    </cfRule>
  </conditionalFormatting>
  <conditionalFormatting sqref="AN37">
    <cfRule type="cellIs" dxfId="6399" priority="86" operator="greaterThan">
      <formula>110%</formula>
    </cfRule>
    <cfRule type="cellIs" dxfId="6398" priority="87" operator="between">
      <formula>100.001%</formula>
      <formula>110%</formula>
    </cfRule>
    <cfRule type="cellIs" dxfId="6397" priority="88" operator="between">
      <formula>70.001%</formula>
      <formula>100%</formula>
    </cfRule>
    <cfRule type="cellIs" dxfId="6396" priority="89" operator="between">
      <formula>0.00001%</formula>
      <formula>70%</formula>
    </cfRule>
    <cfRule type="cellIs" dxfId="6395" priority="90" operator="equal">
      <formula>0%</formula>
    </cfRule>
  </conditionalFormatting>
  <conditionalFormatting sqref="AQ37">
    <cfRule type="cellIs" dxfId="6394" priority="81" operator="greaterThan">
      <formula>110%</formula>
    </cfRule>
    <cfRule type="cellIs" dxfId="6393" priority="82" operator="between">
      <formula>100.001%</formula>
      <formula>110%</formula>
    </cfRule>
    <cfRule type="cellIs" dxfId="6392" priority="83" operator="between">
      <formula>70.001%</formula>
      <formula>100%</formula>
    </cfRule>
    <cfRule type="cellIs" dxfId="6391" priority="84" operator="between">
      <formula>0.00001%</formula>
      <formula>70%</formula>
    </cfRule>
    <cfRule type="cellIs" dxfId="6390" priority="85" operator="equal">
      <formula>0%</formula>
    </cfRule>
  </conditionalFormatting>
  <conditionalFormatting sqref="AT37">
    <cfRule type="cellIs" dxfId="6389" priority="76" operator="greaterThan">
      <formula>110%</formula>
    </cfRule>
    <cfRule type="cellIs" dxfId="6388" priority="77" operator="between">
      <formula>100.001%</formula>
      <formula>110%</formula>
    </cfRule>
    <cfRule type="cellIs" dxfId="6387" priority="78" operator="between">
      <formula>70.001%</formula>
      <formula>100%</formula>
    </cfRule>
    <cfRule type="cellIs" dxfId="6386" priority="79" operator="between">
      <formula>0.00001%</formula>
      <formula>70%</formula>
    </cfRule>
    <cfRule type="cellIs" dxfId="6385" priority="80" operator="equal">
      <formula>0%</formula>
    </cfRule>
  </conditionalFormatting>
  <conditionalFormatting sqref="AV37">
    <cfRule type="cellIs" dxfId="6384" priority="71" operator="greaterThan">
      <formula>110%</formula>
    </cfRule>
    <cfRule type="cellIs" dxfId="6383" priority="72" operator="between">
      <formula>100.001%</formula>
      <formula>110%</formula>
    </cfRule>
    <cfRule type="cellIs" dxfId="6382" priority="73" operator="between">
      <formula>70.001%</formula>
      <formula>100%</formula>
    </cfRule>
    <cfRule type="cellIs" dxfId="6381" priority="74" operator="between">
      <formula>0.00001%</formula>
      <formula>70%</formula>
    </cfRule>
    <cfRule type="cellIs" dxfId="6380" priority="75" operator="equal">
      <formula>0%</formula>
    </cfRule>
  </conditionalFormatting>
  <conditionalFormatting sqref="N38">
    <cfRule type="cellIs" dxfId="6379" priority="66" operator="greaterThan">
      <formula>110%</formula>
    </cfRule>
    <cfRule type="cellIs" dxfId="6378" priority="67" operator="between">
      <formula>100.001%</formula>
      <formula>110%</formula>
    </cfRule>
    <cfRule type="cellIs" dxfId="6377" priority="68" operator="between">
      <formula>70.001%</formula>
      <formula>100%</formula>
    </cfRule>
    <cfRule type="cellIs" dxfId="6376" priority="69" operator="between">
      <formula>0.00001%</formula>
      <formula>70%</formula>
    </cfRule>
    <cfRule type="cellIs" dxfId="6375" priority="70" operator="equal">
      <formula>0%</formula>
    </cfRule>
  </conditionalFormatting>
  <conditionalFormatting sqref="Q38">
    <cfRule type="cellIs" dxfId="6374" priority="61" operator="greaterThan">
      <formula>110%</formula>
    </cfRule>
    <cfRule type="cellIs" dxfId="6373" priority="62" operator="between">
      <formula>100.001%</formula>
      <formula>110%</formula>
    </cfRule>
    <cfRule type="cellIs" dxfId="6372" priority="63" operator="between">
      <formula>70.001%</formula>
      <formula>100%</formula>
    </cfRule>
    <cfRule type="cellIs" dxfId="6371" priority="64" operator="between">
      <formula>0.00001%</formula>
      <formula>70%</formula>
    </cfRule>
    <cfRule type="cellIs" dxfId="6370" priority="65" operator="equal">
      <formula>0%</formula>
    </cfRule>
  </conditionalFormatting>
  <conditionalFormatting sqref="T38">
    <cfRule type="cellIs" dxfId="6369" priority="56" operator="greaterThan">
      <formula>110%</formula>
    </cfRule>
    <cfRule type="cellIs" dxfId="6368" priority="57" operator="between">
      <formula>100.001%</formula>
      <formula>110%</formula>
    </cfRule>
    <cfRule type="cellIs" dxfId="6367" priority="58" operator="between">
      <formula>70.001%</formula>
      <formula>100%</formula>
    </cfRule>
    <cfRule type="cellIs" dxfId="6366" priority="59" operator="between">
      <formula>0.00001%</formula>
      <formula>70%</formula>
    </cfRule>
    <cfRule type="cellIs" dxfId="6365" priority="60" operator="equal">
      <formula>0%</formula>
    </cfRule>
  </conditionalFormatting>
  <conditionalFormatting sqref="W38">
    <cfRule type="cellIs" dxfId="6364" priority="51" operator="greaterThan">
      <formula>110%</formula>
    </cfRule>
    <cfRule type="cellIs" dxfId="6363" priority="52" operator="between">
      <formula>100.001%</formula>
      <formula>110%</formula>
    </cfRule>
    <cfRule type="cellIs" dxfId="6362" priority="53" operator="between">
      <formula>70.001%</formula>
      <formula>100%</formula>
    </cfRule>
    <cfRule type="cellIs" dxfId="6361" priority="54" operator="between">
      <formula>0.00001%</formula>
      <formula>70%</formula>
    </cfRule>
    <cfRule type="cellIs" dxfId="6360" priority="55" operator="equal">
      <formula>0%</formula>
    </cfRule>
  </conditionalFormatting>
  <conditionalFormatting sqref="Z38">
    <cfRule type="cellIs" dxfId="6359" priority="46" operator="greaterThan">
      <formula>110%</formula>
    </cfRule>
    <cfRule type="cellIs" dxfId="6358" priority="47" operator="between">
      <formula>100.001%</formula>
      <formula>110%</formula>
    </cfRule>
    <cfRule type="cellIs" dxfId="6357" priority="48" operator="between">
      <formula>70.001%</formula>
      <formula>100%</formula>
    </cfRule>
    <cfRule type="cellIs" dxfId="6356" priority="49" operator="between">
      <formula>0.00001%</formula>
      <formula>70%</formula>
    </cfRule>
    <cfRule type="cellIs" dxfId="6355" priority="50" operator="equal">
      <formula>0%</formula>
    </cfRule>
  </conditionalFormatting>
  <conditionalFormatting sqref="AB38">
    <cfRule type="cellIs" dxfId="6354" priority="41" operator="greaterThan">
      <formula>110%</formula>
    </cfRule>
    <cfRule type="cellIs" dxfId="6353" priority="42" operator="between">
      <formula>100.001%</formula>
      <formula>110%</formula>
    </cfRule>
    <cfRule type="cellIs" dxfId="6352" priority="43" operator="between">
      <formula>70.001%</formula>
      <formula>100%</formula>
    </cfRule>
    <cfRule type="cellIs" dxfId="6351" priority="44" operator="between">
      <formula>0.00001%</formula>
      <formula>70%</formula>
    </cfRule>
    <cfRule type="cellIs" dxfId="6350" priority="45" operator="equal">
      <formula>0%</formula>
    </cfRule>
  </conditionalFormatting>
  <conditionalFormatting sqref="AE38">
    <cfRule type="cellIs" dxfId="6349" priority="36" operator="greaterThan">
      <formula>110%</formula>
    </cfRule>
    <cfRule type="cellIs" dxfId="6348" priority="37" operator="between">
      <formula>100.001%</formula>
      <formula>110%</formula>
    </cfRule>
    <cfRule type="cellIs" dxfId="6347" priority="38" operator="between">
      <formula>70.001%</formula>
      <formula>100%</formula>
    </cfRule>
    <cfRule type="cellIs" dxfId="6346" priority="39" operator="between">
      <formula>0.00001%</formula>
      <formula>70%</formula>
    </cfRule>
    <cfRule type="cellIs" dxfId="6345" priority="40" operator="equal">
      <formula>0%</formula>
    </cfRule>
  </conditionalFormatting>
  <conditionalFormatting sqref="AH38">
    <cfRule type="cellIs" dxfId="6344" priority="31" operator="greaterThan">
      <formula>110%</formula>
    </cfRule>
    <cfRule type="cellIs" dxfId="6343" priority="32" operator="between">
      <formula>100.001%</formula>
      <formula>110%</formula>
    </cfRule>
    <cfRule type="cellIs" dxfId="6342" priority="33" operator="between">
      <formula>70.001%</formula>
      <formula>100%</formula>
    </cfRule>
    <cfRule type="cellIs" dxfId="6341" priority="34" operator="between">
      <formula>0.00001%</formula>
      <formula>70%</formula>
    </cfRule>
    <cfRule type="cellIs" dxfId="6340" priority="35" operator="equal">
      <formula>0%</formula>
    </cfRule>
  </conditionalFormatting>
  <conditionalFormatting sqref="AK38">
    <cfRule type="cellIs" dxfId="6339" priority="26" operator="greaterThan">
      <formula>110%</formula>
    </cfRule>
    <cfRule type="cellIs" dxfId="6338" priority="27" operator="between">
      <formula>100.001%</formula>
      <formula>110%</formula>
    </cfRule>
    <cfRule type="cellIs" dxfId="6337" priority="28" operator="between">
      <formula>70.001%</formula>
      <formula>100%</formula>
    </cfRule>
    <cfRule type="cellIs" dxfId="6336" priority="29" operator="between">
      <formula>0.00001%</formula>
      <formula>70%</formula>
    </cfRule>
    <cfRule type="cellIs" dxfId="6335" priority="30" operator="equal">
      <formula>0%</formula>
    </cfRule>
  </conditionalFormatting>
  <conditionalFormatting sqref="AN38">
    <cfRule type="cellIs" dxfId="6334" priority="21" operator="greaterThan">
      <formula>110%</formula>
    </cfRule>
    <cfRule type="cellIs" dxfId="6333" priority="22" operator="between">
      <formula>100.001%</formula>
      <formula>110%</formula>
    </cfRule>
    <cfRule type="cellIs" dxfId="6332" priority="23" operator="between">
      <formula>70.001%</formula>
      <formula>100%</formula>
    </cfRule>
    <cfRule type="cellIs" dxfId="6331" priority="24" operator="between">
      <formula>0.00001%</formula>
      <formula>70%</formula>
    </cfRule>
    <cfRule type="cellIs" dxfId="6330" priority="25" operator="equal">
      <formula>0%</formula>
    </cfRule>
  </conditionalFormatting>
  <conditionalFormatting sqref="AQ38">
    <cfRule type="cellIs" dxfId="6329" priority="16" operator="greaterThan">
      <formula>110%</formula>
    </cfRule>
    <cfRule type="cellIs" dxfId="6328" priority="17" operator="between">
      <formula>100.001%</formula>
      <formula>110%</formula>
    </cfRule>
    <cfRule type="cellIs" dxfId="6327" priority="18" operator="between">
      <formula>70.001%</formula>
      <formula>100%</formula>
    </cfRule>
    <cfRule type="cellIs" dxfId="6326" priority="19" operator="between">
      <formula>0.00001%</formula>
      <formula>70%</formula>
    </cfRule>
    <cfRule type="cellIs" dxfId="6325" priority="20" operator="equal">
      <formula>0%</formula>
    </cfRule>
  </conditionalFormatting>
  <conditionalFormatting sqref="AT38">
    <cfRule type="cellIs" dxfId="6324" priority="11" operator="greaterThan">
      <formula>110%</formula>
    </cfRule>
    <cfRule type="cellIs" dxfId="6323" priority="12" operator="between">
      <formula>100.001%</formula>
      <formula>110%</formula>
    </cfRule>
    <cfRule type="cellIs" dxfId="6322" priority="13" operator="between">
      <formula>70.001%</formula>
      <formula>100%</formula>
    </cfRule>
    <cfRule type="cellIs" dxfId="6321" priority="14" operator="between">
      <formula>0.00001%</formula>
      <formula>70%</formula>
    </cfRule>
    <cfRule type="cellIs" dxfId="6320" priority="15" operator="equal">
      <formula>0%</formula>
    </cfRule>
  </conditionalFormatting>
  <conditionalFormatting sqref="AV38">
    <cfRule type="cellIs" dxfId="6319" priority="6" operator="greaterThan">
      <formula>110%</formula>
    </cfRule>
    <cfRule type="cellIs" dxfId="6318" priority="7" operator="between">
      <formula>100.001%</formula>
      <formula>110%</formula>
    </cfRule>
    <cfRule type="cellIs" dxfId="6317" priority="8" operator="between">
      <formula>70.001%</formula>
      <formula>100%</formula>
    </cfRule>
    <cfRule type="cellIs" dxfId="6316" priority="9" operator="between">
      <formula>0.00001%</formula>
      <formula>70%</formula>
    </cfRule>
    <cfRule type="cellIs" dxfId="6315" priority="10" operator="equal">
      <formula>0%</formula>
    </cfRule>
  </conditionalFormatting>
  <conditionalFormatting sqref="AB26 N26 Q26 T26 W26 Z26 AE26 AH26 AK26 AN26 AQ26 AT26">
    <cfRule type="cellIs" dxfId="6314" priority="1" operator="greaterThan">
      <formula>110%</formula>
    </cfRule>
    <cfRule type="cellIs" dxfId="6313" priority="2" operator="between">
      <formula>100.001%</formula>
      <formula>110%</formula>
    </cfRule>
    <cfRule type="cellIs" dxfId="6312" priority="3" operator="between">
      <formula>70.001%</formula>
      <formula>100%</formula>
    </cfRule>
    <cfRule type="cellIs" dxfId="6311" priority="4" operator="between">
      <formula>0.00001%</formula>
      <formula>70%</formula>
    </cfRule>
    <cfRule type="cellIs" dxfId="6310" priority="5" operator="equal">
      <formula>0</formula>
    </cfRule>
  </conditionalFormatting>
  <hyperlinks>
    <hyperlink ref="D11" location="'IN1-3'!A1" display="IN1-3 Recaudo Bruto" xr:uid="{00000000-0004-0000-1200-000000000000}"/>
    <hyperlink ref="D12" location="'FIS-4'!A1" display="FIS-4 Gestión efectiva en fiscalización tributaria" xr:uid="{00000000-0004-0000-1200-000001000000}"/>
    <hyperlink ref="D13" location="'FIS-5'!A1" display="FIS-5 Gestión efectiva de Fiscalización Aduanera" xr:uid="{00000000-0004-0000-1200-000002000000}"/>
    <hyperlink ref="D14" location="'FIS-8'!A1" display="FIS-8 Gestión aceptada de Fiscalización Aduanera (Recaudo)" xr:uid="{00000000-0004-0000-1200-000003000000}"/>
    <hyperlink ref="D15" location="'FIS-9'!A1" display="FIS-9 Gestión aceptada de Fiscalización Aduanera (Resoluciones en firme)" xr:uid="{00000000-0004-0000-1200-000004000000}"/>
    <hyperlink ref="D16" location="'FIS-10'!A1" display="FIS-10 Gestión aceptada en fiscalización tributaria" xr:uid="{00000000-0004-0000-1200-000005000000}"/>
    <hyperlink ref="D17" location="'FIS-27'!A1" display="FIS-27 Reclasificación de no responsables a responsables" xr:uid="{00000000-0004-0000-1200-000006000000}"/>
    <hyperlink ref="D18" location="'FIS-17'!A1" display="FIS-17 Evacuación de expedientes en fiscalización tributaria" xr:uid="{00000000-0004-0000-1200-000007000000}"/>
    <hyperlink ref="D19" location="'JUR-3.1.'!A1" display="JUR-3.1 Porcentaje de éxito de litigiosidad " xr:uid="{00000000-0004-0000-1200-000008000000}"/>
    <hyperlink ref="D20" location="'JUR-3.2.'!A1" display="JUR-3.2 Porcentaje procesos judiciales revisados con mayor riesgo en Ekogui" xr:uid="{00000000-0004-0000-1200-000009000000}"/>
    <hyperlink ref="D21" location="'JUR-3.3.'!A1" display="JUR-3.3 Porcentaje de análisis de jurisprudencia remitidos junto con la copia de la sentencia " xr:uid="{00000000-0004-0000-1200-00000A000000}"/>
    <hyperlink ref="D22" location="'JUR-3.4.'!A1" display="JUR-3.4 Porcentaje de procesos revisados con VoBo del Jefe " xr:uid="{00000000-0004-0000-1200-00000B000000}"/>
    <hyperlink ref="D23" location="'JUR-3.5.'!A1" display="JUR-3.5 Porcentaje de requerimientos atendidos en oportunidad" xr:uid="{00000000-0004-0000-1200-00000C000000}"/>
    <hyperlink ref="D24" location="'JUR-3.6.'!A1" display="JUR-3.6 Porcentaje funcionarios capacitaciones en cursos virtuales de la ANDJE" xr:uid="{00000000-0004-0000-1200-00000D000000}"/>
    <hyperlink ref="D25" location="'JUR-4.'!A1" display="JUR-4 Porcentaje funcionarios que participaron en el concurso de escritura jurídica" xr:uid="{00000000-0004-0000-1200-00000E000000}"/>
    <hyperlink ref="D26" location="'IN1-4'!A1" display="IN1-4 Recaudo por gestión de cartera" xr:uid="{00000000-0004-0000-1200-00000F000000}"/>
    <hyperlink ref="D27" location="'IN1-5'!A1" display="IN1-5 Inscritos en el Régimen Simple de Tributación - RST" xr:uid="{00000000-0004-0000-1200-000010000000}"/>
    <hyperlink ref="D28" location="'IN1-6.1'!A1" display="IN1-6.1 Grado de cumplimiento del cronograma de campañas del RST" xr:uid="{00000000-0004-0000-1200-000011000000}"/>
    <hyperlink ref="D29" location="'FIS-21'!A1" display="FIS-21 Propuestas de Programas de Control Posterior de Fiscalización  Aduanera (Sanciones, LOC, LOR, Origen)" xr:uid="{00000000-0004-0000-1200-000012000000}"/>
    <hyperlink ref="D30" location="'FIS-14'!A1" display="FIS-14 Propuestas acciones aduaneras de control posterior contra el contrabando técnico(Sanciones, LOC, LOR, Origen)" xr:uid="{00000000-0004-0000-1200-000013000000}"/>
    <hyperlink ref="D31" location="'IN1-8'!A1" display="IN1-8 Contribuyentes habilitados como facturadores electrónicos" xr:uid="{00000000-0004-0000-1200-000014000000}"/>
    <hyperlink ref="D32" location="'ADU-3'!A1" display="ADU-3 Monto de recaudación total de aduanas" xr:uid="{00000000-0004-0000-1200-000015000000}"/>
    <hyperlink ref="D33" location="'POLFA-3'!A1" display="POLFA-3 Acciones de control de fiscalización contra el contrabando" xr:uid="{00000000-0004-0000-1200-000016000000}"/>
    <hyperlink ref="D34" location="'FIS-24'!A1" display="FIS-24 Valor Decomisos de mercancías en firme" xr:uid="{00000000-0004-0000-1200-000017000000}"/>
    <hyperlink ref="D35" location="'FIS-32'!A1" display="FIS-32 Valor Aprehensiones sectores de Licores, Cigarrillos, Calzado y Confecciones" xr:uid="{00000000-0004-0000-1200-000018000000}"/>
    <hyperlink ref="D41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1200-000019000000}"/>
    <hyperlink ref="D42" location="'ADU-32'!A1" display="ADU-32 Eficacia en la atención de solicitudes de análisis merceológicos de mercancía global." xr:uid="{00000000-0004-0000-1200-00001A000000}"/>
    <hyperlink ref="D44" location="'IN1-11'!A1" display="IN1-11  Nivel de cobertura de personas sensibilizadas por el plan de cultura. ACTUALMENTE. Cumplimiento al Plan de Acción de Cultura de la Contribución" xr:uid="{00000000-0004-0000-1200-00001B000000}"/>
    <hyperlink ref="D45" location="'JUR-7'!A1" display="JUR-7  Oportunidad en las decisiones de los recursos Tributarios hasta su remisión a notificaciones" xr:uid="{00000000-0004-0000-1200-00001C000000}"/>
    <hyperlink ref="D46" location="'ADU-17'!A1" display="ADU-17 Encuentros Aduana - Empresa" xr:uid="{00000000-0004-0000-1200-00001D000000}"/>
    <hyperlink ref="D47" location="'POLFA-8'!A1" display="POLFA-8 Porcentaje de cumplimiento programa semilleros de la legalidad" xr:uid="{00000000-0004-0000-1200-00001E000000}"/>
    <hyperlink ref="D48" location="'IN1-15'!A1" display="IN1-15 Días en devoluciones ordinarias" xr:uid="{00000000-0004-0000-1200-00001F000000}"/>
    <hyperlink ref="D36" location="'ADU-8'!A1" display="ADU-8 Efectividad en los controles previos  - Lucha contra el Contrabando" xr:uid="{00000000-0004-0000-1200-000020000000}"/>
    <hyperlink ref="D9" location="'DGRAE-1'!A1" display="DGRAE-1 Nivel de Ejecución del presupuesto " xr:uid="{00000000-0004-0000-1200-000021000000}"/>
    <hyperlink ref="D10" location="'DGRAE-2'!A1" display="DGRAE-2 Nivel de ejecución del PAA de la Dirección" xr:uid="{00000000-0004-0000-1200-000022000000}"/>
    <hyperlink ref="D50" location="'DGRAE-25'!A1" display="DGRAE-25 Actividades que componen el  PIC para la Dirección de Gestión" xr:uid="{00000000-0004-0000-1200-000023000000}"/>
    <hyperlink ref="D39" location="'ADU-12'!A1" display="ADU-12  Efectividad en los Controles a los  usuarios de comercio - Visitas con hallazgos en usuarios visitados" xr:uid="{00000000-0004-0000-1200-000024000000}"/>
    <hyperlink ref="D40" location="'ADU-13'!A1" display="ADU-13 Efectividad en los Controles a los  usuarios de comercio - Hallazgos en visitas de usuarios no visitados anteriormente" xr:uid="{00000000-0004-0000-1200-000025000000}"/>
    <hyperlink ref="D37" location="'ADU-9'!A1" display="ADU-9 Efectividad en el control simultaneo - Lucha contra el Contrabando" xr:uid="{00000000-0004-0000-1200-000026000000}"/>
    <hyperlink ref="D38" location="'ADU-9.1'!A1" display="ADU-9.1 Efectividad en el control simultaneo - Lucha contra el Contrabando - Documental" xr:uid="{00000000-0004-0000-1200-000027000000}"/>
    <hyperlink ref="AW3" location="'Consolidado '!A1" display="VOLVER" xr:uid="{00000000-0004-0000-1200-000028000000}"/>
  </hyperlink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32"/>
  <sheetViews>
    <sheetView topLeftCell="C25" zoomScale="80" zoomScaleNormal="80" workbookViewId="0">
      <selection activeCell="BD29" sqref="BD29"/>
    </sheetView>
  </sheetViews>
  <sheetFormatPr baseColWidth="10" defaultColWidth="9.140625" defaultRowHeight="16.5"/>
  <cols>
    <col min="1" max="1" width="22.42578125" style="12" customWidth="1"/>
    <col min="2" max="2" width="37" style="12" customWidth="1"/>
    <col min="3" max="3" width="59.28515625" style="64" customWidth="1"/>
    <col min="4" max="4" width="25.85546875" style="12" bestFit="1" customWidth="1"/>
    <col min="5" max="5" width="20.42578125" style="12" hidden="1" customWidth="1"/>
    <col min="6" max="6" width="18.140625" style="12" customWidth="1"/>
    <col min="7" max="7" width="16.7109375" style="12" bestFit="1" customWidth="1"/>
    <col min="8" max="8" width="8.85546875" style="12" hidden="1" customWidth="1"/>
    <col min="9" max="9" width="18.7109375" style="12" hidden="1" customWidth="1"/>
    <col min="10" max="10" width="10.28515625" style="12" hidden="1" customWidth="1"/>
    <col min="11" max="11" width="27.28515625" style="12" customWidth="1"/>
    <col min="12" max="12" width="24.7109375" style="8" hidden="1" customWidth="1"/>
    <col min="13" max="13" width="21.7109375" style="8" hidden="1" customWidth="1"/>
    <col min="14" max="14" width="21.7109375" style="374" hidden="1" customWidth="1"/>
    <col min="15" max="15" width="23.140625" style="8" hidden="1" customWidth="1"/>
    <col min="16" max="16" width="21.7109375" style="8" hidden="1" customWidth="1"/>
    <col min="17" max="17" width="21.7109375" style="374" hidden="1" customWidth="1"/>
    <col min="18" max="18" width="23.28515625" style="8" hidden="1" customWidth="1"/>
    <col min="19" max="19" width="21.7109375" style="8" hidden="1" customWidth="1"/>
    <col min="20" max="20" width="21.7109375" style="374" hidden="1" customWidth="1"/>
    <col min="21" max="21" width="24.5703125" style="8" hidden="1" customWidth="1"/>
    <col min="22" max="22" width="21.7109375" style="8" hidden="1" customWidth="1"/>
    <col min="23" max="23" width="21.7109375" style="374" hidden="1" customWidth="1"/>
    <col min="24" max="24" width="26.5703125" style="8" hidden="1" customWidth="1"/>
    <col min="25" max="25" width="21.7109375" style="8" hidden="1" customWidth="1"/>
    <col min="26" max="26" width="21.7109375" style="374" hidden="1" customWidth="1"/>
    <col min="27" max="27" width="25.42578125" style="8" hidden="1" customWidth="1"/>
    <col min="28" max="28" width="21.7109375" style="8" hidden="1" customWidth="1"/>
    <col min="29" max="29" width="21.7109375" style="374" hidden="1" customWidth="1"/>
    <col min="30" max="30" width="21.7109375" style="8" hidden="1" customWidth="1"/>
    <col min="31" max="31" width="21.7109375" style="375" hidden="1" customWidth="1"/>
    <col min="32" max="32" width="23.7109375" style="8" hidden="1" customWidth="1"/>
    <col min="33" max="33" width="21.7109375" style="8" hidden="1" customWidth="1"/>
    <col min="34" max="34" width="21.7109375" style="374" hidden="1" customWidth="1"/>
    <col min="35" max="35" width="25.140625" style="8" hidden="1" customWidth="1"/>
    <col min="36" max="36" width="21.7109375" style="8" hidden="1" customWidth="1"/>
    <col min="37" max="37" width="21.7109375" style="374" hidden="1" customWidth="1"/>
    <col min="38" max="38" width="23.5703125" style="8" hidden="1" customWidth="1"/>
    <col min="39" max="39" width="21.7109375" style="8" hidden="1" customWidth="1"/>
    <col min="40" max="40" width="21.7109375" style="374" hidden="1" customWidth="1"/>
    <col min="41" max="41" width="23.5703125" style="8" hidden="1" customWidth="1"/>
    <col min="42" max="42" width="21.7109375" style="8" hidden="1" customWidth="1"/>
    <col min="43" max="43" width="21.7109375" style="374" hidden="1" customWidth="1"/>
    <col min="44" max="44" width="22.42578125" style="8" hidden="1" customWidth="1"/>
    <col min="45" max="45" width="21.7109375" style="8" hidden="1" customWidth="1"/>
    <col min="46" max="46" width="21.7109375" style="374" hidden="1" customWidth="1"/>
    <col min="47" max="48" width="21.7109375" style="8" hidden="1" customWidth="1"/>
    <col min="49" max="49" width="24.7109375" style="374" hidden="1" customWidth="1"/>
    <col min="50" max="50" width="21.7109375" style="376" customWidth="1"/>
    <col min="51" max="51" width="21.7109375" style="377" customWidth="1"/>
    <col min="52" max="16384" width="9.140625" style="8"/>
  </cols>
  <sheetData>
    <row r="1" spans="1:52" ht="26.25" customHeight="1">
      <c r="A1" s="373"/>
      <c r="B1" s="373"/>
      <c r="C1" s="2818" t="s">
        <v>298</v>
      </c>
      <c r="D1" s="2818"/>
      <c r="E1" s="2818"/>
      <c r="F1" s="2818"/>
      <c r="G1" s="2818"/>
      <c r="H1" s="2818"/>
      <c r="I1" s="2818"/>
      <c r="J1" s="2818"/>
      <c r="K1" s="2818"/>
    </row>
    <row r="2" spans="1:52" ht="18.75" customHeight="1">
      <c r="A2" s="378"/>
      <c r="B2" s="378"/>
      <c r="C2" s="2819" t="s">
        <v>69</v>
      </c>
      <c r="D2" s="2819"/>
      <c r="E2" s="2819"/>
      <c r="F2" s="2819"/>
      <c r="G2" s="2819"/>
      <c r="H2" s="2819"/>
      <c r="I2" s="2819"/>
      <c r="J2" s="2819"/>
      <c r="K2" s="2819"/>
    </row>
    <row r="3" spans="1:52">
      <c r="A3" s="379"/>
      <c r="B3" s="380"/>
      <c r="C3" s="2820" t="s">
        <v>299</v>
      </c>
      <c r="D3" s="2821"/>
      <c r="E3" s="2821"/>
      <c r="F3" s="2821"/>
      <c r="G3" s="2821"/>
      <c r="H3" s="2821"/>
      <c r="I3" s="2821"/>
      <c r="J3" s="2821"/>
      <c r="K3" s="2821"/>
    </row>
    <row r="4" spans="1:52" ht="17.25" thickBot="1">
      <c r="A4" s="2795"/>
      <c r="B4" s="2796"/>
      <c r="C4" s="2822"/>
      <c r="D4" s="2822"/>
      <c r="E4" s="2822"/>
      <c r="F4" s="2822"/>
      <c r="G4" s="2822"/>
      <c r="H4" s="2822"/>
      <c r="I4" s="2822"/>
      <c r="J4" s="2822"/>
      <c r="K4" s="2822"/>
    </row>
    <row r="5" spans="1:52" ht="18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24" t="s">
        <v>70</v>
      </c>
      <c r="M5" s="2825"/>
      <c r="N5" s="2826"/>
      <c r="O5" s="2824" t="s">
        <v>71</v>
      </c>
      <c r="P5" s="2825"/>
      <c r="Q5" s="2826"/>
      <c r="R5" s="2824" t="s">
        <v>72</v>
      </c>
      <c r="S5" s="2825"/>
      <c r="T5" s="2826"/>
      <c r="U5" s="2824" t="s">
        <v>73</v>
      </c>
      <c r="V5" s="2825"/>
      <c r="W5" s="2826"/>
      <c r="X5" s="2824" t="s">
        <v>74</v>
      </c>
      <c r="Y5" s="2825"/>
      <c r="Z5" s="2826"/>
      <c r="AA5" s="2824" t="s">
        <v>75</v>
      </c>
      <c r="AB5" s="2825"/>
      <c r="AC5" s="2825"/>
      <c r="AD5" s="2840" t="s">
        <v>188</v>
      </c>
      <c r="AE5" s="2841"/>
      <c r="AF5" s="2824" t="s">
        <v>76</v>
      </c>
      <c r="AG5" s="2825"/>
      <c r="AH5" s="2826"/>
      <c r="AI5" s="2824" t="s">
        <v>77</v>
      </c>
      <c r="AJ5" s="2825"/>
      <c r="AK5" s="2826"/>
      <c r="AL5" s="2824" t="s">
        <v>78</v>
      </c>
      <c r="AM5" s="2825"/>
      <c r="AN5" s="2826"/>
      <c r="AO5" s="2824" t="s">
        <v>79</v>
      </c>
      <c r="AP5" s="2825"/>
      <c r="AQ5" s="2826"/>
      <c r="AR5" s="2824" t="s">
        <v>80</v>
      </c>
      <c r="AS5" s="2825"/>
      <c r="AT5" s="2826"/>
      <c r="AU5" s="2824" t="s">
        <v>81</v>
      </c>
      <c r="AV5" s="2825"/>
      <c r="AW5" s="2826"/>
      <c r="AX5" s="2824" t="s">
        <v>82</v>
      </c>
      <c r="AY5" s="2825"/>
    </row>
    <row r="6" spans="1:52" ht="18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24"/>
      <c r="M6" s="2825"/>
      <c r="N6" s="2826"/>
      <c r="O6" s="2824"/>
      <c r="P6" s="2825"/>
      <c r="Q6" s="2826"/>
      <c r="R6" s="2824"/>
      <c r="S6" s="2825"/>
      <c r="T6" s="2826"/>
      <c r="U6" s="2824"/>
      <c r="V6" s="2825"/>
      <c r="W6" s="2826"/>
      <c r="X6" s="2824"/>
      <c r="Y6" s="2825"/>
      <c r="Z6" s="2826"/>
      <c r="AA6" s="2824"/>
      <c r="AB6" s="2825"/>
      <c r="AC6" s="2825"/>
      <c r="AD6" s="2840"/>
      <c r="AE6" s="2841"/>
      <c r="AF6" s="2824"/>
      <c r="AG6" s="2825"/>
      <c r="AH6" s="2826"/>
      <c r="AI6" s="2824"/>
      <c r="AJ6" s="2825"/>
      <c r="AK6" s="2826"/>
      <c r="AL6" s="2824"/>
      <c r="AM6" s="2825"/>
      <c r="AN6" s="2826"/>
      <c r="AO6" s="2824"/>
      <c r="AP6" s="2825"/>
      <c r="AQ6" s="2826"/>
      <c r="AR6" s="2824"/>
      <c r="AS6" s="2825"/>
      <c r="AT6" s="2826"/>
      <c r="AU6" s="2824"/>
      <c r="AV6" s="2825"/>
      <c r="AW6" s="2826"/>
      <c r="AX6" s="2824"/>
      <c r="AY6" s="2825"/>
      <c r="AZ6" s="442" t="s">
        <v>185</v>
      </c>
    </row>
    <row r="7" spans="1:52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27"/>
      <c r="M7" s="2828"/>
      <c r="N7" s="2829"/>
      <c r="O7" s="2827"/>
      <c r="P7" s="2828"/>
      <c r="Q7" s="2829"/>
      <c r="R7" s="2827"/>
      <c r="S7" s="2828"/>
      <c r="T7" s="2829"/>
      <c r="U7" s="2827"/>
      <c r="V7" s="2828"/>
      <c r="W7" s="2829"/>
      <c r="X7" s="2827"/>
      <c r="Y7" s="2828"/>
      <c r="Z7" s="2829"/>
      <c r="AA7" s="2827"/>
      <c r="AB7" s="2828"/>
      <c r="AC7" s="2828"/>
      <c r="AD7" s="2836"/>
      <c r="AE7" s="2837"/>
      <c r="AF7" s="2827"/>
      <c r="AG7" s="2828"/>
      <c r="AH7" s="2829"/>
      <c r="AI7" s="2827"/>
      <c r="AJ7" s="2828"/>
      <c r="AK7" s="2829"/>
      <c r="AL7" s="2827"/>
      <c r="AM7" s="2828"/>
      <c r="AN7" s="2829"/>
      <c r="AO7" s="2827"/>
      <c r="AP7" s="2828"/>
      <c r="AQ7" s="2829"/>
      <c r="AR7" s="2827"/>
      <c r="AS7" s="2828"/>
      <c r="AT7" s="2829"/>
      <c r="AU7" s="2827"/>
      <c r="AV7" s="2828"/>
      <c r="AW7" s="2829"/>
      <c r="AX7" s="2824"/>
      <c r="AY7" s="2825"/>
    </row>
    <row r="8" spans="1:52" customFormat="1" ht="22.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381" t="s">
        <v>84</v>
      </c>
      <c r="M8" s="382" t="s">
        <v>85</v>
      </c>
      <c r="N8" s="71" t="s">
        <v>86</v>
      </c>
      <c r="O8" s="381" t="s">
        <v>84</v>
      </c>
      <c r="P8" s="382" t="s">
        <v>85</v>
      </c>
      <c r="Q8" s="71" t="s">
        <v>86</v>
      </c>
      <c r="R8" s="383" t="s">
        <v>84</v>
      </c>
      <c r="S8" s="383" t="s">
        <v>85</v>
      </c>
      <c r="T8" s="71" t="s">
        <v>86</v>
      </c>
      <c r="U8" s="383" t="s">
        <v>84</v>
      </c>
      <c r="V8" s="383" t="s">
        <v>85</v>
      </c>
      <c r="W8" s="71" t="s">
        <v>86</v>
      </c>
      <c r="X8" s="383" t="s">
        <v>84</v>
      </c>
      <c r="Y8" s="383" t="s">
        <v>85</v>
      </c>
      <c r="Z8" s="71" t="s">
        <v>86</v>
      </c>
      <c r="AA8" s="383" t="s">
        <v>84</v>
      </c>
      <c r="AB8" s="383" t="s">
        <v>85</v>
      </c>
      <c r="AC8" s="71" t="s">
        <v>86</v>
      </c>
      <c r="AD8" s="16" t="s">
        <v>87</v>
      </c>
      <c r="AE8" s="71" t="s">
        <v>6</v>
      </c>
      <c r="AF8" s="381" t="s">
        <v>84</v>
      </c>
      <c r="AG8" s="382" t="s">
        <v>85</v>
      </c>
      <c r="AH8" s="71" t="s">
        <v>86</v>
      </c>
      <c r="AI8" s="383" t="s">
        <v>84</v>
      </c>
      <c r="AJ8" s="381" t="s">
        <v>85</v>
      </c>
      <c r="AK8" s="71" t="s">
        <v>86</v>
      </c>
      <c r="AL8" s="383" t="s">
        <v>84</v>
      </c>
      <c r="AM8" s="383" t="s">
        <v>85</v>
      </c>
      <c r="AN8" s="71" t="s">
        <v>86</v>
      </c>
      <c r="AO8" s="383" t="s">
        <v>84</v>
      </c>
      <c r="AP8" s="383" t="s">
        <v>85</v>
      </c>
      <c r="AQ8" s="71" t="s">
        <v>86</v>
      </c>
      <c r="AR8" s="383" t="s">
        <v>84</v>
      </c>
      <c r="AS8" s="381" t="s">
        <v>85</v>
      </c>
      <c r="AT8" s="71" t="s">
        <v>86</v>
      </c>
      <c r="AU8" s="381" t="s">
        <v>84</v>
      </c>
      <c r="AV8" s="382" t="s">
        <v>85</v>
      </c>
      <c r="AW8" s="71" t="s">
        <v>86</v>
      </c>
      <c r="AX8" s="384" t="s">
        <v>87</v>
      </c>
      <c r="AY8" s="382" t="s">
        <v>6</v>
      </c>
      <c r="AZ8" s="441">
        <f>+(AY9+AY10+AY11+AY12+AY13+AY14+AY15+AY16+AY17+AY18+AY19+AY20+AY21+AY22+AY23+AY24+AY25+AY27+AY28+AY29+AY31)/21</f>
        <v>1.3002401988375847</v>
      </c>
    </row>
    <row r="9" spans="1:52" s="22" customFormat="1" ht="31.5" customHeight="1" thickTop="1" thickBot="1">
      <c r="A9" s="2845" t="s">
        <v>88</v>
      </c>
      <c r="B9" s="2848" t="s">
        <v>94</v>
      </c>
      <c r="C9" s="319" t="s">
        <v>95</v>
      </c>
      <c r="D9" s="24" t="s">
        <v>96</v>
      </c>
      <c r="E9" s="67" t="s">
        <v>97</v>
      </c>
      <c r="F9" s="67" t="s">
        <v>168</v>
      </c>
      <c r="G9" s="385">
        <v>3861874</v>
      </c>
      <c r="H9" s="67"/>
      <c r="I9" s="385" t="s">
        <v>98</v>
      </c>
      <c r="J9" s="386"/>
      <c r="K9" s="67" t="s">
        <v>20</v>
      </c>
      <c r="L9" s="387" t="s">
        <v>98</v>
      </c>
      <c r="M9" s="388">
        <v>0.59897400000000001</v>
      </c>
      <c r="N9" s="19" t="e">
        <f>+M9/L9</f>
        <v>#VALUE!</v>
      </c>
      <c r="O9" s="387">
        <v>0</v>
      </c>
      <c r="P9" s="388">
        <v>0.25830500000000001</v>
      </c>
      <c r="Q9" s="19" t="e">
        <f>+P9/O9</f>
        <v>#DIV/0!</v>
      </c>
      <c r="R9" s="387">
        <v>0</v>
      </c>
      <c r="S9" s="388">
        <v>0.29699999999999999</v>
      </c>
      <c r="T9" s="19" t="e">
        <f>+S9/R9</f>
        <v>#DIV/0!</v>
      </c>
      <c r="U9" s="387">
        <v>0</v>
      </c>
      <c r="V9" s="388">
        <v>0.286547</v>
      </c>
      <c r="W9" s="19" t="e">
        <f>+V9/U9</f>
        <v>#DIV/0!</v>
      </c>
      <c r="X9" s="387">
        <v>0</v>
      </c>
      <c r="Y9" s="388">
        <v>0.34181600000000001</v>
      </c>
      <c r="Z9" s="19" t="e">
        <f>+Y9/X9</f>
        <v>#DIV/0!</v>
      </c>
      <c r="AA9" s="387">
        <v>0</v>
      </c>
      <c r="AB9" s="388">
        <v>0.29507499999999998</v>
      </c>
      <c r="AC9" s="19" t="e">
        <f>+AB9/AA9</f>
        <v>#DIV/0!</v>
      </c>
      <c r="AD9" s="387">
        <f>+AB9+Y9+V9+S9+P9+M9</f>
        <v>2.0777169999999998</v>
      </c>
      <c r="AE9" s="19">
        <f>+AD9/G9</f>
        <v>5.3800745441202892E-7</v>
      </c>
      <c r="AF9" s="387">
        <v>0</v>
      </c>
      <c r="AG9" s="388">
        <v>0.27843099999999998</v>
      </c>
      <c r="AH9" s="19" t="e">
        <f>+AG9/AF9</f>
        <v>#DIV/0!</v>
      </c>
      <c r="AI9" s="387">
        <v>0</v>
      </c>
      <c r="AJ9" s="388">
        <v>0.19225400000000001</v>
      </c>
      <c r="AK9" s="19" t="e">
        <f>+AJ9/AI9</f>
        <v>#DIV/0!</v>
      </c>
      <c r="AL9" s="387">
        <v>0</v>
      </c>
      <c r="AM9" s="388">
        <v>0.44644400000000001</v>
      </c>
      <c r="AN9" s="19" t="e">
        <f>+AM9/AL9</f>
        <v>#DIV/0!</v>
      </c>
      <c r="AO9" s="387">
        <v>0</v>
      </c>
      <c r="AP9" s="388">
        <v>0.22344700000000001</v>
      </c>
      <c r="AQ9" s="19" t="e">
        <f>+AP9/AO9</f>
        <v>#DIV/0!</v>
      </c>
      <c r="AR9" s="387">
        <v>0</v>
      </c>
      <c r="AS9" s="388">
        <v>0.42394100000000001</v>
      </c>
      <c r="AT9" s="19" t="e">
        <f>+AS9/AR9</f>
        <v>#DIV/0!</v>
      </c>
      <c r="AU9" s="387">
        <v>0</v>
      </c>
      <c r="AV9" s="388">
        <v>0.21964</v>
      </c>
      <c r="AW9" s="19" t="e">
        <f>+AV9/AU9</f>
        <v>#DIV/0!</v>
      </c>
      <c r="AX9" s="387">
        <v>3861874</v>
      </c>
      <c r="AY9" s="19">
        <v>1</v>
      </c>
    </row>
    <row r="10" spans="1:52" s="22" customFormat="1" ht="76.5" thickTop="1" thickBot="1">
      <c r="A10" s="2846"/>
      <c r="B10" s="2849"/>
      <c r="C10" s="2851" t="s">
        <v>301</v>
      </c>
      <c r="D10" s="17" t="s">
        <v>99</v>
      </c>
      <c r="E10" s="400" t="s">
        <v>302</v>
      </c>
      <c r="F10" s="400" t="s">
        <v>101</v>
      </c>
      <c r="G10" s="390">
        <v>226870000000</v>
      </c>
      <c r="H10" s="400"/>
      <c r="I10" s="390">
        <v>226870000000</v>
      </c>
      <c r="J10" s="96"/>
      <c r="K10" s="561" t="s">
        <v>172</v>
      </c>
      <c r="L10" s="391">
        <v>18149600000</v>
      </c>
      <c r="M10" s="392">
        <v>24535276750</v>
      </c>
      <c r="N10" s="19">
        <f t="shared" ref="N10:N27" si="0">+M10/L10</f>
        <v>1.3518356740644422</v>
      </c>
      <c r="O10" s="391">
        <v>18149600000</v>
      </c>
      <c r="P10" s="392">
        <v>4892887000</v>
      </c>
      <c r="Q10" s="19">
        <f t="shared" ref="Q10:Q27" si="1">+P10/O10</f>
        <v>0.26958649226429232</v>
      </c>
      <c r="R10" s="391">
        <v>18149600000</v>
      </c>
      <c r="S10" s="392">
        <v>10885262500</v>
      </c>
      <c r="T10" s="19">
        <f t="shared" ref="T10:T27" si="2">+S10/R10</f>
        <v>0.59975219839555693</v>
      </c>
      <c r="U10" s="391">
        <v>20418300000</v>
      </c>
      <c r="V10" s="392">
        <v>923945000</v>
      </c>
      <c r="W10" s="19">
        <f t="shared" ref="W10:W27" si="3">+V10/U10</f>
        <v>4.5250828913278772E-2</v>
      </c>
      <c r="X10" s="391">
        <v>22687000000</v>
      </c>
      <c r="Y10" s="392">
        <v>4838453000</v>
      </c>
      <c r="Z10" s="19">
        <f t="shared" ref="Z10:Z27" si="4">+Y10/X10</f>
        <v>0.21326984616740866</v>
      </c>
      <c r="AA10" s="391">
        <v>22687000000</v>
      </c>
      <c r="AB10" s="392">
        <v>20587681310</v>
      </c>
      <c r="AC10" s="19">
        <f t="shared" ref="AC10:AC27" si="5">+AB10/AA10</f>
        <v>0.90746600740512184</v>
      </c>
      <c r="AD10" s="391">
        <f t="shared" ref="AD10:AD27" si="6">+AB10+Y10+V10+S10+P10+M10</f>
        <v>66663505560</v>
      </c>
      <c r="AE10" s="19">
        <f t="shared" ref="AE10:AE27" si="7">+AD10/G10</f>
        <v>0.29384010913739145</v>
      </c>
      <c r="AF10" s="391">
        <v>22687000000</v>
      </c>
      <c r="AG10" s="392">
        <v>42103576240</v>
      </c>
      <c r="AH10" s="19">
        <f t="shared" ref="AH10:AH27" si="8">+AG10/AF10</f>
        <v>1.8558459135187553</v>
      </c>
      <c r="AI10" s="391">
        <v>22687000000</v>
      </c>
      <c r="AJ10" s="392">
        <v>111398630217</v>
      </c>
      <c r="AK10" s="19">
        <f t="shared" ref="AK10:AK27" si="9">+AJ10/AI10</f>
        <v>4.9102406760259178</v>
      </c>
      <c r="AL10" s="391">
        <v>22687000000</v>
      </c>
      <c r="AM10" s="392">
        <v>11849233080</v>
      </c>
      <c r="AN10" s="19">
        <f t="shared" ref="AN10:AN27" si="10">+AM10/AL10</f>
        <v>0.52229175651254023</v>
      </c>
      <c r="AO10" s="391">
        <v>22687000000</v>
      </c>
      <c r="AP10" s="392">
        <v>10407116500</v>
      </c>
      <c r="AQ10" s="19">
        <f t="shared" ref="AQ10:AQ27" si="11">+AP10/AO10</f>
        <v>0.45872598845153612</v>
      </c>
      <c r="AR10" s="391">
        <v>9074800000</v>
      </c>
      <c r="AS10" s="392">
        <v>88956155309</v>
      </c>
      <c r="AT10" s="19">
        <f t="shared" ref="AT10:AT27" si="12">+AS10/AR10</f>
        <v>9.8025471976241896</v>
      </c>
      <c r="AU10" s="391">
        <v>6806100000</v>
      </c>
      <c r="AV10" s="393">
        <v>84163332300</v>
      </c>
      <c r="AW10" s="19">
        <f t="shared" ref="AW10:AW27" si="13">+AV10/AU10</f>
        <v>12.36586772160268</v>
      </c>
      <c r="AX10" s="394">
        <f t="shared" ref="AX10:AX18" si="14">+M10+P10+S10+V10+Y10+AB10+AG10+AJ10+AM10+AP10+AS10+AV10</f>
        <v>415541549206</v>
      </c>
      <c r="AY10" s="19">
        <f t="shared" ref="AY10:AY27" si="15">+AX10/G10</f>
        <v>1.8316284621413144</v>
      </c>
    </row>
    <row r="11" spans="1:52" s="22" customFormat="1" ht="31.5" thickTop="1" thickBot="1">
      <c r="A11" s="2846"/>
      <c r="B11" s="2849"/>
      <c r="C11" s="2852"/>
      <c r="D11" s="1201" t="s">
        <v>303</v>
      </c>
      <c r="E11" s="67" t="s">
        <v>302</v>
      </c>
      <c r="F11" s="67" t="s">
        <v>168</v>
      </c>
      <c r="G11" s="385">
        <v>40000</v>
      </c>
      <c r="H11" s="67"/>
      <c r="I11" s="385">
        <v>40000</v>
      </c>
      <c r="J11" s="386"/>
      <c r="K11" s="67" t="s">
        <v>304</v>
      </c>
      <c r="L11" s="387">
        <v>2000</v>
      </c>
      <c r="M11" s="388">
        <v>0</v>
      </c>
      <c r="N11" s="19">
        <f t="shared" si="0"/>
        <v>0</v>
      </c>
      <c r="O11" s="387">
        <v>2000</v>
      </c>
      <c r="P11" s="388">
        <v>0</v>
      </c>
      <c r="Q11" s="19">
        <f t="shared" si="1"/>
        <v>0</v>
      </c>
      <c r="R11" s="387">
        <v>2400</v>
      </c>
      <c r="S11" s="388">
        <v>213.65199999999999</v>
      </c>
      <c r="T11" s="19">
        <f t="shared" si="2"/>
        <v>8.9021666666666666E-2</v>
      </c>
      <c r="U11" s="387">
        <v>4000</v>
      </c>
      <c r="V11" s="388">
        <v>64.564999999999998</v>
      </c>
      <c r="W11" s="19">
        <f t="shared" si="3"/>
        <v>1.6141249999999999E-2</v>
      </c>
      <c r="X11" s="387">
        <v>4000</v>
      </c>
      <c r="Y11" s="388">
        <v>0</v>
      </c>
      <c r="Z11" s="19">
        <f t="shared" si="4"/>
        <v>0</v>
      </c>
      <c r="AA11" s="387">
        <v>4000</v>
      </c>
      <c r="AB11" s="388">
        <v>2513.0605</v>
      </c>
      <c r="AC11" s="19">
        <f t="shared" si="5"/>
        <v>0.62826512499999998</v>
      </c>
      <c r="AD11" s="387">
        <f t="shared" si="6"/>
        <v>2791.2775000000001</v>
      </c>
      <c r="AE11" s="19">
        <f t="shared" si="7"/>
        <v>6.9781937500000002E-2</v>
      </c>
      <c r="AF11" s="387">
        <v>4000</v>
      </c>
      <c r="AG11" s="388">
        <v>1349.0260000000001</v>
      </c>
      <c r="AH11" s="19">
        <f t="shared" si="8"/>
        <v>0.33725650000000001</v>
      </c>
      <c r="AI11" s="387">
        <v>4000</v>
      </c>
      <c r="AJ11" s="388">
        <v>107792.316999</v>
      </c>
      <c r="AK11" s="19">
        <f t="shared" si="9"/>
        <v>26.948079249750002</v>
      </c>
      <c r="AL11" s="387">
        <v>4000</v>
      </c>
      <c r="AM11" s="388">
        <v>12.58</v>
      </c>
      <c r="AN11" s="19">
        <f t="shared" si="10"/>
        <v>3.1450000000000002E-3</v>
      </c>
      <c r="AO11" s="387">
        <v>4000</v>
      </c>
      <c r="AP11" s="388">
        <v>52.996000000000002</v>
      </c>
      <c r="AQ11" s="19">
        <f t="shared" si="11"/>
        <v>1.3249E-2</v>
      </c>
      <c r="AR11" s="387">
        <v>4000</v>
      </c>
      <c r="AS11" s="388">
        <v>15656.626</v>
      </c>
      <c r="AT11" s="19">
        <f t="shared" si="12"/>
        <v>3.9141565000000003</v>
      </c>
      <c r="AU11" s="387">
        <v>1600</v>
      </c>
      <c r="AV11" s="388">
        <v>17715</v>
      </c>
      <c r="AW11" s="19">
        <f t="shared" si="13"/>
        <v>11.071875</v>
      </c>
      <c r="AX11" s="387">
        <f t="shared" si="14"/>
        <v>145369.822499</v>
      </c>
      <c r="AY11" s="19">
        <f t="shared" si="15"/>
        <v>3.6342455624749999</v>
      </c>
    </row>
    <row r="12" spans="1:52" s="22" customFormat="1" ht="76.5" thickTop="1" thickBot="1">
      <c r="A12" s="2846"/>
      <c r="B12" s="2849"/>
      <c r="C12" s="2852"/>
      <c r="D12" s="17" t="s">
        <v>102</v>
      </c>
      <c r="E12" s="400" t="s">
        <v>274</v>
      </c>
      <c r="F12" s="400" t="s">
        <v>101</v>
      </c>
      <c r="G12" s="390">
        <v>171400000000</v>
      </c>
      <c r="H12" s="400"/>
      <c r="I12" s="390">
        <v>171400000000</v>
      </c>
      <c r="J12" s="96"/>
      <c r="K12" s="561" t="s">
        <v>172</v>
      </c>
      <c r="L12" s="395">
        <v>13712000000</v>
      </c>
      <c r="M12" s="396">
        <v>1405567000</v>
      </c>
      <c r="N12" s="19">
        <f t="shared" si="0"/>
        <v>0.10250634480746791</v>
      </c>
      <c r="O12" s="395">
        <v>13712000000</v>
      </c>
      <c r="P12" s="396">
        <v>1220312000</v>
      </c>
      <c r="Q12" s="19">
        <f t="shared" si="1"/>
        <v>8.8995915985997667E-2</v>
      </c>
      <c r="R12" s="395">
        <v>13712000000</v>
      </c>
      <c r="S12" s="396">
        <v>11162713000</v>
      </c>
      <c r="T12" s="19">
        <f t="shared" si="2"/>
        <v>0.81408350350058345</v>
      </c>
      <c r="U12" s="395">
        <v>15426000000</v>
      </c>
      <c r="V12" s="396">
        <v>7942663000</v>
      </c>
      <c r="W12" s="19">
        <f t="shared" si="3"/>
        <v>0.51488804615584083</v>
      </c>
      <c r="X12" s="395">
        <v>17140000000</v>
      </c>
      <c r="Y12" s="396">
        <v>2539767000</v>
      </c>
      <c r="Z12" s="19">
        <f t="shared" si="4"/>
        <v>0.14817777129521587</v>
      </c>
      <c r="AA12" s="395">
        <v>17140000000</v>
      </c>
      <c r="AB12" s="396">
        <v>4267934000</v>
      </c>
      <c r="AC12" s="19">
        <f t="shared" si="5"/>
        <v>0.24900431738623105</v>
      </c>
      <c r="AD12" s="395">
        <f t="shared" si="6"/>
        <v>28538956000</v>
      </c>
      <c r="AE12" s="19">
        <f t="shared" si="7"/>
        <v>0.16650499416569428</v>
      </c>
      <c r="AF12" s="395">
        <v>17140000000</v>
      </c>
      <c r="AG12" s="396">
        <v>37562659010</v>
      </c>
      <c r="AH12" s="19">
        <f t="shared" si="8"/>
        <v>2.1915203623103849</v>
      </c>
      <c r="AI12" s="395">
        <v>17140000000</v>
      </c>
      <c r="AJ12" s="396">
        <v>18855394850</v>
      </c>
      <c r="AK12" s="19">
        <f t="shared" si="9"/>
        <v>1.1000813798133022</v>
      </c>
      <c r="AL12" s="395">
        <v>17140000000</v>
      </c>
      <c r="AM12" s="396">
        <v>10132393520</v>
      </c>
      <c r="AN12" s="19">
        <f t="shared" si="10"/>
        <v>0.59115481446907814</v>
      </c>
      <c r="AO12" s="395">
        <v>17140000000</v>
      </c>
      <c r="AP12" s="396">
        <v>14993858530</v>
      </c>
      <c r="AQ12" s="19">
        <f t="shared" si="11"/>
        <v>0.87478754550758464</v>
      </c>
      <c r="AR12" s="395">
        <v>6856000000</v>
      </c>
      <c r="AS12" s="396">
        <v>31100807189</v>
      </c>
      <c r="AT12" s="19">
        <f t="shared" si="12"/>
        <v>4.5362904301341889</v>
      </c>
      <c r="AU12" s="395">
        <v>5142000000</v>
      </c>
      <c r="AV12" s="396">
        <v>26810003800</v>
      </c>
      <c r="AW12" s="19">
        <f t="shared" si="13"/>
        <v>5.2139252819914432</v>
      </c>
      <c r="AX12" s="394">
        <f t="shared" si="14"/>
        <v>167994072899</v>
      </c>
      <c r="AY12" s="19">
        <f t="shared" si="15"/>
        <v>0.98012878004084014</v>
      </c>
    </row>
    <row r="13" spans="1:52" s="22" customFormat="1" ht="76.5" thickTop="1" thickBot="1">
      <c r="A13" s="2846"/>
      <c r="B13" s="2849"/>
      <c r="C13" s="2852"/>
      <c r="D13" s="24" t="s">
        <v>104</v>
      </c>
      <c r="E13" s="67" t="s">
        <v>105</v>
      </c>
      <c r="F13" s="67" t="s">
        <v>24</v>
      </c>
      <c r="G13" s="397">
        <v>160</v>
      </c>
      <c r="H13" s="67"/>
      <c r="I13" s="397">
        <v>160</v>
      </c>
      <c r="J13" s="386"/>
      <c r="K13" s="25" t="s">
        <v>172</v>
      </c>
      <c r="L13" s="398">
        <v>0</v>
      </c>
      <c r="M13" s="399">
        <v>0</v>
      </c>
      <c r="N13" s="19" t="e">
        <f t="shared" si="0"/>
        <v>#DIV/0!</v>
      </c>
      <c r="O13" s="398">
        <v>0</v>
      </c>
      <c r="P13" s="399">
        <v>0</v>
      </c>
      <c r="Q13" s="19" t="e">
        <f t="shared" si="1"/>
        <v>#DIV/0!</v>
      </c>
      <c r="R13" s="398">
        <v>40</v>
      </c>
      <c r="S13" s="399">
        <v>0</v>
      </c>
      <c r="T13" s="19">
        <f t="shared" si="2"/>
        <v>0</v>
      </c>
      <c r="U13" s="398">
        <v>0</v>
      </c>
      <c r="V13" s="399">
        <v>0</v>
      </c>
      <c r="W13" s="19" t="e">
        <f t="shared" si="3"/>
        <v>#DIV/0!</v>
      </c>
      <c r="X13" s="398">
        <v>0</v>
      </c>
      <c r="Y13" s="399">
        <v>0</v>
      </c>
      <c r="Z13" s="19" t="e">
        <f t="shared" si="4"/>
        <v>#DIV/0!</v>
      </c>
      <c r="AA13" s="398">
        <v>40</v>
      </c>
      <c r="AB13" s="399">
        <v>0</v>
      </c>
      <c r="AC13" s="19">
        <f t="shared" si="5"/>
        <v>0</v>
      </c>
      <c r="AD13" s="398">
        <f t="shared" si="6"/>
        <v>0</v>
      </c>
      <c r="AE13" s="19">
        <f t="shared" si="7"/>
        <v>0</v>
      </c>
      <c r="AF13" s="398">
        <v>0</v>
      </c>
      <c r="AG13" s="399">
        <v>0</v>
      </c>
      <c r="AH13" s="19" t="e">
        <f t="shared" si="8"/>
        <v>#DIV/0!</v>
      </c>
      <c r="AI13" s="398">
        <v>0</v>
      </c>
      <c r="AJ13" s="399">
        <v>0</v>
      </c>
      <c r="AK13" s="19" t="e">
        <f t="shared" si="9"/>
        <v>#DIV/0!</v>
      </c>
      <c r="AL13" s="398">
        <v>40</v>
      </c>
      <c r="AM13" s="399">
        <v>125</v>
      </c>
      <c r="AN13" s="19">
        <f t="shared" si="10"/>
        <v>3.125</v>
      </c>
      <c r="AO13" s="398">
        <v>0</v>
      </c>
      <c r="AP13" s="399">
        <v>0</v>
      </c>
      <c r="AQ13" s="19" t="e">
        <f t="shared" si="11"/>
        <v>#DIV/0!</v>
      </c>
      <c r="AR13" s="398">
        <v>0</v>
      </c>
      <c r="AS13" s="399"/>
      <c r="AT13" s="19" t="e">
        <f t="shared" si="12"/>
        <v>#DIV/0!</v>
      </c>
      <c r="AU13" s="398">
        <v>40</v>
      </c>
      <c r="AV13" s="399">
        <v>37</v>
      </c>
      <c r="AW13" s="19">
        <f t="shared" si="13"/>
        <v>0.92500000000000004</v>
      </c>
      <c r="AX13" s="398">
        <f>+M13+P13+S13+V13+Y13+AB13+AG13+AJ13+AM13+AP13+AS13+AV13</f>
        <v>162</v>
      </c>
      <c r="AY13" s="19">
        <f t="shared" si="15"/>
        <v>1.0125</v>
      </c>
    </row>
    <row r="14" spans="1:52" s="22" customFormat="1" ht="76.5" thickTop="1" thickBot="1">
      <c r="A14" s="2846"/>
      <c r="B14" s="2849"/>
      <c r="C14" s="2853"/>
      <c r="D14" s="17" t="s">
        <v>106</v>
      </c>
      <c r="E14" s="401" t="s">
        <v>173</v>
      </c>
      <c r="F14" s="401" t="s">
        <v>24</v>
      </c>
      <c r="G14" s="402">
        <v>392</v>
      </c>
      <c r="H14" s="400"/>
      <c r="I14" s="402">
        <v>392</v>
      </c>
      <c r="J14" s="96"/>
      <c r="K14" s="561" t="s">
        <v>172</v>
      </c>
      <c r="L14" s="403">
        <v>0</v>
      </c>
      <c r="M14" s="404"/>
      <c r="N14" s="19" t="e">
        <f t="shared" si="0"/>
        <v>#DIV/0!</v>
      </c>
      <c r="O14" s="403">
        <v>0</v>
      </c>
      <c r="P14" s="404"/>
      <c r="Q14" s="19" t="e">
        <f t="shared" si="1"/>
        <v>#DIV/0!</v>
      </c>
      <c r="R14" s="403">
        <v>0</v>
      </c>
      <c r="S14" s="404"/>
      <c r="T14" s="19" t="e">
        <f t="shared" si="2"/>
        <v>#DIV/0!</v>
      </c>
      <c r="U14" s="403">
        <v>0</v>
      </c>
      <c r="V14" s="404">
        <v>0</v>
      </c>
      <c r="W14" s="19" t="e">
        <f t="shared" si="3"/>
        <v>#DIV/0!</v>
      </c>
      <c r="X14" s="403">
        <v>0</v>
      </c>
      <c r="Y14" s="404"/>
      <c r="Z14" s="19" t="e">
        <f t="shared" si="4"/>
        <v>#DIV/0!</v>
      </c>
      <c r="AA14" s="403">
        <v>0</v>
      </c>
      <c r="AB14" s="404"/>
      <c r="AC14" s="19" t="e">
        <f t="shared" si="5"/>
        <v>#DIV/0!</v>
      </c>
      <c r="AD14" s="403">
        <f t="shared" si="6"/>
        <v>0</v>
      </c>
      <c r="AE14" s="19">
        <f t="shared" si="7"/>
        <v>0</v>
      </c>
      <c r="AF14" s="403">
        <v>196</v>
      </c>
      <c r="AG14" s="404">
        <v>238</v>
      </c>
      <c r="AH14" s="19">
        <f t="shared" si="8"/>
        <v>1.2142857142857142</v>
      </c>
      <c r="AI14" s="403">
        <v>0</v>
      </c>
      <c r="AJ14" s="404"/>
      <c r="AK14" s="19" t="e">
        <f t="shared" si="9"/>
        <v>#DIV/0!</v>
      </c>
      <c r="AL14" s="403">
        <v>0</v>
      </c>
      <c r="AM14" s="404"/>
      <c r="AN14" s="19" t="e">
        <f t="shared" si="10"/>
        <v>#DIV/0!</v>
      </c>
      <c r="AO14" s="403">
        <v>0</v>
      </c>
      <c r="AP14" s="404"/>
      <c r="AQ14" s="19" t="e">
        <f t="shared" si="11"/>
        <v>#DIV/0!</v>
      </c>
      <c r="AR14" s="403">
        <v>0</v>
      </c>
      <c r="AS14" s="404"/>
      <c r="AT14" s="19" t="e">
        <f t="shared" si="12"/>
        <v>#DIV/0!</v>
      </c>
      <c r="AU14" s="403">
        <v>196</v>
      </c>
      <c r="AV14" s="404">
        <v>320</v>
      </c>
      <c r="AW14" s="19">
        <f t="shared" si="13"/>
        <v>1.6326530612244898</v>
      </c>
      <c r="AX14" s="405">
        <f>+M14+P14+S14+V14+Y14+AB14+AG14+AJ14+AM14+AP14+AS14+AV14</f>
        <v>558</v>
      </c>
      <c r="AY14" s="19">
        <f t="shared" si="15"/>
        <v>1.4234693877551021</v>
      </c>
    </row>
    <row r="15" spans="1:52" s="22" customFormat="1" ht="136.5" thickTop="1" thickBot="1">
      <c r="A15" s="2846"/>
      <c r="B15" s="2849"/>
      <c r="C15" s="25" t="s">
        <v>305</v>
      </c>
      <c r="D15" s="24" t="s">
        <v>109</v>
      </c>
      <c r="E15" s="25" t="s">
        <v>306</v>
      </c>
      <c r="F15" s="25" t="s">
        <v>168</v>
      </c>
      <c r="G15" s="406">
        <v>918529</v>
      </c>
      <c r="H15" s="407"/>
      <c r="I15" s="406">
        <v>918529</v>
      </c>
      <c r="J15" s="407"/>
      <c r="K15" s="25" t="s">
        <v>21</v>
      </c>
      <c r="L15" s="225">
        <v>0</v>
      </c>
      <c r="M15" s="408"/>
      <c r="N15" s="19" t="e">
        <f t="shared" si="0"/>
        <v>#DIV/0!</v>
      </c>
      <c r="O15" s="387">
        <v>0</v>
      </c>
      <c r="P15" s="388"/>
      <c r="Q15" s="19" t="e">
        <f t="shared" si="1"/>
        <v>#DIV/0!</v>
      </c>
      <c r="R15" s="387">
        <v>187387.83128283996</v>
      </c>
      <c r="S15" s="388">
        <v>146228</v>
      </c>
      <c r="T15" s="19">
        <f t="shared" si="2"/>
        <v>0.78034949761111205</v>
      </c>
      <c r="U15" s="387">
        <v>89734.003620854332</v>
      </c>
      <c r="V15" s="388">
        <v>60732</v>
      </c>
      <c r="W15" s="19">
        <f t="shared" si="3"/>
        <v>0.67680029363903005</v>
      </c>
      <c r="X15" s="387">
        <v>81205.789453867139</v>
      </c>
      <c r="Y15" s="388">
        <v>48168</v>
      </c>
      <c r="Z15" s="19">
        <f t="shared" si="4"/>
        <v>0.59315967893353405</v>
      </c>
      <c r="AA15" s="387">
        <v>64681.713055594148</v>
      </c>
      <c r="AB15" s="388">
        <v>32347</v>
      </c>
      <c r="AC15" s="19">
        <f t="shared" si="5"/>
        <v>0.50009498004787911</v>
      </c>
      <c r="AD15" s="387">
        <f>+AB15+Y15+V15+S15</f>
        <v>287475</v>
      </c>
      <c r="AE15" s="19">
        <f t="shared" si="7"/>
        <v>0.31297324308758895</v>
      </c>
      <c r="AF15" s="387">
        <v>113760.3927899827</v>
      </c>
      <c r="AG15" s="388">
        <v>40951</v>
      </c>
      <c r="AH15" s="19">
        <f t="shared" si="8"/>
        <v>0.35997590194331669</v>
      </c>
      <c r="AI15" s="387">
        <v>72527.642048816895</v>
      </c>
      <c r="AJ15" s="388">
        <v>36890</v>
      </c>
      <c r="AK15" s="19">
        <f t="shared" si="9"/>
        <v>0.50863365963517859</v>
      </c>
      <c r="AL15" s="387">
        <v>74324.686985122346</v>
      </c>
      <c r="AM15" s="388">
        <v>75854</v>
      </c>
      <c r="AN15" s="19">
        <f t="shared" si="10"/>
        <v>1.0205761110730782</v>
      </c>
      <c r="AO15" s="387">
        <v>125227.21424504856</v>
      </c>
      <c r="AP15" s="388">
        <v>54418</v>
      </c>
      <c r="AQ15" s="19">
        <f t="shared" si="11"/>
        <v>0.43455410493691204</v>
      </c>
      <c r="AR15" s="387">
        <v>68745.460127713683</v>
      </c>
      <c r="AS15" s="388">
        <v>60780.635303000003</v>
      </c>
      <c r="AT15" s="19">
        <f t="shared" si="12"/>
        <v>0.88414035181498796</v>
      </c>
      <c r="AU15" s="387">
        <v>40934.065299250316</v>
      </c>
      <c r="AV15" s="388">
        <v>49576.4</v>
      </c>
      <c r="AW15" s="19">
        <f t="shared" si="13"/>
        <v>1.2111281798563009</v>
      </c>
      <c r="AX15" s="225">
        <f t="shared" si="14"/>
        <v>605945.03530300001</v>
      </c>
      <c r="AY15" s="19">
        <f t="shared" si="15"/>
        <v>0.65969069599653363</v>
      </c>
    </row>
    <row r="16" spans="1:52" s="22" customFormat="1" ht="46.5" customHeight="1" thickTop="1" thickBot="1">
      <c r="A16" s="2846"/>
      <c r="B16" s="2849"/>
      <c r="C16" s="401" t="s">
        <v>307</v>
      </c>
      <c r="D16" s="17" t="s">
        <v>111</v>
      </c>
      <c r="E16" s="401" t="s">
        <v>112</v>
      </c>
      <c r="F16" s="401" t="s">
        <v>17</v>
      </c>
      <c r="G16" s="403">
        <v>1175</v>
      </c>
      <c r="H16" s="401"/>
      <c r="I16" s="401">
        <v>1175</v>
      </c>
      <c r="J16" s="401"/>
      <c r="K16" s="401" t="s">
        <v>20</v>
      </c>
      <c r="L16" s="403">
        <v>0</v>
      </c>
      <c r="M16" s="409"/>
      <c r="N16" s="19" t="e">
        <f t="shared" si="0"/>
        <v>#DIV/0!</v>
      </c>
      <c r="O16" s="403">
        <v>0</v>
      </c>
      <c r="P16" s="404"/>
      <c r="Q16" s="19" t="e">
        <f t="shared" si="1"/>
        <v>#DIV/0!</v>
      </c>
      <c r="R16" s="403">
        <v>0</v>
      </c>
      <c r="S16" s="404"/>
      <c r="T16" s="19" t="e">
        <f t="shared" si="2"/>
        <v>#DIV/0!</v>
      </c>
      <c r="U16" s="403">
        <v>0</v>
      </c>
      <c r="V16" s="404"/>
      <c r="W16" s="19" t="e">
        <f t="shared" si="3"/>
        <v>#DIV/0!</v>
      </c>
      <c r="X16" s="403">
        <v>0</v>
      </c>
      <c r="Y16" s="404"/>
      <c r="Z16" s="19" t="e">
        <f t="shared" si="4"/>
        <v>#DIV/0!</v>
      </c>
      <c r="AA16" s="403">
        <v>0</v>
      </c>
      <c r="AB16" s="404"/>
      <c r="AC16" s="19" t="e">
        <f t="shared" si="5"/>
        <v>#DIV/0!</v>
      </c>
      <c r="AD16" s="403">
        <f>+AB16+Y16+V16+S16+P16+M16</f>
        <v>0</v>
      </c>
      <c r="AE16" s="19">
        <f t="shared" si="7"/>
        <v>0</v>
      </c>
      <c r="AF16" s="403">
        <v>0</v>
      </c>
      <c r="AG16" s="404"/>
      <c r="AH16" s="19" t="e">
        <f t="shared" si="8"/>
        <v>#DIV/0!</v>
      </c>
      <c r="AI16" s="403">
        <v>0</v>
      </c>
      <c r="AJ16" s="404"/>
      <c r="AK16" s="19" t="e">
        <f t="shared" si="9"/>
        <v>#DIV/0!</v>
      </c>
      <c r="AL16" s="403">
        <v>0</v>
      </c>
      <c r="AM16" s="404"/>
      <c r="AN16" s="19" t="e">
        <f t="shared" si="10"/>
        <v>#DIV/0!</v>
      </c>
      <c r="AO16" s="403">
        <v>1154</v>
      </c>
      <c r="AP16" s="404">
        <v>602</v>
      </c>
      <c r="AQ16" s="19">
        <f t="shared" si="11"/>
        <v>0.52166377816291165</v>
      </c>
      <c r="AR16" s="403">
        <v>0</v>
      </c>
      <c r="AS16" s="404">
        <v>655</v>
      </c>
      <c r="AT16" s="19" t="e">
        <f t="shared" si="12"/>
        <v>#DIV/0!</v>
      </c>
      <c r="AU16" s="403">
        <v>21</v>
      </c>
      <c r="AV16" s="404">
        <v>67</v>
      </c>
      <c r="AW16" s="19">
        <f t="shared" si="13"/>
        <v>3.1904761904761907</v>
      </c>
      <c r="AX16" s="410">
        <f>+M16+P16+S16+V16+Y16+AB16+AG16+AJ16+AM16+AP16+AS16+AV16</f>
        <v>1324</v>
      </c>
      <c r="AY16" s="19">
        <f t="shared" si="15"/>
        <v>1.1268085106382979</v>
      </c>
    </row>
    <row r="17" spans="1:51" s="22" customFormat="1" ht="91.5" thickTop="1" thickBot="1">
      <c r="A17" s="2846"/>
      <c r="B17" s="2849"/>
      <c r="C17" s="25" t="s">
        <v>308</v>
      </c>
      <c r="D17" s="24" t="s">
        <v>114</v>
      </c>
      <c r="E17" s="25" t="s">
        <v>115</v>
      </c>
      <c r="F17" s="25" t="s">
        <v>10</v>
      </c>
      <c r="G17" s="43">
        <v>1</v>
      </c>
      <c r="H17" s="407"/>
      <c r="I17" s="43">
        <v>1</v>
      </c>
      <c r="J17" s="407"/>
      <c r="K17" s="25" t="s">
        <v>20</v>
      </c>
      <c r="L17" s="411">
        <v>0</v>
      </c>
      <c r="M17" s="412">
        <v>0</v>
      </c>
      <c r="N17" s="19" t="e">
        <f t="shared" si="0"/>
        <v>#DIV/0!</v>
      </c>
      <c r="O17" s="411">
        <v>0</v>
      </c>
      <c r="P17" s="412">
        <v>0</v>
      </c>
      <c r="Q17" s="19" t="e">
        <f t="shared" si="1"/>
        <v>#DIV/0!</v>
      </c>
      <c r="R17" s="411">
        <v>0.25</v>
      </c>
      <c r="S17" s="412">
        <v>0.25</v>
      </c>
      <c r="T17" s="19">
        <f t="shared" si="2"/>
        <v>1</v>
      </c>
      <c r="U17" s="411">
        <v>0</v>
      </c>
      <c r="V17" s="412"/>
      <c r="W17" s="19" t="e">
        <f t="shared" si="3"/>
        <v>#DIV/0!</v>
      </c>
      <c r="X17" s="411">
        <v>0</v>
      </c>
      <c r="Y17" s="412"/>
      <c r="Z17" s="19" t="e">
        <f t="shared" si="4"/>
        <v>#DIV/0!</v>
      </c>
      <c r="AA17" s="411">
        <v>0.25</v>
      </c>
      <c r="AB17" s="412">
        <v>0.25</v>
      </c>
      <c r="AC17" s="19">
        <f t="shared" si="5"/>
        <v>1</v>
      </c>
      <c r="AD17" s="411">
        <f t="shared" si="6"/>
        <v>0.5</v>
      </c>
      <c r="AE17" s="19">
        <f>+AD17/G17</f>
        <v>0.5</v>
      </c>
      <c r="AF17" s="411">
        <v>0</v>
      </c>
      <c r="AG17" s="412"/>
      <c r="AH17" s="19" t="e">
        <f t="shared" si="8"/>
        <v>#DIV/0!</v>
      </c>
      <c r="AI17" s="411">
        <v>0</v>
      </c>
      <c r="AJ17" s="412"/>
      <c r="AK17" s="19" t="e">
        <f t="shared" si="9"/>
        <v>#DIV/0!</v>
      </c>
      <c r="AL17" s="411">
        <v>0.25</v>
      </c>
      <c r="AM17" s="412">
        <v>0.25</v>
      </c>
      <c r="AN17" s="19">
        <f t="shared" si="10"/>
        <v>1</v>
      </c>
      <c r="AO17" s="411">
        <v>0</v>
      </c>
      <c r="AP17" s="412"/>
      <c r="AQ17" s="19" t="e">
        <f t="shared" si="11"/>
        <v>#DIV/0!</v>
      </c>
      <c r="AR17" s="411">
        <v>0</v>
      </c>
      <c r="AS17" s="412">
        <v>0</v>
      </c>
      <c r="AT17" s="19" t="e">
        <f t="shared" si="12"/>
        <v>#DIV/0!</v>
      </c>
      <c r="AU17" s="411">
        <v>0.25</v>
      </c>
      <c r="AV17" s="412">
        <v>0.25</v>
      </c>
      <c r="AW17" s="19">
        <f t="shared" si="13"/>
        <v>1</v>
      </c>
      <c r="AX17" s="411">
        <f t="shared" si="14"/>
        <v>1</v>
      </c>
      <c r="AY17" s="19">
        <f t="shared" si="15"/>
        <v>1</v>
      </c>
    </row>
    <row r="18" spans="1:51" s="22" customFormat="1" ht="61.5" thickTop="1" thickBot="1">
      <c r="A18" s="2846"/>
      <c r="B18" s="2849"/>
      <c r="C18" s="401" t="s">
        <v>309</v>
      </c>
      <c r="D18" s="17" t="s">
        <v>116</v>
      </c>
      <c r="E18" s="401" t="s">
        <v>117</v>
      </c>
      <c r="F18" s="401" t="s">
        <v>17</v>
      </c>
      <c r="G18" s="402">
        <v>14482</v>
      </c>
      <c r="H18" s="401"/>
      <c r="I18" s="401">
        <v>14482</v>
      </c>
      <c r="J18" s="401"/>
      <c r="K18" s="401" t="s">
        <v>118</v>
      </c>
      <c r="L18" s="403">
        <v>0</v>
      </c>
      <c r="M18" s="404"/>
      <c r="N18" s="19" t="e">
        <f t="shared" si="0"/>
        <v>#DIV/0!</v>
      </c>
      <c r="O18" s="403">
        <v>0</v>
      </c>
      <c r="P18" s="404"/>
      <c r="Q18" s="19" t="e">
        <f t="shared" si="1"/>
        <v>#DIV/0!</v>
      </c>
      <c r="R18" s="403">
        <v>2751</v>
      </c>
      <c r="S18" s="404">
        <v>977</v>
      </c>
      <c r="T18" s="19">
        <f t="shared" si="2"/>
        <v>0.35514358415121772</v>
      </c>
      <c r="U18" s="403">
        <v>2235</v>
      </c>
      <c r="V18" s="404">
        <v>187</v>
      </c>
      <c r="W18" s="19">
        <f t="shared" si="3"/>
        <v>8.3668903803131994E-2</v>
      </c>
      <c r="X18" s="403">
        <v>649</v>
      </c>
      <c r="Y18" s="404">
        <v>174</v>
      </c>
      <c r="Z18" s="19">
        <f t="shared" si="4"/>
        <v>0.26810477657935283</v>
      </c>
      <c r="AA18" s="403">
        <v>731</v>
      </c>
      <c r="AB18" s="404">
        <v>311</v>
      </c>
      <c r="AC18" s="19">
        <f t="shared" si="5"/>
        <v>0.42544459644322846</v>
      </c>
      <c r="AD18" s="403">
        <f t="shared" si="6"/>
        <v>1649</v>
      </c>
      <c r="AE18" s="19">
        <f t="shared" si="7"/>
        <v>0.11386548819223864</v>
      </c>
      <c r="AF18" s="403">
        <v>1347</v>
      </c>
      <c r="AG18" s="404">
        <v>844</v>
      </c>
      <c r="AH18" s="19">
        <f t="shared" si="8"/>
        <v>0.62657757980697848</v>
      </c>
      <c r="AI18" s="403">
        <v>2056</v>
      </c>
      <c r="AJ18" s="404">
        <v>1693</v>
      </c>
      <c r="AK18" s="19">
        <f t="shared" si="9"/>
        <v>0.82344357976653693</v>
      </c>
      <c r="AL18" s="403">
        <v>2791</v>
      </c>
      <c r="AM18" s="404">
        <v>1874</v>
      </c>
      <c r="AN18" s="19">
        <f t="shared" si="10"/>
        <v>0.67144392690791832</v>
      </c>
      <c r="AO18" s="403">
        <v>1090</v>
      </c>
      <c r="AP18" s="404">
        <v>2421</v>
      </c>
      <c r="AQ18" s="19">
        <f t="shared" si="11"/>
        <v>2.2211009174311926</v>
      </c>
      <c r="AR18" s="403">
        <v>750</v>
      </c>
      <c r="AS18" s="404">
        <v>6241</v>
      </c>
      <c r="AT18" s="19">
        <f t="shared" si="12"/>
        <v>8.3213333333333335</v>
      </c>
      <c r="AU18" s="403">
        <v>82</v>
      </c>
      <c r="AV18" s="404">
        <v>1421</v>
      </c>
      <c r="AW18" s="19">
        <f t="shared" si="13"/>
        <v>17.329268292682926</v>
      </c>
      <c r="AX18" s="410">
        <f t="shared" si="14"/>
        <v>16143</v>
      </c>
      <c r="AY18" s="19">
        <f t="shared" si="15"/>
        <v>1.1146941030244442</v>
      </c>
    </row>
    <row r="19" spans="1:51" s="22" customFormat="1" ht="196.5" customHeight="1" thickTop="1" thickBot="1">
      <c r="A19" s="2846"/>
      <c r="B19" s="2849"/>
      <c r="C19" s="2854" t="s">
        <v>310</v>
      </c>
      <c r="D19" s="86" t="s">
        <v>120</v>
      </c>
      <c r="E19" s="25" t="s">
        <v>311</v>
      </c>
      <c r="F19" s="25" t="s">
        <v>10</v>
      </c>
      <c r="G19" s="44">
        <v>0.64100000000000001</v>
      </c>
      <c r="H19" s="25"/>
      <c r="I19" s="46" t="s">
        <v>312</v>
      </c>
      <c r="J19" s="25"/>
      <c r="K19" s="25" t="s">
        <v>7</v>
      </c>
      <c r="L19" s="411">
        <v>0.64100000000000001</v>
      </c>
      <c r="M19" s="412">
        <v>0.5</v>
      </c>
      <c r="N19" s="19">
        <f t="shared" si="0"/>
        <v>0.78003120124804992</v>
      </c>
      <c r="O19" s="411">
        <v>0</v>
      </c>
      <c r="P19" s="412">
        <v>0</v>
      </c>
      <c r="Q19" s="19" t="e">
        <f t="shared" si="1"/>
        <v>#DIV/0!</v>
      </c>
      <c r="R19" s="411">
        <v>0</v>
      </c>
      <c r="S19" s="412">
        <v>0</v>
      </c>
      <c r="T19" s="19" t="e">
        <f t="shared" si="2"/>
        <v>#DIV/0!</v>
      </c>
      <c r="U19" s="411">
        <v>0</v>
      </c>
      <c r="V19" s="412">
        <v>0</v>
      </c>
      <c r="W19" s="19" t="e">
        <f t="shared" si="3"/>
        <v>#DIV/0!</v>
      </c>
      <c r="X19" s="411">
        <v>0</v>
      </c>
      <c r="Y19" s="412">
        <v>0</v>
      </c>
      <c r="Z19" s="19" t="e">
        <f t="shared" si="4"/>
        <v>#DIV/0!</v>
      </c>
      <c r="AA19" s="411">
        <v>0</v>
      </c>
      <c r="AB19" s="412">
        <v>0</v>
      </c>
      <c r="AC19" s="19" t="e">
        <f t="shared" si="5"/>
        <v>#DIV/0!</v>
      </c>
      <c r="AD19" s="411">
        <f t="shared" si="6"/>
        <v>0.5</v>
      </c>
      <c r="AE19" s="19">
        <f t="shared" si="7"/>
        <v>0.78003120124804992</v>
      </c>
      <c r="AF19" s="411">
        <v>0</v>
      </c>
      <c r="AG19" s="412">
        <v>0</v>
      </c>
      <c r="AH19" s="19" t="e">
        <f t="shared" si="8"/>
        <v>#DIV/0!</v>
      </c>
      <c r="AI19" s="411">
        <v>0</v>
      </c>
      <c r="AJ19" s="412">
        <v>0</v>
      </c>
      <c r="AK19" s="19" t="e">
        <f t="shared" si="9"/>
        <v>#DIV/0!</v>
      </c>
      <c r="AL19" s="411">
        <v>0.64100000000000001</v>
      </c>
      <c r="AM19" s="412">
        <v>0.6</v>
      </c>
      <c r="AN19" s="19">
        <f t="shared" si="10"/>
        <v>0.93603744149765988</v>
      </c>
      <c r="AO19" s="411">
        <v>0.64100000000000001</v>
      </c>
      <c r="AP19" s="412">
        <v>1</v>
      </c>
      <c r="AQ19" s="19">
        <f t="shared" si="11"/>
        <v>1.5600624024960998</v>
      </c>
      <c r="AR19" s="411">
        <v>0</v>
      </c>
      <c r="AS19" s="412">
        <v>0</v>
      </c>
      <c r="AT19" s="19" t="e">
        <f t="shared" si="12"/>
        <v>#DIV/0!</v>
      </c>
      <c r="AU19" s="411">
        <v>0</v>
      </c>
      <c r="AV19" s="412">
        <v>0</v>
      </c>
      <c r="AW19" s="19" t="e">
        <f t="shared" si="13"/>
        <v>#DIV/0!</v>
      </c>
      <c r="AX19" s="413">
        <f>(M19+AM19+AP19)/3</f>
        <v>0.70000000000000007</v>
      </c>
      <c r="AY19" s="19">
        <f>+AX19/G19</f>
        <v>1.0920436817472701</v>
      </c>
    </row>
    <row r="20" spans="1:51" s="22" customFormat="1" ht="151.5" thickTop="1" thickBot="1">
      <c r="A20" s="2846"/>
      <c r="B20" s="2849"/>
      <c r="C20" s="2855"/>
      <c r="D20" s="89" t="s">
        <v>175</v>
      </c>
      <c r="E20" s="561" t="s">
        <v>123</v>
      </c>
      <c r="F20" s="561" t="s">
        <v>10</v>
      </c>
      <c r="G20" s="48">
        <v>1</v>
      </c>
      <c r="H20" s="561"/>
      <c r="I20" s="48">
        <v>1</v>
      </c>
      <c r="J20" s="561"/>
      <c r="K20" s="25" t="s">
        <v>7</v>
      </c>
      <c r="L20" s="414">
        <v>0</v>
      </c>
      <c r="M20" s="415">
        <v>0</v>
      </c>
      <c r="N20" s="19" t="e">
        <f t="shared" si="0"/>
        <v>#DIV/0!</v>
      </c>
      <c r="O20" s="414">
        <v>0</v>
      </c>
      <c r="P20" s="415">
        <v>0</v>
      </c>
      <c r="Q20" s="19" t="e">
        <f t="shared" si="1"/>
        <v>#DIV/0!</v>
      </c>
      <c r="R20" s="414">
        <v>0</v>
      </c>
      <c r="S20" s="415">
        <v>0</v>
      </c>
      <c r="T20" s="19" t="e">
        <f t="shared" si="2"/>
        <v>#DIV/0!</v>
      </c>
      <c r="U20" s="414">
        <v>1</v>
      </c>
      <c r="V20" s="415">
        <v>1</v>
      </c>
      <c r="W20" s="19">
        <f t="shared" si="3"/>
        <v>1</v>
      </c>
      <c r="X20" s="414">
        <v>1</v>
      </c>
      <c r="Y20" s="415">
        <v>1</v>
      </c>
      <c r="Z20" s="19">
        <f t="shared" si="4"/>
        <v>1</v>
      </c>
      <c r="AA20" s="414">
        <v>0</v>
      </c>
      <c r="AB20" s="415">
        <v>0</v>
      </c>
      <c r="AC20" s="19" t="e">
        <f t="shared" si="5"/>
        <v>#DIV/0!</v>
      </c>
      <c r="AD20" s="414">
        <f>+V20</f>
        <v>1</v>
      </c>
      <c r="AE20" s="19">
        <f t="shared" si="7"/>
        <v>1</v>
      </c>
      <c r="AF20" s="414">
        <v>0</v>
      </c>
      <c r="AG20" s="415">
        <v>0</v>
      </c>
      <c r="AH20" s="19" t="e">
        <f t="shared" si="8"/>
        <v>#DIV/0!</v>
      </c>
      <c r="AI20" s="414">
        <v>0</v>
      </c>
      <c r="AJ20" s="415">
        <v>0</v>
      </c>
      <c r="AK20" s="19" t="e">
        <f t="shared" si="9"/>
        <v>#DIV/0!</v>
      </c>
      <c r="AL20" s="414">
        <v>0</v>
      </c>
      <c r="AM20" s="415">
        <v>0</v>
      </c>
      <c r="AN20" s="19" t="e">
        <f t="shared" si="10"/>
        <v>#DIV/0!</v>
      </c>
      <c r="AO20" s="414">
        <v>1</v>
      </c>
      <c r="AP20" s="415">
        <v>1</v>
      </c>
      <c r="AQ20" s="19">
        <f t="shared" si="11"/>
        <v>1</v>
      </c>
      <c r="AR20" s="414">
        <v>0</v>
      </c>
      <c r="AS20" s="415">
        <v>0</v>
      </c>
      <c r="AT20" s="19" t="e">
        <f t="shared" si="12"/>
        <v>#DIV/0!</v>
      </c>
      <c r="AU20" s="414">
        <v>0</v>
      </c>
      <c r="AV20" s="415">
        <v>0</v>
      </c>
      <c r="AW20" s="19" t="e">
        <f t="shared" si="13"/>
        <v>#DIV/0!</v>
      </c>
      <c r="AX20" s="413">
        <f>+(V20+AP20)/2</f>
        <v>1</v>
      </c>
      <c r="AY20" s="19">
        <f t="shared" si="15"/>
        <v>1</v>
      </c>
    </row>
    <row r="21" spans="1:51" s="22" customFormat="1" ht="166.5" thickTop="1" thickBot="1">
      <c r="A21" s="2846"/>
      <c r="B21" s="2849"/>
      <c r="C21" s="2855"/>
      <c r="D21" s="86" t="s">
        <v>124</v>
      </c>
      <c r="E21" s="25" t="s">
        <v>125</v>
      </c>
      <c r="F21" s="25" t="s">
        <v>10</v>
      </c>
      <c r="G21" s="43">
        <v>0.6</v>
      </c>
      <c r="H21" s="25"/>
      <c r="I21" s="43">
        <v>1</v>
      </c>
      <c r="J21" s="25"/>
      <c r="K21" s="25" t="s">
        <v>7</v>
      </c>
      <c r="L21" s="411">
        <v>0</v>
      </c>
      <c r="M21" s="412">
        <v>0</v>
      </c>
      <c r="N21" s="19" t="e">
        <f t="shared" si="0"/>
        <v>#DIV/0!</v>
      </c>
      <c r="O21" s="411">
        <v>0</v>
      </c>
      <c r="P21" s="412">
        <v>0</v>
      </c>
      <c r="Q21" s="19" t="e">
        <f t="shared" si="1"/>
        <v>#DIV/0!</v>
      </c>
      <c r="R21" s="411">
        <v>1</v>
      </c>
      <c r="S21" s="412">
        <v>1</v>
      </c>
      <c r="T21" s="19">
        <f t="shared" si="2"/>
        <v>1</v>
      </c>
      <c r="U21" s="411">
        <v>0</v>
      </c>
      <c r="V21" s="412">
        <v>0</v>
      </c>
      <c r="W21" s="19" t="e">
        <f t="shared" si="3"/>
        <v>#DIV/0!</v>
      </c>
      <c r="X21" s="411">
        <v>0</v>
      </c>
      <c r="Y21" s="412">
        <v>0</v>
      </c>
      <c r="Z21" s="19" t="e">
        <f t="shared" si="4"/>
        <v>#DIV/0!</v>
      </c>
      <c r="AA21" s="411">
        <v>0</v>
      </c>
      <c r="AB21" s="412">
        <v>0</v>
      </c>
      <c r="AC21" s="19" t="e">
        <f t="shared" si="5"/>
        <v>#DIV/0!</v>
      </c>
      <c r="AD21" s="411">
        <f>(S21)</f>
        <v>1</v>
      </c>
      <c r="AE21" s="19">
        <f t="shared" si="7"/>
        <v>1.6666666666666667</v>
      </c>
      <c r="AF21" s="411">
        <v>0</v>
      </c>
      <c r="AG21" s="412">
        <v>0</v>
      </c>
      <c r="AH21" s="19" t="e">
        <f t="shared" si="8"/>
        <v>#DIV/0!</v>
      </c>
      <c r="AI21" s="411">
        <v>0</v>
      </c>
      <c r="AJ21" s="412">
        <v>0</v>
      </c>
      <c r="AK21" s="19" t="e">
        <f t="shared" si="9"/>
        <v>#DIV/0!</v>
      </c>
      <c r="AL21" s="411">
        <v>1</v>
      </c>
      <c r="AM21" s="412">
        <v>1</v>
      </c>
      <c r="AN21" s="19">
        <f t="shared" si="10"/>
        <v>1</v>
      </c>
      <c r="AO21" s="411">
        <v>1</v>
      </c>
      <c r="AP21" s="412">
        <v>1</v>
      </c>
      <c r="AQ21" s="19">
        <f t="shared" si="11"/>
        <v>1</v>
      </c>
      <c r="AR21" s="411">
        <v>0</v>
      </c>
      <c r="AS21" s="412">
        <v>0</v>
      </c>
      <c r="AT21" s="19" t="e">
        <f t="shared" si="12"/>
        <v>#DIV/0!</v>
      </c>
      <c r="AU21" s="411">
        <v>0</v>
      </c>
      <c r="AV21" s="412">
        <v>0</v>
      </c>
      <c r="AW21" s="19" t="e">
        <f t="shared" si="13"/>
        <v>#DIV/0!</v>
      </c>
      <c r="AX21" s="411">
        <f>(S21+AM21+AP21)/3</f>
        <v>1</v>
      </c>
      <c r="AY21" s="19">
        <f t="shared" si="15"/>
        <v>1.6666666666666667</v>
      </c>
    </row>
    <row r="22" spans="1:51" s="22" customFormat="1" ht="106.5" thickTop="1" thickBot="1">
      <c r="A22" s="2846"/>
      <c r="B22" s="2849"/>
      <c r="C22" s="2855"/>
      <c r="D22" s="89" t="s">
        <v>177</v>
      </c>
      <c r="E22" s="561" t="s">
        <v>127</v>
      </c>
      <c r="F22" s="561" t="s">
        <v>10</v>
      </c>
      <c r="G22" s="48">
        <v>0.6</v>
      </c>
      <c r="H22" s="561"/>
      <c r="I22" s="48">
        <v>1</v>
      </c>
      <c r="J22" s="561"/>
      <c r="K22" s="25" t="s">
        <v>7</v>
      </c>
      <c r="L22" s="414">
        <v>0</v>
      </c>
      <c r="M22" s="415">
        <v>0</v>
      </c>
      <c r="N22" s="19" t="e">
        <f t="shared" si="0"/>
        <v>#DIV/0!</v>
      </c>
      <c r="O22" s="414">
        <v>0</v>
      </c>
      <c r="P22" s="415">
        <v>0</v>
      </c>
      <c r="Q22" s="19" t="e">
        <f t="shared" si="1"/>
        <v>#DIV/0!</v>
      </c>
      <c r="R22" s="414">
        <v>0.6</v>
      </c>
      <c r="S22" s="415">
        <v>1</v>
      </c>
      <c r="T22" s="19">
        <f t="shared" si="2"/>
        <v>1.6666666666666667</v>
      </c>
      <c r="U22" s="414">
        <v>0.6</v>
      </c>
      <c r="V22" s="415">
        <v>1</v>
      </c>
      <c r="W22" s="19">
        <f t="shared" si="3"/>
        <v>1.6666666666666667</v>
      </c>
      <c r="X22" s="414">
        <v>0.6</v>
      </c>
      <c r="Y22" s="415">
        <v>1</v>
      </c>
      <c r="Z22" s="19">
        <f t="shared" si="4"/>
        <v>1.6666666666666667</v>
      </c>
      <c r="AA22" s="414">
        <v>0.6</v>
      </c>
      <c r="AB22" s="415">
        <v>1</v>
      </c>
      <c r="AC22" s="19">
        <f t="shared" si="5"/>
        <v>1.6666666666666667</v>
      </c>
      <c r="AD22" s="414">
        <f>(AB22+Y22+V22+S22)/4</f>
        <v>1</v>
      </c>
      <c r="AE22" s="19">
        <f t="shared" si="7"/>
        <v>1.6666666666666667</v>
      </c>
      <c r="AF22" s="414">
        <v>0.6</v>
      </c>
      <c r="AG22" s="415">
        <v>1</v>
      </c>
      <c r="AH22" s="19">
        <f t="shared" si="8"/>
        <v>1.6666666666666667</v>
      </c>
      <c r="AI22" s="414">
        <v>0.6</v>
      </c>
      <c r="AJ22" s="415">
        <v>1</v>
      </c>
      <c r="AK22" s="19">
        <f t="shared" si="9"/>
        <v>1.6666666666666667</v>
      </c>
      <c r="AL22" s="414">
        <v>0.6</v>
      </c>
      <c r="AM22" s="415">
        <v>1</v>
      </c>
      <c r="AN22" s="19">
        <f t="shared" si="10"/>
        <v>1.6666666666666667</v>
      </c>
      <c r="AO22" s="414">
        <v>0.6</v>
      </c>
      <c r="AP22" s="415">
        <v>1</v>
      </c>
      <c r="AQ22" s="19">
        <f t="shared" si="11"/>
        <v>1.6666666666666667</v>
      </c>
      <c r="AR22" s="414">
        <v>0.6</v>
      </c>
      <c r="AS22" s="415">
        <v>1</v>
      </c>
      <c r="AT22" s="19">
        <f t="shared" si="12"/>
        <v>1.6666666666666667</v>
      </c>
      <c r="AU22" s="414">
        <v>0.6</v>
      </c>
      <c r="AV22" s="415">
        <v>1</v>
      </c>
      <c r="AW22" s="19">
        <f t="shared" si="13"/>
        <v>1.6666666666666667</v>
      </c>
      <c r="AX22" s="413">
        <f>(S22+V22+Y22+AB22+AG22+AJ22+AM22+AP22+AS22+AV22)/10</f>
        <v>1</v>
      </c>
      <c r="AY22" s="19">
        <f t="shared" si="15"/>
        <v>1.6666666666666667</v>
      </c>
    </row>
    <row r="23" spans="1:51" s="22" customFormat="1" ht="241.5" customHeight="1" thickTop="1" thickBot="1">
      <c r="A23" s="2846"/>
      <c r="B23" s="2849"/>
      <c r="C23" s="2855"/>
      <c r="D23" s="86" t="s">
        <v>128</v>
      </c>
      <c r="E23" s="25" t="s">
        <v>178</v>
      </c>
      <c r="F23" s="25" t="s">
        <v>10</v>
      </c>
      <c r="G23" s="43">
        <v>1</v>
      </c>
      <c r="H23" s="25"/>
      <c r="I23" s="43">
        <v>1</v>
      </c>
      <c r="J23" s="25"/>
      <c r="K23" s="25" t="s">
        <v>7</v>
      </c>
      <c r="L23" s="411">
        <v>1</v>
      </c>
      <c r="M23" s="412">
        <v>1</v>
      </c>
      <c r="N23" s="19">
        <f t="shared" si="0"/>
        <v>1</v>
      </c>
      <c r="O23" s="411">
        <v>1</v>
      </c>
      <c r="P23" s="412">
        <v>1</v>
      </c>
      <c r="Q23" s="19">
        <f t="shared" si="1"/>
        <v>1</v>
      </c>
      <c r="R23" s="411">
        <v>1</v>
      </c>
      <c r="S23" s="412">
        <v>1</v>
      </c>
      <c r="T23" s="19">
        <f t="shared" si="2"/>
        <v>1</v>
      </c>
      <c r="U23" s="411">
        <v>0</v>
      </c>
      <c r="V23" s="412">
        <v>0</v>
      </c>
      <c r="W23" s="19" t="e">
        <f t="shared" si="3"/>
        <v>#DIV/0!</v>
      </c>
      <c r="X23" s="411">
        <v>1</v>
      </c>
      <c r="Y23" s="412">
        <v>1</v>
      </c>
      <c r="Z23" s="19">
        <f t="shared" si="4"/>
        <v>1</v>
      </c>
      <c r="AA23" s="411">
        <v>1</v>
      </c>
      <c r="AB23" s="412">
        <v>1</v>
      </c>
      <c r="AC23" s="19">
        <f t="shared" si="5"/>
        <v>1</v>
      </c>
      <c r="AD23" s="411">
        <f>(AB23+Y23+S23+P23+M23)/5</f>
        <v>1</v>
      </c>
      <c r="AE23" s="19">
        <f t="shared" si="7"/>
        <v>1</v>
      </c>
      <c r="AF23" s="411">
        <v>1</v>
      </c>
      <c r="AG23" s="412">
        <v>1</v>
      </c>
      <c r="AH23" s="19">
        <f t="shared" si="8"/>
        <v>1</v>
      </c>
      <c r="AI23" s="411">
        <v>1</v>
      </c>
      <c r="AJ23" s="412">
        <v>1</v>
      </c>
      <c r="AK23" s="19">
        <f t="shared" si="9"/>
        <v>1</v>
      </c>
      <c r="AL23" s="411">
        <v>1</v>
      </c>
      <c r="AM23" s="412">
        <v>1</v>
      </c>
      <c r="AN23" s="19">
        <f t="shared" si="10"/>
        <v>1</v>
      </c>
      <c r="AO23" s="416">
        <v>1</v>
      </c>
      <c r="AP23" s="417">
        <v>1</v>
      </c>
      <c r="AQ23" s="19">
        <f t="shared" si="11"/>
        <v>1</v>
      </c>
      <c r="AR23" s="411">
        <v>1</v>
      </c>
      <c r="AS23" s="412">
        <v>1</v>
      </c>
      <c r="AT23" s="19">
        <f t="shared" si="12"/>
        <v>1</v>
      </c>
      <c r="AU23" s="411">
        <v>1</v>
      </c>
      <c r="AV23" s="412">
        <v>1</v>
      </c>
      <c r="AW23" s="19">
        <f t="shared" si="13"/>
        <v>1</v>
      </c>
      <c r="AX23" s="411">
        <f>(M23+P23+S23+Y23+AB23+AG23+AJ23+AM23+AP23+AS23+AV23)/11</f>
        <v>1</v>
      </c>
      <c r="AY23" s="19">
        <f t="shared" si="15"/>
        <v>1</v>
      </c>
    </row>
    <row r="24" spans="1:51" s="22" customFormat="1" ht="151.5" thickTop="1" thickBot="1">
      <c r="A24" s="2846"/>
      <c r="B24" s="2849"/>
      <c r="C24" s="2855"/>
      <c r="D24" s="89" t="s">
        <v>179</v>
      </c>
      <c r="E24" s="561" t="s">
        <v>131</v>
      </c>
      <c r="F24" s="561" t="s">
        <v>10</v>
      </c>
      <c r="G24" s="48">
        <v>1</v>
      </c>
      <c r="H24" s="561"/>
      <c r="I24" s="48">
        <v>1</v>
      </c>
      <c r="J24" s="561"/>
      <c r="K24" s="25" t="s">
        <v>7</v>
      </c>
      <c r="L24" s="414">
        <v>0</v>
      </c>
      <c r="M24" s="415">
        <v>0</v>
      </c>
      <c r="N24" s="19" t="e">
        <f t="shared" si="0"/>
        <v>#DIV/0!</v>
      </c>
      <c r="O24" s="414">
        <v>0</v>
      </c>
      <c r="P24" s="415">
        <v>0</v>
      </c>
      <c r="Q24" s="19" t="e">
        <f t="shared" si="1"/>
        <v>#DIV/0!</v>
      </c>
      <c r="R24" s="414">
        <v>1</v>
      </c>
      <c r="S24" s="415">
        <v>1</v>
      </c>
      <c r="T24" s="19">
        <f t="shared" si="2"/>
        <v>1</v>
      </c>
      <c r="U24" s="414">
        <v>1</v>
      </c>
      <c r="V24" s="415">
        <v>1</v>
      </c>
      <c r="W24" s="19">
        <f t="shared" si="3"/>
        <v>1</v>
      </c>
      <c r="X24" s="414">
        <v>1</v>
      </c>
      <c r="Y24" s="415">
        <v>1</v>
      </c>
      <c r="Z24" s="19">
        <f t="shared" si="4"/>
        <v>1</v>
      </c>
      <c r="AA24" s="414">
        <v>1</v>
      </c>
      <c r="AB24" s="415">
        <v>1</v>
      </c>
      <c r="AC24" s="19">
        <f t="shared" si="5"/>
        <v>1</v>
      </c>
      <c r="AD24" s="414">
        <f>(AB24+Y24+V24+S24)/4</f>
        <v>1</v>
      </c>
      <c r="AE24" s="19">
        <f t="shared" si="7"/>
        <v>1</v>
      </c>
      <c r="AF24" s="414">
        <v>1</v>
      </c>
      <c r="AG24" s="415">
        <v>1</v>
      </c>
      <c r="AH24" s="19">
        <f t="shared" si="8"/>
        <v>1</v>
      </c>
      <c r="AI24" s="414">
        <v>1</v>
      </c>
      <c r="AJ24" s="415">
        <v>1</v>
      </c>
      <c r="AK24" s="19">
        <f t="shared" si="9"/>
        <v>1</v>
      </c>
      <c r="AL24" s="414">
        <v>1</v>
      </c>
      <c r="AM24" s="415">
        <v>1</v>
      </c>
      <c r="AN24" s="19">
        <f t="shared" si="10"/>
        <v>1</v>
      </c>
      <c r="AO24" s="414">
        <v>1</v>
      </c>
      <c r="AP24" s="415">
        <v>1</v>
      </c>
      <c r="AQ24" s="19">
        <f t="shared" si="11"/>
        <v>1</v>
      </c>
      <c r="AR24" s="414">
        <v>1</v>
      </c>
      <c r="AS24" s="415">
        <v>1</v>
      </c>
      <c r="AT24" s="19">
        <f t="shared" si="12"/>
        <v>1</v>
      </c>
      <c r="AU24" s="414">
        <v>1</v>
      </c>
      <c r="AV24" s="415">
        <v>1</v>
      </c>
      <c r="AW24" s="19">
        <f t="shared" si="13"/>
        <v>1</v>
      </c>
      <c r="AX24" s="413">
        <f>(S24+V24+Y24+AB24+AG24+AJ24+AM24+AP24+AS24+AV24)/10</f>
        <v>1</v>
      </c>
      <c r="AY24" s="19">
        <f t="shared" si="15"/>
        <v>1</v>
      </c>
    </row>
    <row r="25" spans="1:51" s="22" customFormat="1" ht="121.5" thickTop="1" thickBot="1">
      <c r="A25" s="2847"/>
      <c r="B25" s="2850"/>
      <c r="C25" s="2856"/>
      <c r="D25" s="86" t="s">
        <v>132</v>
      </c>
      <c r="E25" s="25" t="s">
        <v>133</v>
      </c>
      <c r="F25" s="25" t="s">
        <v>10</v>
      </c>
      <c r="G25" s="43">
        <v>1</v>
      </c>
      <c r="H25" s="25"/>
      <c r="I25" s="43">
        <v>1</v>
      </c>
      <c r="J25" s="25"/>
      <c r="K25" s="25" t="s">
        <v>7</v>
      </c>
      <c r="L25" s="411">
        <v>0</v>
      </c>
      <c r="M25" s="412">
        <v>0</v>
      </c>
      <c r="N25" s="19" t="e">
        <f t="shared" si="0"/>
        <v>#DIV/0!</v>
      </c>
      <c r="O25" s="411">
        <v>0</v>
      </c>
      <c r="P25" s="412">
        <v>0</v>
      </c>
      <c r="Q25" s="19" t="e">
        <f t="shared" si="1"/>
        <v>#DIV/0!</v>
      </c>
      <c r="R25" s="411">
        <v>0</v>
      </c>
      <c r="S25" s="412">
        <v>0</v>
      </c>
      <c r="T25" s="19" t="e">
        <f t="shared" si="2"/>
        <v>#DIV/0!</v>
      </c>
      <c r="U25" s="411">
        <v>0</v>
      </c>
      <c r="V25" s="412">
        <v>0</v>
      </c>
      <c r="W25" s="19" t="e">
        <f t="shared" si="3"/>
        <v>#DIV/0!</v>
      </c>
      <c r="X25" s="411">
        <v>0</v>
      </c>
      <c r="Y25" s="412">
        <v>0</v>
      </c>
      <c r="Z25" s="19" t="e">
        <f t="shared" si="4"/>
        <v>#DIV/0!</v>
      </c>
      <c r="AA25" s="411">
        <v>0</v>
      </c>
      <c r="AB25" s="412">
        <v>0</v>
      </c>
      <c r="AC25" s="19" t="e">
        <f t="shared" si="5"/>
        <v>#DIV/0!</v>
      </c>
      <c r="AD25" s="411">
        <f t="shared" si="6"/>
        <v>0</v>
      </c>
      <c r="AE25" s="19">
        <f t="shared" si="7"/>
        <v>0</v>
      </c>
      <c r="AF25" s="411">
        <v>0</v>
      </c>
      <c r="AG25" s="412">
        <v>0</v>
      </c>
      <c r="AH25" s="19" t="e">
        <f t="shared" si="8"/>
        <v>#DIV/0!</v>
      </c>
      <c r="AI25" s="411">
        <v>1</v>
      </c>
      <c r="AJ25" s="419">
        <v>1</v>
      </c>
      <c r="AK25" s="19">
        <f t="shared" si="9"/>
        <v>1</v>
      </c>
      <c r="AL25" s="411">
        <v>0</v>
      </c>
      <c r="AM25" s="412">
        <v>0</v>
      </c>
      <c r="AN25" s="19" t="e">
        <f t="shared" si="10"/>
        <v>#DIV/0!</v>
      </c>
      <c r="AO25" s="411">
        <v>0</v>
      </c>
      <c r="AP25" s="412">
        <v>0</v>
      </c>
      <c r="AQ25" s="19" t="e">
        <f t="shared" si="11"/>
        <v>#DIV/0!</v>
      </c>
      <c r="AR25" s="411">
        <v>0</v>
      </c>
      <c r="AS25" s="412"/>
      <c r="AT25" s="19" t="e">
        <f t="shared" si="12"/>
        <v>#DIV/0!</v>
      </c>
      <c r="AU25" s="411">
        <v>0</v>
      </c>
      <c r="AV25" s="412">
        <v>0</v>
      </c>
      <c r="AW25" s="19" t="e">
        <f t="shared" si="13"/>
        <v>#DIV/0!</v>
      </c>
      <c r="AX25" s="411">
        <f>+AJ25</f>
        <v>1</v>
      </c>
      <c r="AY25" s="19">
        <f t="shared" si="15"/>
        <v>1</v>
      </c>
    </row>
    <row r="26" spans="1:51" s="22" customFormat="1" ht="22.5" customHeight="1" thickTop="1" thickBot="1">
      <c r="A26" s="2857" t="s">
        <v>141</v>
      </c>
      <c r="B26" s="2858"/>
      <c r="C26" s="2858"/>
      <c r="D26" s="2858"/>
      <c r="E26" s="2858"/>
      <c r="F26" s="2858"/>
      <c r="G26" s="2858"/>
      <c r="H26" s="2858"/>
      <c r="I26" s="2858"/>
      <c r="J26" s="2858"/>
      <c r="K26" s="2859"/>
      <c r="L26" s="420"/>
      <c r="M26" s="421"/>
      <c r="N26" s="421"/>
      <c r="O26" s="420"/>
      <c r="P26" s="421"/>
      <c r="Q26" s="421"/>
      <c r="R26" s="420"/>
      <c r="S26" s="421"/>
      <c r="T26" s="421"/>
      <c r="U26" s="420"/>
      <c r="V26" s="421"/>
      <c r="W26" s="421"/>
      <c r="X26" s="420"/>
      <c r="Y26" s="421"/>
      <c r="Z26" s="421"/>
      <c r="AA26" s="420"/>
      <c r="AB26" s="421"/>
      <c r="AC26" s="421"/>
      <c r="AD26" s="420"/>
      <c r="AE26" s="421"/>
      <c r="AF26" s="420"/>
      <c r="AG26" s="421"/>
      <c r="AH26" s="421"/>
      <c r="AI26" s="420"/>
      <c r="AJ26" s="421"/>
      <c r="AK26" s="421"/>
      <c r="AL26" s="420"/>
      <c r="AM26" s="421"/>
      <c r="AN26" s="421"/>
      <c r="AO26" s="420"/>
      <c r="AP26" s="421"/>
      <c r="AQ26" s="421"/>
      <c r="AR26" s="420"/>
      <c r="AS26" s="421"/>
      <c r="AT26" s="421"/>
      <c r="AU26" s="420"/>
      <c r="AV26" s="421"/>
      <c r="AW26" s="421"/>
      <c r="AX26" s="422"/>
      <c r="AY26" s="421" t="s">
        <v>313</v>
      </c>
    </row>
    <row r="27" spans="1:51" s="22" customFormat="1" ht="106.5" thickTop="1" thickBot="1">
      <c r="A27" s="2860" t="s">
        <v>181</v>
      </c>
      <c r="B27" s="2863" t="s">
        <v>314</v>
      </c>
      <c r="C27" s="401" t="s">
        <v>315</v>
      </c>
      <c r="D27" s="423" t="s">
        <v>144</v>
      </c>
      <c r="E27" s="401" t="s">
        <v>145</v>
      </c>
      <c r="F27" s="401" t="s">
        <v>17</v>
      </c>
      <c r="G27" s="401">
        <v>1350</v>
      </c>
      <c r="H27" s="401"/>
      <c r="I27" s="401" t="s">
        <v>316</v>
      </c>
      <c r="J27" s="401"/>
      <c r="K27" s="401" t="s">
        <v>146</v>
      </c>
      <c r="L27" s="424" t="s">
        <v>98</v>
      </c>
      <c r="M27" s="425"/>
      <c r="N27" s="19" t="e">
        <f t="shared" si="0"/>
        <v>#VALUE!</v>
      </c>
      <c r="O27" s="424">
        <v>0</v>
      </c>
      <c r="P27" s="425"/>
      <c r="Q27" s="19" t="e">
        <f t="shared" si="1"/>
        <v>#DIV/0!</v>
      </c>
      <c r="R27" s="424">
        <v>0</v>
      </c>
      <c r="S27" s="425"/>
      <c r="T27" s="19" t="e">
        <f t="shared" si="2"/>
        <v>#DIV/0!</v>
      </c>
      <c r="U27" s="424">
        <v>170</v>
      </c>
      <c r="V27" s="425">
        <v>119</v>
      </c>
      <c r="W27" s="19">
        <f t="shared" si="3"/>
        <v>0.7</v>
      </c>
      <c r="X27" s="424">
        <v>0</v>
      </c>
      <c r="Y27" s="425"/>
      <c r="Z27" s="19" t="e">
        <f t="shared" si="4"/>
        <v>#DIV/0!</v>
      </c>
      <c r="AA27" s="426">
        <v>0</v>
      </c>
      <c r="AB27" s="427"/>
      <c r="AC27" s="19" t="e">
        <f t="shared" si="5"/>
        <v>#DIV/0!</v>
      </c>
      <c r="AD27" s="424">
        <f t="shared" si="6"/>
        <v>119</v>
      </c>
      <c r="AE27" s="19">
        <f t="shared" si="7"/>
        <v>8.8148148148148142E-2</v>
      </c>
      <c r="AF27" s="424">
        <v>0</v>
      </c>
      <c r="AG27" s="425"/>
      <c r="AH27" s="19" t="e">
        <f t="shared" si="8"/>
        <v>#DIV/0!</v>
      </c>
      <c r="AI27" s="424">
        <v>455</v>
      </c>
      <c r="AJ27" s="425">
        <v>1283</v>
      </c>
      <c r="AK27" s="19">
        <f t="shared" si="9"/>
        <v>2.81978021978022</v>
      </c>
      <c r="AL27" s="424">
        <v>0</v>
      </c>
      <c r="AM27" s="425"/>
      <c r="AN27" s="19" t="e">
        <f t="shared" si="10"/>
        <v>#DIV/0!</v>
      </c>
      <c r="AO27" s="424">
        <v>0</v>
      </c>
      <c r="AP27" s="425"/>
      <c r="AQ27" s="19" t="e">
        <f t="shared" si="11"/>
        <v>#DIV/0!</v>
      </c>
      <c r="AR27" s="424">
        <v>0</v>
      </c>
      <c r="AS27" s="425"/>
      <c r="AT27" s="19" t="e">
        <f t="shared" si="12"/>
        <v>#DIV/0!</v>
      </c>
      <c r="AU27" s="424">
        <v>725</v>
      </c>
      <c r="AV27" s="425">
        <v>891</v>
      </c>
      <c r="AW27" s="19">
        <f t="shared" si="13"/>
        <v>1.2289655172413794</v>
      </c>
      <c r="AX27" s="428">
        <f>+M27+P27+S27+V27+Y27+AB27+AG27+AJ27+AM27+AP27+AS27+AV27</f>
        <v>2293</v>
      </c>
      <c r="AY27" s="19">
        <f t="shared" si="15"/>
        <v>1.6985185185185185</v>
      </c>
    </row>
    <row r="28" spans="1:51" s="22" customFormat="1" ht="91.5" thickTop="1" thickBot="1">
      <c r="A28" s="2861"/>
      <c r="B28" s="2864"/>
      <c r="C28" s="25" t="s">
        <v>317</v>
      </c>
      <c r="D28" s="24" t="s">
        <v>148</v>
      </c>
      <c r="E28" s="25" t="s">
        <v>149</v>
      </c>
      <c r="F28" s="25" t="s">
        <v>8</v>
      </c>
      <c r="G28" s="25">
        <v>10.199999999999999</v>
      </c>
      <c r="H28" s="25"/>
      <c r="I28" s="25">
        <v>10.199999999999999</v>
      </c>
      <c r="J28" s="25"/>
      <c r="K28" s="25" t="s">
        <v>9</v>
      </c>
      <c r="L28" s="398">
        <v>10.199999999999999</v>
      </c>
      <c r="M28" s="399">
        <v>8.2200000000000006</v>
      </c>
      <c r="N28" s="19">
        <f>+L28/M28</f>
        <v>1.2408759124087589</v>
      </c>
      <c r="O28" s="398">
        <v>10.199999999999999</v>
      </c>
      <c r="P28" s="399">
        <v>8.32</v>
      </c>
      <c r="Q28" s="19">
        <f>+O28/P28</f>
        <v>1.2259615384615383</v>
      </c>
      <c r="R28" s="398">
        <v>10.199999999999999</v>
      </c>
      <c r="S28" s="399">
        <v>7.6</v>
      </c>
      <c r="T28" s="19">
        <f>+R28/S28</f>
        <v>1.3421052631578947</v>
      </c>
      <c r="U28" s="398">
        <v>0</v>
      </c>
      <c r="V28" s="399">
        <v>0</v>
      </c>
      <c r="W28" s="19" t="e">
        <f>+U28/V28</f>
        <v>#DIV/0!</v>
      </c>
      <c r="X28" s="398">
        <v>0</v>
      </c>
      <c r="Y28" s="399">
        <v>0</v>
      </c>
      <c r="Z28" s="19" t="e">
        <f>+X28/Y28</f>
        <v>#DIV/0!</v>
      </c>
      <c r="AA28" s="398">
        <v>10.199999999999999</v>
      </c>
      <c r="AB28" s="399">
        <v>10.37</v>
      </c>
      <c r="AC28" s="19">
        <f>+AA28/AB28</f>
        <v>0.98360655737704916</v>
      </c>
      <c r="AD28" s="429">
        <f>(AB28+S28+P28+M28)/4</f>
        <v>8.6274999999999995</v>
      </c>
      <c r="AE28" s="19">
        <f>+G28/AD28</f>
        <v>1.1822660098522166</v>
      </c>
      <c r="AF28" s="398">
        <v>10.199999999999999</v>
      </c>
      <c r="AG28" s="399">
        <v>8.6999999999999993</v>
      </c>
      <c r="AH28" s="19">
        <f>+AF28/AG28</f>
        <v>1.1724137931034484</v>
      </c>
      <c r="AI28" s="398">
        <v>10.199999999999999</v>
      </c>
      <c r="AJ28" s="399">
        <v>8.94</v>
      </c>
      <c r="AK28" s="19">
        <f>+AI28/AJ28</f>
        <v>1.1409395973154361</v>
      </c>
      <c r="AL28" s="398">
        <v>10.199999999999999</v>
      </c>
      <c r="AM28" s="399">
        <v>10.130000000000001</v>
      </c>
      <c r="AN28" s="19">
        <f>+AL28/AM28</f>
        <v>1.0069101678183612</v>
      </c>
      <c r="AO28" s="398">
        <v>10.199999999999999</v>
      </c>
      <c r="AP28" s="399">
        <v>10.84</v>
      </c>
      <c r="AQ28" s="19">
        <f>+AO28/AP28</f>
        <v>0.94095940959409585</v>
      </c>
      <c r="AR28" s="398">
        <v>10.199999999999999</v>
      </c>
      <c r="AS28" s="399">
        <v>10.77</v>
      </c>
      <c r="AT28" s="19">
        <f>+AR28/AS28</f>
        <v>0.94707520891364905</v>
      </c>
      <c r="AU28" s="398">
        <v>10.199999999999999</v>
      </c>
      <c r="AV28" s="399">
        <v>10.97</v>
      </c>
      <c r="AW28" s="19">
        <f>+AU28/AV28</f>
        <v>0.92980856882406548</v>
      </c>
      <c r="AX28" s="398">
        <f>(M28+P28+S28+AB28+AG28+AJ28+AM28+AP28+AS28+AV28)/10</f>
        <v>9.4859999999999989</v>
      </c>
      <c r="AY28" s="19">
        <f>+G28/AX28</f>
        <v>1.0752688172043012</v>
      </c>
    </row>
    <row r="29" spans="1:51" s="22" customFormat="1" ht="91.5" thickTop="1" thickBot="1">
      <c r="A29" s="2862"/>
      <c r="B29" s="695" t="s">
        <v>150</v>
      </c>
      <c r="C29" s="401" t="s">
        <v>318</v>
      </c>
      <c r="D29" s="423" t="s">
        <v>319</v>
      </c>
      <c r="E29" s="401" t="s">
        <v>183</v>
      </c>
      <c r="F29" s="401" t="s">
        <v>17</v>
      </c>
      <c r="G29" s="401">
        <v>37</v>
      </c>
      <c r="H29" s="401"/>
      <c r="I29" s="401">
        <v>37</v>
      </c>
      <c r="J29" s="401"/>
      <c r="K29" s="401" t="s">
        <v>21</v>
      </c>
      <c r="L29" s="424">
        <v>0</v>
      </c>
      <c r="M29" s="425">
        <v>0</v>
      </c>
      <c r="N29" s="19" t="e">
        <f>+L29/M29</f>
        <v>#DIV/0!</v>
      </c>
      <c r="O29" s="426">
        <v>0</v>
      </c>
      <c r="P29" s="427">
        <v>0</v>
      </c>
      <c r="Q29" s="19" t="e">
        <f>+O29/P29</f>
        <v>#DIV/0!</v>
      </c>
      <c r="R29" s="424">
        <v>37</v>
      </c>
      <c r="S29" s="425">
        <v>40</v>
      </c>
      <c r="T29" s="19">
        <f>+R29/S29</f>
        <v>0.92500000000000004</v>
      </c>
      <c r="U29" s="424">
        <v>37</v>
      </c>
      <c r="V29" s="425">
        <v>48</v>
      </c>
      <c r="W29" s="19">
        <f>+U29/V29</f>
        <v>0.77083333333333337</v>
      </c>
      <c r="X29" s="424">
        <v>37</v>
      </c>
      <c r="Y29" s="425">
        <v>20</v>
      </c>
      <c r="Z29" s="19">
        <f>+X29/Y29</f>
        <v>1.85</v>
      </c>
      <c r="AA29" s="424">
        <v>37</v>
      </c>
      <c r="AB29" s="425">
        <v>12</v>
      </c>
      <c r="AC29" s="19">
        <f>+AA29/AB29</f>
        <v>3.0833333333333335</v>
      </c>
      <c r="AD29" s="424">
        <f>(AB29+Y29+V29+S29)/4</f>
        <v>30</v>
      </c>
      <c r="AE29" s="19">
        <f>+G29/AD29</f>
        <v>1.2333333333333334</v>
      </c>
      <c r="AF29" s="426">
        <v>37</v>
      </c>
      <c r="AG29" s="427">
        <v>14</v>
      </c>
      <c r="AH29" s="19">
        <f>+AF29/AG29</f>
        <v>2.6428571428571428</v>
      </c>
      <c r="AI29" s="424">
        <v>37</v>
      </c>
      <c r="AJ29" s="425">
        <v>29</v>
      </c>
      <c r="AK29" s="19">
        <f>+AI29/AJ29</f>
        <v>1.2758620689655173</v>
      </c>
      <c r="AL29" s="424">
        <v>37</v>
      </c>
      <c r="AM29" s="425">
        <v>34</v>
      </c>
      <c r="AN29" s="19">
        <f>+AL29/AM29</f>
        <v>1.088235294117647</v>
      </c>
      <c r="AO29" s="424">
        <v>37</v>
      </c>
      <c r="AP29" s="425">
        <v>31</v>
      </c>
      <c r="AQ29" s="19">
        <f>+AO29/AP29</f>
        <v>1.1935483870967742</v>
      </c>
      <c r="AR29" s="424">
        <v>37</v>
      </c>
      <c r="AS29" s="425">
        <v>36</v>
      </c>
      <c r="AT29" s="19">
        <f>+AR29/AS29</f>
        <v>1.0277777777777777</v>
      </c>
      <c r="AU29" s="424">
        <v>37</v>
      </c>
      <c r="AV29" s="425">
        <v>33</v>
      </c>
      <c r="AW29" s="19">
        <f>+AU29/AV29</f>
        <v>1.1212121212121211</v>
      </c>
      <c r="AX29" s="410">
        <f>(S29+V29+Y29+AB29+AG29+AJ29+AM29+AP29+AS29+AV29)/10</f>
        <v>29.7</v>
      </c>
      <c r="AY29" s="19">
        <f>+G29/AX29</f>
        <v>1.2457912457912459</v>
      </c>
    </row>
    <row r="30" spans="1:51" s="22" customFormat="1" ht="22.5" customHeight="1" thickTop="1" thickBot="1">
      <c r="A30" s="2842" t="s">
        <v>154</v>
      </c>
      <c r="B30" s="2843"/>
      <c r="C30" s="2843"/>
      <c r="D30" s="2843"/>
      <c r="E30" s="2843"/>
      <c r="F30" s="2843"/>
      <c r="G30" s="2843"/>
      <c r="H30" s="2843"/>
      <c r="I30" s="2843"/>
      <c r="J30" s="2843"/>
      <c r="K30" s="2844"/>
      <c r="L30" s="430"/>
      <c r="M30" s="431"/>
      <c r="N30" s="431"/>
      <c r="O30" s="430"/>
      <c r="P30" s="431"/>
      <c r="Q30" s="431"/>
      <c r="R30" s="430"/>
      <c r="S30" s="431"/>
      <c r="T30" s="431"/>
      <c r="U30" s="430"/>
      <c r="V30" s="431"/>
      <c r="W30" s="431"/>
      <c r="X30" s="430"/>
      <c r="Y30" s="431"/>
      <c r="Z30" s="431"/>
      <c r="AA30" s="430"/>
      <c r="AB30" s="431"/>
      <c r="AC30" s="431"/>
      <c r="AD30" s="430"/>
      <c r="AE30" s="431"/>
      <c r="AF30" s="430"/>
      <c r="AG30" s="431"/>
      <c r="AH30" s="431"/>
      <c r="AI30" s="430"/>
      <c r="AJ30" s="431"/>
      <c r="AK30" s="431"/>
      <c r="AL30" s="430"/>
      <c r="AM30" s="431"/>
      <c r="AN30" s="431"/>
      <c r="AO30" s="430"/>
      <c r="AP30" s="431"/>
      <c r="AQ30" s="431"/>
      <c r="AR30" s="430"/>
      <c r="AS30" s="431"/>
      <c r="AT30" s="431"/>
      <c r="AU30" s="430"/>
      <c r="AV30" s="431"/>
      <c r="AW30" s="431"/>
      <c r="AX30" s="432"/>
      <c r="AY30" s="431"/>
    </row>
    <row r="31" spans="1:51" s="22" customFormat="1" ht="64.5" thickTop="1" thickBot="1">
      <c r="A31" s="100" t="s">
        <v>155</v>
      </c>
      <c r="B31" s="433" t="s">
        <v>156</v>
      </c>
      <c r="C31" s="434" t="s">
        <v>320</v>
      </c>
      <c r="D31" s="435" t="s">
        <v>158</v>
      </c>
      <c r="E31" s="434" t="s">
        <v>321</v>
      </c>
      <c r="F31" s="434" t="s">
        <v>17</v>
      </c>
      <c r="G31" s="434">
        <v>13</v>
      </c>
      <c r="H31" s="434"/>
      <c r="I31" s="434" t="s">
        <v>316</v>
      </c>
      <c r="J31" s="434"/>
      <c r="K31" s="434" t="s">
        <v>322</v>
      </c>
      <c r="L31" s="436">
        <v>0</v>
      </c>
      <c r="M31" s="437">
        <v>0</v>
      </c>
      <c r="N31" s="19">
        <v>0</v>
      </c>
      <c r="O31" s="436">
        <v>0</v>
      </c>
      <c r="P31" s="437">
        <v>0</v>
      </c>
      <c r="Q31" s="19" t="e">
        <f t="shared" ref="Q31" si="16">+P31/O31</f>
        <v>#DIV/0!</v>
      </c>
      <c r="R31" s="436">
        <v>0</v>
      </c>
      <c r="S31" s="437">
        <v>0</v>
      </c>
      <c r="T31" s="19" t="e">
        <f t="shared" ref="T31" si="17">+S31/R31</f>
        <v>#DIV/0!</v>
      </c>
      <c r="U31" s="436">
        <v>0</v>
      </c>
      <c r="V31" s="437">
        <v>0</v>
      </c>
      <c r="W31" s="19" t="e">
        <f t="shared" ref="W31" si="18">+V31/U31</f>
        <v>#DIV/0!</v>
      </c>
      <c r="X31" s="436" t="s">
        <v>323</v>
      </c>
      <c r="Y31" s="437">
        <v>0</v>
      </c>
      <c r="Z31" s="19" t="e">
        <f t="shared" ref="Z31" si="19">+Y31/X31</f>
        <v>#VALUE!</v>
      </c>
      <c r="AA31" s="438">
        <v>0</v>
      </c>
      <c r="AB31" s="439">
        <v>0</v>
      </c>
      <c r="AC31" s="19" t="e">
        <f t="shared" ref="AC31" si="20">+AB31/AA31</f>
        <v>#DIV/0!</v>
      </c>
      <c r="AD31" s="436">
        <f t="shared" ref="AD31" si="21">+AB31+Y31+V31+S31+P31+M31</f>
        <v>0</v>
      </c>
      <c r="AE31" s="19">
        <f t="shared" ref="AE31" si="22">+AD31/G31</f>
        <v>0</v>
      </c>
      <c r="AF31" s="436">
        <v>0</v>
      </c>
      <c r="AG31" s="437">
        <v>0</v>
      </c>
      <c r="AH31" s="19" t="e">
        <f t="shared" ref="AH31" si="23">+AG31/AF31</f>
        <v>#DIV/0!</v>
      </c>
      <c r="AI31" s="436">
        <v>0</v>
      </c>
      <c r="AJ31" s="437">
        <v>0</v>
      </c>
      <c r="AK31" s="19" t="e">
        <f t="shared" ref="AK31" si="24">+AJ31/AI31</f>
        <v>#DIV/0!</v>
      </c>
      <c r="AL31" s="436">
        <v>0</v>
      </c>
      <c r="AM31" s="437">
        <v>0</v>
      </c>
      <c r="AN31" s="19" t="e">
        <f t="shared" ref="AN31" si="25">+AM31/AL31</f>
        <v>#DIV/0!</v>
      </c>
      <c r="AO31" s="436">
        <v>13</v>
      </c>
      <c r="AP31" s="437">
        <v>14</v>
      </c>
      <c r="AQ31" s="19">
        <f t="shared" ref="AQ31" si="26">+AP31/AO31</f>
        <v>1.0769230769230769</v>
      </c>
      <c r="AR31" s="436">
        <v>0</v>
      </c>
      <c r="AS31" s="437">
        <v>0</v>
      </c>
      <c r="AT31" s="19" t="e">
        <f t="shared" ref="AT31" si="27">+AS31/AR31</f>
        <v>#DIV/0!</v>
      </c>
      <c r="AU31" s="436">
        <v>0</v>
      </c>
      <c r="AV31" s="437">
        <v>0</v>
      </c>
      <c r="AW31" s="19" t="e">
        <f t="shared" ref="AW31" si="28">+AV31/AU31</f>
        <v>#DIV/0!</v>
      </c>
      <c r="AX31" s="440">
        <f>AP31</f>
        <v>14</v>
      </c>
      <c r="AY31" s="19">
        <f t="shared" ref="AY31" si="29">+AX31/G31</f>
        <v>1.0769230769230769</v>
      </c>
    </row>
    <row r="32" spans="1:51" ht="17.25" thickTop="1"/>
  </sheetData>
  <sheetProtection algorithmName="SHA-512" hashValue="Qe6lzbvw//uSbEBMuu3YTcMlFaeFyT5ngjl0rdOCc6i42UudF+JEk7rtgpHLNSVFcTVR1aO0v+FCNaksV7fU8A==" saltValue="qgn4o47hbPJKGa4rWQIzSA==" spinCount="100000" sheet="1" objects="1" scenarios="1"/>
  <mergeCells count="36">
    <mergeCell ref="A30:K30"/>
    <mergeCell ref="A9:A25"/>
    <mergeCell ref="B9:B25"/>
    <mergeCell ref="C10:C14"/>
    <mergeCell ref="C19:C25"/>
    <mergeCell ref="A26:K26"/>
    <mergeCell ref="A27:A29"/>
    <mergeCell ref="B27:B28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N9:N25 N27:N29 N31">
    <cfRule type="cellIs" dxfId="11149" priority="66" operator="greaterThan">
      <formula>110%</formula>
    </cfRule>
    <cfRule type="cellIs" dxfId="11148" priority="67" operator="between">
      <formula>100.001%</formula>
      <formula>110%</formula>
    </cfRule>
    <cfRule type="cellIs" dxfId="11147" priority="68" operator="between">
      <formula>70.001%</formula>
      <formula>100%</formula>
    </cfRule>
    <cfRule type="cellIs" dxfId="11146" priority="69" operator="between">
      <formula>0.00001%</formula>
      <formula>70%</formula>
    </cfRule>
    <cfRule type="cellIs" dxfId="11145" priority="70" operator="equal">
      <formula>0</formula>
    </cfRule>
  </conditionalFormatting>
  <conditionalFormatting sqref="Z9:Z25 Z27:Z29 Z31">
    <cfRule type="cellIs" dxfId="11144" priority="61" operator="greaterThan">
      <formula>110%</formula>
    </cfRule>
    <cfRule type="cellIs" dxfId="11143" priority="62" operator="between">
      <formula>100.001%</formula>
      <formula>110%</formula>
    </cfRule>
    <cfRule type="cellIs" dxfId="11142" priority="63" operator="between">
      <formula>70.001%</formula>
      <formula>100%</formula>
    </cfRule>
    <cfRule type="cellIs" dxfId="11141" priority="64" operator="between">
      <formula>0.00001%</formula>
      <formula>70%</formula>
    </cfRule>
    <cfRule type="cellIs" dxfId="11140" priority="65" operator="equal">
      <formula>0</formula>
    </cfRule>
  </conditionalFormatting>
  <conditionalFormatting sqref="Q9:Q25 Q27:Q29 Q31">
    <cfRule type="cellIs" dxfId="11139" priority="56" operator="greaterThan">
      <formula>110%</formula>
    </cfRule>
    <cfRule type="cellIs" dxfId="11138" priority="57" operator="between">
      <formula>100.001%</formula>
      <formula>110%</formula>
    </cfRule>
    <cfRule type="cellIs" dxfId="11137" priority="58" operator="between">
      <formula>70.001%</formula>
      <formula>100%</formula>
    </cfRule>
    <cfRule type="cellIs" dxfId="11136" priority="59" operator="between">
      <formula>0.00001%</formula>
      <formula>70%</formula>
    </cfRule>
    <cfRule type="cellIs" dxfId="11135" priority="60" operator="equal">
      <formula>0</formula>
    </cfRule>
  </conditionalFormatting>
  <conditionalFormatting sqref="T9:T25 T27:T29 T31">
    <cfRule type="cellIs" dxfId="11134" priority="51" operator="greaterThan">
      <formula>110%</formula>
    </cfRule>
    <cfRule type="cellIs" dxfId="11133" priority="52" operator="between">
      <formula>100.001%</formula>
      <formula>110%</formula>
    </cfRule>
    <cfRule type="cellIs" dxfId="11132" priority="53" operator="between">
      <formula>70.001%</formula>
      <formula>100%</formula>
    </cfRule>
    <cfRule type="cellIs" dxfId="11131" priority="54" operator="between">
      <formula>0.00001%</formula>
      <formula>70%</formula>
    </cfRule>
    <cfRule type="cellIs" dxfId="11130" priority="55" operator="equal">
      <formula>0</formula>
    </cfRule>
  </conditionalFormatting>
  <conditionalFormatting sqref="W9:W25 W27:W29 W31">
    <cfRule type="cellIs" dxfId="11129" priority="46" operator="greaterThan">
      <formula>110%</formula>
    </cfRule>
    <cfRule type="cellIs" dxfId="11128" priority="47" operator="between">
      <formula>100.001%</formula>
      <formula>110%</formula>
    </cfRule>
    <cfRule type="cellIs" dxfId="11127" priority="48" operator="between">
      <formula>70.001%</formula>
      <formula>100%</formula>
    </cfRule>
    <cfRule type="cellIs" dxfId="11126" priority="49" operator="between">
      <formula>0.00001%</formula>
      <formula>70%</formula>
    </cfRule>
    <cfRule type="cellIs" dxfId="11125" priority="50" operator="equal">
      <formula>0</formula>
    </cfRule>
  </conditionalFormatting>
  <conditionalFormatting sqref="AE9:AE25 AE27:AE29 AE31">
    <cfRule type="cellIs" dxfId="11124" priority="41" operator="greaterThan">
      <formula>110%</formula>
    </cfRule>
    <cfRule type="cellIs" dxfId="11123" priority="42" operator="between">
      <formula>100.001%</formula>
      <formula>110%</formula>
    </cfRule>
    <cfRule type="cellIs" dxfId="11122" priority="43" operator="between">
      <formula>70.001%</formula>
      <formula>100%</formula>
    </cfRule>
    <cfRule type="cellIs" dxfId="11121" priority="44" operator="between">
      <formula>0.00001%</formula>
      <formula>70%</formula>
    </cfRule>
    <cfRule type="cellIs" dxfId="11120" priority="45" operator="equal">
      <formula>0</formula>
    </cfRule>
  </conditionalFormatting>
  <conditionalFormatting sqref="AC9:AC25 AC27:AC29 AC31">
    <cfRule type="cellIs" dxfId="11119" priority="36" operator="greaterThan">
      <formula>110%</formula>
    </cfRule>
    <cfRule type="cellIs" dxfId="11118" priority="37" operator="between">
      <formula>100.001%</formula>
      <formula>110%</formula>
    </cfRule>
    <cfRule type="cellIs" dxfId="11117" priority="38" operator="between">
      <formula>70.001%</formula>
      <formula>100%</formula>
    </cfRule>
    <cfRule type="cellIs" dxfId="11116" priority="39" operator="between">
      <formula>0.00001%</formula>
      <formula>70%</formula>
    </cfRule>
    <cfRule type="cellIs" dxfId="11115" priority="40" operator="equal">
      <formula>0</formula>
    </cfRule>
  </conditionalFormatting>
  <conditionalFormatting sqref="AH9:AH25 AH27:AH29 AH31">
    <cfRule type="cellIs" dxfId="11114" priority="31" operator="greaterThan">
      <formula>110%</formula>
    </cfRule>
    <cfRule type="cellIs" dxfId="11113" priority="32" operator="between">
      <formula>100.001%</formula>
      <formula>110%</formula>
    </cfRule>
    <cfRule type="cellIs" dxfId="11112" priority="33" operator="between">
      <formula>70.001%</formula>
      <formula>100%</formula>
    </cfRule>
    <cfRule type="cellIs" dxfId="11111" priority="34" operator="between">
      <formula>0.00001%</formula>
      <formula>70%</formula>
    </cfRule>
    <cfRule type="cellIs" dxfId="11110" priority="35" operator="equal">
      <formula>0</formula>
    </cfRule>
  </conditionalFormatting>
  <conditionalFormatting sqref="AK27:AK29 AK31 AK9:AK25">
    <cfRule type="cellIs" dxfId="11109" priority="26" operator="greaterThan">
      <formula>110%</formula>
    </cfRule>
    <cfRule type="cellIs" dxfId="11108" priority="27" operator="between">
      <formula>100.001%</formula>
      <formula>110%</formula>
    </cfRule>
    <cfRule type="cellIs" dxfId="11107" priority="28" operator="between">
      <formula>70.001%</formula>
      <formula>100%</formula>
    </cfRule>
    <cfRule type="cellIs" dxfId="11106" priority="29" operator="between">
      <formula>0.00001%</formula>
      <formula>70%</formula>
    </cfRule>
    <cfRule type="cellIs" dxfId="11105" priority="30" operator="equal">
      <formula>0</formula>
    </cfRule>
  </conditionalFormatting>
  <conditionalFormatting sqref="AN9:AN25 AN27:AN29 AN31">
    <cfRule type="cellIs" dxfId="11104" priority="21" operator="greaterThan">
      <formula>110%</formula>
    </cfRule>
    <cfRule type="cellIs" dxfId="11103" priority="22" operator="between">
      <formula>100.001%</formula>
      <formula>110%</formula>
    </cfRule>
    <cfRule type="cellIs" dxfId="11102" priority="23" operator="between">
      <formula>70.001%</formula>
      <formula>100%</formula>
    </cfRule>
    <cfRule type="cellIs" dxfId="11101" priority="24" operator="between">
      <formula>0.00001%</formula>
      <formula>70%</formula>
    </cfRule>
    <cfRule type="cellIs" dxfId="11100" priority="25" operator="equal">
      <formula>0</formula>
    </cfRule>
  </conditionalFormatting>
  <conditionalFormatting sqref="AQ9:AQ25 AQ27:AQ29 AQ31">
    <cfRule type="cellIs" dxfId="11099" priority="16" operator="greaterThan">
      <formula>110%</formula>
    </cfRule>
    <cfRule type="cellIs" dxfId="11098" priority="17" operator="between">
      <formula>100.001%</formula>
      <formula>110%</formula>
    </cfRule>
    <cfRule type="cellIs" dxfId="11097" priority="18" operator="between">
      <formula>70.001%</formula>
      <formula>100%</formula>
    </cfRule>
    <cfRule type="cellIs" dxfId="11096" priority="19" operator="between">
      <formula>0.00001%</formula>
      <formula>70%</formula>
    </cfRule>
    <cfRule type="cellIs" dxfId="11095" priority="20" operator="equal">
      <formula>0</formula>
    </cfRule>
  </conditionalFormatting>
  <conditionalFormatting sqref="AT9:AT25 AT27:AT29 AT31">
    <cfRule type="cellIs" dxfId="11094" priority="11" operator="greaterThan">
      <formula>110%</formula>
    </cfRule>
    <cfRule type="cellIs" dxfId="11093" priority="12" operator="between">
      <formula>100.001%</formula>
      <formula>110%</formula>
    </cfRule>
    <cfRule type="cellIs" dxfId="11092" priority="13" operator="between">
      <formula>70.001%</formula>
      <formula>100%</formula>
    </cfRule>
    <cfRule type="cellIs" dxfId="11091" priority="14" operator="between">
      <formula>0.00001%</formula>
      <formula>70%</formula>
    </cfRule>
    <cfRule type="cellIs" dxfId="11090" priority="15" operator="equal">
      <formula>0</formula>
    </cfRule>
  </conditionalFormatting>
  <conditionalFormatting sqref="AW9:AW25 AW27:AW29 AW31">
    <cfRule type="cellIs" dxfId="11089" priority="6" operator="greaterThan">
      <formula>110%</formula>
    </cfRule>
    <cfRule type="cellIs" dxfId="11088" priority="7" operator="between">
      <formula>100.001%</formula>
      <formula>110%</formula>
    </cfRule>
    <cfRule type="cellIs" dxfId="11087" priority="8" operator="between">
      <formula>70.001%</formula>
      <formula>100%</formula>
    </cfRule>
    <cfRule type="cellIs" dxfId="11086" priority="9" operator="between">
      <formula>0.00001%</formula>
      <formula>70%</formula>
    </cfRule>
    <cfRule type="cellIs" dxfId="11085" priority="10" operator="equal">
      <formula>0</formula>
    </cfRule>
  </conditionalFormatting>
  <conditionalFormatting sqref="AY9:AY25 AY27:AY29 AY31">
    <cfRule type="cellIs" dxfId="11084" priority="1" operator="greaterThan">
      <formula>110%</formula>
    </cfRule>
    <cfRule type="cellIs" dxfId="11083" priority="2" operator="between">
      <formula>100.001%</formula>
      <formula>110%</formula>
    </cfRule>
    <cfRule type="cellIs" dxfId="11082" priority="3" operator="between">
      <formula>70.001%</formula>
      <formula>100%</formula>
    </cfRule>
    <cfRule type="cellIs" dxfId="11081" priority="4" operator="between">
      <formula>0.00001%</formula>
      <formula>70%</formula>
    </cfRule>
    <cfRule type="cellIs" dxfId="11080" priority="5" operator="equal">
      <formula>0</formula>
    </cfRule>
  </conditionalFormatting>
  <hyperlinks>
    <hyperlink ref="AZ6" location="'Consolidado '!A1" display="VOLVER" xr:uid="{00000000-0004-0000-0100-000000000000}"/>
    <hyperlink ref="D9" location="'IN1-3'!A1" display="IN1-3 Recaudo Bruto" xr:uid="{00000000-0004-0000-0100-000001000000}"/>
    <hyperlink ref="D10" location="'FIS-4'!A1" display="FIS-4 Gestión efectiva en fiscalización tributaria" xr:uid="{00000000-0004-0000-0100-000002000000}"/>
    <hyperlink ref="D11" location="'FIS-6'!A1" display="FIS-6 Gestión efectiva de Fiscalización Internacional" xr:uid="{00000000-0004-0000-0100-000003000000}"/>
    <hyperlink ref="D12" location="'FIS-10'!A1" display="FIS-10 Gestión aceptada en fiscalización tributaria" xr:uid="{00000000-0004-0000-0100-000004000000}"/>
    <hyperlink ref="D13" location="'FIS-27'!A1" display="FIS-27 Reclasificación de no responsables a responsables" xr:uid="{00000000-0004-0000-0100-000005000000}"/>
    <hyperlink ref="D14" location="'FIS-17'!A1" display="FIS-17 Evacuación de expedientes en fiscalización tributaria" xr:uid="{00000000-0004-0000-0100-000006000000}"/>
    <hyperlink ref="D15" location="'IN1-4'!A1" display="IN1-4 Recaudo por gestión de cartera" xr:uid="{00000000-0004-0000-0100-000007000000}"/>
    <hyperlink ref="D16" location="'IN1-5'!A1" display="IN1-5 Inscritos en el Régimen Simple de Tributación - RST" xr:uid="{00000000-0004-0000-0100-000008000000}"/>
    <hyperlink ref="D17" location="'IN1-6.1'!A1" display="IN1-6.1 Grado de cumplimiento del cronograma de campañas del RST" xr:uid="{00000000-0004-0000-0100-000009000000}"/>
    <hyperlink ref="D18" location="'IN1-8'!A1" display="IN1-8 Contribuyentes habilitados como facturadores electrónicos" xr:uid="{00000000-0004-0000-0100-00000A000000}"/>
    <hyperlink ref="D19" location="'JUR-3.1'!A1" display="JUR-3.1 Porcentaje de éxito de litigiosidad" xr:uid="{00000000-0004-0000-0100-00000B000000}"/>
    <hyperlink ref="D20" location="'JUR-3.2'!A1" display="JUR-3.2 Porcentaje  procesos judiciales revisados con mayor riesgo en Ekogui" xr:uid="{00000000-0004-0000-0100-00000C000000}"/>
    <hyperlink ref="D21" location="'JUR-3.3'!A1" display="JUR-3.3 Porcentaje de análisis de jurisprudencia remitidos junto con la copia de la sentencia " xr:uid="{00000000-0004-0000-0100-00000D000000}"/>
    <hyperlink ref="D22" location="'JUR-3.4'!A1" display="JUR-3.4 Porcentaje  de procesos revisados con VoBo del Jefe " xr:uid="{00000000-0004-0000-0100-00000E000000}"/>
    <hyperlink ref="D23" location="'JUR-3.5'!A1" display="JUR-3.5 Porcentaje de requerimientos atendidos en oportunidad" xr:uid="{00000000-0004-0000-0100-00000F000000}"/>
    <hyperlink ref="D24" location="'JUR-3.6'!A1" display="JUR-3.6 Porcentaje funcionarios capacitaciones en cursos virtuales de la ANDJE" xr:uid="{00000000-0004-0000-0100-000010000000}"/>
    <hyperlink ref="D25" location="'JUR-4'!A1" display="JUR-4 Porcentaje funcionarios que participaron en el concurso de escritura jurídica" xr:uid="{00000000-0004-0000-0100-000011000000}"/>
    <hyperlink ref="D27" location="'IN1-11'!A1" display="IN1-11  Nivel de cobertura de personas sensibilizadas por el plan de cultura. ACTUALMENTE. Cumplimiento al Plan de Acción de Cultura de la Contribución" xr:uid="{00000000-0004-0000-0100-000012000000}"/>
    <hyperlink ref="D28" location="'JUR-7'!A1" display="JUR-7 Oportunidad en las decisiones de los recursos tributarios hasta su remisión a notificaciones" xr:uid="{00000000-0004-0000-0100-000013000000}"/>
    <hyperlink ref="D29" location="'IN1-15'!A1" display="IN1-15 Días en devoluciones ordinarias" xr:uid="{00000000-0004-0000-0100-000014000000}"/>
    <hyperlink ref="D31" location="'DGRAE-25'!A1" display="DGRAE-25 Actividades que componen el  PIC para la Dirección de Gestión" xr:uid="{00000000-0004-0000-0100-0000150000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34"/>
  <sheetViews>
    <sheetView zoomScale="60" zoomScaleNormal="60" workbookViewId="0">
      <selection activeCell="AZ8" sqref="AZ8"/>
    </sheetView>
  </sheetViews>
  <sheetFormatPr baseColWidth="10" defaultColWidth="11.42578125" defaultRowHeight="16.5"/>
  <cols>
    <col min="1" max="1" width="18.85546875" style="8" bestFit="1" customWidth="1"/>
    <col min="2" max="2" width="28.7109375" style="8" customWidth="1"/>
    <col min="3" max="3" width="34.28515625" style="63" customWidth="1"/>
    <col min="4" max="4" width="25.85546875" style="8" bestFit="1" customWidth="1"/>
    <col min="5" max="5" width="22.28515625" style="8" customWidth="1"/>
    <col min="6" max="6" width="10.42578125" style="8" customWidth="1"/>
    <col min="7" max="7" width="18.140625" style="8" customWidth="1"/>
    <col min="8" max="8" width="10.7109375" style="8" hidden="1" customWidth="1"/>
    <col min="9" max="9" width="20.28515625" style="8" hidden="1" customWidth="1"/>
    <col min="10" max="10" width="1.140625" style="8" hidden="1" customWidth="1"/>
    <col min="11" max="11" width="28.28515625" style="8" customWidth="1"/>
    <col min="12" max="13" width="17.7109375" style="8" hidden="1" customWidth="1"/>
    <col min="14" max="14" width="10.7109375" style="444" hidden="1" customWidth="1"/>
    <col min="15" max="16" width="17.7109375" style="8" hidden="1" customWidth="1"/>
    <col min="17" max="17" width="9.7109375" style="444" hidden="1" customWidth="1"/>
    <col min="18" max="19" width="17.7109375" style="8" hidden="1" customWidth="1"/>
    <col min="20" max="20" width="10.28515625" style="444" hidden="1" customWidth="1"/>
    <col min="21" max="22" width="18" style="8" hidden="1" customWidth="1"/>
    <col min="23" max="23" width="10" style="444" hidden="1" customWidth="1"/>
    <col min="24" max="25" width="19.28515625" style="8" hidden="1" customWidth="1"/>
    <col min="26" max="26" width="9.85546875" style="444" hidden="1" customWidth="1"/>
    <col min="27" max="27" width="18" style="8" hidden="1" customWidth="1"/>
    <col min="28" max="28" width="17.85546875" style="8" hidden="1" customWidth="1"/>
    <col min="29" max="29" width="11.42578125" style="444" hidden="1" customWidth="1"/>
    <col min="30" max="30" width="17.140625" style="8" hidden="1" customWidth="1"/>
    <col min="31" max="31" width="12.7109375" style="444" hidden="1" customWidth="1"/>
    <col min="32" max="32" width="18.7109375" style="8" hidden="1" customWidth="1"/>
    <col min="33" max="33" width="17.42578125" style="8" hidden="1" customWidth="1"/>
    <col min="34" max="34" width="11.140625" style="444" hidden="1" customWidth="1"/>
    <col min="35" max="36" width="18.42578125" style="8" hidden="1" customWidth="1"/>
    <col min="37" max="37" width="13.7109375" style="444" hidden="1" customWidth="1"/>
    <col min="38" max="39" width="18" style="8" hidden="1" customWidth="1"/>
    <col min="40" max="40" width="12.28515625" style="444" hidden="1" customWidth="1"/>
    <col min="41" max="42" width="18.28515625" style="8" hidden="1" customWidth="1"/>
    <col min="43" max="43" width="14.7109375" style="444" hidden="1" customWidth="1"/>
    <col min="44" max="44" width="21.42578125" style="8" hidden="1" customWidth="1"/>
    <col min="45" max="45" width="21" style="8" hidden="1" customWidth="1"/>
    <col min="46" max="46" width="13" style="444" hidden="1" customWidth="1"/>
    <col min="47" max="47" width="17.140625" style="8" hidden="1" customWidth="1"/>
    <col min="48" max="48" width="20.42578125" style="8" hidden="1" customWidth="1"/>
    <col min="49" max="49" width="12" style="444" hidden="1" customWidth="1"/>
    <col min="50" max="50" width="23" style="210" customWidth="1"/>
    <col min="51" max="51" width="12.42578125" style="444" bestFit="1" customWidth="1"/>
    <col min="52" max="52" width="13" style="8" bestFit="1" customWidth="1"/>
    <col min="53" max="16384" width="11.42578125" style="8"/>
  </cols>
  <sheetData>
    <row r="1" spans="1:52" ht="26.25">
      <c r="A1" s="101"/>
      <c r="B1" s="101"/>
      <c r="C1" s="2885" t="s">
        <v>637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</row>
    <row r="3" spans="1:52">
      <c r="A3" s="2866" t="s">
        <v>638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  <c r="AZ3" s="670" t="s">
        <v>185</v>
      </c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94.5" customHeight="1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 s="761">
        <f>+(AY9+AY10+AY11+AY12+AY13+AY14+AY15+AY16+AY17+AY18+AY19+AY21+AY22+AY23+AY24+AY25+AY26+AY27+AY29+AY31+AY33)/21</f>
        <v>1.0616033762800161</v>
      </c>
    </row>
    <row r="8" spans="1:52" customFormat="1" ht="31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</row>
    <row r="9" spans="1:52" s="132" customFormat="1" ht="46.5" thickTop="1" thickBot="1">
      <c r="A9" s="2943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752">
        <f>201316593.03/1000000</f>
        <v>201.31659303000001</v>
      </c>
      <c r="H9" s="72"/>
      <c r="I9" s="72"/>
      <c r="J9" s="72"/>
      <c r="K9" s="72" t="s">
        <v>25</v>
      </c>
      <c r="L9" s="1063">
        <v>14.313905</v>
      </c>
      <c r="M9" s="1064">
        <v>12.270821</v>
      </c>
      <c r="N9" s="73">
        <f>+M9/L9</f>
        <v>0.85726578456403058</v>
      </c>
      <c r="O9" s="1063">
        <v>42.525519000000003</v>
      </c>
      <c r="P9" s="1064">
        <v>25.468216999999999</v>
      </c>
      <c r="Q9" s="73">
        <f>+P9/O9</f>
        <v>0.59889256142882108</v>
      </c>
      <c r="R9" s="1063">
        <v>11.881318</v>
      </c>
      <c r="S9" s="1064">
        <v>20.750229999999998</v>
      </c>
      <c r="T9" s="73">
        <f>+S9/R9</f>
        <v>1.7464585999634046</v>
      </c>
      <c r="U9" s="1063">
        <v>9.0153529999999993</v>
      </c>
      <c r="V9" s="1064">
        <v>10.922800000000001</v>
      </c>
      <c r="W9" s="73">
        <f>+V9/U9</f>
        <v>1.2115776276314418</v>
      </c>
      <c r="X9" s="1063">
        <v>16.661127</v>
      </c>
      <c r="Y9" s="1064">
        <v>2.7024926699999998</v>
      </c>
      <c r="Z9" s="73">
        <f>+Y9/X9</f>
        <v>0.16220347339048552</v>
      </c>
      <c r="AA9" s="1063">
        <v>26.38185</v>
      </c>
      <c r="AB9" s="1064">
        <v>3.3740929999999998</v>
      </c>
      <c r="AC9" s="73">
        <f>+AB9/AA9</f>
        <v>0.1278944804856369</v>
      </c>
      <c r="AD9" s="776">
        <f>+M9+P9+S9+V9+Y9+AB9</f>
        <v>75.488653669999991</v>
      </c>
      <c r="AE9" s="73">
        <f>+AD9/G9</f>
        <v>0.3749748221635697</v>
      </c>
      <c r="AF9" s="1063">
        <v>13.239502999999999</v>
      </c>
      <c r="AG9" s="1064">
        <v>5.3109209999999996</v>
      </c>
      <c r="AH9" s="73">
        <f>+AG9/AF9</f>
        <v>0.40114202172090596</v>
      </c>
      <c r="AI9" s="1063">
        <v>7.9323199999999998</v>
      </c>
      <c r="AJ9" s="1064">
        <v>4.1572880000000003</v>
      </c>
      <c r="AK9" s="73">
        <f>+AJ9/AI9</f>
        <v>0.52409484236642001</v>
      </c>
      <c r="AL9" s="1063">
        <v>9.9397479999999998</v>
      </c>
      <c r="AM9" s="1064">
        <v>21.465600999999999</v>
      </c>
      <c r="AN9" s="73">
        <f>+AM9/AL9</f>
        <v>2.1595719529307988</v>
      </c>
      <c r="AO9" s="1063">
        <v>8.6392100000000003</v>
      </c>
      <c r="AP9" s="1064">
        <v>58.432651</v>
      </c>
      <c r="AQ9" s="73">
        <f>+AP9/AO9</f>
        <v>6.7636567463923205</v>
      </c>
      <c r="AR9" s="1063">
        <v>13.942287</v>
      </c>
      <c r="AS9" s="1064">
        <v>22.013435000000001</v>
      </c>
      <c r="AT9" s="73">
        <f>+AS9/AR9</f>
        <v>1.5788969915767765</v>
      </c>
      <c r="AU9" s="1063">
        <v>11.578507999999999</v>
      </c>
      <c r="AV9" s="1064">
        <v>12.663379000000001</v>
      </c>
      <c r="AW9" s="73">
        <f>+AV9/AU9</f>
        <v>1.0936969599191884</v>
      </c>
      <c r="AX9" s="845">
        <f>+M9+P9+S9+V9+Y9+AB9+AG9+AJ9+AM9+AP9+AS9+AV9</f>
        <v>199.53192866999999</v>
      </c>
      <c r="AY9" s="73">
        <f>+AX9/G9</f>
        <v>0.991135035949401</v>
      </c>
    </row>
    <row r="10" spans="1:52" s="465" customFormat="1" ht="129" customHeight="1" thickTop="1" thickBot="1">
      <c r="A10" s="2944"/>
      <c r="B10" s="2947"/>
      <c r="C10" s="74" t="s">
        <v>169</v>
      </c>
      <c r="D10" s="458" t="s">
        <v>92</v>
      </c>
      <c r="E10" s="459" t="s">
        <v>170</v>
      </c>
      <c r="F10" s="459" t="s">
        <v>17</v>
      </c>
      <c r="G10" s="1174">
        <v>7</v>
      </c>
      <c r="H10" s="459" t="s">
        <v>326</v>
      </c>
      <c r="I10" s="1010"/>
      <c r="J10" s="1010"/>
      <c r="K10" s="459" t="s">
        <v>26</v>
      </c>
      <c r="L10" s="461">
        <v>0</v>
      </c>
      <c r="M10" s="462"/>
      <c r="N10" s="73" t="e">
        <f t="shared" ref="N10:N33" si="0">+M10/L10</f>
        <v>#DIV/0!</v>
      </c>
      <c r="O10" s="461">
        <v>0</v>
      </c>
      <c r="P10" s="462">
        <v>1</v>
      </c>
      <c r="Q10" s="73" t="e">
        <f t="shared" ref="Q10:Q33" si="1">+P10/O10</f>
        <v>#DIV/0!</v>
      </c>
      <c r="R10" s="461">
        <v>0</v>
      </c>
      <c r="S10" s="462">
        <v>4</v>
      </c>
      <c r="T10" s="73" t="e">
        <f t="shared" ref="T10:T33" si="2">+S10/R10</f>
        <v>#DIV/0!</v>
      </c>
      <c r="U10" s="461">
        <v>0</v>
      </c>
      <c r="V10" s="462"/>
      <c r="W10" s="73" t="e">
        <f t="shared" ref="W10:W33" si="3">+V10/U10</f>
        <v>#DIV/0!</v>
      </c>
      <c r="X10" s="1459">
        <v>0</v>
      </c>
      <c r="Y10" s="1460"/>
      <c r="Z10" s="73" t="e">
        <f t="shared" ref="Z10:Z33" si="4">+Y10/X10</f>
        <v>#DIV/0!</v>
      </c>
      <c r="AA10" s="461">
        <v>0</v>
      </c>
      <c r="AB10" s="462"/>
      <c r="AC10" s="73" t="e">
        <f t="shared" ref="AC10" si="5">+AB10/AA10</f>
        <v>#DIV/0!</v>
      </c>
      <c r="AD10" s="1175">
        <f t="shared" ref="AD10" si="6">+M10+P10+S10+V10+Y10+AB10</f>
        <v>5</v>
      </c>
      <c r="AE10" s="73">
        <f t="shared" ref="AE10:AE33" si="7">+AD10/G10</f>
        <v>0.7142857142857143</v>
      </c>
      <c r="AF10" s="461">
        <v>0</v>
      </c>
      <c r="AG10" s="462">
        <v>1</v>
      </c>
      <c r="AH10" s="73" t="e">
        <f t="shared" ref="AH10:AH33" si="8">+AG10/AF10</f>
        <v>#DIV/0!</v>
      </c>
      <c r="AI10" s="461">
        <v>0</v>
      </c>
      <c r="AJ10" s="462"/>
      <c r="AK10" s="73" t="e">
        <f t="shared" ref="AK10:AK33" si="9">+AJ10/AI10</f>
        <v>#DIV/0!</v>
      </c>
      <c r="AL10" s="461">
        <v>0</v>
      </c>
      <c r="AM10" s="462">
        <v>1</v>
      </c>
      <c r="AN10" s="73" t="e">
        <f t="shared" ref="AN10:AN33" si="10">+AM10/AL10</f>
        <v>#DIV/0!</v>
      </c>
      <c r="AO10" s="461">
        <v>0</v>
      </c>
      <c r="AP10" s="462">
        <v>2</v>
      </c>
      <c r="AQ10" s="73" t="e">
        <f t="shared" ref="AQ10:AQ33" si="11">+AP10/AO10</f>
        <v>#DIV/0!</v>
      </c>
      <c r="AR10" s="461">
        <v>0</v>
      </c>
      <c r="AS10" s="462">
        <v>0</v>
      </c>
      <c r="AT10" s="73" t="e">
        <f t="shared" ref="AT10:AT33" si="12">+AS10/AR10</f>
        <v>#DIV/0!</v>
      </c>
      <c r="AU10" s="461">
        <v>0</v>
      </c>
      <c r="AV10" s="462">
        <v>0</v>
      </c>
      <c r="AW10" s="73" t="e">
        <f t="shared" ref="AW10" si="13">+AV10/AU10</f>
        <v>#DIV/0!</v>
      </c>
      <c r="AX10" s="1461">
        <f t="shared" ref="AX10" si="14">+M10+P10+S10+V10+Y10+AB10+AG10+AJ10+AM10+AP10+AS10+AV10</f>
        <v>9</v>
      </c>
      <c r="AY10" s="73">
        <f t="shared" ref="AY10" si="15">+AX10/G10</f>
        <v>1.2857142857142858</v>
      </c>
    </row>
    <row r="11" spans="1:52" s="22" customFormat="1" ht="46.5" thickTop="1" thickBot="1">
      <c r="A11" s="2944"/>
      <c r="B11" s="2991" t="s">
        <v>94</v>
      </c>
      <c r="C11" s="881" t="s">
        <v>95</v>
      </c>
      <c r="D11" s="623" t="s">
        <v>96</v>
      </c>
      <c r="E11" s="561" t="s">
        <v>97</v>
      </c>
      <c r="F11" s="561" t="s">
        <v>168</v>
      </c>
      <c r="G11" s="1462">
        <v>102485</v>
      </c>
      <c r="H11" s="561"/>
      <c r="I11" s="561"/>
      <c r="J11" s="561"/>
      <c r="K11" s="561" t="s">
        <v>20</v>
      </c>
      <c r="L11" s="1463">
        <f>19522/1000000</f>
        <v>1.9522000000000001E-2</v>
      </c>
      <c r="M11" s="1463">
        <f>19522/1000000</f>
        <v>1.9522000000000001E-2</v>
      </c>
      <c r="N11" s="73">
        <f>+M11/L11</f>
        <v>1</v>
      </c>
      <c r="O11" s="1463">
        <f>4321/1000000</f>
        <v>4.3210000000000002E-3</v>
      </c>
      <c r="P11" s="1463">
        <f>4321/1000000</f>
        <v>4.3210000000000002E-3</v>
      </c>
      <c r="Q11" s="73">
        <f>+P11/O11</f>
        <v>1</v>
      </c>
      <c r="R11" s="1463">
        <f>7465/1000000</f>
        <v>7.4650000000000003E-3</v>
      </c>
      <c r="S11" s="1463">
        <f>7465/1000000</f>
        <v>7.4650000000000003E-3</v>
      </c>
      <c r="T11" s="73">
        <f>+S11/R11</f>
        <v>1</v>
      </c>
      <c r="U11" s="1463">
        <f>4436/1000000</f>
        <v>4.4359999999999998E-3</v>
      </c>
      <c r="V11" s="1463">
        <f>4436/1000000</f>
        <v>4.4359999999999998E-3</v>
      </c>
      <c r="W11" s="73">
        <f>+V11/U11</f>
        <v>1</v>
      </c>
      <c r="X11" s="1463">
        <f>9009/1000000</f>
        <v>9.0089999999999996E-3</v>
      </c>
      <c r="Y11" s="1463">
        <f>9009/1000000</f>
        <v>9.0089999999999996E-3</v>
      </c>
      <c r="Z11" s="73">
        <f>+Y11/X11</f>
        <v>1</v>
      </c>
      <c r="AA11" s="1463">
        <f>5405/1000000</f>
        <v>5.4050000000000001E-3</v>
      </c>
      <c r="AB11" s="1463">
        <f>5405/1000000</f>
        <v>5.4050000000000001E-3</v>
      </c>
      <c r="AC11" s="73">
        <f>+AB11/AA11</f>
        <v>1</v>
      </c>
      <c r="AD11" s="1464">
        <f>+M11+P11+S11+V11+Y11+AB11</f>
        <v>5.0158000000000001E-2</v>
      </c>
      <c r="AE11" s="73">
        <f>+AD11/G11</f>
        <v>4.8941796360442997E-7</v>
      </c>
      <c r="AF11" s="1464">
        <f>7664/1000000</f>
        <v>7.6639999999999998E-3</v>
      </c>
      <c r="AG11" s="1464">
        <f>7664/1000000</f>
        <v>7.6639999999999998E-3</v>
      </c>
      <c r="AH11" s="73">
        <f>+AG11/AF11</f>
        <v>1</v>
      </c>
      <c r="AI11" s="1464">
        <f>6599/1000000</f>
        <v>6.5989999999999998E-3</v>
      </c>
      <c r="AJ11" s="1464">
        <f>6599/1000000</f>
        <v>6.5989999999999998E-3</v>
      </c>
      <c r="AK11" s="73">
        <f>+AJ11/AI11</f>
        <v>1</v>
      </c>
      <c r="AL11" s="1463">
        <f>12596/1000000</f>
        <v>1.2596E-2</v>
      </c>
      <c r="AM11" s="1463">
        <f>12596/1000000</f>
        <v>1.2596E-2</v>
      </c>
      <c r="AN11" s="73">
        <f>+AM11/AL11</f>
        <v>1</v>
      </c>
      <c r="AO11" s="1463">
        <f>8670/1000000</f>
        <v>8.6700000000000006E-3</v>
      </c>
      <c r="AP11" s="1463">
        <f>8670/1000000</f>
        <v>8.6700000000000006E-3</v>
      </c>
      <c r="AQ11" s="73">
        <f>+AP11/AO11</f>
        <v>1</v>
      </c>
      <c r="AR11" s="1463">
        <f>10020/1000000</f>
        <v>1.0019999999999999E-2</v>
      </c>
      <c r="AS11" s="1463">
        <f>10020/1000000</f>
        <v>1.0019999999999999E-2</v>
      </c>
      <c r="AT11" s="73">
        <f>+AS11/AR11</f>
        <v>1</v>
      </c>
      <c r="AU11" s="1463">
        <f>6778/1000000</f>
        <v>6.7780000000000002E-3</v>
      </c>
      <c r="AV11" s="1463">
        <f>6778/1000000</f>
        <v>6.7780000000000002E-3</v>
      </c>
      <c r="AW11" s="73">
        <f>+AV11/AU11</f>
        <v>1</v>
      </c>
      <c r="AX11" s="1463">
        <v>102485</v>
      </c>
      <c r="AY11" s="73">
        <f>+AX11/G11</f>
        <v>1</v>
      </c>
    </row>
    <row r="12" spans="1:52" s="22" customFormat="1" ht="76.5" thickTop="1" thickBot="1">
      <c r="A12" s="2944"/>
      <c r="B12" s="2992"/>
      <c r="C12" s="3114" t="s">
        <v>639</v>
      </c>
      <c r="D12" s="627" t="s">
        <v>99</v>
      </c>
      <c r="E12" s="25" t="s">
        <v>100</v>
      </c>
      <c r="F12" s="25" t="s">
        <v>101</v>
      </c>
      <c r="G12" s="1466">
        <v>13720000000</v>
      </c>
      <c r="H12" s="386"/>
      <c r="I12" s="1467"/>
      <c r="J12" s="386"/>
      <c r="K12" s="25" t="s">
        <v>172</v>
      </c>
      <c r="L12" s="747">
        <v>1097600000</v>
      </c>
      <c r="M12" s="765">
        <v>2916000</v>
      </c>
      <c r="N12" s="73">
        <f>+M12/L12</f>
        <v>2.6567055393586004E-3</v>
      </c>
      <c r="O12" s="747">
        <v>1097600000</v>
      </c>
      <c r="P12" s="765">
        <v>11016000</v>
      </c>
      <c r="Q12" s="73">
        <f t="shared" si="1"/>
        <v>1.0036443148688047E-2</v>
      </c>
      <c r="R12" s="747">
        <v>1097600000</v>
      </c>
      <c r="S12" s="765">
        <v>304594000</v>
      </c>
      <c r="T12" s="73">
        <f t="shared" si="2"/>
        <v>0.277509110787172</v>
      </c>
      <c r="U12" s="747">
        <v>1234800000</v>
      </c>
      <c r="V12" s="765">
        <v>73890000</v>
      </c>
      <c r="W12" s="73">
        <f t="shared" si="3"/>
        <v>5.9839650145772597E-2</v>
      </c>
      <c r="X12" s="747">
        <v>1372000000</v>
      </c>
      <c r="Y12" s="765">
        <v>78873000</v>
      </c>
      <c r="Z12" s="73">
        <f t="shared" si="4"/>
        <v>5.7487609329446063E-2</v>
      </c>
      <c r="AA12" s="747">
        <v>1372000000</v>
      </c>
      <c r="AB12" s="765">
        <v>279738000</v>
      </c>
      <c r="AC12" s="73">
        <f t="shared" ref="AC12:AC29" si="16">+AB12/AA12</f>
        <v>0.20389067055393587</v>
      </c>
      <c r="AD12" s="776">
        <f t="shared" ref="AD12:AD29" si="17">+M12+P12+S12+V12+Y12+AB12</f>
        <v>751027000</v>
      </c>
      <c r="AE12" s="73">
        <f t="shared" si="7"/>
        <v>5.4739577259475217E-2</v>
      </c>
      <c r="AF12" s="747">
        <v>1372000000</v>
      </c>
      <c r="AG12" s="765">
        <v>667032000</v>
      </c>
      <c r="AH12" s="73">
        <f t="shared" si="8"/>
        <v>0.48617492711370264</v>
      </c>
      <c r="AI12" s="747">
        <v>1372000000</v>
      </c>
      <c r="AJ12" s="765">
        <v>239606000</v>
      </c>
      <c r="AK12" s="73">
        <f t="shared" si="9"/>
        <v>0.17463994169096209</v>
      </c>
      <c r="AL12" s="747">
        <v>1372000000</v>
      </c>
      <c r="AM12" s="765">
        <v>729805000</v>
      </c>
      <c r="AN12" s="73">
        <f t="shared" si="10"/>
        <v>0.53192784256559766</v>
      </c>
      <c r="AO12" s="747">
        <v>1372000000</v>
      </c>
      <c r="AP12" s="765">
        <v>1658329000</v>
      </c>
      <c r="AQ12" s="73">
        <f t="shared" si="11"/>
        <v>1.2086946064139941</v>
      </c>
      <c r="AR12" s="747">
        <v>548800000</v>
      </c>
      <c r="AS12" s="765">
        <v>2770183234</v>
      </c>
      <c r="AT12" s="73">
        <f t="shared" si="12"/>
        <v>5.0477099744897957</v>
      </c>
      <c r="AU12" s="747">
        <v>411600000</v>
      </c>
      <c r="AV12" s="765">
        <v>926351000</v>
      </c>
      <c r="AW12" s="73">
        <f t="shared" ref="AW12:AW29" si="18">+AV12/AU12</f>
        <v>2.2506098153547134</v>
      </c>
      <c r="AX12" s="747">
        <f t="shared" ref="AX12:AX29" si="19">+M12+P12+S12+V12+Y12+AB12+AG12+AJ12+AM12+AP12+AS12+AV12</f>
        <v>7742333234</v>
      </c>
      <c r="AY12" s="73">
        <f t="shared" ref="AY12:AY29" si="20">+AX12/G12</f>
        <v>0.56431000247813412</v>
      </c>
    </row>
    <row r="13" spans="1:52" s="22" customFormat="1" ht="76.5" thickTop="1" thickBot="1">
      <c r="A13" s="2944"/>
      <c r="B13" s="2992"/>
      <c r="C13" s="3115"/>
      <c r="D13" s="623" t="s">
        <v>102</v>
      </c>
      <c r="E13" s="561" t="s">
        <v>527</v>
      </c>
      <c r="F13" s="561" t="s">
        <v>101</v>
      </c>
      <c r="G13" s="1468">
        <v>10300000000</v>
      </c>
      <c r="H13" s="96"/>
      <c r="I13" s="1469"/>
      <c r="J13" s="96"/>
      <c r="K13" s="561" t="s">
        <v>172</v>
      </c>
      <c r="L13" s="846">
        <v>824000000</v>
      </c>
      <c r="M13" s="907">
        <v>2916000</v>
      </c>
      <c r="N13" s="73">
        <f t="shared" si="0"/>
        <v>3.5388349514563107E-3</v>
      </c>
      <c r="O13" s="846">
        <v>824000000</v>
      </c>
      <c r="P13" s="907">
        <v>11016000</v>
      </c>
      <c r="Q13" s="73">
        <f t="shared" si="1"/>
        <v>1.3368932038834951E-2</v>
      </c>
      <c r="R13" s="846">
        <v>824000000</v>
      </c>
      <c r="S13" s="907">
        <v>304594000</v>
      </c>
      <c r="T13" s="73">
        <f t="shared" si="2"/>
        <v>0.36965291262135924</v>
      </c>
      <c r="U13" s="846">
        <v>927000000</v>
      </c>
      <c r="V13" s="907">
        <v>73890000</v>
      </c>
      <c r="W13" s="73">
        <f t="shared" si="3"/>
        <v>7.9708737864077672E-2</v>
      </c>
      <c r="X13" s="846">
        <v>1030000000</v>
      </c>
      <c r="Y13" s="907">
        <v>78873000</v>
      </c>
      <c r="Z13" s="73">
        <f t="shared" si="4"/>
        <v>7.6575728155339806E-2</v>
      </c>
      <c r="AA13" s="846">
        <v>1030000000</v>
      </c>
      <c r="AB13" s="907">
        <v>92148000</v>
      </c>
      <c r="AC13" s="73">
        <f t="shared" si="16"/>
        <v>8.9464077669902914E-2</v>
      </c>
      <c r="AD13" s="776">
        <f t="shared" si="17"/>
        <v>563437000</v>
      </c>
      <c r="AE13" s="73">
        <f t="shared" si="7"/>
        <v>5.4702621359223304E-2</v>
      </c>
      <c r="AF13" s="846">
        <v>1030000000</v>
      </c>
      <c r="AG13" s="907">
        <v>290159000</v>
      </c>
      <c r="AH13" s="73">
        <f t="shared" si="8"/>
        <v>0.28170776699029126</v>
      </c>
      <c r="AI13" s="846">
        <v>1030000000</v>
      </c>
      <c r="AJ13" s="907">
        <v>7958000</v>
      </c>
      <c r="AK13" s="73">
        <f t="shared" si="9"/>
        <v>7.72621359223301E-3</v>
      </c>
      <c r="AL13" s="846">
        <v>1030000000</v>
      </c>
      <c r="AM13" s="907">
        <v>195039000</v>
      </c>
      <c r="AN13" s="73">
        <f t="shared" si="10"/>
        <v>0.18935825242718446</v>
      </c>
      <c r="AO13" s="846">
        <v>1030000000</v>
      </c>
      <c r="AP13" s="907">
        <v>418533000</v>
      </c>
      <c r="AQ13" s="73">
        <f t="shared" si="11"/>
        <v>0.40634271844660197</v>
      </c>
      <c r="AR13" s="846">
        <v>412000000</v>
      </c>
      <c r="AS13" s="907">
        <v>2027334234</v>
      </c>
      <c r="AT13" s="73">
        <f t="shared" si="12"/>
        <v>4.9207141601941746</v>
      </c>
      <c r="AU13" s="846">
        <v>309000000</v>
      </c>
      <c r="AV13" s="907">
        <v>434643000</v>
      </c>
      <c r="AW13" s="73">
        <f t="shared" si="18"/>
        <v>1.4066116504854369</v>
      </c>
      <c r="AX13" s="846">
        <f t="shared" si="19"/>
        <v>3937103234</v>
      </c>
      <c r="AY13" s="73">
        <f t="shared" si="20"/>
        <v>0.38224303242718449</v>
      </c>
    </row>
    <row r="14" spans="1:52" s="22" customFormat="1" ht="76.5" thickTop="1" thickBot="1">
      <c r="A14" s="2944"/>
      <c r="B14" s="2992"/>
      <c r="C14" s="3115"/>
      <c r="D14" s="627" t="s">
        <v>104</v>
      </c>
      <c r="E14" s="25" t="s">
        <v>105</v>
      </c>
      <c r="F14" s="25" t="s">
        <v>24</v>
      </c>
      <c r="G14" s="1470">
        <v>40</v>
      </c>
      <c r="H14" s="386"/>
      <c r="I14" s="1471"/>
      <c r="J14" s="386"/>
      <c r="K14" s="25" t="s">
        <v>172</v>
      </c>
      <c r="L14" s="857">
        <v>0</v>
      </c>
      <c r="M14" s="514"/>
      <c r="N14" s="73" t="e">
        <f t="shared" si="0"/>
        <v>#DIV/0!</v>
      </c>
      <c r="O14" s="857">
        <v>0</v>
      </c>
      <c r="P14" s="514"/>
      <c r="Q14" s="73" t="e">
        <f t="shared" si="1"/>
        <v>#DIV/0!</v>
      </c>
      <c r="R14" s="857">
        <v>10</v>
      </c>
      <c r="S14" s="514">
        <v>2</v>
      </c>
      <c r="T14" s="73">
        <f t="shared" si="2"/>
        <v>0.2</v>
      </c>
      <c r="U14" s="857">
        <v>0</v>
      </c>
      <c r="V14" s="514"/>
      <c r="W14" s="73" t="e">
        <f t="shared" si="3"/>
        <v>#DIV/0!</v>
      </c>
      <c r="X14" s="857">
        <v>0</v>
      </c>
      <c r="Y14" s="514"/>
      <c r="Z14" s="73" t="e">
        <f t="shared" si="4"/>
        <v>#DIV/0!</v>
      </c>
      <c r="AA14" s="857">
        <v>10</v>
      </c>
      <c r="AB14" s="514">
        <v>1</v>
      </c>
      <c r="AC14" s="73">
        <f t="shared" si="16"/>
        <v>0.1</v>
      </c>
      <c r="AD14" s="183">
        <f>+AB14+S14</f>
        <v>3</v>
      </c>
      <c r="AE14" s="73">
        <f t="shared" si="7"/>
        <v>7.4999999999999997E-2</v>
      </c>
      <c r="AF14" s="857">
        <v>0</v>
      </c>
      <c r="AG14" s="514"/>
      <c r="AH14" s="73" t="e">
        <f t="shared" si="8"/>
        <v>#DIV/0!</v>
      </c>
      <c r="AI14" s="857">
        <v>0</v>
      </c>
      <c r="AJ14" s="514"/>
      <c r="AK14" s="73" t="e">
        <f t="shared" si="9"/>
        <v>#DIV/0!</v>
      </c>
      <c r="AL14" s="857">
        <v>10</v>
      </c>
      <c r="AM14" s="514">
        <v>2</v>
      </c>
      <c r="AN14" s="73">
        <f t="shared" si="10"/>
        <v>0.2</v>
      </c>
      <c r="AO14" s="857">
        <v>0</v>
      </c>
      <c r="AP14" s="514"/>
      <c r="AQ14" s="73" t="e">
        <f t="shared" si="11"/>
        <v>#DIV/0!</v>
      </c>
      <c r="AR14" s="857">
        <v>0</v>
      </c>
      <c r="AS14" s="514">
        <v>0</v>
      </c>
      <c r="AT14" s="73" t="e">
        <f t="shared" si="12"/>
        <v>#DIV/0!</v>
      </c>
      <c r="AU14" s="857">
        <v>10</v>
      </c>
      <c r="AV14" s="514">
        <v>15</v>
      </c>
      <c r="AW14" s="73">
        <f t="shared" si="18"/>
        <v>1.5</v>
      </c>
      <c r="AX14" s="857">
        <f>+AV14+AS14+AP14+AM14+AJ14+AG14+AB14+Y14+V14+S14+P14+M14</f>
        <v>20</v>
      </c>
      <c r="AY14" s="73">
        <f t="shared" si="20"/>
        <v>0.5</v>
      </c>
    </row>
    <row r="15" spans="1:52" s="22" customFormat="1" ht="76.5" thickTop="1" thickBot="1">
      <c r="A15" s="2944"/>
      <c r="B15" s="2992"/>
      <c r="C15" s="3116"/>
      <c r="D15" s="623" t="s">
        <v>106</v>
      </c>
      <c r="E15" s="561" t="s">
        <v>173</v>
      </c>
      <c r="F15" s="561" t="s">
        <v>24</v>
      </c>
      <c r="G15" s="1472">
        <v>57</v>
      </c>
      <c r="H15" s="96"/>
      <c r="I15" s="1473"/>
      <c r="J15" s="96"/>
      <c r="K15" s="561" t="s">
        <v>172</v>
      </c>
      <c r="L15" s="861">
        <v>0</v>
      </c>
      <c r="M15" s="912"/>
      <c r="N15" s="73" t="e">
        <f t="shared" si="0"/>
        <v>#DIV/0!</v>
      </c>
      <c r="O15" s="861">
        <v>0</v>
      </c>
      <c r="P15" s="912"/>
      <c r="Q15" s="73" t="e">
        <f t="shared" si="1"/>
        <v>#DIV/0!</v>
      </c>
      <c r="R15" s="861">
        <v>0</v>
      </c>
      <c r="S15" s="912"/>
      <c r="T15" s="73" t="e">
        <f t="shared" si="2"/>
        <v>#DIV/0!</v>
      </c>
      <c r="U15" s="861">
        <v>0</v>
      </c>
      <c r="V15" s="912"/>
      <c r="W15" s="73" t="e">
        <f t="shared" si="3"/>
        <v>#DIV/0!</v>
      </c>
      <c r="X15" s="861">
        <v>0</v>
      </c>
      <c r="Y15" s="912"/>
      <c r="Z15" s="73" t="e">
        <f t="shared" si="4"/>
        <v>#DIV/0!</v>
      </c>
      <c r="AA15" s="861">
        <v>0</v>
      </c>
      <c r="AB15" s="912"/>
      <c r="AC15" s="73" t="e">
        <f t="shared" si="16"/>
        <v>#DIV/0!</v>
      </c>
      <c r="AD15" s="183">
        <f t="shared" si="17"/>
        <v>0</v>
      </c>
      <c r="AE15" s="73">
        <f t="shared" si="7"/>
        <v>0</v>
      </c>
      <c r="AF15" s="861">
        <v>29</v>
      </c>
      <c r="AG15" s="912">
        <v>22</v>
      </c>
      <c r="AH15" s="73">
        <f t="shared" si="8"/>
        <v>0.75862068965517238</v>
      </c>
      <c r="AI15" s="861">
        <v>0</v>
      </c>
      <c r="AJ15" s="912"/>
      <c r="AK15" s="73" t="e">
        <f t="shared" si="9"/>
        <v>#DIV/0!</v>
      </c>
      <c r="AL15" s="861">
        <v>0</v>
      </c>
      <c r="AM15" s="912"/>
      <c r="AN15" s="73" t="e">
        <f t="shared" si="10"/>
        <v>#DIV/0!</v>
      </c>
      <c r="AO15" s="861">
        <v>0</v>
      </c>
      <c r="AP15" s="912"/>
      <c r="AQ15" s="73" t="e">
        <f t="shared" si="11"/>
        <v>#DIV/0!</v>
      </c>
      <c r="AR15" s="861">
        <v>0</v>
      </c>
      <c r="AS15" s="912"/>
      <c r="AT15" s="73" t="e">
        <f t="shared" si="12"/>
        <v>#DIV/0!</v>
      </c>
      <c r="AU15" s="861">
        <v>28</v>
      </c>
      <c r="AV15" s="912">
        <v>32</v>
      </c>
      <c r="AW15" s="73">
        <f t="shared" si="18"/>
        <v>1.1428571428571428</v>
      </c>
      <c r="AX15" s="857">
        <f>+AV15+AS15+AP15+AM15+AJ15+AG15+AB15+Y15+V15+S15+P15+M15</f>
        <v>54</v>
      </c>
      <c r="AY15" s="73">
        <f t="shared" si="20"/>
        <v>0.94736842105263153</v>
      </c>
    </row>
    <row r="16" spans="1:52" s="22" customFormat="1" ht="136.5" thickTop="1" thickBot="1">
      <c r="A16" s="2944"/>
      <c r="B16" s="2992"/>
      <c r="C16" s="25" t="s">
        <v>640</v>
      </c>
      <c r="D16" s="627" t="s">
        <v>109</v>
      </c>
      <c r="E16" s="25" t="s">
        <v>349</v>
      </c>
      <c r="F16" s="25" t="s">
        <v>168</v>
      </c>
      <c r="G16" s="1466">
        <v>23554</v>
      </c>
      <c r="H16" s="98"/>
      <c r="I16" s="1474"/>
      <c r="J16" s="98"/>
      <c r="K16" s="25" t="s">
        <v>21</v>
      </c>
      <c r="L16" s="1475">
        <v>0</v>
      </c>
      <c r="M16" s="1476">
        <v>0</v>
      </c>
      <c r="N16" s="73" t="e">
        <f>+M16/L16</f>
        <v>#DIV/0!</v>
      </c>
      <c r="O16" s="747">
        <v>0</v>
      </c>
      <c r="P16" s="765">
        <v>0</v>
      </c>
      <c r="Q16" s="73" t="e">
        <f t="shared" si="1"/>
        <v>#DIV/0!</v>
      </c>
      <c r="R16" s="747">
        <v>6326.6237998202378</v>
      </c>
      <c r="S16" s="765">
        <v>8768.75</v>
      </c>
      <c r="T16" s="73">
        <f t="shared" si="2"/>
        <v>1.3860078103978859</v>
      </c>
      <c r="U16" s="747">
        <v>1753.4921305721334</v>
      </c>
      <c r="V16" s="765">
        <v>879.9</v>
      </c>
      <c r="W16" s="73">
        <f t="shared" si="3"/>
        <v>0.50179865917784539</v>
      </c>
      <c r="X16" s="747">
        <v>2409.2771498688867</v>
      </c>
      <c r="Y16" s="765">
        <v>1671.56</v>
      </c>
      <c r="Z16" s="73">
        <f t="shared" si="4"/>
        <v>0.69380145828841921</v>
      </c>
      <c r="AA16" s="747">
        <v>1634.9058002698166</v>
      </c>
      <c r="AB16" s="765">
        <v>2103.4499999999998</v>
      </c>
      <c r="AC16" s="73">
        <f t="shared" si="16"/>
        <v>1.2865878876035899</v>
      </c>
      <c r="AD16" s="776">
        <f t="shared" si="17"/>
        <v>13423.66</v>
      </c>
      <c r="AE16" s="73">
        <f t="shared" si="7"/>
        <v>0.56990999405621123</v>
      </c>
      <c r="AF16" s="747">
        <v>1578.395255620133</v>
      </c>
      <c r="AG16" s="765">
        <v>2213.96</v>
      </c>
      <c r="AH16" s="73">
        <f t="shared" si="8"/>
        <v>1.402665138606338</v>
      </c>
      <c r="AI16" s="747">
        <v>1633.4514979106357</v>
      </c>
      <c r="AJ16" s="765">
        <v>1435.31</v>
      </c>
      <c r="AK16" s="73">
        <f t="shared" si="9"/>
        <v>0.87869765452841386</v>
      </c>
      <c r="AL16" s="747">
        <v>2316.8741168334523</v>
      </c>
      <c r="AM16" s="765">
        <v>3804.3458580000001</v>
      </c>
      <c r="AN16" s="73">
        <f t="shared" si="10"/>
        <v>1.6420166423195768</v>
      </c>
      <c r="AO16" s="747">
        <v>2299.2257703434102</v>
      </c>
      <c r="AP16" s="765">
        <v>2643.048687</v>
      </c>
      <c r="AQ16" s="73">
        <f t="shared" si="11"/>
        <v>1.1495385625419625</v>
      </c>
      <c r="AR16" s="747">
        <v>2056.1856694823718</v>
      </c>
      <c r="AS16" s="765">
        <v>3626</v>
      </c>
      <c r="AT16" s="73">
        <f t="shared" si="12"/>
        <v>1.7634594257788092</v>
      </c>
      <c r="AU16" s="747">
        <v>1545.1129847614106</v>
      </c>
      <c r="AV16" s="765">
        <v>2187</v>
      </c>
      <c r="AW16" s="73">
        <f t="shared" si="18"/>
        <v>1.4154304711494652</v>
      </c>
      <c r="AX16" s="747">
        <f t="shared" si="19"/>
        <v>29333.324544999999</v>
      </c>
      <c r="AY16" s="73">
        <f t="shared" si="20"/>
        <v>1.2453648868557357</v>
      </c>
    </row>
    <row r="17" spans="1:51" s="22" customFormat="1" ht="76.5" thickTop="1" thickBot="1">
      <c r="A17" s="2944"/>
      <c r="B17" s="2992"/>
      <c r="C17" s="1477" t="s">
        <v>307</v>
      </c>
      <c r="D17" s="623" t="s">
        <v>111</v>
      </c>
      <c r="E17" s="561" t="s">
        <v>112</v>
      </c>
      <c r="F17" s="561" t="s">
        <v>17</v>
      </c>
      <c r="G17" s="1116">
        <v>98</v>
      </c>
      <c r="H17" s="561"/>
      <c r="I17" s="561"/>
      <c r="J17" s="561"/>
      <c r="K17" s="561" t="s">
        <v>20</v>
      </c>
      <c r="L17" s="912">
        <v>0</v>
      </c>
      <c r="M17" s="912"/>
      <c r="N17" s="73" t="e">
        <f t="shared" si="0"/>
        <v>#DIV/0!</v>
      </c>
      <c r="O17" s="912">
        <v>0</v>
      </c>
      <c r="P17" s="912"/>
      <c r="Q17" s="73" t="e">
        <f t="shared" si="1"/>
        <v>#DIV/0!</v>
      </c>
      <c r="R17" s="912">
        <v>0</v>
      </c>
      <c r="S17" s="912"/>
      <c r="T17" s="73" t="e">
        <f t="shared" si="2"/>
        <v>#DIV/0!</v>
      </c>
      <c r="U17" s="912">
        <v>0</v>
      </c>
      <c r="V17" s="912"/>
      <c r="W17" s="73" t="e">
        <f t="shared" si="3"/>
        <v>#DIV/0!</v>
      </c>
      <c r="X17" s="912">
        <v>0</v>
      </c>
      <c r="Y17" s="912"/>
      <c r="Z17" s="73" t="e">
        <f t="shared" si="4"/>
        <v>#DIV/0!</v>
      </c>
      <c r="AA17" s="912">
        <v>0</v>
      </c>
      <c r="AB17" s="912"/>
      <c r="AC17" s="73" t="e">
        <f t="shared" si="16"/>
        <v>#DIV/0!</v>
      </c>
      <c r="AD17" s="183">
        <f>+M17+P17+S17+V17+Y17+AB17</f>
        <v>0</v>
      </c>
      <c r="AE17" s="73">
        <f t="shared" si="7"/>
        <v>0</v>
      </c>
      <c r="AF17" s="912">
        <v>0</v>
      </c>
      <c r="AG17" s="912"/>
      <c r="AH17" s="73" t="e">
        <f t="shared" si="8"/>
        <v>#DIV/0!</v>
      </c>
      <c r="AI17" s="912">
        <v>0</v>
      </c>
      <c r="AJ17" s="912"/>
      <c r="AK17" s="73" t="e">
        <f t="shared" si="9"/>
        <v>#DIV/0!</v>
      </c>
      <c r="AL17" s="912">
        <v>0</v>
      </c>
      <c r="AM17" s="912"/>
      <c r="AN17" s="73" t="e">
        <f t="shared" si="10"/>
        <v>#DIV/0!</v>
      </c>
      <c r="AO17" s="912">
        <v>95</v>
      </c>
      <c r="AP17" s="912">
        <v>55</v>
      </c>
      <c r="AQ17" s="73">
        <f t="shared" si="11"/>
        <v>0.57894736842105265</v>
      </c>
      <c r="AR17" s="912">
        <v>0</v>
      </c>
      <c r="AS17" s="912"/>
      <c r="AT17" s="73" t="e">
        <f t="shared" si="12"/>
        <v>#DIV/0!</v>
      </c>
      <c r="AU17" s="912">
        <v>3</v>
      </c>
      <c r="AV17" s="912">
        <v>0</v>
      </c>
      <c r="AW17" s="73">
        <f t="shared" si="18"/>
        <v>0</v>
      </c>
      <c r="AX17" s="861">
        <f t="shared" si="19"/>
        <v>55</v>
      </c>
      <c r="AY17" s="73">
        <f t="shared" si="20"/>
        <v>0.56122448979591832</v>
      </c>
    </row>
    <row r="18" spans="1:51" s="22" customFormat="1" ht="76.5" thickTop="1" thickBot="1">
      <c r="A18" s="2944"/>
      <c r="B18" s="2992"/>
      <c r="C18" s="25" t="s">
        <v>308</v>
      </c>
      <c r="D18" s="627" t="s">
        <v>114</v>
      </c>
      <c r="E18" s="25" t="s">
        <v>115</v>
      </c>
      <c r="F18" s="25" t="s">
        <v>10</v>
      </c>
      <c r="G18" s="1478">
        <v>1</v>
      </c>
      <c r="H18" s="98"/>
      <c r="I18" s="1479"/>
      <c r="J18" s="98"/>
      <c r="K18" s="25" t="s">
        <v>20</v>
      </c>
      <c r="L18" s="529">
        <v>0</v>
      </c>
      <c r="M18" s="529"/>
      <c r="N18" s="73" t="e">
        <f t="shared" si="0"/>
        <v>#DIV/0!</v>
      </c>
      <c r="O18" s="529">
        <v>0</v>
      </c>
      <c r="P18" s="529"/>
      <c r="Q18" s="73" t="e">
        <f t="shared" si="1"/>
        <v>#DIV/0!</v>
      </c>
      <c r="R18" s="529">
        <v>0.25</v>
      </c>
      <c r="S18" s="529">
        <v>0.25</v>
      </c>
      <c r="T18" s="73">
        <f t="shared" si="2"/>
        <v>1</v>
      </c>
      <c r="U18" s="529">
        <v>0</v>
      </c>
      <c r="V18" s="529"/>
      <c r="W18" s="73" t="e">
        <f t="shared" si="3"/>
        <v>#DIV/0!</v>
      </c>
      <c r="X18" s="529">
        <v>0</v>
      </c>
      <c r="Y18" s="529"/>
      <c r="Z18" s="73" t="e">
        <f t="shared" si="4"/>
        <v>#DIV/0!</v>
      </c>
      <c r="AA18" s="529">
        <v>0.25</v>
      </c>
      <c r="AB18" s="529">
        <v>0.2</v>
      </c>
      <c r="AC18" s="73">
        <f t="shared" si="16"/>
        <v>0.8</v>
      </c>
      <c r="AD18" s="184">
        <f t="shared" si="17"/>
        <v>0.45</v>
      </c>
      <c r="AE18" s="73">
        <f t="shared" si="7"/>
        <v>0.45</v>
      </c>
      <c r="AF18" s="529">
        <v>0</v>
      </c>
      <c r="AG18" s="529"/>
      <c r="AH18" s="73" t="e">
        <f t="shared" si="8"/>
        <v>#DIV/0!</v>
      </c>
      <c r="AI18" s="529">
        <v>0</v>
      </c>
      <c r="AJ18" s="529"/>
      <c r="AK18" s="73" t="e">
        <f t="shared" si="9"/>
        <v>#DIV/0!</v>
      </c>
      <c r="AL18" s="529">
        <v>0.25</v>
      </c>
      <c r="AM18" s="529">
        <v>0.33250000000000002</v>
      </c>
      <c r="AN18" s="73">
        <f t="shared" si="10"/>
        <v>1.33</v>
      </c>
      <c r="AO18" s="529">
        <v>0</v>
      </c>
      <c r="AP18" s="529"/>
      <c r="AQ18" s="73" t="e">
        <f t="shared" si="11"/>
        <v>#DIV/0!</v>
      </c>
      <c r="AR18" s="529">
        <v>0</v>
      </c>
      <c r="AS18" s="529"/>
      <c r="AT18" s="73" t="e">
        <f t="shared" si="12"/>
        <v>#DIV/0!</v>
      </c>
      <c r="AU18" s="529">
        <v>0.25</v>
      </c>
      <c r="AV18" s="529">
        <v>0.37</v>
      </c>
      <c r="AW18" s="73">
        <f t="shared" si="18"/>
        <v>1.48</v>
      </c>
      <c r="AX18" s="869">
        <f t="shared" si="19"/>
        <v>1.1524999999999999</v>
      </c>
      <c r="AY18" s="73">
        <f>+AX18/G18</f>
        <v>1.1524999999999999</v>
      </c>
    </row>
    <row r="19" spans="1:51" s="22" customFormat="1" ht="61.5" thickTop="1" thickBot="1">
      <c r="A19" s="2944"/>
      <c r="B19" s="2992"/>
      <c r="C19" s="1477" t="s">
        <v>641</v>
      </c>
      <c r="D19" s="623" t="s">
        <v>116</v>
      </c>
      <c r="E19" s="561" t="s">
        <v>117</v>
      </c>
      <c r="F19" s="561" t="s">
        <v>17</v>
      </c>
      <c r="G19" s="1116">
        <v>2034</v>
      </c>
      <c r="H19" s="561"/>
      <c r="I19" s="561"/>
      <c r="J19" s="561"/>
      <c r="K19" s="561" t="s">
        <v>118</v>
      </c>
      <c r="L19" s="912">
        <v>0</v>
      </c>
      <c r="M19" s="912"/>
      <c r="N19" s="73" t="e">
        <f t="shared" si="0"/>
        <v>#DIV/0!</v>
      </c>
      <c r="O19" s="912">
        <v>0</v>
      </c>
      <c r="P19" s="912"/>
      <c r="Q19" s="73" t="e">
        <f t="shared" si="1"/>
        <v>#DIV/0!</v>
      </c>
      <c r="R19" s="912">
        <v>386</v>
      </c>
      <c r="S19" s="912">
        <v>185</v>
      </c>
      <c r="T19" s="73">
        <f t="shared" si="2"/>
        <v>0.47927461139896371</v>
      </c>
      <c r="U19" s="912">
        <v>314</v>
      </c>
      <c r="V19" s="912">
        <v>14</v>
      </c>
      <c r="W19" s="73">
        <f t="shared" si="3"/>
        <v>4.4585987261146494E-2</v>
      </c>
      <c r="X19" s="912">
        <v>91</v>
      </c>
      <c r="Y19" s="912">
        <v>36</v>
      </c>
      <c r="Z19" s="73">
        <f t="shared" si="4"/>
        <v>0.39560439560439559</v>
      </c>
      <c r="AA19" s="912">
        <v>103</v>
      </c>
      <c r="AB19" s="912">
        <v>52</v>
      </c>
      <c r="AC19" s="73">
        <f t="shared" si="16"/>
        <v>0.50485436893203883</v>
      </c>
      <c r="AD19" s="183">
        <f t="shared" si="17"/>
        <v>287</v>
      </c>
      <c r="AE19" s="73">
        <f t="shared" si="7"/>
        <v>0.14110127826941987</v>
      </c>
      <c r="AF19" s="912">
        <v>189</v>
      </c>
      <c r="AG19" s="912">
        <v>115</v>
      </c>
      <c r="AH19" s="73">
        <f t="shared" si="8"/>
        <v>0.60846560846560849</v>
      </c>
      <c r="AI19" s="912">
        <v>289</v>
      </c>
      <c r="AJ19" s="912">
        <v>71</v>
      </c>
      <c r="AK19" s="73">
        <f t="shared" si="9"/>
        <v>0.24567474048442905</v>
      </c>
      <c r="AL19" s="912">
        <v>392</v>
      </c>
      <c r="AM19" s="912">
        <v>381</v>
      </c>
      <c r="AN19" s="73">
        <f t="shared" si="10"/>
        <v>0.97193877551020413</v>
      </c>
      <c r="AO19" s="912">
        <v>153</v>
      </c>
      <c r="AP19" s="912">
        <v>379</v>
      </c>
      <c r="AQ19" s="73">
        <f t="shared" si="11"/>
        <v>2.477124183006536</v>
      </c>
      <c r="AR19" s="912">
        <v>105</v>
      </c>
      <c r="AS19" s="912">
        <v>341</v>
      </c>
      <c r="AT19" s="73">
        <f t="shared" si="12"/>
        <v>3.2476190476190476</v>
      </c>
      <c r="AU19" s="912">
        <v>12</v>
      </c>
      <c r="AV19" s="912">
        <v>1135</v>
      </c>
      <c r="AW19" s="73">
        <f t="shared" si="18"/>
        <v>94.583333333333329</v>
      </c>
      <c r="AX19" s="861">
        <f t="shared" si="19"/>
        <v>2709</v>
      </c>
      <c r="AY19" s="73">
        <f t="shared" si="20"/>
        <v>1.331858407079646</v>
      </c>
    </row>
    <row r="20" spans="1:51" s="22" customFormat="1" ht="181.5" thickTop="1" thickBot="1">
      <c r="A20" s="2944"/>
      <c r="B20" s="2992"/>
      <c r="C20" s="2854" t="s">
        <v>642</v>
      </c>
      <c r="D20" s="731" t="s">
        <v>120</v>
      </c>
      <c r="E20" s="671" t="s">
        <v>121</v>
      </c>
      <c r="F20" s="25" t="s">
        <v>10</v>
      </c>
      <c r="G20" s="1478">
        <v>0.64100000000000001</v>
      </c>
      <c r="H20" s="98"/>
      <c r="I20" s="1479"/>
      <c r="J20" s="98"/>
      <c r="K20" s="25" t="s">
        <v>7</v>
      </c>
      <c r="L20" s="529">
        <v>0</v>
      </c>
      <c r="M20" s="529"/>
      <c r="N20" s="73" t="e">
        <f t="shared" si="0"/>
        <v>#DIV/0!</v>
      </c>
      <c r="O20" s="529">
        <v>0</v>
      </c>
      <c r="P20" s="529"/>
      <c r="Q20" s="73" t="e">
        <f t="shared" si="1"/>
        <v>#DIV/0!</v>
      </c>
      <c r="R20" s="529">
        <v>0</v>
      </c>
      <c r="S20" s="529"/>
      <c r="T20" s="73" t="e">
        <f t="shared" si="2"/>
        <v>#DIV/0!</v>
      </c>
      <c r="U20" s="529">
        <v>0</v>
      </c>
      <c r="V20" s="529"/>
      <c r="W20" s="73" t="e">
        <f t="shared" si="3"/>
        <v>#DIV/0!</v>
      </c>
      <c r="X20" s="529">
        <v>0</v>
      </c>
      <c r="Y20" s="529"/>
      <c r="Z20" s="73" t="e">
        <f t="shared" si="4"/>
        <v>#DIV/0!</v>
      </c>
      <c r="AA20" s="529">
        <v>0</v>
      </c>
      <c r="AB20" s="529"/>
      <c r="AC20" s="73" t="e">
        <f t="shared" si="16"/>
        <v>#DIV/0!</v>
      </c>
      <c r="AD20" s="184">
        <f t="shared" si="17"/>
        <v>0</v>
      </c>
      <c r="AE20" s="73">
        <f t="shared" si="7"/>
        <v>0</v>
      </c>
      <c r="AF20" s="529">
        <v>0</v>
      </c>
      <c r="AG20" s="529"/>
      <c r="AH20" s="73" t="e">
        <f t="shared" si="8"/>
        <v>#DIV/0!</v>
      </c>
      <c r="AI20" s="529">
        <v>0</v>
      </c>
      <c r="AJ20" s="529"/>
      <c r="AK20" s="73" t="e">
        <f t="shared" si="9"/>
        <v>#DIV/0!</v>
      </c>
      <c r="AL20" s="529">
        <v>0</v>
      </c>
      <c r="AM20" s="529"/>
      <c r="AN20" s="73" t="e">
        <f t="shared" si="10"/>
        <v>#DIV/0!</v>
      </c>
      <c r="AO20" s="529">
        <v>0</v>
      </c>
      <c r="AP20" s="529"/>
      <c r="AQ20" s="73" t="e">
        <f t="shared" si="11"/>
        <v>#DIV/0!</v>
      </c>
      <c r="AR20" s="529">
        <v>0</v>
      </c>
      <c r="AS20" s="529">
        <v>0</v>
      </c>
      <c r="AT20" s="73" t="e">
        <f t="shared" si="12"/>
        <v>#DIV/0!</v>
      </c>
      <c r="AU20" s="529">
        <v>0.64100000000000001</v>
      </c>
      <c r="AV20" s="529">
        <v>0</v>
      </c>
      <c r="AW20" s="73">
        <f t="shared" si="18"/>
        <v>0</v>
      </c>
      <c r="AX20" s="869">
        <f>+AV20</f>
        <v>0</v>
      </c>
      <c r="AY20" s="73"/>
    </row>
    <row r="21" spans="1:51" s="22" customFormat="1" ht="136.5" thickTop="1" thickBot="1">
      <c r="A21" s="2944"/>
      <c r="B21" s="2992"/>
      <c r="C21" s="2855"/>
      <c r="D21" s="728" t="s">
        <v>175</v>
      </c>
      <c r="E21" s="674" t="s">
        <v>123</v>
      </c>
      <c r="F21" s="561" t="s">
        <v>10</v>
      </c>
      <c r="G21" s="1480">
        <v>1</v>
      </c>
      <c r="H21" s="85"/>
      <c r="I21" s="1481"/>
      <c r="J21" s="85"/>
      <c r="K21" s="561" t="s">
        <v>7</v>
      </c>
      <c r="L21" s="144">
        <v>0</v>
      </c>
      <c r="M21" s="144"/>
      <c r="N21" s="73" t="e">
        <f t="shared" si="0"/>
        <v>#DIV/0!</v>
      </c>
      <c r="O21" s="144">
        <v>0</v>
      </c>
      <c r="P21" s="144"/>
      <c r="Q21" s="73" t="e">
        <f t="shared" si="1"/>
        <v>#DIV/0!</v>
      </c>
      <c r="R21" s="144">
        <v>0</v>
      </c>
      <c r="S21" s="144"/>
      <c r="T21" s="73" t="e">
        <f t="shared" si="2"/>
        <v>#DIV/0!</v>
      </c>
      <c r="U21" s="144">
        <v>1</v>
      </c>
      <c r="V21" s="144">
        <v>1</v>
      </c>
      <c r="W21" s="73">
        <f t="shared" si="3"/>
        <v>1</v>
      </c>
      <c r="X21" s="144">
        <v>0</v>
      </c>
      <c r="Y21" s="144"/>
      <c r="Z21" s="73" t="e">
        <f t="shared" si="4"/>
        <v>#DIV/0!</v>
      </c>
      <c r="AA21" s="144">
        <v>0</v>
      </c>
      <c r="AB21" s="144"/>
      <c r="AC21" s="73" t="e">
        <f t="shared" si="16"/>
        <v>#DIV/0!</v>
      </c>
      <c r="AD21" s="184">
        <f t="shared" si="17"/>
        <v>1</v>
      </c>
      <c r="AE21" s="73">
        <f t="shared" si="7"/>
        <v>1</v>
      </c>
      <c r="AF21" s="144">
        <v>0</v>
      </c>
      <c r="AG21" s="144"/>
      <c r="AH21" s="73" t="e">
        <f t="shared" si="8"/>
        <v>#DIV/0!</v>
      </c>
      <c r="AI21" s="144">
        <v>0</v>
      </c>
      <c r="AJ21" s="144"/>
      <c r="AK21" s="73" t="e">
        <f t="shared" si="9"/>
        <v>#DIV/0!</v>
      </c>
      <c r="AL21" s="144">
        <v>0</v>
      </c>
      <c r="AM21" s="144"/>
      <c r="AN21" s="73" t="e">
        <f t="shared" si="10"/>
        <v>#DIV/0!</v>
      </c>
      <c r="AO21" s="144">
        <v>1</v>
      </c>
      <c r="AP21" s="144">
        <v>1</v>
      </c>
      <c r="AQ21" s="73">
        <f t="shared" si="11"/>
        <v>1</v>
      </c>
      <c r="AR21" s="144">
        <v>0</v>
      </c>
      <c r="AS21" s="144"/>
      <c r="AT21" s="73" t="e">
        <f t="shared" si="12"/>
        <v>#DIV/0!</v>
      </c>
      <c r="AU21" s="144">
        <v>0</v>
      </c>
      <c r="AV21" s="144"/>
      <c r="AW21" s="73" t="e">
        <f t="shared" si="18"/>
        <v>#DIV/0!</v>
      </c>
      <c r="AX21" s="871">
        <f>(+AP21+V21)/2</f>
        <v>1</v>
      </c>
      <c r="AY21" s="73">
        <f t="shared" si="20"/>
        <v>1</v>
      </c>
    </row>
    <row r="22" spans="1:51" s="22" customFormat="1" ht="166.5" thickTop="1" thickBot="1">
      <c r="A22" s="2944"/>
      <c r="B22" s="2992"/>
      <c r="C22" s="2855"/>
      <c r="D22" s="731" t="s">
        <v>124</v>
      </c>
      <c r="E22" s="671" t="s">
        <v>176</v>
      </c>
      <c r="F22" s="25" t="s">
        <v>10</v>
      </c>
      <c r="G22" s="1478">
        <v>1</v>
      </c>
      <c r="H22" s="98"/>
      <c r="I22" s="1479"/>
      <c r="J22" s="98"/>
      <c r="K22" s="25" t="s">
        <v>7</v>
      </c>
      <c r="L22" s="529">
        <v>0</v>
      </c>
      <c r="M22" s="529"/>
      <c r="N22" s="73" t="e">
        <f t="shared" si="0"/>
        <v>#DIV/0!</v>
      </c>
      <c r="O22" s="529">
        <v>0</v>
      </c>
      <c r="P22" s="529"/>
      <c r="Q22" s="73" t="e">
        <f t="shared" si="1"/>
        <v>#DIV/0!</v>
      </c>
      <c r="R22" s="529">
        <v>1</v>
      </c>
      <c r="S22" s="529">
        <v>1</v>
      </c>
      <c r="T22" s="73">
        <f t="shared" si="2"/>
        <v>1</v>
      </c>
      <c r="U22" s="529">
        <v>0</v>
      </c>
      <c r="V22" s="529">
        <v>1</v>
      </c>
      <c r="W22" s="73" t="e">
        <f t="shared" si="3"/>
        <v>#DIV/0!</v>
      </c>
      <c r="X22" s="529">
        <v>0</v>
      </c>
      <c r="Y22" s="529"/>
      <c r="Z22" s="73" t="e">
        <f t="shared" si="4"/>
        <v>#DIV/0!</v>
      </c>
      <c r="AA22" s="529">
        <v>1</v>
      </c>
      <c r="AB22" s="529">
        <v>1</v>
      </c>
      <c r="AC22" s="73">
        <f t="shared" si="16"/>
        <v>1</v>
      </c>
      <c r="AD22" s="184">
        <f>(+AB22+S22)/2</f>
        <v>1</v>
      </c>
      <c r="AE22" s="73">
        <f t="shared" si="7"/>
        <v>1</v>
      </c>
      <c r="AF22" s="529">
        <v>0</v>
      </c>
      <c r="AG22" s="529"/>
      <c r="AH22" s="73" t="e">
        <f t="shared" si="8"/>
        <v>#DIV/0!</v>
      </c>
      <c r="AI22" s="529">
        <v>0</v>
      </c>
      <c r="AJ22" s="529"/>
      <c r="AK22" s="73" t="e">
        <f t="shared" si="9"/>
        <v>#DIV/0!</v>
      </c>
      <c r="AL22" s="529">
        <v>1</v>
      </c>
      <c r="AM22" s="529">
        <v>1</v>
      </c>
      <c r="AN22" s="73">
        <f t="shared" si="10"/>
        <v>1</v>
      </c>
      <c r="AO22" s="529">
        <v>0</v>
      </c>
      <c r="AP22" s="529"/>
      <c r="AQ22" s="73" t="e">
        <f t="shared" si="11"/>
        <v>#DIV/0!</v>
      </c>
      <c r="AR22" s="529">
        <v>0</v>
      </c>
      <c r="AS22" s="529"/>
      <c r="AT22" s="73" t="e">
        <f t="shared" si="12"/>
        <v>#DIV/0!</v>
      </c>
      <c r="AU22" s="529">
        <v>1</v>
      </c>
      <c r="AV22" s="529">
        <v>1</v>
      </c>
      <c r="AW22" s="73">
        <f t="shared" si="18"/>
        <v>1</v>
      </c>
      <c r="AX22" s="869">
        <f>(+AV22+AM22+AB22+S22)/4</f>
        <v>1</v>
      </c>
      <c r="AY22" s="73">
        <f t="shared" si="20"/>
        <v>1</v>
      </c>
    </row>
    <row r="23" spans="1:51" s="22" customFormat="1" ht="91.5" thickTop="1" thickBot="1">
      <c r="A23" s="2944"/>
      <c r="B23" s="2992"/>
      <c r="C23" s="2855"/>
      <c r="D23" s="728" t="s">
        <v>177</v>
      </c>
      <c r="E23" s="674" t="s">
        <v>127</v>
      </c>
      <c r="F23" s="561" t="s">
        <v>10</v>
      </c>
      <c r="G23" s="1480">
        <v>1</v>
      </c>
      <c r="H23" s="85"/>
      <c r="I23" s="1481"/>
      <c r="J23" s="85"/>
      <c r="K23" s="561" t="s">
        <v>7</v>
      </c>
      <c r="L23" s="184">
        <v>1</v>
      </c>
      <c r="M23" s="184">
        <v>1</v>
      </c>
      <c r="N23" s="73">
        <f t="shared" si="0"/>
        <v>1</v>
      </c>
      <c r="O23" s="184">
        <v>1</v>
      </c>
      <c r="P23" s="184">
        <v>1</v>
      </c>
      <c r="Q23" s="73">
        <f t="shared" si="1"/>
        <v>1</v>
      </c>
      <c r="R23" s="184">
        <v>1</v>
      </c>
      <c r="S23" s="184">
        <v>1</v>
      </c>
      <c r="T23" s="73">
        <f t="shared" si="2"/>
        <v>1</v>
      </c>
      <c r="U23" s="184">
        <v>1</v>
      </c>
      <c r="V23" s="184">
        <v>1</v>
      </c>
      <c r="W23" s="73">
        <f t="shared" si="3"/>
        <v>1</v>
      </c>
      <c r="X23" s="184">
        <v>1</v>
      </c>
      <c r="Y23" s="184">
        <v>1</v>
      </c>
      <c r="Z23" s="73">
        <f t="shared" si="4"/>
        <v>1</v>
      </c>
      <c r="AA23" s="184">
        <v>1</v>
      </c>
      <c r="AB23" s="184">
        <v>1</v>
      </c>
      <c r="AC23" s="73">
        <f t="shared" si="16"/>
        <v>1</v>
      </c>
      <c r="AD23" s="184">
        <f>(+M23+P23+S23+V23+Y23+AB23)/6</f>
        <v>1</v>
      </c>
      <c r="AE23" s="73">
        <f t="shared" si="7"/>
        <v>1</v>
      </c>
      <c r="AF23" s="184">
        <v>1</v>
      </c>
      <c r="AG23" s="184">
        <v>1</v>
      </c>
      <c r="AH23" s="73">
        <f t="shared" si="8"/>
        <v>1</v>
      </c>
      <c r="AI23" s="184">
        <v>1</v>
      </c>
      <c r="AJ23" s="184">
        <v>1</v>
      </c>
      <c r="AK23" s="73">
        <f t="shared" si="9"/>
        <v>1</v>
      </c>
      <c r="AL23" s="184">
        <v>1</v>
      </c>
      <c r="AM23" s="184">
        <v>1</v>
      </c>
      <c r="AN23" s="73">
        <f t="shared" si="10"/>
        <v>1</v>
      </c>
      <c r="AO23" s="184">
        <v>1</v>
      </c>
      <c r="AP23" s="184">
        <v>1</v>
      </c>
      <c r="AQ23" s="73">
        <f t="shared" si="11"/>
        <v>1</v>
      </c>
      <c r="AR23" s="184">
        <v>1</v>
      </c>
      <c r="AS23" s="184">
        <v>1</v>
      </c>
      <c r="AT23" s="73">
        <f t="shared" si="12"/>
        <v>1</v>
      </c>
      <c r="AU23" s="184">
        <v>1</v>
      </c>
      <c r="AV23" s="184">
        <v>1</v>
      </c>
      <c r="AW23" s="73">
        <f t="shared" si="18"/>
        <v>1</v>
      </c>
      <c r="AX23" s="1482">
        <f>(+M23+P23+S23+V23+Y23+AB23+AG23+AJ23+AM23+AP23+AS23+AV23)/12</f>
        <v>1</v>
      </c>
      <c r="AY23" s="73">
        <f t="shared" si="20"/>
        <v>1</v>
      </c>
    </row>
    <row r="24" spans="1:51" s="22" customFormat="1" ht="226.5" thickTop="1" thickBot="1">
      <c r="A24" s="2944"/>
      <c r="B24" s="2992"/>
      <c r="C24" s="2855"/>
      <c r="D24" s="731" t="s">
        <v>128</v>
      </c>
      <c r="E24" s="671" t="s">
        <v>220</v>
      </c>
      <c r="F24" s="25" t="s">
        <v>10</v>
      </c>
      <c r="G24" s="1478">
        <v>1</v>
      </c>
      <c r="H24" s="98"/>
      <c r="I24" s="1479"/>
      <c r="J24" s="98"/>
      <c r="K24" s="25" t="s">
        <v>7</v>
      </c>
      <c r="L24" s="529">
        <v>1</v>
      </c>
      <c r="M24" s="529">
        <v>1</v>
      </c>
      <c r="N24" s="73">
        <f t="shared" si="0"/>
        <v>1</v>
      </c>
      <c r="O24" s="529">
        <v>1</v>
      </c>
      <c r="P24" s="529">
        <v>1</v>
      </c>
      <c r="Q24" s="73">
        <f t="shared" si="1"/>
        <v>1</v>
      </c>
      <c r="R24" s="529">
        <v>1</v>
      </c>
      <c r="S24" s="529">
        <v>1</v>
      </c>
      <c r="T24" s="73">
        <f t="shared" si="2"/>
        <v>1</v>
      </c>
      <c r="U24" s="529">
        <v>1</v>
      </c>
      <c r="V24" s="529">
        <v>1</v>
      </c>
      <c r="W24" s="73">
        <f t="shared" si="3"/>
        <v>1</v>
      </c>
      <c r="X24" s="529">
        <v>1</v>
      </c>
      <c r="Y24" s="529">
        <v>1</v>
      </c>
      <c r="Z24" s="73">
        <f t="shared" si="4"/>
        <v>1</v>
      </c>
      <c r="AA24" s="529">
        <v>1</v>
      </c>
      <c r="AB24" s="529">
        <v>1</v>
      </c>
      <c r="AC24" s="73">
        <f t="shared" si="16"/>
        <v>1</v>
      </c>
      <c r="AD24" s="184">
        <f>(+M24+P24+S24+V24+Y24+AB24)/6</f>
        <v>1</v>
      </c>
      <c r="AE24" s="73">
        <f t="shared" si="7"/>
        <v>1</v>
      </c>
      <c r="AF24" s="529">
        <v>1</v>
      </c>
      <c r="AG24" s="529">
        <v>1</v>
      </c>
      <c r="AH24" s="73">
        <f t="shared" si="8"/>
        <v>1</v>
      </c>
      <c r="AI24" s="529">
        <v>1</v>
      </c>
      <c r="AJ24" s="529">
        <v>1</v>
      </c>
      <c r="AK24" s="73">
        <f t="shared" si="9"/>
        <v>1</v>
      </c>
      <c r="AL24" s="529">
        <v>1</v>
      </c>
      <c r="AM24" s="529">
        <v>1</v>
      </c>
      <c r="AN24" s="73">
        <f t="shared" si="10"/>
        <v>1</v>
      </c>
      <c r="AO24" s="529">
        <v>1</v>
      </c>
      <c r="AP24" s="529">
        <v>1</v>
      </c>
      <c r="AQ24" s="73">
        <f t="shared" si="11"/>
        <v>1</v>
      </c>
      <c r="AR24" s="529">
        <v>1</v>
      </c>
      <c r="AS24" s="529">
        <v>1</v>
      </c>
      <c r="AT24" s="73">
        <f t="shared" si="12"/>
        <v>1</v>
      </c>
      <c r="AU24" s="529">
        <v>1</v>
      </c>
      <c r="AV24" s="529">
        <v>1</v>
      </c>
      <c r="AW24" s="73">
        <f t="shared" si="18"/>
        <v>1</v>
      </c>
      <c r="AX24" s="869">
        <f>(+M24+P24+S24+V24+Y24+AB24+AG24+AJ24+AM24+AP24+AS24+AV24)/12</f>
        <v>1</v>
      </c>
      <c r="AY24" s="73">
        <f t="shared" si="20"/>
        <v>1</v>
      </c>
    </row>
    <row r="25" spans="1:51" s="22" customFormat="1" ht="151.5" thickTop="1" thickBot="1">
      <c r="A25" s="2944"/>
      <c r="B25" s="2992"/>
      <c r="C25" s="2855"/>
      <c r="D25" s="728" t="s">
        <v>179</v>
      </c>
      <c r="E25" s="674" t="s">
        <v>131</v>
      </c>
      <c r="F25" s="561" t="s">
        <v>10</v>
      </c>
      <c r="G25" s="1480">
        <v>1</v>
      </c>
      <c r="H25" s="85"/>
      <c r="I25" s="1481"/>
      <c r="J25" s="85"/>
      <c r="K25" s="561" t="s">
        <v>7</v>
      </c>
      <c r="L25" s="1449">
        <v>1</v>
      </c>
      <c r="M25" s="1483"/>
      <c r="N25" s="73">
        <f t="shared" si="0"/>
        <v>0</v>
      </c>
      <c r="O25" s="1449">
        <v>1</v>
      </c>
      <c r="P25" s="1483"/>
      <c r="Q25" s="73">
        <f t="shared" si="1"/>
        <v>0</v>
      </c>
      <c r="R25" s="1449">
        <v>1</v>
      </c>
      <c r="S25" s="1483"/>
      <c r="T25" s="73">
        <f t="shared" si="2"/>
        <v>0</v>
      </c>
      <c r="U25" s="1449">
        <v>1</v>
      </c>
      <c r="V25" s="1483">
        <v>0</v>
      </c>
      <c r="W25" s="73">
        <f t="shared" si="3"/>
        <v>0</v>
      </c>
      <c r="X25" s="1449">
        <v>1</v>
      </c>
      <c r="Y25" s="1483">
        <v>0.3</v>
      </c>
      <c r="Z25" s="73">
        <f t="shared" si="4"/>
        <v>0.3</v>
      </c>
      <c r="AA25" s="1449">
        <v>1</v>
      </c>
      <c r="AB25" s="1483">
        <v>0.4</v>
      </c>
      <c r="AC25" s="73">
        <f t="shared" si="16"/>
        <v>0.4</v>
      </c>
      <c r="AD25" s="184">
        <f>(+M25+P25+S25+V25+Y25+AB25)/6</f>
        <v>0.11666666666666665</v>
      </c>
      <c r="AE25" s="73">
        <f t="shared" si="7"/>
        <v>0.11666666666666665</v>
      </c>
      <c r="AF25" s="1449">
        <v>1</v>
      </c>
      <c r="AG25" s="1483">
        <v>0.5</v>
      </c>
      <c r="AH25" s="73">
        <f t="shared" si="8"/>
        <v>0.5</v>
      </c>
      <c r="AI25" s="1449">
        <v>1</v>
      </c>
      <c r="AJ25" s="1483">
        <v>0.6</v>
      </c>
      <c r="AK25" s="73">
        <f t="shared" si="9"/>
        <v>0.6</v>
      </c>
      <c r="AL25" s="1449">
        <v>1</v>
      </c>
      <c r="AM25" s="1483">
        <v>0.7</v>
      </c>
      <c r="AN25" s="73">
        <f t="shared" si="10"/>
        <v>0.7</v>
      </c>
      <c r="AO25" s="1449">
        <v>1</v>
      </c>
      <c r="AP25" s="1483">
        <v>0.7</v>
      </c>
      <c r="AQ25" s="73">
        <f t="shared" si="11"/>
        <v>0.7</v>
      </c>
      <c r="AR25" s="1449">
        <v>1</v>
      </c>
      <c r="AS25" s="1483">
        <v>1.35</v>
      </c>
      <c r="AT25" s="73">
        <f t="shared" si="12"/>
        <v>1.35</v>
      </c>
      <c r="AU25" s="1449">
        <v>1</v>
      </c>
      <c r="AV25" s="1483">
        <v>1.65</v>
      </c>
      <c r="AW25" s="73">
        <f t="shared" si="18"/>
        <v>1.65</v>
      </c>
      <c r="AX25" s="1030">
        <f>AV25</f>
        <v>1.65</v>
      </c>
      <c r="AY25" s="73">
        <f t="shared" si="20"/>
        <v>1.65</v>
      </c>
    </row>
    <row r="26" spans="1:51" s="22" customFormat="1" ht="121.5" thickTop="1" thickBot="1">
      <c r="A26" s="2944"/>
      <c r="B26" s="3051"/>
      <c r="C26" s="2856"/>
      <c r="D26" s="728" t="s">
        <v>132</v>
      </c>
      <c r="E26" s="671" t="s">
        <v>133</v>
      </c>
      <c r="F26" s="25" t="s">
        <v>10</v>
      </c>
      <c r="G26" s="1478">
        <v>1</v>
      </c>
      <c r="H26" s="25"/>
      <c r="I26" s="1479"/>
      <c r="J26" s="25"/>
      <c r="K26" s="25" t="s">
        <v>7</v>
      </c>
      <c r="L26" s="529">
        <v>0</v>
      </c>
      <c r="M26" s="529"/>
      <c r="N26" s="73" t="e">
        <f t="shared" si="0"/>
        <v>#DIV/0!</v>
      </c>
      <c r="O26" s="529">
        <v>0</v>
      </c>
      <c r="P26" s="529"/>
      <c r="Q26" s="73" t="e">
        <f t="shared" si="1"/>
        <v>#DIV/0!</v>
      </c>
      <c r="R26" s="529">
        <v>0</v>
      </c>
      <c r="S26" s="529"/>
      <c r="T26" s="73" t="e">
        <f t="shared" si="2"/>
        <v>#DIV/0!</v>
      </c>
      <c r="U26" s="529">
        <v>0</v>
      </c>
      <c r="V26" s="529"/>
      <c r="W26" s="73" t="e">
        <f t="shared" si="3"/>
        <v>#DIV/0!</v>
      </c>
      <c r="X26" s="529">
        <v>0</v>
      </c>
      <c r="Y26" s="529"/>
      <c r="Z26" s="73" t="e">
        <f t="shared" si="4"/>
        <v>#DIV/0!</v>
      </c>
      <c r="AA26" s="529">
        <v>0</v>
      </c>
      <c r="AB26" s="529"/>
      <c r="AC26" s="73" t="e">
        <f t="shared" si="16"/>
        <v>#DIV/0!</v>
      </c>
      <c r="AD26" s="184">
        <f t="shared" si="17"/>
        <v>0</v>
      </c>
      <c r="AE26" s="73">
        <f t="shared" si="7"/>
        <v>0</v>
      </c>
      <c r="AF26" s="529">
        <v>0</v>
      </c>
      <c r="AG26" s="529"/>
      <c r="AH26" s="73" t="e">
        <f t="shared" si="8"/>
        <v>#DIV/0!</v>
      </c>
      <c r="AI26" s="529">
        <v>1</v>
      </c>
      <c r="AJ26" s="529">
        <v>1</v>
      </c>
      <c r="AK26" s="73">
        <f t="shared" si="9"/>
        <v>1</v>
      </c>
      <c r="AL26" s="529">
        <v>0</v>
      </c>
      <c r="AM26" s="529"/>
      <c r="AN26" s="73" t="e">
        <f t="shared" si="10"/>
        <v>#DIV/0!</v>
      </c>
      <c r="AO26" s="529">
        <v>0</v>
      </c>
      <c r="AP26" s="529"/>
      <c r="AQ26" s="73" t="e">
        <f t="shared" si="11"/>
        <v>#DIV/0!</v>
      </c>
      <c r="AR26" s="529">
        <v>0</v>
      </c>
      <c r="AS26" s="529"/>
      <c r="AT26" s="73" t="e">
        <f t="shared" si="12"/>
        <v>#DIV/0!</v>
      </c>
      <c r="AU26" s="529">
        <v>0</v>
      </c>
      <c r="AV26" s="529"/>
      <c r="AW26" s="73" t="e">
        <f t="shared" si="18"/>
        <v>#DIV/0!</v>
      </c>
      <c r="AX26" s="1030">
        <f>AK26</f>
        <v>1</v>
      </c>
      <c r="AY26" s="73">
        <f t="shared" si="20"/>
        <v>1</v>
      </c>
    </row>
    <row r="27" spans="1:51" s="22" customFormat="1" ht="226.5" thickTop="1" thickBot="1">
      <c r="A27" s="2945"/>
      <c r="B27" s="97" t="s">
        <v>418</v>
      </c>
      <c r="C27" s="561" t="s">
        <v>643</v>
      </c>
      <c r="D27" s="623" t="s">
        <v>227</v>
      </c>
      <c r="E27" s="561" t="s">
        <v>228</v>
      </c>
      <c r="F27" s="561" t="s">
        <v>101</v>
      </c>
      <c r="G27" s="1484">
        <f>+'[4]FIS-24'!$CG$16</f>
        <v>80000000</v>
      </c>
      <c r="H27" s="561"/>
      <c r="I27" s="1485"/>
      <c r="J27" s="561"/>
      <c r="K27" s="561" t="s">
        <v>140</v>
      </c>
      <c r="L27" s="752">
        <v>6000000</v>
      </c>
      <c r="M27" s="752">
        <v>1586079</v>
      </c>
      <c r="N27" s="73">
        <f t="shared" si="0"/>
        <v>0.26434649999999998</v>
      </c>
      <c r="O27" s="752">
        <v>6000000</v>
      </c>
      <c r="P27" s="752">
        <v>1878362</v>
      </c>
      <c r="Q27" s="73">
        <f t="shared" si="1"/>
        <v>0.31306033333333333</v>
      </c>
      <c r="R27" s="752">
        <v>6000000</v>
      </c>
      <c r="S27" s="752">
        <v>0</v>
      </c>
      <c r="T27" s="73">
        <f t="shared" si="2"/>
        <v>0</v>
      </c>
      <c r="U27" s="752">
        <v>11900000</v>
      </c>
      <c r="V27" s="752">
        <v>0</v>
      </c>
      <c r="W27" s="73">
        <f t="shared" si="3"/>
        <v>0</v>
      </c>
      <c r="X27" s="752">
        <v>11900000</v>
      </c>
      <c r="Y27" s="752">
        <v>0</v>
      </c>
      <c r="Z27" s="73">
        <f t="shared" si="4"/>
        <v>0</v>
      </c>
      <c r="AA27" s="752">
        <v>11900000</v>
      </c>
      <c r="AB27" s="752">
        <v>805041</v>
      </c>
      <c r="AC27" s="73">
        <f t="shared" si="16"/>
        <v>6.7650504201680672E-2</v>
      </c>
      <c r="AD27" s="776">
        <f t="shared" si="17"/>
        <v>4269482</v>
      </c>
      <c r="AE27" s="73">
        <f t="shared" si="7"/>
        <v>5.3368525E-2</v>
      </c>
      <c r="AF27" s="752">
        <v>11900000</v>
      </c>
      <c r="AG27" s="752">
        <v>5701442</v>
      </c>
      <c r="AH27" s="73">
        <f t="shared" si="8"/>
        <v>0.47911277310924372</v>
      </c>
      <c r="AI27" s="752">
        <v>3312000</v>
      </c>
      <c r="AJ27" s="752"/>
      <c r="AK27" s="73">
        <f t="shared" si="9"/>
        <v>0</v>
      </c>
      <c r="AL27" s="752">
        <v>3312000</v>
      </c>
      <c r="AM27" s="752">
        <v>10412918</v>
      </c>
      <c r="AN27" s="73">
        <f t="shared" si="10"/>
        <v>3.1439969806763286</v>
      </c>
      <c r="AO27" s="752">
        <v>3312000</v>
      </c>
      <c r="AP27" s="752">
        <v>6862444</v>
      </c>
      <c r="AQ27" s="73">
        <f t="shared" si="11"/>
        <v>2.071993961352657</v>
      </c>
      <c r="AR27" s="752">
        <v>2232000</v>
      </c>
      <c r="AS27" s="752">
        <v>10077446</v>
      </c>
      <c r="AT27" s="73">
        <f t="shared" si="12"/>
        <v>4.5149847670250898</v>
      </c>
      <c r="AU27" s="752">
        <v>2232000</v>
      </c>
      <c r="AV27" s="752">
        <v>20741360</v>
      </c>
      <c r="AW27" s="73">
        <f t="shared" si="18"/>
        <v>9.2927240143369172</v>
      </c>
      <c r="AX27" s="1438">
        <f t="shared" si="19"/>
        <v>58065092</v>
      </c>
      <c r="AY27" s="73">
        <f t="shared" si="20"/>
        <v>0.72581364999999998</v>
      </c>
    </row>
    <row r="28" spans="1:51" s="22" customFormat="1" ht="22.5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93"/>
      <c r="M28" s="896"/>
      <c r="N28" s="1191"/>
      <c r="O28" s="896"/>
      <c r="P28" s="896"/>
      <c r="Q28" s="1191"/>
      <c r="R28" s="896"/>
      <c r="S28" s="896"/>
      <c r="T28" s="1191"/>
      <c r="U28" s="896"/>
      <c r="V28" s="896"/>
      <c r="W28" s="1191"/>
      <c r="X28" s="896"/>
      <c r="Y28" s="896"/>
      <c r="Z28" s="1191"/>
      <c r="AA28" s="896"/>
      <c r="AB28" s="896"/>
      <c r="AC28" s="1191"/>
      <c r="AD28" s="896"/>
      <c r="AE28" s="1191"/>
      <c r="AF28" s="896"/>
      <c r="AG28" s="896"/>
      <c r="AH28" s="1191"/>
      <c r="AI28" s="896"/>
      <c r="AJ28" s="896"/>
      <c r="AK28" s="1191"/>
      <c r="AL28" s="896"/>
      <c r="AM28" s="896"/>
      <c r="AN28" s="1191"/>
      <c r="AO28" s="896"/>
      <c r="AP28" s="896"/>
      <c r="AQ28" s="1191"/>
      <c r="AR28" s="896"/>
      <c r="AS28" s="896"/>
      <c r="AT28" s="1191"/>
      <c r="AU28" s="896"/>
      <c r="AV28" s="896"/>
      <c r="AW28" s="1191"/>
      <c r="AX28" s="896"/>
      <c r="AY28" s="1192"/>
    </row>
    <row r="29" spans="1:51" s="22" customFormat="1" ht="106.5" thickTop="1" thickBot="1">
      <c r="A29" s="2939" t="s">
        <v>181</v>
      </c>
      <c r="B29" s="2991" t="s">
        <v>314</v>
      </c>
      <c r="C29" s="734" t="s">
        <v>564</v>
      </c>
      <c r="D29" s="731" t="s">
        <v>144</v>
      </c>
      <c r="E29" s="671" t="s">
        <v>145</v>
      </c>
      <c r="F29" s="671" t="s">
        <v>17</v>
      </c>
      <c r="G29" s="671">
        <v>295</v>
      </c>
      <c r="H29" s="671"/>
      <c r="I29" s="671" t="s">
        <v>316</v>
      </c>
      <c r="J29" s="671"/>
      <c r="K29" s="671" t="s">
        <v>146</v>
      </c>
      <c r="L29" s="514">
        <v>0</v>
      </c>
      <c r="M29" s="514"/>
      <c r="N29" s="73" t="e">
        <f t="shared" si="0"/>
        <v>#DIV/0!</v>
      </c>
      <c r="O29" s="514">
        <v>0</v>
      </c>
      <c r="P29" s="514"/>
      <c r="Q29" s="73" t="e">
        <f t="shared" si="1"/>
        <v>#DIV/0!</v>
      </c>
      <c r="R29" s="514">
        <v>0</v>
      </c>
      <c r="S29" s="514"/>
      <c r="T29" s="73" t="e">
        <f t="shared" si="2"/>
        <v>#DIV/0!</v>
      </c>
      <c r="U29" s="514">
        <v>40</v>
      </c>
      <c r="V29" s="514">
        <v>51</v>
      </c>
      <c r="W29" s="73">
        <f t="shared" si="3"/>
        <v>1.2749999999999999</v>
      </c>
      <c r="X29" s="514">
        <v>0</v>
      </c>
      <c r="Y29" s="514"/>
      <c r="Z29" s="73" t="e">
        <f t="shared" si="4"/>
        <v>#DIV/0!</v>
      </c>
      <c r="AA29" s="514">
        <v>0</v>
      </c>
      <c r="AB29" s="514"/>
      <c r="AC29" s="73" t="e">
        <f t="shared" si="16"/>
        <v>#DIV/0!</v>
      </c>
      <c r="AD29" s="183">
        <f t="shared" si="17"/>
        <v>51</v>
      </c>
      <c r="AE29" s="73">
        <f t="shared" si="7"/>
        <v>0.17288135593220338</v>
      </c>
      <c r="AF29" s="514">
        <v>0</v>
      </c>
      <c r="AG29" s="514"/>
      <c r="AH29" s="73" t="e">
        <f t="shared" si="8"/>
        <v>#DIV/0!</v>
      </c>
      <c r="AI29" s="514">
        <v>95</v>
      </c>
      <c r="AJ29" s="514">
        <v>510</v>
      </c>
      <c r="AK29" s="73">
        <f t="shared" si="9"/>
        <v>5.3684210526315788</v>
      </c>
      <c r="AL29" s="514">
        <v>0</v>
      </c>
      <c r="AM29" s="514"/>
      <c r="AN29" s="73" t="e">
        <f t="shared" si="10"/>
        <v>#DIV/0!</v>
      </c>
      <c r="AO29" s="514">
        <v>0</v>
      </c>
      <c r="AP29" s="514"/>
      <c r="AQ29" s="73" t="e">
        <f t="shared" si="11"/>
        <v>#DIV/0!</v>
      </c>
      <c r="AR29" s="514">
        <v>0</v>
      </c>
      <c r="AS29" s="514"/>
      <c r="AT29" s="73" t="e">
        <f t="shared" si="12"/>
        <v>#DIV/0!</v>
      </c>
      <c r="AU29" s="514">
        <v>160</v>
      </c>
      <c r="AV29" s="514">
        <v>52</v>
      </c>
      <c r="AW29" s="73">
        <f t="shared" si="18"/>
        <v>0.32500000000000001</v>
      </c>
      <c r="AX29" s="857">
        <f t="shared" si="19"/>
        <v>613</v>
      </c>
      <c r="AY29" s="73">
        <f t="shared" si="20"/>
        <v>2.0779661016949151</v>
      </c>
    </row>
    <row r="30" spans="1:51" s="22" customFormat="1" ht="76.5" thickTop="1" thickBot="1">
      <c r="A30" s="2940"/>
      <c r="B30" s="3051"/>
      <c r="C30" s="561" t="s">
        <v>317</v>
      </c>
      <c r="D30" s="623" t="s">
        <v>148</v>
      </c>
      <c r="E30" s="561" t="s">
        <v>149</v>
      </c>
      <c r="F30" s="561" t="s">
        <v>8</v>
      </c>
      <c r="G30" s="1116">
        <v>10.199999999999999</v>
      </c>
      <c r="H30" s="561"/>
      <c r="I30" s="561">
        <v>10.199999999999999</v>
      </c>
      <c r="J30" s="561"/>
      <c r="K30" s="561" t="s">
        <v>9</v>
      </c>
      <c r="L30" s="912">
        <v>10.199999999999999</v>
      </c>
      <c r="M30" s="912"/>
      <c r="N30" s="73" t="e">
        <f>+L30/M30</f>
        <v>#DIV/0!</v>
      </c>
      <c r="O30" s="912">
        <v>10.199999999999999</v>
      </c>
      <c r="P30" s="912"/>
      <c r="Q30" s="73" t="e">
        <f>+O30/P30</f>
        <v>#DIV/0!</v>
      </c>
      <c r="R30" s="912">
        <v>10.199999999999999</v>
      </c>
      <c r="S30" s="912"/>
      <c r="T30" s="73" t="e">
        <f>+R30/S30</f>
        <v>#DIV/0!</v>
      </c>
      <c r="U30" s="912">
        <v>10.199999999999999</v>
      </c>
      <c r="V30" s="912"/>
      <c r="W30" s="73" t="e">
        <f>+U30/V30</f>
        <v>#DIV/0!</v>
      </c>
      <c r="X30" s="912">
        <v>10.199999999999999</v>
      </c>
      <c r="Y30" s="912"/>
      <c r="Z30" s="73" t="e">
        <f>+X30/Y30</f>
        <v>#DIV/0!</v>
      </c>
      <c r="AA30" s="912">
        <v>10.199999999999999</v>
      </c>
      <c r="AB30" s="912"/>
      <c r="AC30" s="73" t="e">
        <f>+AA30/AB30</f>
        <v>#DIV/0!</v>
      </c>
      <c r="AD30" s="183">
        <f>(+M30+P30+S30+V30+Y30+AB30)/6</f>
        <v>0</v>
      </c>
      <c r="AE30" s="73" t="e">
        <f>+G30/AD30</f>
        <v>#DIV/0!</v>
      </c>
      <c r="AF30" s="912">
        <v>10.199999999999999</v>
      </c>
      <c r="AG30" s="912"/>
      <c r="AH30" s="73" t="e">
        <f>+AF30/AG30</f>
        <v>#DIV/0!</v>
      </c>
      <c r="AI30" s="912">
        <v>10.199999999999999</v>
      </c>
      <c r="AJ30" s="912"/>
      <c r="AK30" s="73" t="e">
        <f>+AI30/AJ30</f>
        <v>#DIV/0!</v>
      </c>
      <c r="AL30" s="912">
        <v>10.199999999999999</v>
      </c>
      <c r="AM30" s="912"/>
      <c r="AN30" s="73" t="e">
        <f>+AL30/AM30</f>
        <v>#DIV/0!</v>
      </c>
      <c r="AO30" s="912">
        <v>10.199999999999999</v>
      </c>
      <c r="AP30" s="912"/>
      <c r="AQ30" s="73" t="e">
        <f>+AO30/AP30</f>
        <v>#DIV/0!</v>
      </c>
      <c r="AR30" s="912">
        <v>10.199999999999999</v>
      </c>
      <c r="AS30" s="912"/>
      <c r="AT30" s="73" t="e">
        <f>+AR30/AS30</f>
        <v>#DIV/0!</v>
      </c>
      <c r="AU30" s="912">
        <v>10.199999999999999</v>
      </c>
      <c r="AV30" s="912"/>
      <c r="AW30" s="73" t="e">
        <f>+AU30/AV30</f>
        <v>#DIV/0!</v>
      </c>
      <c r="AX30" s="861">
        <f>(+M30+P30+S30+V30+Y30+AB30+AG30+AJ30+AM30+AP30+AS30+AV30)/12</f>
        <v>0</v>
      </c>
      <c r="AY30" s="73"/>
    </row>
    <row r="31" spans="1:51" s="22" customFormat="1" ht="76.5" thickTop="1" thickBot="1">
      <c r="A31" s="2941"/>
      <c r="B31" s="97" t="s">
        <v>150</v>
      </c>
      <c r="C31" s="734" t="s">
        <v>318</v>
      </c>
      <c r="D31" s="735" t="s">
        <v>319</v>
      </c>
      <c r="E31" s="671" t="s">
        <v>183</v>
      </c>
      <c r="F31" s="671" t="s">
        <v>17</v>
      </c>
      <c r="G31" s="605">
        <v>37</v>
      </c>
      <c r="H31" s="671"/>
      <c r="I31" s="688">
        <v>37</v>
      </c>
      <c r="J31" s="671"/>
      <c r="K31" s="25" t="s">
        <v>21</v>
      </c>
      <c r="L31" s="514">
        <v>0</v>
      </c>
      <c r="M31" s="514"/>
      <c r="N31" s="73" t="e">
        <f>+L31/M31</f>
        <v>#DIV/0!</v>
      </c>
      <c r="O31" s="514">
        <v>0</v>
      </c>
      <c r="P31" s="514"/>
      <c r="Q31" s="73" t="e">
        <f>+O31/P31</f>
        <v>#DIV/0!</v>
      </c>
      <c r="R31" s="514">
        <v>37</v>
      </c>
      <c r="S31" s="514"/>
      <c r="T31" s="73" t="e">
        <f>+R31/S31</f>
        <v>#DIV/0!</v>
      </c>
      <c r="U31" s="514">
        <v>37</v>
      </c>
      <c r="V31" s="514">
        <v>23</v>
      </c>
      <c r="W31" s="73">
        <f>+U31/V31</f>
        <v>1.6086956521739131</v>
      </c>
      <c r="X31" s="514">
        <v>37</v>
      </c>
      <c r="Y31" s="514">
        <v>11</v>
      </c>
      <c r="Z31" s="73">
        <f>+X31/Y31</f>
        <v>3.3636363636363638</v>
      </c>
      <c r="AA31" s="514">
        <v>37</v>
      </c>
      <c r="AB31" s="514">
        <v>11</v>
      </c>
      <c r="AC31" s="73">
        <f>+AA31/AB31</f>
        <v>3.3636363636363638</v>
      </c>
      <c r="AD31" s="183">
        <f>(+M31+P31+S31+V31+Y31+AB31)/4</f>
        <v>11.25</v>
      </c>
      <c r="AE31" s="73">
        <f>+G31/AD31</f>
        <v>3.2888888888888888</v>
      </c>
      <c r="AF31" s="514">
        <v>37</v>
      </c>
      <c r="AG31" s="514">
        <v>13</v>
      </c>
      <c r="AH31" s="73">
        <f>+AF31/AG31</f>
        <v>2.8461538461538463</v>
      </c>
      <c r="AI31" s="514">
        <v>37</v>
      </c>
      <c r="AJ31" s="514">
        <v>33</v>
      </c>
      <c r="AK31" s="73">
        <f>+AI31/AJ31</f>
        <v>1.1212121212121211</v>
      </c>
      <c r="AL31" s="514">
        <v>37</v>
      </c>
      <c r="AM31" s="514">
        <v>20</v>
      </c>
      <c r="AN31" s="73">
        <f>+AL31/AM31</f>
        <v>1.85</v>
      </c>
      <c r="AO31" s="514">
        <v>37</v>
      </c>
      <c r="AP31" s="514">
        <v>28</v>
      </c>
      <c r="AQ31" s="73">
        <f>+AO31/AP31</f>
        <v>1.3214285714285714</v>
      </c>
      <c r="AR31" s="514">
        <v>37</v>
      </c>
      <c r="AS31" s="514">
        <v>27</v>
      </c>
      <c r="AT31" s="73">
        <f>+AR31/AS31</f>
        <v>1.3703703703703705</v>
      </c>
      <c r="AU31" s="514">
        <v>37</v>
      </c>
      <c r="AV31" s="514">
        <v>31</v>
      </c>
      <c r="AW31" s="73">
        <f>+AU31/AV31</f>
        <v>1.1935483870967742</v>
      </c>
      <c r="AX31" s="857">
        <f>(+M31+P31+S31+V31+Y31+AB31+AG31+AJ31+AM31+AP31+AS31+AV31)/10</f>
        <v>19.7</v>
      </c>
      <c r="AY31" s="73">
        <f>+G31/AX31</f>
        <v>1.8781725888324874</v>
      </c>
    </row>
    <row r="32" spans="1:5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1103"/>
      <c r="O32" s="1040"/>
      <c r="P32" s="1040"/>
      <c r="Q32" s="1103"/>
      <c r="R32" s="1040"/>
      <c r="S32" s="1040"/>
      <c r="T32" s="1103"/>
      <c r="U32" s="1040"/>
      <c r="V32" s="1040"/>
      <c r="W32" s="1103"/>
      <c r="X32" s="1040"/>
      <c r="Y32" s="1040"/>
      <c r="Z32" s="1103"/>
      <c r="AA32" s="1040"/>
      <c r="AB32" s="1040"/>
      <c r="AC32" s="1103"/>
      <c r="AD32" s="1040"/>
      <c r="AE32" s="1103"/>
      <c r="AF32" s="1040"/>
      <c r="AG32" s="1040"/>
      <c r="AH32" s="1103"/>
      <c r="AI32" s="1040"/>
      <c r="AJ32" s="1040"/>
      <c r="AK32" s="1103"/>
      <c r="AL32" s="1040"/>
      <c r="AM32" s="1040"/>
      <c r="AN32" s="1103"/>
      <c r="AO32" s="1040"/>
      <c r="AP32" s="1040"/>
      <c r="AQ32" s="1103"/>
      <c r="AR32" s="1040"/>
      <c r="AS32" s="1040"/>
      <c r="AT32" s="1103"/>
      <c r="AU32" s="1040"/>
      <c r="AV32" s="1040"/>
      <c r="AW32" s="1103"/>
      <c r="AX32" s="1040"/>
      <c r="AY32" s="1195"/>
    </row>
    <row r="33" spans="1:51" s="1489" customFormat="1" ht="64.5" thickTop="1" thickBot="1">
      <c r="A33" s="1486" t="s">
        <v>155</v>
      </c>
      <c r="B33" s="1487" t="s">
        <v>156</v>
      </c>
      <c r="C33" s="638" t="s">
        <v>184</v>
      </c>
      <c r="D33" s="1488" t="s">
        <v>158</v>
      </c>
      <c r="E33" s="638" t="s">
        <v>159</v>
      </c>
      <c r="F33" s="638" t="s">
        <v>17</v>
      </c>
      <c r="G33" s="625">
        <v>10</v>
      </c>
      <c r="H33" s="638"/>
      <c r="I33" s="638"/>
      <c r="J33" s="638"/>
      <c r="K33" s="638" t="s">
        <v>27</v>
      </c>
      <c r="L33" s="1011">
        <v>0</v>
      </c>
      <c r="M33" s="1011"/>
      <c r="N33" s="73" t="e">
        <f t="shared" si="0"/>
        <v>#DIV/0!</v>
      </c>
      <c r="O33" s="1011">
        <v>0</v>
      </c>
      <c r="P33" s="1011"/>
      <c r="Q33" s="73" t="e">
        <f t="shared" si="1"/>
        <v>#DIV/0!</v>
      </c>
      <c r="R33" s="1011">
        <v>0</v>
      </c>
      <c r="S33" s="1011"/>
      <c r="T33" s="73" t="e">
        <f t="shared" si="2"/>
        <v>#DIV/0!</v>
      </c>
      <c r="U33" s="1011">
        <v>0</v>
      </c>
      <c r="V33" s="1011"/>
      <c r="W33" s="73" t="e">
        <f t="shared" si="3"/>
        <v>#DIV/0!</v>
      </c>
      <c r="X33" s="1011">
        <v>2</v>
      </c>
      <c r="Y33" s="1011">
        <v>2</v>
      </c>
      <c r="Z33" s="73">
        <f t="shared" si="4"/>
        <v>1</v>
      </c>
      <c r="AA33" s="1011">
        <v>0</v>
      </c>
      <c r="AB33" s="1011"/>
      <c r="AC33" s="73" t="e">
        <f t="shared" ref="AC33" si="21">+AB33/AA33</f>
        <v>#DIV/0!</v>
      </c>
      <c r="AD33" s="183">
        <f>+Y33</f>
        <v>2</v>
      </c>
      <c r="AE33" s="73">
        <f t="shared" si="7"/>
        <v>0.2</v>
      </c>
      <c r="AF33" s="1011">
        <v>1</v>
      </c>
      <c r="AG33" s="1011">
        <v>1</v>
      </c>
      <c r="AH33" s="73">
        <f t="shared" si="8"/>
        <v>1</v>
      </c>
      <c r="AI33" s="1011">
        <v>3</v>
      </c>
      <c r="AJ33" s="1011">
        <v>3</v>
      </c>
      <c r="AK33" s="73">
        <f t="shared" si="9"/>
        <v>1</v>
      </c>
      <c r="AL33" s="1011">
        <v>1</v>
      </c>
      <c r="AM33" s="1011">
        <v>1</v>
      </c>
      <c r="AN33" s="73">
        <f t="shared" si="10"/>
        <v>1</v>
      </c>
      <c r="AO33" s="1011">
        <v>3</v>
      </c>
      <c r="AP33" s="1011">
        <v>3</v>
      </c>
      <c r="AQ33" s="73">
        <f t="shared" si="11"/>
        <v>1</v>
      </c>
      <c r="AR33" s="1011">
        <v>0</v>
      </c>
      <c r="AS33" s="1011"/>
      <c r="AT33" s="73" t="e">
        <f t="shared" si="12"/>
        <v>#DIV/0!</v>
      </c>
      <c r="AU33" s="1011">
        <v>0</v>
      </c>
      <c r="AV33" s="1011"/>
      <c r="AW33" s="73" t="e">
        <f t="shared" ref="AW33" si="22">+AV33/AU33</f>
        <v>#DIV/0!</v>
      </c>
      <c r="AX33" s="857">
        <f>+AP33+AM33+AJ33+AG33+Y33</f>
        <v>10</v>
      </c>
      <c r="AY33" s="73">
        <f t="shared" ref="AY33" si="23">+AX33/G33</f>
        <v>1</v>
      </c>
    </row>
    <row r="34" spans="1:51" ht="17.25" thickTop="1"/>
  </sheetData>
  <sheetProtection algorithmName="SHA-512" hashValue="h3dBTpL3jTF3HwLxLtEXNeZuSAj3PQ4FZGGabaazei4GSkMa9cCtAmMNJBalc7iJ31YXzGRnTaA1ocyGSPMwuQ==" saltValue="95a8BqGLBRlRUN9dtrT3bQ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10:H10" name="Rango1"/>
    <protectedRange algorithmName="SHA-512" hashValue="Uds9cYMsxnQI1SjFHe8NNqfDC/fFeray9QhmtAdG/GCgT0L97QBkFAQ9tCw5vTy3J/lQFdDpBTyQoZDg0KZNmQ==" saltValue="0HoWkw5WsZ+PdZDtJpkerg==" spinCount="100000" sqref="K10" name="Rango1_1"/>
  </protectedRanges>
  <mergeCells count="36">
    <mergeCell ref="C1:K1"/>
    <mergeCell ref="A2:K2"/>
    <mergeCell ref="A3:K3"/>
    <mergeCell ref="A5:A7"/>
    <mergeCell ref="B5:B7"/>
    <mergeCell ref="C5:C7"/>
    <mergeCell ref="D5:D7"/>
    <mergeCell ref="E5:E7"/>
    <mergeCell ref="F5:F7"/>
    <mergeCell ref="G5:G7"/>
    <mergeCell ref="AR5:AT7"/>
    <mergeCell ref="AU5:AW7"/>
    <mergeCell ref="AX5:AY7"/>
    <mergeCell ref="A8:K8"/>
    <mergeCell ref="A9:A27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A28:K28"/>
    <mergeCell ref="A29:A31"/>
    <mergeCell ref="B29:B30"/>
    <mergeCell ref="A32:K32"/>
    <mergeCell ref="AO5:AQ7"/>
    <mergeCell ref="K5:K7"/>
    <mergeCell ref="L5:N7"/>
    <mergeCell ref="O5:Q7"/>
    <mergeCell ref="R5:T7"/>
    <mergeCell ref="U5:W7"/>
  </mergeCells>
  <conditionalFormatting sqref="N9:N27">
    <cfRule type="cellIs" dxfId="6309" priority="131" operator="greaterThan">
      <formula>110%</formula>
    </cfRule>
    <cfRule type="cellIs" dxfId="6308" priority="132" operator="between">
      <formula>100.001%</formula>
      <formula>110%</formula>
    </cfRule>
    <cfRule type="cellIs" dxfId="6307" priority="133" operator="between">
      <formula>70.001%</formula>
      <formula>100%</formula>
    </cfRule>
    <cfRule type="cellIs" dxfId="6306" priority="134" operator="between">
      <formula>0.00001%</formula>
      <formula>70%</formula>
    </cfRule>
    <cfRule type="cellIs" dxfId="6305" priority="135" operator="equal">
      <formula>0</formula>
    </cfRule>
  </conditionalFormatting>
  <conditionalFormatting sqref="N33 N29:N31">
    <cfRule type="cellIs" dxfId="6304" priority="126" operator="greaterThan">
      <formula>110%</formula>
    </cfRule>
    <cfRule type="cellIs" dxfId="6303" priority="127" operator="between">
      <formula>100.001%</formula>
      <formula>110%</formula>
    </cfRule>
    <cfRule type="cellIs" dxfId="6302" priority="128" operator="between">
      <formula>70.001%</formula>
      <formula>100%</formula>
    </cfRule>
    <cfRule type="cellIs" dxfId="6301" priority="129" operator="between">
      <formula>0.00001%</formula>
      <formula>70%</formula>
    </cfRule>
    <cfRule type="cellIs" dxfId="6300" priority="130" operator="equal">
      <formula>0</formula>
    </cfRule>
  </conditionalFormatting>
  <conditionalFormatting sqref="Q9:Q27">
    <cfRule type="cellIs" dxfId="6299" priority="121" operator="greaterThan">
      <formula>110%</formula>
    </cfRule>
    <cfRule type="cellIs" dxfId="6298" priority="122" operator="between">
      <formula>100.001%</formula>
      <formula>110%</formula>
    </cfRule>
    <cfRule type="cellIs" dxfId="6297" priority="123" operator="between">
      <formula>70.001%</formula>
      <formula>100%</formula>
    </cfRule>
    <cfRule type="cellIs" dxfId="6296" priority="124" operator="between">
      <formula>0.00001%</formula>
      <formula>70%</formula>
    </cfRule>
    <cfRule type="cellIs" dxfId="6295" priority="125" operator="equal">
      <formula>0</formula>
    </cfRule>
  </conditionalFormatting>
  <conditionalFormatting sqref="Q33 Q29:Q31">
    <cfRule type="cellIs" dxfId="6294" priority="116" operator="greaterThan">
      <formula>110%</formula>
    </cfRule>
    <cfRule type="cellIs" dxfId="6293" priority="117" operator="between">
      <formula>100.001%</formula>
      <formula>110%</formula>
    </cfRule>
    <cfRule type="cellIs" dxfId="6292" priority="118" operator="between">
      <formula>70.001%</formula>
      <formula>100%</formula>
    </cfRule>
    <cfRule type="cellIs" dxfId="6291" priority="119" operator="between">
      <formula>0.00001%</formula>
      <formula>70%</formula>
    </cfRule>
    <cfRule type="cellIs" dxfId="6290" priority="120" operator="equal">
      <formula>0</formula>
    </cfRule>
  </conditionalFormatting>
  <conditionalFormatting sqref="T9:T27">
    <cfRule type="cellIs" dxfId="6289" priority="111" operator="greaterThan">
      <formula>110%</formula>
    </cfRule>
    <cfRule type="cellIs" dxfId="6288" priority="112" operator="between">
      <formula>100.001%</formula>
      <formula>110%</formula>
    </cfRule>
    <cfRule type="cellIs" dxfId="6287" priority="113" operator="between">
      <formula>70.001%</formula>
      <formula>100%</formula>
    </cfRule>
    <cfRule type="cellIs" dxfId="6286" priority="114" operator="between">
      <formula>0.00001%</formula>
      <formula>70%</formula>
    </cfRule>
    <cfRule type="cellIs" dxfId="6285" priority="115" operator="equal">
      <formula>0</formula>
    </cfRule>
  </conditionalFormatting>
  <conditionalFormatting sqref="T33 T29:T31">
    <cfRule type="cellIs" dxfId="6284" priority="106" operator="greaterThan">
      <formula>110%</formula>
    </cfRule>
    <cfRule type="cellIs" dxfId="6283" priority="107" operator="between">
      <formula>100.001%</formula>
      <formula>110%</formula>
    </cfRule>
    <cfRule type="cellIs" dxfId="6282" priority="108" operator="between">
      <formula>70.001%</formula>
      <formula>100%</formula>
    </cfRule>
    <cfRule type="cellIs" dxfId="6281" priority="109" operator="between">
      <formula>0.00001%</formula>
      <formula>70%</formula>
    </cfRule>
    <cfRule type="cellIs" dxfId="6280" priority="110" operator="equal">
      <formula>0</formula>
    </cfRule>
  </conditionalFormatting>
  <conditionalFormatting sqref="W9:W27">
    <cfRule type="cellIs" dxfId="6279" priority="101" operator="greaterThan">
      <formula>110%</formula>
    </cfRule>
    <cfRule type="cellIs" dxfId="6278" priority="102" operator="between">
      <formula>100.001%</formula>
      <formula>110%</formula>
    </cfRule>
    <cfRule type="cellIs" dxfId="6277" priority="103" operator="between">
      <formula>70.001%</formula>
      <formula>100%</formula>
    </cfRule>
    <cfRule type="cellIs" dxfId="6276" priority="104" operator="between">
      <formula>0.00001%</formula>
      <formula>70%</formula>
    </cfRule>
    <cfRule type="cellIs" dxfId="6275" priority="105" operator="equal">
      <formula>0</formula>
    </cfRule>
  </conditionalFormatting>
  <conditionalFormatting sqref="W33 W29:W31">
    <cfRule type="cellIs" dxfId="6274" priority="96" operator="greaterThan">
      <formula>110%</formula>
    </cfRule>
    <cfRule type="cellIs" dxfId="6273" priority="97" operator="between">
      <formula>100.001%</formula>
      <formula>110%</formula>
    </cfRule>
    <cfRule type="cellIs" dxfId="6272" priority="98" operator="between">
      <formula>70.001%</formula>
      <formula>100%</formula>
    </cfRule>
    <cfRule type="cellIs" dxfId="6271" priority="99" operator="between">
      <formula>0.00001%</formula>
      <formula>70%</formula>
    </cfRule>
    <cfRule type="cellIs" dxfId="6270" priority="100" operator="equal">
      <formula>0</formula>
    </cfRule>
  </conditionalFormatting>
  <conditionalFormatting sqref="Z9:Z27">
    <cfRule type="cellIs" dxfId="6269" priority="91" operator="greaterThan">
      <formula>110%</formula>
    </cfRule>
    <cfRule type="cellIs" dxfId="6268" priority="92" operator="between">
      <formula>100.001%</formula>
      <formula>110%</formula>
    </cfRule>
    <cfRule type="cellIs" dxfId="6267" priority="93" operator="between">
      <formula>70.001%</formula>
      <formula>100%</formula>
    </cfRule>
    <cfRule type="cellIs" dxfId="6266" priority="94" operator="between">
      <formula>0.00001%</formula>
      <formula>70%</formula>
    </cfRule>
    <cfRule type="cellIs" dxfId="6265" priority="95" operator="equal">
      <formula>0</formula>
    </cfRule>
  </conditionalFormatting>
  <conditionalFormatting sqref="Z33 Z29:Z31">
    <cfRule type="cellIs" dxfId="6264" priority="86" operator="greaterThan">
      <formula>110%</formula>
    </cfRule>
    <cfRule type="cellIs" dxfId="6263" priority="87" operator="between">
      <formula>100.001%</formula>
      <formula>110%</formula>
    </cfRule>
    <cfRule type="cellIs" dxfId="6262" priority="88" operator="between">
      <formula>70.001%</formula>
      <formula>100%</formula>
    </cfRule>
    <cfRule type="cellIs" dxfId="6261" priority="89" operator="between">
      <formula>0.00001%</formula>
      <formula>70%</formula>
    </cfRule>
    <cfRule type="cellIs" dxfId="6260" priority="90" operator="equal">
      <formula>0</formula>
    </cfRule>
  </conditionalFormatting>
  <conditionalFormatting sqref="AC9:AC27">
    <cfRule type="cellIs" dxfId="6259" priority="81" operator="greaterThan">
      <formula>110%</formula>
    </cfRule>
    <cfRule type="cellIs" dxfId="6258" priority="82" operator="between">
      <formula>100.001%</formula>
      <formula>110%</formula>
    </cfRule>
    <cfRule type="cellIs" dxfId="6257" priority="83" operator="between">
      <formula>70.001%</formula>
      <formula>100%</formula>
    </cfRule>
    <cfRule type="cellIs" dxfId="6256" priority="84" operator="between">
      <formula>0.00001%</formula>
      <formula>70%</formula>
    </cfRule>
    <cfRule type="cellIs" dxfId="6255" priority="85" operator="equal">
      <formula>0</formula>
    </cfRule>
  </conditionalFormatting>
  <conditionalFormatting sqref="AC33 AC29:AC31">
    <cfRule type="cellIs" dxfId="6254" priority="76" operator="greaterThan">
      <formula>110%</formula>
    </cfRule>
    <cfRule type="cellIs" dxfId="6253" priority="77" operator="between">
      <formula>100.001%</formula>
      <formula>110%</formula>
    </cfRule>
    <cfRule type="cellIs" dxfId="6252" priority="78" operator="between">
      <formula>70.001%</formula>
      <formula>100%</formula>
    </cfRule>
    <cfRule type="cellIs" dxfId="6251" priority="79" operator="between">
      <formula>0.00001%</formula>
      <formula>70%</formula>
    </cfRule>
    <cfRule type="cellIs" dxfId="6250" priority="80" operator="equal">
      <formula>0</formula>
    </cfRule>
  </conditionalFormatting>
  <conditionalFormatting sqref="AE33 AE9:AE27 AE29:AE31">
    <cfRule type="cellIs" dxfId="6249" priority="71" operator="greaterThan">
      <formula>110%</formula>
    </cfRule>
    <cfRule type="cellIs" dxfId="6248" priority="72" operator="between">
      <formula>100.001%</formula>
      <formula>110%</formula>
    </cfRule>
    <cfRule type="cellIs" dxfId="6247" priority="73" operator="between">
      <formula>70.001%</formula>
      <formula>100%</formula>
    </cfRule>
    <cfRule type="cellIs" dxfId="6246" priority="74" operator="between">
      <formula>0.00001%</formula>
      <formula>70%</formula>
    </cfRule>
    <cfRule type="cellIs" dxfId="6245" priority="75" operator="equal">
      <formula>0</formula>
    </cfRule>
  </conditionalFormatting>
  <conditionalFormatting sqref="AH9:AH27">
    <cfRule type="cellIs" dxfId="6244" priority="66" operator="greaterThan">
      <formula>110%</formula>
    </cfRule>
    <cfRule type="cellIs" dxfId="6243" priority="67" operator="between">
      <formula>100.001%</formula>
      <formula>110%</formula>
    </cfRule>
    <cfRule type="cellIs" dxfId="6242" priority="68" operator="between">
      <formula>70.001%</formula>
      <formula>100%</formula>
    </cfRule>
    <cfRule type="cellIs" dxfId="6241" priority="69" operator="between">
      <formula>0.00001%</formula>
      <formula>70%</formula>
    </cfRule>
    <cfRule type="cellIs" dxfId="6240" priority="70" operator="equal">
      <formula>0</formula>
    </cfRule>
  </conditionalFormatting>
  <conditionalFormatting sqref="AH33 AH29:AH31">
    <cfRule type="cellIs" dxfId="6239" priority="61" operator="greaterThan">
      <formula>110%</formula>
    </cfRule>
    <cfRule type="cellIs" dxfId="6238" priority="62" operator="between">
      <formula>100.001%</formula>
      <formula>110%</formula>
    </cfRule>
    <cfRule type="cellIs" dxfId="6237" priority="63" operator="between">
      <formula>70.001%</formula>
      <formula>100%</formula>
    </cfRule>
    <cfRule type="cellIs" dxfId="6236" priority="64" operator="between">
      <formula>0.00001%</formula>
      <formula>70%</formula>
    </cfRule>
    <cfRule type="cellIs" dxfId="6235" priority="65" operator="equal">
      <formula>0</formula>
    </cfRule>
  </conditionalFormatting>
  <conditionalFormatting sqref="AK9:AK27">
    <cfRule type="cellIs" dxfId="6234" priority="56" operator="greaterThan">
      <formula>110%</formula>
    </cfRule>
    <cfRule type="cellIs" dxfId="6233" priority="57" operator="between">
      <formula>100.001%</formula>
      <formula>110%</formula>
    </cfRule>
    <cfRule type="cellIs" dxfId="6232" priority="58" operator="between">
      <formula>70.001%</formula>
      <formula>100%</formula>
    </cfRule>
    <cfRule type="cellIs" dxfId="6231" priority="59" operator="between">
      <formula>0.00001%</formula>
      <formula>70%</formula>
    </cfRule>
    <cfRule type="cellIs" dxfId="6230" priority="60" operator="equal">
      <formula>0</formula>
    </cfRule>
  </conditionalFormatting>
  <conditionalFormatting sqref="AK33 AK29:AK31">
    <cfRule type="cellIs" dxfId="6229" priority="51" operator="greaterThan">
      <formula>110%</formula>
    </cfRule>
    <cfRule type="cellIs" dxfId="6228" priority="52" operator="between">
      <formula>100.001%</formula>
      <formula>110%</formula>
    </cfRule>
    <cfRule type="cellIs" dxfId="6227" priority="53" operator="between">
      <formula>70.001%</formula>
      <formula>100%</formula>
    </cfRule>
    <cfRule type="cellIs" dxfId="6226" priority="54" operator="between">
      <formula>0.00001%</formula>
      <formula>70%</formula>
    </cfRule>
    <cfRule type="cellIs" dxfId="6225" priority="55" operator="equal">
      <formula>0</formula>
    </cfRule>
  </conditionalFormatting>
  <conditionalFormatting sqref="AN9:AN27">
    <cfRule type="cellIs" dxfId="6224" priority="46" operator="greaterThan">
      <formula>110%</formula>
    </cfRule>
    <cfRule type="cellIs" dxfId="6223" priority="47" operator="between">
      <formula>100.001%</formula>
      <formula>110%</formula>
    </cfRule>
    <cfRule type="cellIs" dxfId="6222" priority="48" operator="between">
      <formula>70.001%</formula>
      <formula>100%</formula>
    </cfRule>
    <cfRule type="cellIs" dxfId="6221" priority="49" operator="between">
      <formula>0.00001%</formula>
      <formula>70%</formula>
    </cfRule>
    <cfRule type="cellIs" dxfId="6220" priority="50" operator="equal">
      <formula>0</formula>
    </cfRule>
  </conditionalFormatting>
  <conditionalFormatting sqref="AN33 AN29:AN31">
    <cfRule type="cellIs" dxfId="6219" priority="41" operator="greaterThan">
      <formula>110%</formula>
    </cfRule>
    <cfRule type="cellIs" dxfId="6218" priority="42" operator="between">
      <formula>100.001%</formula>
      <formula>110%</formula>
    </cfRule>
    <cfRule type="cellIs" dxfId="6217" priority="43" operator="between">
      <formula>70.001%</formula>
      <formula>100%</formula>
    </cfRule>
    <cfRule type="cellIs" dxfId="6216" priority="44" operator="between">
      <formula>0.00001%</formula>
      <formula>70%</formula>
    </cfRule>
    <cfRule type="cellIs" dxfId="6215" priority="45" operator="equal">
      <formula>0</formula>
    </cfRule>
  </conditionalFormatting>
  <conditionalFormatting sqref="AQ9:AQ27">
    <cfRule type="cellIs" dxfId="6214" priority="36" operator="greaterThan">
      <formula>110%</formula>
    </cfRule>
    <cfRule type="cellIs" dxfId="6213" priority="37" operator="between">
      <formula>100.001%</formula>
      <formula>110%</formula>
    </cfRule>
    <cfRule type="cellIs" dxfId="6212" priority="38" operator="between">
      <formula>70.001%</formula>
      <formula>100%</formula>
    </cfRule>
    <cfRule type="cellIs" dxfId="6211" priority="39" operator="between">
      <formula>0.00001%</formula>
      <formula>70%</formula>
    </cfRule>
    <cfRule type="cellIs" dxfId="6210" priority="40" operator="equal">
      <formula>0</formula>
    </cfRule>
  </conditionalFormatting>
  <conditionalFormatting sqref="AQ33 AQ29:AQ31">
    <cfRule type="cellIs" dxfId="6209" priority="31" operator="greaterThan">
      <formula>110%</formula>
    </cfRule>
    <cfRule type="cellIs" dxfId="6208" priority="32" operator="between">
      <formula>100.001%</formula>
      <formula>110%</formula>
    </cfRule>
    <cfRule type="cellIs" dxfId="6207" priority="33" operator="between">
      <formula>70.001%</formula>
      <formula>100%</formula>
    </cfRule>
    <cfRule type="cellIs" dxfId="6206" priority="34" operator="between">
      <formula>0.00001%</formula>
      <formula>70%</formula>
    </cfRule>
    <cfRule type="cellIs" dxfId="6205" priority="35" operator="equal">
      <formula>0</formula>
    </cfRule>
  </conditionalFormatting>
  <conditionalFormatting sqref="AT9:AT27">
    <cfRule type="cellIs" dxfId="6204" priority="26" operator="greaterThan">
      <formula>110%</formula>
    </cfRule>
    <cfRule type="cellIs" dxfId="6203" priority="27" operator="between">
      <formula>100.001%</formula>
      <formula>110%</formula>
    </cfRule>
    <cfRule type="cellIs" dxfId="6202" priority="28" operator="between">
      <formula>70.001%</formula>
      <formula>100%</formula>
    </cfRule>
    <cfRule type="cellIs" dxfId="6201" priority="29" operator="between">
      <formula>0.00001%</formula>
      <formula>70%</formula>
    </cfRule>
    <cfRule type="cellIs" dxfId="6200" priority="30" operator="equal">
      <formula>0</formula>
    </cfRule>
  </conditionalFormatting>
  <conditionalFormatting sqref="AT33 AT29:AT31">
    <cfRule type="cellIs" dxfId="6199" priority="21" operator="greaterThan">
      <formula>110%</formula>
    </cfRule>
    <cfRule type="cellIs" dxfId="6198" priority="22" operator="between">
      <formula>100.001%</formula>
      <formula>110%</formula>
    </cfRule>
    <cfRule type="cellIs" dxfId="6197" priority="23" operator="between">
      <formula>70.001%</formula>
      <formula>100%</formula>
    </cfRule>
    <cfRule type="cellIs" dxfId="6196" priority="24" operator="between">
      <formula>0.00001%</formula>
      <formula>70%</formula>
    </cfRule>
    <cfRule type="cellIs" dxfId="6195" priority="25" operator="equal">
      <formula>0</formula>
    </cfRule>
  </conditionalFormatting>
  <conditionalFormatting sqref="AW9:AW27">
    <cfRule type="cellIs" dxfId="6194" priority="16" operator="greaterThan">
      <formula>110%</formula>
    </cfRule>
    <cfRule type="cellIs" dxfId="6193" priority="17" operator="between">
      <formula>100.001%</formula>
      <formula>110%</formula>
    </cfRule>
    <cfRule type="cellIs" dxfId="6192" priority="18" operator="between">
      <formula>70.001%</formula>
      <formula>100%</formula>
    </cfRule>
    <cfRule type="cellIs" dxfId="6191" priority="19" operator="between">
      <formula>0.00001%</formula>
      <formula>70%</formula>
    </cfRule>
    <cfRule type="cellIs" dxfId="6190" priority="20" operator="equal">
      <formula>0</formula>
    </cfRule>
  </conditionalFormatting>
  <conditionalFormatting sqref="AW33 AW29:AW31">
    <cfRule type="cellIs" dxfId="6189" priority="11" operator="greaterThan">
      <formula>110%</formula>
    </cfRule>
    <cfRule type="cellIs" dxfId="6188" priority="12" operator="between">
      <formula>100.001%</formula>
      <formula>110%</formula>
    </cfRule>
    <cfRule type="cellIs" dxfId="6187" priority="13" operator="between">
      <formula>70.001%</formula>
      <formula>100%</formula>
    </cfRule>
    <cfRule type="cellIs" dxfId="6186" priority="14" operator="between">
      <formula>0.00001%</formula>
      <formula>70%</formula>
    </cfRule>
    <cfRule type="cellIs" dxfId="6185" priority="15" operator="equal">
      <formula>0</formula>
    </cfRule>
  </conditionalFormatting>
  <conditionalFormatting sqref="AY9:AY27">
    <cfRule type="cellIs" dxfId="6184" priority="6" operator="greaterThan">
      <formula>110%</formula>
    </cfRule>
    <cfRule type="cellIs" dxfId="6183" priority="7" operator="between">
      <formula>100.001%</formula>
      <formula>110%</formula>
    </cfRule>
    <cfRule type="cellIs" dxfId="6182" priority="8" operator="between">
      <formula>70.001%</formula>
      <formula>100%</formula>
    </cfRule>
    <cfRule type="cellIs" dxfId="6181" priority="9" operator="between">
      <formula>0.00001%</formula>
      <formula>70%</formula>
    </cfRule>
    <cfRule type="cellIs" dxfId="6180" priority="10" operator="equal">
      <formula>0</formula>
    </cfRule>
  </conditionalFormatting>
  <conditionalFormatting sqref="AY33 AY29:AY31">
    <cfRule type="cellIs" dxfId="6179" priority="1" operator="greaterThan">
      <formula>110%</formula>
    </cfRule>
    <cfRule type="cellIs" dxfId="6178" priority="2" operator="between">
      <formula>100.001%</formula>
      <formula>110%</formula>
    </cfRule>
    <cfRule type="cellIs" dxfId="6177" priority="3" operator="between">
      <formula>70.001%</formula>
      <formula>100%</formula>
    </cfRule>
    <cfRule type="cellIs" dxfId="6176" priority="4" operator="between">
      <formula>0.00001%</formula>
      <formula>70%</formula>
    </cfRule>
    <cfRule type="cellIs" dxfId="6175" priority="5" operator="equal">
      <formula>0</formula>
    </cfRule>
  </conditionalFormatting>
  <hyperlinks>
    <hyperlink ref="D11" location="'IN1-3'!A1" display="IN1-3 Recaudo Bruto" xr:uid="{00000000-0004-0000-1300-000000000000}"/>
    <hyperlink ref="D12" location="'FIS-4'!A1" display="FIS-4 Gestión efectiva en fiscalización tributaria" xr:uid="{00000000-0004-0000-1300-000001000000}"/>
    <hyperlink ref="D13" location="'FIS-10'!A1" display="FIS-10 Gestión aceptada en fiscalización tributaria" xr:uid="{00000000-0004-0000-1300-000002000000}"/>
    <hyperlink ref="D14" location="'FIS-27'!A1" display="FIS-27 Reclasificación de no responsables a responsables" xr:uid="{00000000-0004-0000-1300-000003000000}"/>
    <hyperlink ref="D15" location="'FIS-17'!A1" display="FIS-17 Evacuación de expedientes en fiscalización tributaria" xr:uid="{00000000-0004-0000-1300-000004000000}"/>
    <hyperlink ref="D16" location="'IN1-4'!A1" display="IN1-4 Recaudo por gestión de cartera" xr:uid="{00000000-0004-0000-1300-000005000000}"/>
    <hyperlink ref="D17" location="'IN1-5'!A1" display="IN1-5 Inscritos en el Régimen Simple de Tributación - RST" xr:uid="{00000000-0004-0000-1300-000006000000}"/>
    <hyperlink ref="D18" location="'IN1-6.1'!A1" display="IN1-6.1 Grado de cumplimiento del cronograma de campañas del RST" xr:uid="{00000000-0004-0000-1300-000007000000}"/>
    <hyperlink ref="D19" location="'IN1-8'!A1" display="IN1-8 Contribuyentes habilitados como facturadores electrónicos" xr:uid="{00000000-0004-0000-1300-000008000000}"/>
    <hyperlink ref="D20" location="'JUR-3.1'!A1" display="JUR-3.1 Porcentaje de éxito de litigiosidad" xr:uid="{00000000-0004-0000-1300-000009000000}"/>
    <hyperlink ref="D21" location="'JUR-3.2'!A1" display="JUR-3.2 Porcentaje  procesos judiciales revisados con mayor riesgo en Ekogui" xr:uid="{00000000-0004-0000-1300-00000A000000}"/>
    <hyperlink ref="D22" location="'JUR-3.3'!A1" display="JUR-3.3 Porcentaje de análisis de jurisprudencia remitidos junto con la copia de la sentencia " xr:uid="{00000000-0004-0000-1300-00000B000000}"/>
    <hyperlink ref="D23" location="'JUR-3.4'!A1" display="JUR-3.4 Porcentaje  de procesos revisados con VoBo del Jefe " xr:uid="{00000000-0004-0000-1300-00000C000000}"/>
    <hyperlink ref="D24" location="'JUR-3-5'!A1" display="JUR-3.5 Porcentaje de requerimientos atendidos en oportunidad" xr:uid="{00000000-0004-0000-1300-00000D000000}"/>
    <hyperlink ref="D25" location="JUR.3.6!A1" display="JUR-3.6 Porcentaje funcionarios capacitaciones en cursos virtuales de la ANDJE" xr:uid="{00000000-0004-0000-1300-00000E000000}"/>
    <hyperlink ref="D26" location="'JUR-4'!A1" display="JUR-4 Porcentaje funcionarios que participaron en el concurso de escritura jurídica" xr:uid="{00000000-0004-0000-1300-00000F000000}"/>
    <hyperlink ref="D27" location="'FIS-24'!A1" display="FIS-24 Valor Decomisos de mercancías en firme" xr:uid="{00000000-0004-0000-1300-000010000000}"/>
    <hyperlink ref="D28" location="'JUR-3.3'!A1" display="JUR-3.3 Porcentaje de análisis de jurisprudencia remitidos junto con la copia de la sentencia " xr:uid="{00000000-0004-0000-1300-000011000000}"/>
    <hyperlink ref="D29" location="'IN1-11'!A1" display="IN1-11  Nivel de cobertura de personas sensibilizadas por el plan de cultura. ACTUALMENTE. Cumplimiento al Plan de Acción de Cultura de la Contribución" xr:uid="{00000000-0004-0000-1300-000012000000}"/>
    <hyperlink ref="D30" location="'JUR-7'!A1" display="JUR-7 Oportunidad en las decisiones de los recursos tributarios hasta su remisión a notificaciones" xr:uid="{00000000-0004-0000-1300-000013000000}"/>
    <hyperlink ref="D31" location="'IN1-15'!A1" display="IN1-15 Días en devoluciones ordinarias" xr:uid="{00000000-0004-0000-1300-000014000000}"/>
    <hyperlink ref="D34" location="'FIS-33'!A1" display="FIS-33 Cantidad aprehensiones sectores de Licores, Cigarrillos, hidrocarburos y agropecuario" xr:uid="{00000000-0004-0000-1300-000015000000}"/>
    <hyperlink ref="D35" location="'POLFA-3'!A1" display="POLFA-3 Acciones de control de fiscalización contra el contrabando  " xr:uid="{00000000-0004-0000-1300-000016000000}"/>
    <hyperlink ref="D36" location="'FIS-32'!A1" display="FIS-32 Valor Aprehensiones sectores de Licores, Cigarrillos, Calzado y Confecciones" xr:uid="{00000000-0004-0000-1300-000017000000}"/>
    <hyperlink ref="D38" location="'JUR-7'!A1" display="JUR-7  Oportunidad en las decisiones de los recursos Tributarios hasta su remisión a notificaciones" xr:uid="{00000000-0004-0000-1300-000018000000}"/>
    <hyperlink ref="D39" location="'POLFA-8'!A1" display="POLFA-8 Porcentaje de cumplimiento programa semilleros de la legalidad" xr:uid="{00000000-0004-0000-1300-000019000000}"/>
    <hyperlink ref="D40" location="'IN1-15'!A1" display="IN1-15 Días en devoluciones ordinarias" xr:uid="{00000000-0004-0000-1300-00001A000000}"/>
    <hyperlink ref="D41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1300-00001B000000}"/>
    <hyperlink ref="D42" location="'ADU-32'!A1" display="ADU-32 Eficacia en la atención de solicitudes de análisis merceológicos de mercancía global." xr:uid="{00000000-0004-0000-1300-00001C000000}"/>
    <hyperlink ref="D44" location="'IN1-11'!A1" display="IN1-11  Nivel de cobertura de personas sensibilizadas por el plan de cultura. ACTUALMENTE. Cumplimiento al Plan de Acción de Cultura de la Contribución" xr:uid="{00000000-0004-0000-1300-00001D000000}"/>
    <hyperlink ref="D45" location="'JUR-7'!A1" display="JUR-7  Oportunidad en las decisiones de los recursos Tributarios hasta su remisión a notificaciones" xr:uid="{00000000-0004-0000-1300-00001E000000}"/>
    <hyperlink ref="D46" location="'ADU-17'!A1" display="ADU-17 Encuentros Aduana - Empresa" xr:uid="{00000000-0004-0000-1300-00001F000000}"/>
    <hyperlink ref="D47" location="'POLFA-8'!A1" display="POLFA-8 Porcentaje de cumplimiento programa semilleros de la legalidad" xr:uid="{00000000-0004-0000-1300-000020000000}"/>
    <hyperlink ref="D48" location="'IN1-15'!A1" display="IN1-15 Días en devoluciones ordinarias" xr:uid="{00000000-0004-0000-1300-000021000000}"/>
    <hyperlink ref="D37" location="'IN1-11'!A1" display="IN1-11  Nivel de cobertura de personas sensibilizadas por el plan de cultura. ACTUALMENTE. Cumplimiento al Plan de Acción de Cultura de la Contribución" xr:uid="{00000000-0004-0000-1300-000022000000}"/>
    <hyperlink ref="D33" location="'DGRAE-25'!Área_de_impresión" display="DGRAE-25 Actividades que componen el  PIC para la Dirección de Gestión" xr:uid="{00000000-0004-0000-1300-000023000000}"/>
    <hyperlink ref="D9" location="'DGRAE-1'!Área_de_impresión" display="DGRAE-1 Nivel de Ejecución del presupuesto " xr:uid="{00000000-0004-0000-1300-000024000000}"/>
    <hyperlink ref="D10" location="'DGRAE-2'!A1" display="DGRAE-2 Nivel de ejecución del PAA de la Dirección" xr:uid="{00000000-0004-0000-1300-000025000000}"/>
    <hyperlink ref="AZ3" location="'Consolidado '!A1" display="VOLVER" xr:uid="{00000000-0004-0000-1300-000026000000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E35"/>
  <sheetViews>
    <sheetView topLeftCell="F1" zoomScale="60" zoomScaleNormal="60" workbookViewId="0">
      <selection activeCell="BE10" sqref="BE10"/>
    </sheetView>
  </sheetViews>
  <sheetFormatPr baseColWidth="10" defaultColWidth="11.42578125" defaultRowHeight="16.5"/>
  <cols>
    <col min="1" max="1" width="18.85546875" style="8" bestFit="1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7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49" width="20.7109375" style="8" hidden="1" customWidth="1"/>
    <col min="50" max="50" width="25.140625" style="8" customWidth="1"/>
    <col min="51" max="51" width="22.5703125" style="8" customWidth="1"/>
    <col min="52" max="16384" width="11.42578125" style="8"/>
  </cols>
  <sheetData>
    <row r="1" spans="1:52" ht="29.25" customHeight="1">
      <c r="A1" s="101"/>
      <c r="B1" s="101"/>
      <c r="C1" s="2885" t="s">
        <v>644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AZ2" s="670" t="s">
        <v>185</v>
      </c>
    </row>
    <row r="3" spans="1:52">
      <c r="A3" s="2866" t="s">
        <v>645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  <c r="AZ3" s="444">
        <f>+(AY9+AY10+AY11+AY12+AY13+AY14+AY15+AY16+AY17+AY18+AY19+AY23+AY24+AY25+AY27+AY29+AY30+AY31+AY33)/19</f>
        <v>1.1235744161234373</v>
      </c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.75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13" t="s">
        <v>86</v>
      </c>
      <c r="O8" s="13" t="s">
        <v>84</v>
      </c>
      <c r="P8" s="14" t="s">
        <v>85</v>
      </c>
      <c r="Q8" s="13" t="s">
        <v>86</v>
      </c>
      <c r="R8" s="16" t="s">
        <v>84</v>
      </c>
      <c r="S8" s="16" t="s">
        <v>85</v>
      </c>
      <c r="T8" s="13" t="s">
        <v>86</v>
      </c>
      <c r="U8" s="16" t="s">
        <v>84</v>
      </c>
      <c r="V8" s="16" t="s">
        <v>85</v>
      </c>
      <c r="W8" s="13" t="s">
        <v>86</v>
      </c>
      <c r="X8" s="16" t="s">
        <v>84</v>
      </c>
      <c r="Y8" s="16" t="s">
        <v>85</v>
      </c>
      <c r="Z8" s="13" t="s">
        <v>86</v>
      </c>
      <c r="AA8" s="16" t="s">
        <v>84</v>
      </c>
      <c r="AB8" s="16" t="s">
        <v>85</v>
      </c>
      <c r="AC8" s="13" t="s">
        <v>86</v>
      </c>
      <c r="AD8" s="16" t="s">
        <v>87</v>
      </c>
      <c r="AE8" s="16" t="s">
        <v>6</v>
      </c>
      <c r="AF8" s="13" t="s">
        <v>84</v>
      </c>
      <c r="AG8" s="14" t="s">
        <v>85</v>
      </c>
      <c r="AH8" s="13" t="s">
        <v>86</v>
      </c>
      <c r="AI8" s="16" t="s">
        <v>84</v>
      </c>
      <c r="AJ8" s="13" t="s">
        <v>85</v>
      </c>
      <c r="AK8" s="13" t="s">
        <v>86</v>
      </c>
      <c r="AL8" s="14" t="s">
        <v>84</v>
      </c>
      <c r="AM8" s="16" t="s">
        <v>85</v>
      </c>
      <c r="AN8" s="13" t="s">
        <v>86</v>
      </c>
      <c r="AO8" s="16" t="s">
        <v>84</v>
      </c>
      <c r="AP8" s="16" t="s">
        <v>85</v>
      </c>
      <c r="AQ8" s="13" t="s">
        <v>86</v>
      </c>
      <c r="AR8" s="16" t="s">
        <v>84</v>
      </c>
      <c r="AS8" s="13" t="s">
        <v>85</v>
      </c>
      <c r="AT8" s="13" t="s">
        <v>86</v>
      </c>
      <c r="AU8" s="13" t="s">
        <v>84</v>
      </c>
      <c r="AV8" s="14" t="s">
        <v>85</v>
      </c>
      <c r="AW8" s="13" t="s">
        <v>86</v>
      </c>
      <c r="AX8" s="13" t="s">
        <v>87</v>
      </c>
      <c r="AY8" s="14" t="s">
        <v>6</v>
      </c>
    </row>
    <row r="9" spans="1:52" s="22" customFormat="1" ht="54.75" customHeight="1" thickTop="1" thickBot="1">
      <c r="A9" s="2907" t="s">
        <v>88</v>
      </c>
      <c r="B9" s="2914" t="s">
        <v>89</v>
      </c>
      <c r="C9" s="25" t="s">
        <v>646</v>
      </c>
      <c r="D9" s="627" t="s">
        <v>90</v>
      </c>
      <c r="E9" s="25" t="s">
        <v>91</v>
      </c>
      <c r="F9" s="25" t="s">
        <v>18</v>
      </c>
      <c r="G9" s="1490">
        <f>+(592914972.35)/1000000</f>
        <v>592.91497234999997</v>
      </c>
      <c r="H9" s="98"/>
      <c r="I9" s="671" t="s">
        <v>98</v>
      </c>
      <c r="J9" s="98"/>
      <c r="K9" s="25" t="s">
        <v>25</v>
      </c>
      <c r="L9" s="31">
        <v>146.525015</v>
      </c>
      <c r="M9" s="32">
        <v>140.33000000000001</v>
      </c>
      <c r="N9" s="19">
        <f>+M9/L9</f>
        <v>0.9577204274642116</v>
      </c>
      <c r="O9" s="31">
        <v>28.088000000000001</v>
      </c>
      <c r="P9" s="32">
        <v>14.15</v>
      </c>
      <c r="Q9" s="19">
        <f>+P9/O9</f>
        <v>0.50377385360296212</v>
      </c>
      <c r="R9" s="31">
        <v>17.035</v>
      </c>
      <c r="S9" s="32">
        <v>10</v>
      </c>
      <c r="T9" s="19">
        <f>+S9/R9</f>
        <v>0.58702670971529203</v>
      </c>
      <c r="U9" s="31">
        <v>13.647</v>
      </c>
      <c r="V9" s="32">
        <v>9.59</v>
      </c>
      <c r="W9" s="19">
        <f>+V9/U9</f>
        <v>0.70271854620063012</v>
      </c>
      <c r="X9" s="31">
        <v>15.085000000000001</v>
      </c>
      <c r="Y9" s="32">
        <v>3.77</v>
      </c>
      <c r="Z9" s="19">
        <f>+Y9/X9</f>
        <v>0.2499171362280411</v>
      </c>
      <c r="AA9" s="31">
        <v>14.335000000000001</v>
      </c>
      <c r="AB9" s="32">
        <v>2.88</v>
      </c>
      <c r="AC9" s="19">
        <f>+AB9/AA9</f>
        <v>0.20090687129403556</v>
      </c>
      <c r="AD9" s="31">
        <f>+M9+P9+S9+V9+Y9+AB9</f>
        <v>180.72000000000003</v>
      </c>
      <c r="AE9" s="19">
        <f>AD9/G9</f>
        <v>0.30479918441546844</v>
      </c>
      <c r="AF9" s="31">
        <v>15.382</v>
      </c>
      <c r="AG9" s="32">
        <v>3.35</v>
      </c>
      <c r="AH9" s="19">
        <f>+AG9/AF9</f>
        <v>0.21778702379404499</v>
      </c>
      <c r="AI9" s="31">
        <v>14.217000000000001</v>
      </c>
      <c r="AJ9" s="32">
        <v>14.62</v>
      </c>
      <c r="AK9" s="19">
        <f>+AJ9/AI9</f>
        <v>1.0283463459238937</v>
      </c>
      <c r="AL9" s="31">
        <v>14.64</v>
      </c>
      <c r="AM9" s="32">
        <v>9.51</v>
      </c>
      <c r="AN9" s="19">
        <f>+AM9/AL9</f>
        <v>0.64959016393442615</v>
      </c>
      <c r="AO9" s="31">
        <v>14.637</v>
      </c>
      <c r="AP9" s="32">
        <v>332.5</v>
      </c>
      <c r="AQ9" s="19">
        <f>+AP9/AO9</f>
        <v>22.71640363462458</v>
      </c>
      <c r="AR9" s="31">
        <v>15.65</v>
      </c>
      <c r="AS9" s="32">
        <v>4.57</v>
      </c>
      <c r="AT9" s="19">
        <f>+AS9/AR9</f>
        <v>0.29201277955271565</v>
      </c>
      <c r="AU9" s="31">
        <v>13.547000000000001</v>
      </c>
      <c r="AV9" s="32">
        <v>25.84</v>
      </c>
      <c r="AW9" s="19">
        <f>+AV9/AU9</f>
        <v>1.9074333800841514</v>
      </c>
      <c r="AX9" s="31">
        <f>+M9+P9+S9+V9+Y9+AB9+AG9+AJ9+AP9+AM9+AS9+AV9</f>
        <v>571.11000000000013</v>
      </c>
      <c r="AY9" s="1491">
        <f>+AX9/G9</f>
        <v>0.96322411582292056</v>
      </c>
      <c r="AZ9" s="1492"/>
    </row>
    <row r="10" spans="1:52" s="22" customFormat="1" ht="111" customHeight="1" thickTop="1" thickBot="1">
      <c r="A10" s="2979"/>
      <c r="B10" s="2916"/>
      <c r="C10" s="561" t="s">
        <v>270</v>
      </c>
      <c r="D10" s="623" t="s">
        <v>92</v>
      </c>
      <c r="E10" s="561" t="s">
        <v>93</v>
      </c>
      <c r="F10" s="561" t="s">
        <v>17</v>
      </c>
      <c r="G10" s="1493">
        <v>6</v>
      </c>
      <c r="H10" s="96"/>
      <c r="I10" s="33"/>
      <c r="J10" s="96"/>
      <c r="K10" s="561" t="s">
        <v>26</v>
      </c>
      <c r="L10" s="625">
        <v>1</v>
      </c>
      <c r="M10" s="59">
        <v>1</v>
      </c>
      <c r="N10" s="19">
        <f t="shared" ref="N10" si="0">+M10/L10</f>
        <v>1</v>
      </c>
      <c r="O10" s="625">
        <v>2</v>
      </c>
      <c r="P10" s="59">
        <v>1</v>
      </c>
      <c r="Q10" s="19">
        <f t="shared" ref="Q10" si="1">+P10/O10</f>
        <v>0.5</v>
      </c>
      <c r="R10" s="625">
        <v>0</v>
      </c>
      <c r="S10" s="59"/>
      <c r="T10" s="19" t="e">
        <f t="shared" ref="T10" si="2">+S10/R10</f>
        <v>#DIV/0!</v>
      </c>
      <c r="U10" s="625">
        <v>1</v>
      </c>
      <c r="V10" s="59">
        <v>1</v>
      </c>
      <c r="W10" s="19">
        <f t="shared" ref="W10" si="3">+V10/U10</f>
        <v>1</v>
      </c>
      <c r="X10" s="625">
        <v>0</v>
      </c>
      <c r="Y10" s="59"/>
      <c r="Z10" s="19" t="e">
        <f t="shared" ref="Z10" si="4">+Y10/X10</f>
        <v>#DIV/0!</v>
      </c>
      <c r="AA10" s="625">
        <v>0</v>
      </c>
      <c r="AB10" s="59"/>
      <c r="AC10" s="19" t="e">
        <f t="shared" ref="AC10" si="5">+AB10/AA10</f>
        <v>#DIV/0!</v>
      </c>
      <c r="AD10" s="60">
        <f t="shared" ref="AD10" si="6">+M10+P10+S10+V10+Y10+AB10</f>
        <v>3</v>
      </c>
      <c r="AE10" s="19">
        <f t="shared" ref="AE10" si="7">AD10/G10</f>
        <v>0.5</v>
      </c>
      <c r="AF10" s="625">
        <v>0</v>
      </c>
      <c r="AG10" s="59"/>
      <c r="AH10" s="19" t="e">
        <f t="shared" ref="AH10" si="8">+AG10/AF10</f>
        <v>#DIV/0!</v>
      </c>
      <c r="AI10" s="625">
        <v>1</v>
      </c>
      <c r="AJ10" s="59">
        <v>1</v>
      </c>
      <c r="AK10" s="19">
        <f t="shared" ref="AK10" si="9">+AJ10/AI10</f>
        <v>1</v>
      </c>
      <c r="AL10" s="625">
        <v>1</v>
      </c>
      <c r="AM10" s="59">
        <v>1</v>
      </c>
      <c r="AN10" s="19">
        <f t="shared" ref="AN10" si="10">+AM10/AL10</f>
        <v>1</v>
      </c>
      <c r="AO10" s="625">
        <v>2</v>
      </c>
      <c r="AP10" s="59">
        <v>2</v>
      </c>
      <c r="AQ10" s="19">
        <f t="shared" ref="AQ10" si="11">+AP10/AO10</f>
        <v>1</v>
      </c>
      <c r="AR10" s="625">
        <v>2</v>
      </c>
      <c r="AS10" s="59">
        <v>2</v>
      </c>
      <c r="AT10" s="19">
        <f t="shared" ref="AT10" si="12">+AS10/AR10</f>
        <v>1</v>
      </c>
      <c r="AU10" s="625">
        <v>0</v>
      </c>
      <c r="AV10" s="59"/>
      <c r="AW10" s="19" t="e">
        <f t="shared" ref="AW10" si="13">+AV10/AU10</f>
        <v>#DIV/0!</v>
      </c>
      <c r="AX10" s="638">
        <f t="shared" ref="AX10" si="14">+M10+P10+S10+V10+Y10+AB10+AG10+AJ10+AP10+AM10+AS10+AV10</f>
        <v>9</v>
      </c>
      <c r="AY10" s="1491">
        <f t="shared" ref="AY10" si="15">+AX10/G10</f>
        <v>1.5</v>
      </c>
    </row>
    <row r="11" spans="1:52" s="22" customFormat="1" ht="71.25" customHeight="1" thickTop="1" thickBot="1">
      <c r="A11" s="2979"/>
      <c r="B11" s="2863" t="s">
        <v>94</v>
      </c>
      <c r="C11" s="25" t="s">
        <v>647</v>
      </c>
      <c r="D11" s="627" t="s">
        <v>96</v>
      </c>
      <c r="E11" s="25" t="s">
        <v>97</v>
      </c>
      <c r="F11" s="25" t="s">
        <v>18</v>
      </c>
      <c r="G11" s="26">
        <v>110343</v>
      </c>
      <c r="H11" s="98"/>
      <c r="I11" s="671" t="s">
        <v>98</v>
      </c>
      <c r="J11" s="98"/>
      <c r="K11" s="25" t="s">
        <v>20</v>
      </c>
      <c r="L11" s="31" t="s">
        <v>98</v>
      </c>
      <c r="M11" s="32"/>
      <c r="N11" s="19" t="e">
        <f>+M11/L11</f>
        <v>#VALUE!</v>
      </c>
      <c r="O11" s="31">
        <v>0</v>
      </c>
      <c r="P11" s="32"/>
      <c r="Q11" s="19" t="e">
        <f>+P11/O11</f>
        <v>#DIV/0!</v>
      </c>
      <c r="R11" s="31">
        <v>0</v>
      </c>
      <c r="S11" s="32"/>
      <c r="T11" s="19" t="e">
        <f>+S11/R11</f>
        <v>#DIV/0!</v>
      </c>
      <c r="U11" s="31">
        <v>0</v>
      </c>
      <c r="V11" s="32"/>
      <c r="W11" s="19" t="e">
        <f>+V11/U11</f>
        <v>#DIV/0!</v>
      </c>
      <c r="X11" s="31">
        <v>0</v>
      </c>
      <c r="Y11" s="32"/>
      <c r="Z11" s="19" t="e">
        <f>+Y11/X11</f>
        <v>#DIV/0!</v>
      </c>
      <c r="AA11" s="31">
        <v>0</v>
      </c>
      <c r="AB11" s="32"/>
      <c r="AC11" s="19" t="e">
        <f>+AB11/AA11</f>
        <v>#DIV/0!</v>
      </c>
      <c r="AD11" s="31">
        <f>+M11+P11+S11+V11+Y11+AB11</f>
        <v>0</v>
      </c>
      <c r="AE11" s="19">
        <f>AD11/G11</f>
        <v>0</v>
      </c>
      <c r="AF11" s="31">
        <v>0</v>
      </c>
      <c r="AG11" s="32"/>
      <c r="AH11" s="19" t="e">
        <f>+AG11/AF11</f>
        <v>#DIV/0!</v>
      </c>
      <c r="AI11" s="31">
        <v>0</v>
      </c>
      <c r="AJ11" s="32"/>
      <c r="AK11" s="19" t="e">
        <f>+AJ11/AI11</f>
        <v>#DIV/0!</v>
      </c>
      <c r="AL11" s="31">
        <v>0</v>
      </c>
      <c r="AM11" s="32"/>
      <c r="AN11" s="19" t="e">
        <f>+AM11/AL11</f>
        <v>#DIV/0!</v>
      </c>
      <c r="AO11" s="31">
        <v>0</v>
      </c>
      <c r="AP11" s="32"/>
      <c r="AQ11" s="19" t="e">
        <f>+AP11/AO11</f>
        <v>#DIV/0!</v>
      </c>
      <c r="AR11" s="31">
        <v>0</v>
      </c>
      <c r="AS11" s="32"/>
      <c r="AT11" s="19" t="e">
        <f>+AS11/AR11</f>
        <v>#DIV/0!</v>
      </c>
      <c r="AU11" s="31">
        <v>0</v>
      </c>
      <c r="AV11" s="32">
        <v>0.11</v>
      </c>
      <c r="AW11" s="19" t="e">
        <f>+AV11/AU11</f>
        <v>#DIV/0!</v>
      </c>
      <c r="AX11" s="31">
        <v>110343</v>
      </c>
      <c r="AY11" s="1491">
        <f>+AX11/G11</f>
        <v>1</v>
      </c>
    </row>
    <row r="12" spans="1:52" s="22" customFormat="1" ht="78.599999999999994" customHeight="1" thickTop="1" thickBot="1">
      <c r="A12" s="2979"/>
      <c r="B12" s="2942"/>
      <c r="C12" s="3114" t="s">
        <v>301</v>
      </c>
      <c r="D12" s="623" t="s">
        <v>99</v>
      </c>
      <c r="E12" s="561" t="s">
        <v>100</v>
      </c>
      <c r="F12" s="561" t="s">
        <v>101</v>
      </c>
      <c r="G12" s="33">
        <v>14210000000</v>
      </c>
      <c r="H12" s="96"/>
      <c r="I12" s="33"/>
      <c r="J12" s="96"/>
      <c r="K12" s="561" t="s">
        <v>172</v>
      </c>
      <c r="L12" s="20">
        <v>1136799999.9999998</v>
      </c>
      <c r="M12" s="21">
        <v>607642000</v>
      </c>
      <c r="N12" s="19">
        <f t="shared" ref="N12:N29" si="16">+M12/L12</f>
        <v>0.53451970443349761</v>
      </c>
      <c r="O12" s="20">
        <v>1136799999.9999998</v>
      </c>
      <c r="P12" s="21">
        <v>736449000</v>
      </c>
      <c r="Q12" s="19">
        <f t="shared" ref="Q12:Q29" si="17">+P12/O12</f>
        <v>0.6478263546798031</v>
      </c>
      <c r="R12" s="20">
        <v>1136799999.9999998</v>
      </c>
      <c r="S12" s="21">
        <v>450087000</v>
      </c>
      <c r="T12" s="19">
        <f t="shared" ref="T12:T29" si="18">+S12/R12</f>
        <v>0.39592452498240682</v>
      </c>
      <c r="U12" s="20">
        <v>1278899999.9999998</v>
      </c>
      <c r="V12" s="21">
        <v>487123000</v>
      </c>
      <c r="W12" s="19">
        <f t="shared" ref="W12:W29" si="19">+V12/U12</f>
        <v>0.38089217296113853</v>
      </c>
      <c r="X12" s="20">
        <v>1421000000</v>
      </c>
      <c r="Y12" s="21">
        <v>170012000</v>
      </c>
      <c r="Z12" s="19">
        <f t="shared" ref="Z12:Z29" si="20">+Y12/X12</f>
        <v>0.11964250527797325</v>
      </c>
      <c r="AA12" s="20">
        <v>1421000000</v>
      </c>
      <c r="AB12" s="21">
        <v>562046000</v>
      </c>
      <c r="AC12" s="19">
        <f t="shared" ref="AC12:AC29" si="21">+AB12/AA12</f>
        <v>0.39552850105559467</v>
      </c>
      <c r="AD12" s="20">
        <f t="shared" ref="AD12:AD29" si="22">+M12+P12+S12+V12+Y12+AB12</f>
        <v>3013359000</v>
      </c>
      <c r="AE12" s="19">
        <f t="shared" ref="AE12:AE29" si="23">AD12/G12</f>
        <v>0.21205904292751585</v>
      </c>
      <c r="AF12" s="20">
        <v>1421000000</v>
      </c>
      <c r="AG12" s="21">
        <v>1833766000</v>
      </c>
      <c r="AH12" s="19">
        <f t="shared" ref="AH12:AH29" si="24">+AG12/AF12</f>
        <v>1.290475721323012</v>
      </c>
      <c r="AI12" s="20">
        <v>1421000000</v>
      </c>
      <c r="AJ12" s="21">
        <v>279941000</v>
      </c>
      <c r="AK12" s="19">
        <f t="shared" ref="AK12:AK29" si="25">+AJ12/AI12</f>
        <v>0.19700281491907107</v>
      </c>
      <c r="AL12" s="20">
        <v>1421000000</v>
      </c>
      <c r="AM12" s="21">
        <v>762173000</v>
      </c>
      <c r="AN12" s="19">
        <f t="shared" ref="AN12:AN29" si="26">+AM12/AL12</f>
        <v>0.53636382828993667</v>
      </c>
      <c r="AO12" s="20">
        <v>1421000000</v>
      </c>
      <c r="AP12" s="21">
        <v>2340568000</v>
      </c>
      <c r="AQ12" s="19">
        <f t="shared" ref="AQ12:AQ29" si="27">+AP12/AO12</f>
        <v>1.6471273750879663</v>
      </c>
      <c r="AR12" s="20">
        <v>568399999.99999988</v>
      </c>
      <c r="AS12" s="21">
        <v>2676146253</v>
      </c>
      <c r="AT12" s="19">
        <f t="shared" ref="AT12:AT29" si="28">+AS12/AR12</f>
        <v>4.7082094528501068</v>
      </c>
      <c r="AU12" s="20">
        <v>426299999.99999994</v>
      </c>
      <c r="AV12" s="21">
        <v>1303117000</v>
      </c>
      <c r="AW12" s="19">
        <f t="shared" ref="AW12:AW29" si="29">+AV12/AU12</f>
        <v>3.0568074126202207</v>
      </c>
      <c r="AX12" s="20">
        <f t="shared" ref="AX12:AX29" si="30">+M12+P12+S12+V12+Y12+AB12+AG12+AJ12+AP12+AM12+AS12+AV12</f>
        <v>12209070253</v>
      </c>
      <c r="AY12" s="1491">
        <f t="shared" ref="AY12:AY29" si="31">+AX12/G12</f>
        <v>0.85918861738212526</v>
      </c>
    </row>
    <row r="13" spans="1:52" s="22" customFormat="1" ht="78" customHeight="1" thickTop="1" thickBot="1">
      <c r="A13" s="2979"/>
      <c r="B13" s="2942"/>
      <c r="C13" s="3115"/>
      <c r="D13" s="627" t="s">
        <v>102</v>
      </c>
      <c r="E13" s="25" t="s">
        <v>103</v>
      </c>
      <c r="F13" s="25" t="s">
        <v>101</v>
      </c>
      <c r="G13" s="30">
        <v>10700000000</v>
      </c>
      <c r="H13" s="386"/>
      <c r="I13" s="671"/>
      <c r="J13" s="386"/>
      <c r="K13" s="25" t="s">
        <v>172</v>
      </c>
      <c r="L13" s="31">
        <v>856000000</v>
      </c>
      <c r="M13" s="32">
        <v>849214000</v>
      </c>
      <c r="N13" s="19">
        <f t="shared" si="16"/>
        <v>0.9920724299065421</v>
      </c>
      <c r="O13" s="31">
        <v>856000000</v>
      </c>
      <c r="P13" s="32">
        <v>336223000</v>
      </c>
      <c r="Q13" s="19">
        <f t="shared" si="17"/>
        <v>0.39278387850467289</v>
      </c>
      <c r="R13" s="31">
        <v>856000000</v>
      </c>
      <c r="S13" s="32">
        <v>342948000</v>
      </c>
      <c r="T13" s="19">
        <f t="shared" si="18"/>
        <v>0.40064018691588787</v>
      </c>
      <c r="U13" s="31">
        <v>963000000</v>
      </c>
      <c r="V13" s="32">
        <v>561473000</v>
      </c>
      <c r="W13" s="19">
        <f t="shared" si="19"/>
        <v>0.58304569055036348</v>
      </c>
      <c r="X13" s="31">
        <v>1070000000</v>
      </c>
      <c r="Y13" s="32">
        <v>197539000</v>
      </c>
      <c r="Z13" s="19">
        <f t="shared" si="20"/>
        <v>0.18461588785046729</v>
      </c>
      <c r="AA13" s="31">
        <v>1070000000</v>
      </c>
      <c r="AB13" s="32">
        <v>498726000</v>
      </c>
      <c r="AC13" s="19">
        <f t="shared" si="21"/>
        <v>0.46609906542056073</v>
      </c>
      <c r="AD13" s="31">
        <f t="shared" si="22"/>
        <v>2786123000</v>
      </c>
      <c r="AE13" s="19">
        <f t="shared" si="23"/>
        <v>0.26038532710280377</v>
      </c>
      <c r="AF13" s="31">
        <v>1070000000</v>
      </c>
      <c r="AG13" s="32">
        <v>1185025000</v>
      </c>
      <c r="AH13" s="19">
        <f t="shared" si="24"/>
        <v>1.1074999999999999</v>
      </c>
      <c r="AI13" s="31">
        <v>1070000000</v>
      </c>
      <c r="AJ13" s="32">
        <v>260837000</v>
      </c>
      <c r="AK13" s="19">
        <f t="shared" si="25"/>
        <v>0.24377289719626169</v>
      </c>
      <c r="AL13" s="31">
        <v>1070000000</v>
      </c>
      <c r="AM13" s="32">
        <v>904468000</v>
      </c>
      <c r="AN13" s="19">
        <f t="shared" si="26"/>
        <v>0.8452971962616822</v>
      </c>
      <c r="AO13" s="31">
        <v>1070000000</v>
      </c>
      <c r="AP13" s="32">
        <v>1424739000</v>
      </c>
      <c r="AQ13" s="19">
        <f t="shared" si="27"/>
        <v>1.3315317757009346</v>
      </c>
      <c r="AR13" s="31">
        <v>428000000</v>
      </c>
      <c r="AS13" s="32">
        <v>945103253</v>
      </c>
      <c r="AT13" s="19">
        <f t="shared" si="28"/>
        <v>2.2081851705607476</v>
      </c>
      <c r="AU13" s="31">
        <v>321000000</v>
      </c>
      <c r="AV13" s="32">
        <v>1000073000</v>
      </c>
      <c r="AW13" s="19">
        <f t="shared" si="29"/>
        <v>3.1154922118380064</v>
      </c>
      <c r="AX13" s="31">
        <f t="shared" si="30"/>
        <v>8506368253</v>
      </c>
      <c r="AY13" s="1491">
        <f t="shared" si="31"/>
        <v>0.79498768719626167</v>
      </c>
    </row>
    <row r="14" spans="1:52" s="22" customFormat="1" ht="70.900000000000006" customHeight="1" thickTop="1" thickBot="1">
      <c r="A14" s="2979"/>
      <c r="B14" s="2942"/>
      <c r="C14" s="3115"/>
      <c r="D14" s="623" t="s">
        <v>104</v>
      </c>
      <c r="E14" s="561" t="s">
        <v>105</v>
      </c>
      <c r="F14" s="561" t="s">
        <v>24</v>
      </c>
      <c r="G14" s="561">
        <v>32</v>
      </c>
      <c r="H14" s="85"/>
      <c r="I14" s="674"/>
      <c r="J14" s="85"/>
      <c r="K14" s="561" t="s">
        <v>172</v>
      </c>
      <c r="L14" s="675">
        <v>0</v>
      </c>
      <c r="M14" s="36"/>
      <c r="N14" s="19" t="e">
        <f t="shared" si="16"/>
        <v>#DIV/0!</v>
      </c>
      <c r="O14" s="675">
        <v>0</v>
      </c>
      <c r="P14" s="36"/>
      <c r="Q14" s="19" t="e">
        <f t="shared" si="17"/>
        <v>#DIV/0!</v>
      </c>
      <c r="R14" s="675">
        <v>8</v>
      </c>
      <c r="S14" s="36">
        <v>21</v>
      </c>
      <c r="T14" s="19">
        <f t="shared" si="18"/>
        <v>2.625</v>
      </c>
      <c r="U14" s="675">
        <v>0</v>
      </c>
      <c r="V14" s="36"/>
      <c r="W14" s="19" t="e">
        <f t="shared" si="19"/>
        <v>#DIV/0!</v>
      </c>
      <c r="X14" s="675">
        <v>0</v>
      </c>
      <c r="Y14" s="36"/>
      <c r="Z14" s="19" t="e">
        <f t="shared" si="20"/>
        <v>#DIV/0!</v>
      </c>
      <c r="AA14" s="675">
        <v>8</v>
      </c>
      <c r="AB14" s="36">
        <v>6</v>
      </c>
      <c r="AC14" s="19">
        <f t="shared" si="21"/>
        <v>0.75</v>
      </c>
      <c r="AD14" s="37">
        <f t="shared" si="22"/>
        <v>27</v>
      </c>
      <c r="AE14" s="19">
        <f t="shared" si="23"/>
        <v>0.84375</v>
      </c>
      <c r="AF14" s="675">
        <v>0</v>
      </c>
      <c r="AG14" s="36"/>
      <c r="AH14" s="19" t="e">
        <f t="shared" si="24"/>
        <v>#DIV/0!</v>
      </c>
      <c r="AI14" s="675">
        <v>0</v>
      </c>
      <c r="AJ14" s="36"/>
      <c r="AK14" s="19" t="e">
        <f t="shared" si="25"/>
        <v>#DIV/0!</v>
      </c>
      <c r="AL14" s="675">
        <v>8</v>
      </c>
      <c r="AM14" s="36">
        <v>1</v>
      </c>
      <c r="AN14" s="19">
        <f t="shared" si="26"/>
        <v>0.125</v>
      </c>
      <c r="AO14" s="675">
        <v>0</v>
      </c>
      <c r="AP14" s="36"/>
      <c r="AQ14" s="19" t="e">
        <f t="shared" si="27"/>
        <v>#DIV/0!</v>
      </c>
      <c r="AR14" s="675">
        <v>0</v>
      </c>
      <c r="AS14" s="36"/>
      <c r="AT14" s="19" t="e">
        <f t="shared" si="28"/>
        <v>#DIV/0!</v>
      </c>
      <c r="AU14" s="675">
        <v>8</v>
      </c>
      <c r="AV14" s="36">
        <v>4</v>
      </c>
      <c r="AW14" s="19">
        <f t="shared" si="29"/>
        <v>0.5</v>
      </c>
      <c r="AX14" s="1494">
        <f t="shared" si="30"/>
        <v>32</v>
      </c>
      <c r="AY14" s="1491">
        <f t="shared" si="31"/>
        <v>1</v>
      </c>
    </row>
    <row r="15" spans="1:52" s="22" customFormat="1" ht="70.900000000000006" customHeight="1" thickTop="1" thickBot="1">
      <c r="A15" s="2979"/>
      <c r="B15" s="2942"/>
      <c r="C15" s="3116"/>
      <c r="D15" s="627" t="s">
        <v>106</v>
      </c>
      <c r="E15" s="25" t="s">
        <v>107</v>
      </c>
      <c r="F15" s="25" t="s">
        <v>24</v>
      </c>
      <c r="G15" s="25">
        <v>55</v>
      </c>
      <c r="H15" s="98"/>
      <c r="I15" s="671"/>
      <c r="J15" s="98"/>
      <c r="K15" s="25" t="s">
        <v>172</v>
      </c>
      <c r="L15" s="676">
        <v>0</v>
      </c>
      <c r="M15" s="34"/>
      <c r="N15" s="19" t="e">
        <f t="shared" si="16"/>
        <v>#DIV/0!</v>
      </c>
      <c r="O15" s="676">
        <v>0</v>
      </c>
      <c r="P15" s="34"/>
      <c r="Q15" s="19" t="e">
        <f t="shared" si="17"/>
        <v>#DIV/0!</v>
      </c>
      <c r="R15" s="676">
        <v>0</v>
      </c>
      <c r="S15" s="34"/>
      <c r="T15" s="19" t="e">
        <f t="shared" si="18"/>
        <v>#DIV/0!</v>
      </c>
      <c r="U15" s="676">
        <v>0</v>
      </c>
      <c r="V15" s="34"/>
      <c r="W15" s="19" t="e">
        <f t="shared" si="19"/>
        <v>#DIV/0!</v>
      </c>
      <c r="X15" s="676">
        <v>0</v>
      </c>
      <c r="Y15" s="34"/>
      <c r="Z15" s="19" t="e">
        <f t="shared" si="20"/>
        <v>#DIV/0!</v>
      </c>
      <c r="AA15" s="676">
        <v>0</v>
      </c>
      <c r="AB15" s="34"/>
      <c r="AC15" s="19" t="e">
        <f t="shared" si="21"/>
        <v>#DIV/0!</v>
      </c>
      <c r="AD15" s="35">
        <f t="shared" si="22"/>
        <v>0</v>
      </c>
      <c r="AE15" s="19">
        <f t="shared" si="23"/>
        <v>0</v>
      </c>
      <c r="AF15" s="676">
        <v>28</v>
      </c>
      <c r="AG15" s="34">
        <v>30</v>
      </c>
      <c r="AH15" s="19">
        <f t="shared" si="24"/>
        <v>1.0714285714285714</v>
      </c>
      <c r="AI15" s="676">
        <v>0</v>
      </c>
      <c r="AJ15" s="34"/>
      <c r="AK15" s="19" t="e">
        <f t="shared" si="25"/>
        <v>#DIV/0!</v>
      </c>
      <c r="AL15" s="676">
        <v>0</v>
      </c>
      <c r="AM15" s="34"/>
      <c r="AN15" s="19" t="e">
        <f t="shared" si="26"/>
        <v>#DIV/0!</v>
      </c>
      <c r="AO15" s="676">
        <v>0</v>
      </c>
      <c r="AP15" s="34"/>
      <c r="AQ15" s="19" t="e">
        <f t="shared" si="27"/>
        <v>#DIV/0!</v>
      </c>
      <c r="AR15" s="676">
        <v>0</v>
      </c>
      <c r="AS15" s="34"/>
      <c r="AT15" s="19" t="e">
        <f t="shared" si="28"/>
        <v>#DIV/0!</v>
      </c>
      <c r="AU15" s="676">
        <v>27</v>
      </c>
      <c r="AV15" s="34">
        <v>12</v>
      </c>
      <c r="AW15" s="19">
        <f t="shared" si="29"/>
        <v>0.44444444444444442</v>
      </c>
      <c r="AX15" s="721">
        <f t="shared" si="30"/>
        <v>42</v>
      </c>
      <c r="AY15" s="1491">
        <f t="shared" si="31"/>
        <v>0.76363636363636367</v>
      </c>
    </row>
    <row r="16" spans="1:52" s="22" customFormat="1" ht="70.5" customHeight="1" thickTop="1" thickBot="1">
      <c r="A16" s="2979"/>
      <c r="B16" s="2942"/>
      <c r="C16" s="677" t="s">
        <v>648</v>
      </c>
      <c r="D16" s="623" t="s">
        <v>109</v>
      </c>
      <c r="E16" s="561" t="s">
        <v>110</v>
      </c>
      <c r="F16" s="561" t="s">
        <v>18</v>
      </c>
      <c r="G16" s="679">
        <v>33285</v>
      </c>
      <c r="H16" s="85"/>
      <c r="I16" s="674"/>
      <c r="J16" s="85"/>
      <c r="K16" s="561" t="s">
        <v>21</v>
      </c>
      <c r="L16" s="1495">
        <v>0</v>
      </c>
      <c r="M16" s="1496"/>
      <c r="N16" s="19" t="e">
        <f t="shared" si="16"/>
        <v>#DIV/0!</v>
      </c>
      <c r="O16" s="1495">
        <v>0</v>
      </c>
      <c r="P16" s="1496"/>
      <c r="Q16" s="19" t="e">
        <f t="shared" si="17"/>
        <v>#DIV/0!</v>
      </c>
      <c r="R16" s="1495">
        <v>8093.656113156967</v>
      </c>
      <c r="S16" s="1496">
        <v>9011.99</v>
      </c>
      <c r="T16" s="19">
        <f t="shared" si="18"/>
        <v>1.1134634180157714</v>
      </c>
      <c r="U16" s="1495">
        <v>2405.9169196341586</v>
      </c>
      <c r="V16" s="1496">
        <v>924.31</v>
      </c>
      <c r="W16" s="19">
        <f t="shared" si="19"/>
        <v>0.38418201079883907</v>
      </c>
      <c r="X16" s="1495">
        <v>3394.9043006442698</v>
      </c>
      <c r="Y16" s="1496">
        <v>1916.71</v>
      </c>
      <c r="Z16" s="19">
        <f t="shared" si="20"/>
        <v>0.5645843977505508</v>
      </c>
      <c r="AA16" s="1495">
        <v>3169.8337726461355</v>
      </c>
      <c r="AB16" s="1496">
        <v>1347.91</v>
      </c>
      <c r="AC16" s="19">
        <f t="shared" si="21"/>
        <v>0.42523049998132317</v>
      </c>
      <c r="AD16" s="1497">
        <f t="shared" si="22"/>
        <v>13200.919999999998</v>
      </c>
      <c r="AE16" s="19">
        <f t="shared" si="23"/>
        <v>0.39660267387712178</v>
      </c>
      <c r="AF16" s="1495">
        <v>2409.1785876880572</v>
      </c>
      <c r="AG16" s="1496">
        <v>2035.43</v>
      </c>
      <c r="AH16" s="19">
        <f t="shared" si="24"/>
        <v>0.84486472293997894</v>
      </c>
      <c r="AI16" s="1495">
        <v>2275.3363995366426</v>
      </c>
      <c r="AJ16" s="1496">
        <v>3114.69</v>
      </c>
      <c r="AK16" s="19">
        <f t="shared" si="25"/>
        <v>1.3688920902571973</v>
      </c>
      <c r="AL16" s="1495">
        <v>3696.1989497905001</v>
      </c>
      <c r="AM16" s="1496">
        <v>3285.15</v>
      </c>
      <c r="AN16" s="19">
        <f t="shared" si="26"/>
        <v>0.88879144348715367</v>
      </c>
      <c r="AO16" s="1495">
        <v>3755.3250468824358</v>
      </c>
      <c r="AP16" s="1496">
        <v>2886.71</v>
      </c>
      <c r="AQ16" s="19">
        <f t="shared" si="27"/>
        <v>0.76869777288558938</v>
      </c>
      <c r="AR16" s="1495">
        <v>2208.328434480301</v>
      </c>
      <c r="AS16" s="1496">
        <v>2246</v>
      </c>
      <c r="AT16" s="19">
        <f t="shared" si="28"/>
        <v>1.0170588599646251</v>
      </c>
      <c r="AU16" s="1495">
        <v>1876.0477058261629</v>
      </c>
      <c r="AV16" s="1496">
        <v>2402.3200000000002</v>
      </c>
      <c r="AW16" s="19">
        <f t="shared" si="29"/>
        <v>1.28052180791537</v>
      </c>
      <c r="AX16" s="1495">
        <f t="shared" si="30"/>
        <v>29171.219999999998</v>
      </c>
      <c r="AY16" s="1491">
        <f t="shared" si="31"/>
        <v>0.87640739071653895</v>
      </c>
    </row>
    <row r="17" spans="1:265" s="128" customFormat="1" ht="67.5" customHeight="1" thickTop="1" thickBot="1">
      <c r="A17" s="2979"/>
      <c r="B17" s="2942"/>
      <c r="C17" s="25" t="s">
        <v>649</v>
      </c>
      <c r="D17" s="627" t="s">
        <v>111</v>
      </c>
      <c r="E17" s="25" t="s">
        <v>112</v>
      </c>
      <c r="F17" s="25" t="s">
        <v>17</v>
      </c>
      <c r="G17" s="99">
        <v>156</v>
      </c>
      <c r="H17" s="98"/>
      <c r="I17" s="671"/>
      <c r="J17" s="98"/>
      <c r="K17" s="25" t="s">
        <v>20</v>
      </c>
      <c r="L17" s="635">
        <v>0</v>
      </c>
      <c r="M17" s="578"/>
      <c r="N17" s="19" t="e">
        <f t="shared" si="16"/>
        <v>#DIV/0!</v>
      </c>
      <c r="O17" s="635">
        <v>0</v>
      </c>
      <c r="P17" s="578"/>
      <c r="Q17" s="19" t="e">
        <f t="shared" si="17"/>
        <v>#DIV/0!</v>
      </c>
      <c r="R17" s="635">
        <v>0</v>
      </c>
      <c r="S17" s="578"/>
      <c r="T17" s="19" t="e">
        <f t="shared" si="18"/>
        <v>#DIV/0!</v>
      </c>
      <c r="U17" s="635">
        <v>0</v>
      </c>
      <c r="V17" s="578"/>
      <c r="W17" s="19" t="e">
        <f t="shared" si="19"/>
        <v>#DIV/0!</v>
      </c>
      <c r="X17" s="635">
        <v>0</v>
      </c>
      <c r="Y17" s="578"/>
      <c r="Z17" s="19" t="e">
        <f t="shared" si="20"/>
        <v>#DIV/0!</v>
      </c>
      <c r="AA17" s="635">
        <v>0</v>
      </c>
      <c r="AB17" s="578"/>
      <c r="AC17" s="19" t="e">
        <f t="shared" si="21"/>
        <v>#DIV/0!</v>
      </c>
      <c r="AD17" s="1498">
        <f t="shared" si="22"/>
        <v>0</v>
      </c>
      <c r="AE17" s="19">
        <f t="shared" si="23"/>
        <v>0</v>
      </c>
      <c r="AF17" s="635">
        <v>0</v>
      </c>
      <c r="AG17" s="578"/>
      <c r="AH17" s="19" t="e">
        <f t="shared" si="24"/>
        <v>#DIV/0!</v>
      </c>
      <c r="AI17" s="635">
        <v>0</v>
      </c>
      <c r="AJ17" s="578"/>
      <c r="AK17" s="19" t="e">
        <f t="shared" si="25"/>
        <v>#DIV/0!</v>
      </c>
      <c r="AL17" s="635">
        <v>0</v>
      </c>
      <c r="AM17" s="578"/>
      <c r="AN17" s="19" t="e">
        <f t="shared" si="26"/>
        <v>#DIV/0!</v>
      </c>
      <c r="AO17" s="635">
        <v>152</v>
      </c>
      <c r="AP17" s="578">
        <v>93</v>
      </c>
      <c r="AQ17" s="19">
        <f t="shared" si="27"/>
        <v>0.61184210526315785</v>
      </c>
      <c r="AR17" s="635">
        <v>0</v>
      </c>
      <c r="AS17" s="578"/>
      <c r="AT17" s="19" t="e">
        <f t="shared" si="28"/>
        <v>#DIV/0!</v>
      </c>
      <c r="AU17" s="635">
        <v>4</v>
      </c>
      <c r="AV17" s="578">
        <v>1</v>
      </c>
      <c r="AW17" s="19">
        <f t="shared" si="29"/>
        <v>0.25</v>
      </c>
      <c r="AX17" s="1499">
        <f t="shared" si="30"/>
        <v>94</v>
      </c>
      <c r="AY17" s="1491">
        <f t="shared" si="31"/>
        <v>0.60256410256410253</v>
      </c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</row>
    <row r="18" spans="1:265" s="22" customFormat="1" ht="77.25" customHeight="1" thickTop="1" thickBot="1">
      <c r="A18" s="2979"/>
      <c r="B18" s="2942"/>
      <c r="C18" s="561" t="s">
        <v>351</v>
      </c>
      <c r="D18" s="623" t="s">
        <v>114</v>
      </c>
      <c r="E18" s="561" t="s">
        <v>115</v>
      </c>
      <c r="F18" s="561" t="s">
        <v>10</v>
      </c>
      <c r="G18" s="48">
        <v>1</v>
      </c>
      <c r="H18" s="85"/>
      <c r="I18" s="674"/>
      <c r="J18" s="85"/>
      <c r="K18" s="561" t="s">
        <v>20</v>
      </c>
      <c r="L18" s="653">
        <v>0</v>
      </c>
      <c r="M18" s="50"/>
      <c r="N18" s="19" t="e">
        <f t="shared" si="16"/>
        <v>#DIV/0!</v>
      </c>
      <c r="O18" s="653">
        <v>0</v>
      </c>
      <c r="P18" s="50"/>
      <c r="Q18" s="19" t="e">
        <f t="shared" si="17"/>
        <v>#DIV/0!</v>
      </c>
      <c r="R18" s="653">
        <v>0.25</v>
      </c>
      <c r="S18" s="50">
        <v>0.25</v>
      </c>
      <c r="T18" s="19">
        <f t="shared" si="18"/>
        <v>1</v>
      </c>
      <c r="U18" s="653">
        <v>0</v>
      </c>
      <c r="V18" s="50"/>
      <c r="W18" s="19" t="e">
        <f t="shared" si="19"/>
        <v>#DIV/0!</v>
      </c>
      <c r="X18" s="653">
        <v>0</v>
      </c>
      <c r="Y18" s="50"/>
      <c r="Z18" s="19" t="e">
        <f t="shared" si="20"/>
        <v>#DIV/0!</v>
      </c>
      <c r="AA18" s="653">
        <v>0.25</v>
      </c>
      <c r="AB18" s="50">
        <v>0.25</v>
      </c>
      <c r="AC18" s="19">
        <f t="shared" si="21"/>
        <v>1</v>
      </c>
      <c r="AD18" s="1500">
        <f t="shared" si="22"/>
        <v>0.5</v>
      </c>
      <c r="AE18" s="19">
        <f t="shared" si="23"/>
        <v>0.5</v>
      </c>
      <c r="AF18" s="653">
        <v>0</v>
      </c>
      <c r="AG18" s="50"/>
      <c r="AH18" s="19" t="e">
        <f t="shared" si="24"/>
        <v>#DIV/0!</v>
      </c>
      <c r="AI18" s="653">
        <v>0</v>
      </c>
      <c r="AJ18" s="50"/>
      <c r="AK18" s="19" t="e">
        <f t="shared" si="25"/>
        <v>#DIV/0!</v>
      </c>
      <c r="AL18" s="653">
        <v>0.25</v>
      </c>
      <c r="AM18" s="50">
        <v>0.25</v>
      </c>
      <c r="AN18" s="19">
        <f t="shared" si="26"/>
        <v>1</v>
      </c>
      <c r="AO18" s="653">
        <v>0</v>
      </c>
      <c r="AP18" s="50"/>
      <c r="AQ18" s="19" t="e">
        <f t="shared" si="27"/>
        <v>#DIV/0!</v>
      </c>
      <c r="AR18" s="653">
        <v>0</v>
      </c>
      <c r="AS18" s="50"/>
      <c r="AT18" s="19" t="e">
        <f t="shared" si="28"/>
        <v>#DIV/0!</v>
      </c>
      <c r="AU18" s="653">
        <v>0.25</v>
      </c>
      <c r="AV18" s="50">
        <v>0.25</v>
      </c>
      <c r="AW18" s="19">
        <f t="shared" si="29"/>
        <v>1</v>
      </c>
      <c r="AX18" s="654">
        <f t="shared" si="30"/>
        <v>1</v>
      </c>
      <c r="AY18" s="1491">
        <f t="shared" si="31"/>
        <v>1</v>
      </c>
    </row>
    <row r="19" spans="1:265" s="22" customFormat="1" ht="77.25" customHeight="1" thickTop="1" thickBot="1">
      <c r="A19" s="2979"/>
      <c r="B19" s="2942"/>
      <c r="C19" s="25" t="s">
        <v>375</v>
      </c>
      <c r="D19" s="627" t="s">
        <v>116</v>
      </c>
      <c r="E19" s="25" t="s">
        <v>117</v>
      </c>
      <c r="F19" s="25" t="s">
        <v>17</v>
      </c>
      <c r="G19" s="688">
        <v>2891</v>
      </c>
      <c r="H19" s="98"/>
      <c r="I19" s="671"/>
      <c r="J19" s="98"/>
      <c r="K19" s="25" t="s">
        <v>118</v>
      </c>
      <c r="L19" s="635">
        <v>0</v>
      </c>
      <c r="M19" s="578"/>
      <c r="N19" s="19" t="e">
        <f t="shared" si="16"/>
        <v>#DIV/0!</v>
      </c>
      <c r="O19" s="635">
        <v>0</v>
      </c>
      <c r="P19" s="578"/>
      <c r="Q19" s="19" t="e">
        <f t="shared" si="17"/>
        <v>#DIV/0!</v>
      </c>
      <c r="R19" s="635">
        <v>549</v>
      </c>
      <c r="S19" s="578">
        <v>272</v>
      </c>
      <c r="T19" s="19">
        <f t="shared" si="18"/>
        <v>0.49544626593806923</v>
      </c>
      <c r="U19" s="635">
        <v>446</v>
      </c>
      <c r="V19" s="578">
        <v>6</v>
      </c>
      <c r="W19" s="19">
        <f t="shared" si="19"/>
        <v>1.3452914798206279E-2</v>
      </c>
      <c r="X19" s="635">
        <v>130</v>
      </c>
      <c r="Y19" s="578">
        <v>24</v>
      </c>
      <c r="Z19" s="19">
        <f t="shared" si="20"/>
        <v>0.18461538461538463</v>
      </c>
      <c r="AA19" s="635">
        <v>146</v>
      </c>
      <c r="AB19" s="578">
        <v>108</v>
      </c>
      <c r="AC19" s="19">
        <f t="shared" si="21"/>
        <v>0.73972602739726023</v>
      </c>
      <c r="AD19" s="1498">
        <f t="shared" si="22"/>
        <v>410</v>
      </c>
      <c r="AE19" s="19">
        <f t="shared" si="23"/>
        <v>0.14181943964026289</v>
      </c>
      <c r="AF19" s="635">
        <v>269</v>
      </c>
      <c r="AG19" s="578">
        <v>133</v>
      </c>
      <c r="AH19" s="19">
        <f t="shared" si="24"/>
        <v>0.49442379182156132</v>
      </c>
      <c r="AI19" s="635">
        <v>410</v>
      </c>
      <c r="AJ19" s="578">
        <v>163</v>
      </c>
      <c r="AK19" s="19">
        <f t="shared" si="25"/>
        <v>0.39756097560975612</v>
      </c>
      <c r="AL19" s="635">
        <v>557</v>
      </c>
      <c r="AM19" s="578">
        <v>188</v>
      </c>
      <c r="AN19" s="19">
        <f t="shared" si="26"/>
        <v>0.33752244165170558</v>
      </c>
      <c r="AO19" s="635">
        <v>218</v>
      </c>
      <c r="AP19" s="578">
        <v>259</v>
      </c>
      <c r="AQ19" s="19">
        <f t="shared" si="27"/>
        <v>1.1880733944954129</v>
      </c>
      <c r="AR19" s="635">
        <v>150</v>
      </c>
      <c r="AS19" s="578">
        <v>1142</v>
      </c>
      <c r="AT19" s="19">
        <f t="shared" si="28"/>
        <v>7.6133333333333333</v>
      </c>
      <c r="AU19" s="635">
        <v>16</v>
      </c>
      <c r="AV19" s="578">
        <v>687</v>
      </c>
      <c r="AW19" s="19">
        <f t="shared" si="29"/>
        <v>42.9375</v>
      </c>
      <c r="AX19" s="1499">
        <f t="shared" si="30"/>
        <v>2982</v>
      </c>
      <c r="AY19" s="1491">
        <f t="shared" si="31"/>
        <v>1.0314769975786926</v>
      </c>
    </row>
    <row r="20" spans="1:265" s="22" customFormat="1" ht="66.75" customHeight="1" thickTop="1" thickBot="1">
      <c r="A20" s="2979"/>
      <c r="B20" s="2942"/>
      <c r="C20" s="2928" t="s">
        <v>119</v>
      </c>
      <c r="D20" s="623" t="s">
        <v>120</v>
      </c>
      <c r="E20" s="561" t="s">
        <v>121</v>
      </c>
      <c r="F20" s="561" t="s">
        <v>10</v>
      </c>
      <c r="G20" s="872">
        <v>0.64100000000000001</v>
      </c>
      <c r="H20" s="85"/>
      <c r="I20" s="674"/>
      <c r="J20" s="85"/>
      <c r="K20" s="561" t="s">
        <v>7</v>
      </c>
      <c r="L20" s="653">
        <v>0</v>
      </c>
      <c r="M20" s="50"/>
      <c r="N20" s="19" t="e">
        <f t="shared" si="16"/>
        <v>#DIV/0!</v>
      </c>
      <c r="O20" s="653">
        <v>0</v>
      </c>
      <c r="P20" s="50"/>
      <c r="Q20" s="19" t="e">
        <f t="shared" si="17"/>
        <v>#DIV/0!</v>
      </c>
      <c r="R20" s="653">
        <v>0</v>
      </c>
      <c r="S20" s="50"/>
      <c r="T20" s="19" t="e">
        <f t="shared" si="18"/>
        <v>#DIV/0!</v>
      </c>
      <c r="U20" s="653">
        <v>0</v>
      </c>
      <c r="V20" s="50"/>
      <c r="W20" s="19" t="e">
        <f t="shared" si="19"/>
        <v>#DIV/0!</v>
      </c>
      <c r="X20" s="653">
        <v>0</v>
      </c>
      <c r="Y20" s="50"/>
      <c r="Z20" s="19" t="e">
        <f t="shared" si="20"/>
        <v>#DIV/0!</v>
      </c>
      <c r="AA20" s="653">
        <v>0</v>
      </c>
      <c r="AB20" s="50"/>
      <c r="AC20" s="19" t="e">
        <f t="shared" si="21"/>
        <v>#DIV/0!</v>
      </c>
      <c r="AD20" s="1500">
        <f t="shared" si="22"/>
        <v>0</v>
      </c>
      <c r="AE20" s="19">
        <f t="shared" si="23"/>
        <v>0</v>
      </c>
      <c r="AF20" s="653">
        <v>0</v>
      </c>
      <c r="AG20" s="50"/>
      <c r="AH20" s="19" t="e">
        <f t="shared" si="24"/>
        <v>#DIV/0!</v>
      </c>
      <c r="AI20" s="653">
        <v>0</v>
      </c>
      <c r="AJ20" s="50"/>
      <c r="AK20" s="19" t="e">
        <f t="shared" si="25"/>
        <v>#DIV/0!</v>
      </c>
      <c r="AL20" s="653">
        <v>0</v>
      </c>
      <c r="AM20" s="50"/>
      <c r="AN20" s="19" t="e">
        <f t="shared" si="26"/>
        <v>#DIV/0!</v>
      </c>
      <c r="AO20" s="653">
        <v>0</v>
      </c>
      <c r="AP20" s="50"/>
      <c r="AQ20" s="19" t="e">
        <f t="shared" si="27"/>
        <v>#DIV/0!</v>
      </c>
      <c r="AR20" s="653">
        <v>0</v>
      </c>
      <c r="AS20" s="50"/>
      <c r="AT20" s="19" t="e">
        <f t="shared" si="28"/>
        <v>#DIV/0!</v>
      </c>
      <c r="AU20" s="653">
        <v>0.64100000000000001</v>
      </c>
      <c r="AV20" s="50"/>
      <c r="AW20" s="19">
        <f t="shared" si="29"/>
        <v>0</v>
      </c>
      <c r="AX20" s="654">
        <f t="shared" si="30"/>
        <v>0</v>
      </c>
      <c r="AY20" s="1491">
        <f t="shared" si="31"/>
        <v>0</v>
      </c>
    </row>
    <row r="21" spans="1:265" s="22" customFormat="1" ht="77.25" customHeight="1" thickTop="1" thickBot="1">
      <c r="A21" s="2979"/>
      <c r="B21" s="2942"/>
      <c r="C21" s="2929"/>
      <c r="D21" s="627" t="s">
        <v>122</v>
      </c>
      <c r="E21" s="25" t="s">
        <v>123</v>
      </c>
      <c r="F21" s="25" t="s">
        <v>10</v>
      </c>
      <c r="G21" s="43">
        <v>1</v>
      </c>
      <c r="H21" s="98"/>
      <c r="I21" s="671"/>
      <c r="J21" s="98"/>
      <c r="K21" s="25" t="s">
        <v>7</v>
      </c>
      <c r="L21" s="655">
        <v>0</v>
      </c>
      <c r="M21" s="45"/>
      <c r="N21" s="19" t="e">
        <f t="shared" si="16"/>
        <v>#DIV/0!</v>
      </c>
      <c r="O21" s="655">
        <v>0</v>
      </c>
      <c r="P21" s="45"/>
      <c r="Q21" s="19" t="e">
        <f t="shared" si="17"/>
        <v>#DIV/0!</v>
      </c>
      <c r="R21" s="655">
        <v>0</v>
      </c>
      <c r="S21" s="45"/>
      <c r="T21" s="19" t="e">
        <f t="shared" si="18"/>
        <v>#DIV/0!</v>
      </c>
      <c r="U21" s="655">
        <v>1</v>
      </c>
      <c r="V21" s="45"/>
      <c r="W21" s="19">
        <f t="shared" si="19"/>
        <v>0</v>
      </c>
      <c r="X21" s="655">
        <v>0</v>
      </c>
      <c r="Y21" s="45"/>
      <c r="Z21" s="19" t="e">
        <f t="shared" si="20"/>
        <v>#DIV/0!</v>
      </c>
      <c r="AA21" s="655">
        <v>0</v>
      </c>
      <c r="AB21" s="45"/>
      <c r="AC21" s="19" t="e">
        <f t="shared" si="21"/>
        <v>#DIV/0!</v>
      </c>
      <c r="AD21" s="1501">
        <f>(V21)</f>
        <v>0</v>
      </c>
      <c r="AE21" s="19">
        <f t="shared" si="23"/>
        <v>0</v>
      </c>
      <c r="AF21" s="655">
        <v>0</v>
      </c>
      <c r="AG21" s="45"/>
      <c r="AH21" s="19" t="e">
        <f t="shared" si="24"/>
        <v>#DIV/0!</v>
      </c>
      <c r="AI21" s="655">
        <v>0</v>
      </c>
      <c r="AJ21" s="45"/>
      <c r="AK21" s="19" t="e">
        <f t="shared" si="25"/>
        <v>#DIV/0!</v>
      </c>
      <c r="AL21" s="655">
        <v>0</v>
      </c>
      <c r="AM21" s="45"/>
      <c r="AN21" s="19" t="e">
        <f t="shared" si="26"/>
        <v>#DIV/0!</v>
      </c>
      <c r="AO21" s="655">
        <v>1</v>
      </c>
      <c r="AP21" s="45"/>
      <c r="AQ21" s="19">
        <f t="shared" si="27"/>
        <v>0</v>
      </c>
      <c r="AR21" s="655">
        <v>0</v>
      </c>
      <c r="AS21" s="45"/>
      <c r="AT21" s="19" t="e">
        <f t="shared" si="28"/>
        <v>#DIV/0!</v>
      </c>
      <c r="AU21" s="655">
        <v>0</v>
      </c>
      <c r="AV21" s="45"/>
      <c r="AW21" s="19" t="e">
        <f t="shared" si="29"/>
        <v>#DIV/0!</v>
      </c>
      <c r="AX21" s="651">
        <f>(AD21+AP21)/2</f>
        <v>0</v>
      </c>
      <c r="AY21" s="1491">
        <f t="shared" si="31"/>
        <v>0</v>
      </c>
    </row>
    <row r="22" spans="1:265" s="22" customFormat="1" ht="77.25" customHeight="1" thickTop="1" thickBot="1">
      <c r="A22" s="2979"/>
      <c r="B22" s="2942"/>
      <c r="C22" s="2929"/>
      <c r="D22" s="623" t="s">
        <v>124</v>
      </c>
      <c r="E22" s="561" t="s">
        <v>125</v>
      </c>
      <c r="F22" s="561" t="s">
        <v>10</v>
      </c>
      <c r="G22" s="48">
        <v>1</v>
      </c>
      <c r="H22" s="85"/>
      <c r="I22" s="674"/>
      <c r="J22" s="85"/>
      <c r="K22" s="561" t="s">
        <v>7</v>
      </c>
      <c r="L22" s="653">
        <v>0</v>
      </c>
      <c r="M22" s="50"/>
      <c r="N22" s="19" t="e">
        <f t="shared" si="16"/>
        <v>#DIV/0!</v>
      </c>
      <c r="O22" s="653">
        <v>0</v>
      </c>
      <c r="P22" s="50"/>
      <c r="Q22" s="19" t="e">
        <f t="shared" si="17"/>
        <v>#DIV/0!</v>
      </c>
      <c r="R22" s="653">
        <v>1</v>
      </c>
      <c r="S22" s="50"/>
      <c r="T22" s="19">
        <f t="shared" si="18"/>
        <v>0</v>
      </c>
      <c r="U22" s="653">
        <v>0</v>
      </c>
      <c r="V22" s="50"/>
      <c r="W22" s="19" t="e">
        <f t="shared" si="19"/>
        <v>#DIV/0!</v>
      </c>
      <c r="X22" s="653">
        <v>0</v>
      </c>
      <c r="Y22" s="50"/>
      <c r="Z22" s="19" t="e">
        <f t="shared" si="20"/>
        <v>#DIV/0!</v>
      </c>
      <c r="AA22" s="653">
        <v>1</v>
      </c>
      <c r="AB22" s="50"/>
      <c r="AC22" s="19">
        <f t="shared" si="21"/>
        <v>0</v>
      </c>
      <c r="AD22" s="1500">
        <f>(S22+AB22)/2</f>
        <v>0</v>
      </c>
      <c r="AE22" s="19">
        <f t="shared" si="23"/>
        <v>0</v>
      </c>
      <c r="AF22" s="653">
        <v>0</v>
      </c>
      <c r="AG22" s="50"/>
      <c r="AH22" s="19" t="e">
        <f t="shared" si="24"/>
        <v>#DIV/0!</v>
      </c>
      <c r="AI22" s="653">
        <v>0</v>
      </c>
      <c r="AJ22" s="50"/>
      <c r="AK22" s="19" t="e">
        <f t="shared" si="25"/>
        <v>#DIV/0!</v>
      </c>
      <c r="AL22" s="653">
        <v>1</v>
      </c>
      <c r="AM22" s="50"/>
      <c r="AN22" s="19">
        <f t="shared" si="26"/>
        <v>0</v>
      </c>
      <c r="AO22" s="653">
        <v>0</v>
      </c>
      <c r="AP22" s="50"/>
      <c r="AQ22" s="19" t="e">
        <f t="shared" si="27"/>
        <v>#DIV/0!</v>
      </c>
      <c r="AR22" s="653">
        <v>0</v>
      </c>
      <c r="AS22" s="50"/>
      <c r="AT22" s="19" t="e">
        <f t="shared" si="28"/>
        <v>#DIV/0!</v>
      </c>
      <c r="AU22" s="653">
        <v>1</v>
      </c>
      <c r="AV22" s="50"/>
      <c r="AW22" s="19">
        <f t="shared" si="29"/>
        <v>0</v>
      </c>
      <c r="AX22" s="654">
        <f>(S22+AB22+AM22+AV22)/4</f>
        <v>0</v>
      </c>
      <c r="AY22" s="1491">
        <f t="shared" si="31"/>
        <v>0</v>
      </c>
    </row>
    <row r="23" spans="1:265" s="22" customFormat="1" ht="77.25" customHeight="1" thickTop="1" thickBot="1">
      <c r="A23" s="2979"/>
      <c r="B23" s="2942"/>
      <c r="C23" s="2929"/>
      <c r="D23" s="627" t="s">
        <v>126</v>
      </c>
      <c r="E23" s="25" t="s">
        <v>127</v>
      </c>
      <c r="F23" s="25" t="s">
        <v>10</v>
      </c>
      <c r="G23" s="43">
        <v>1</v>
      </c>
      <c r="H23" s="98"/>
      <c r="I23" s="671"/>
      <c r="J23" s="98"/>
      <c r="K23" s="25" t="s">
        <v>7</v>
      </c>
      <c r="L23" s="655">
        <v>1</v>
      </c>
      <c r="M23" s="45"/>
      <c r="N23" s="19">
        <f t="shared" si="16"/>
        <v>0</v>
      </c>
      <c r="O23" s="655">
        <v>1</v>
      </c>
      <c r="P23" s="45">
        <v>1</v>
      </c>
      <c r="Q23" s="19">
        <f t="shared" si="17"/>
        <v>1</v>
      </c>
      <c r="R23" s="655">
        <v>1</v>
      </c>
      <c r="S23" s="45"/>
      <c r="T23" s="19">
        <f t="shared" si="18"/>
        <v>0</v>
      </c>
      <c r="U23" s="655">
        <v>1</v>
      </c>
      <c r="V23" s="45"/>
      <c r="W23" s="19">
        <f t="shared" si="19"/>
        <v>0</v>
      </c>
      <c r="X23" s="655">
        <v>1</v>
      </c>
      <c r="Y23" s="45"/>
      <c r="Z23" s="19">
        <f t="shared" si="20"/>
        <v>0</v>
      </c>
      <c r="AA23" s="655">
        <v>1</v>
      </c>
      <c r="AB23" s="45"/>
      <c r="AC23" s="19">
        <f t="shared" si="21"/>
        <v>0</v>
      </c>
      <c r="AD23" s="1501">
        <f>(M23+P23+S23+V23+Y23+AB23)/6</f>
        <v>0.16666666666666666</v>
      </c>
      <c r="AE23" s="19">
        <f t="shared" si="23"/>
        <v>0.16666666666666666</v>
      </c>
      <c r="AF23" s="655">
        <v>1</v>
      </c>
      <c r="AG23" s="45">
        <v>1</v>
      </c>
      <c r="AH23" s="19">
        <f t="shared" si="24"/>
        <v>1</v>
      </c>
      <c r="AI23" s="655">
        <v>1</v>
      </c>
      <c r="AJ23" s="45"/>
      <c r="AK23" s="19">
        <f t="shared" si="25"/>
        <v>0</v>
      </c>
      <c r="AL23" s="655">
        <v>1</v>
      </c>
      <c r="AM23" s="45"/>
      <c r="AN23" s="19">
        <f t="shared" si="26"/>
        <v>0</v>
      </c>
      <c r="AO23" s="655">
        <v>1</v>
      </c>
      <c r="AP23" s="45">
        <v>1</v>
      </c>
      <c r="AQ23" s="19">
        <f t="shared" si="27"/>
        <v>1</v>
      </c>
      <c r="AR23" s="655">
        <v>1</v>
      </c>
      <c r="AS23" s="45">
        <v>1</v>
      </c>
      <c r="AT23" s="19">
        <f t="shared" si="28"/>
        <v>1</v>
      </c>
      <c r="AU23" s="655">
        <v>1</v>
      </c>
      <c r="AV23" s="45"/>
      <c r="AW23" s="19">
        <f t="shared" si="29"/>
        <v>0</v>
      </c>
      <c r="AX23" s="651">
        <f>(M23+P23+S23+V23+Y23+AB23+AG23+AJ23+AP23+AM23+AS23+AV23)/4</f>
        <v>1</v>
      </c>
      <c r="AY23" s="1491">
        <f t="shared" si="31"/>
        <v>1</v>
      </c>
    </row>
    <row r="24" spans="1:265" s="22" customFormat="1" ht="77.25" customHeight="1" thickTop="1" thickBot="1">
      <c r="A24" s="2979"/>
      <c r="B24" s="2942"/>
      <c r="C24" s="2929"/>
      <c r="D24" s="623" t="s">
        <v>128</v>
      </c>
      <c r="E24" s="561" t="s">
        <v>129</v>
      </c>
      <c r="F24" s="561" t="s">
        <v>10</v>
      </c>
      <c r="G24" s="48">
        <v>1</v>
      </c>
      <c r="H24" s="85"/>
      <c r="I24" s="674"/>
      <c r="J24" s="85"/>
      <c r="K24" s="561" t="s">
        <v>7</v>
      </c>
      <c r="L24" s="653">
        <v>1</v>
      </c>
      <c r="M24" s="50"/>
      <c r="N24" s="19">
        <f t="shared" si="16"/>
        <v>0</v>
      </c>
      <c r="O24" s="653">
        <v>1</v>
      </c>
      <c r="P24" s="50"/>
      <c r="Q24" s="19">
        <f t="shared" si="17"/>
        <v>0</v>
      </c>
      <c r="R24" s="653">
        <v>1</v>
      </c>
      <c r="S24" s="50"/>
      <c r="T24" s="19">
        <f t="shared" si="18"/>
        <v>0</v>
      </c>
      <c r="U24" s="653">
        <v>1</v>
      </c>
      <c r="V24" s="50"/>
      <c r="W24" s="19">
        <f t="shared" si="19"/>
        <v>0</v>
      </c>
      <c r="X24" s="653">
        <v>1</v>
      </c>
      <c r="Y24" s="50"/>
      <c r="Z24" s="19">
        <f t="shared" si="20"/>
        <v>0</v>
      </c>
      <c r="AA24" s="653">
        <v>1</v>
      </c>
      <c r="AB24" s="50"/>
      <c r="AC24" s="19">
        <f t="shared" si="21"/>
        <v>0</v>
      </c>
      <c r="AD24" s="1500">
        <f>(M24+P24+S24+V24+Y24+AB24)/6</f>
        <v>0</v>
      </c>
      <c r="AE24" s="19">
        <f t="shared" si="23"/>
        <v>0</v>
      </c>
      <c r="AF24" s="653">
        <v>1</v>
      </c>
      <c r="AG24" s="50"/>
      <c r="AH24" s="19">
        <f t="shared" si="24"/>
        <v>0</v>
      </c>
      <c r="AI24" s="653">
        <v>1</v>
      </c>
      <c r="AJ24" s="50"/>
      <c r="AK24" s="19">
        <f t="shared" si="25"/>
        <v>0</v>
      </c>
      <c r="AL24" s="653">
        <v>1</v>
      </c>
      <c r="AM24" s="50"/>
      <c r="AN24" s="19">
        <f t="shared" si="26"/>
        <v>0</v>
      </c>
      <c r="AO24" s="653">
        <v>1</v>
      </c>
      <c r="AP24" s="50">
        <v>1</v>
      </c>
      <c r="AQ24" s="19">
        <f t="shared" si="27"/>
        <v>1</v>
      </c>
      <c r="AR24" s="653">
        <v>1</v>
      </c>
      <c r="AS24" s="50"/>
      <c r="AT24" s="19">
        <f t="shared" si="28"/>
        <v>0</v>
      </c>
      <c r="AU24" s="653">
        <v>1</v>
      </c>
      <c r="AV24" s="50"/>
      <c r="AW24" s="19">
        <f t="shared" si="29"/>
        <v>0</v>
      </c>
      <c r="AX24" s="654">
        <f>AP24</f>
        <v>1</v>
      </c>
      <c r="AY24" s="1491">
        <f t="shared" si="31"/>
        <v>1</v>
      </c>
    </row>
    <row r="25" spans="1:265" s="22" customFormat="1" ht="77.25" customHeight="1" thickTop="1" thickBot="1">
      <c r="A25" s="2979"/>
      <c r="B25" s="2942"/>
      <c r="C25" s="2929"/>
      <c r="D25" s="627" t="s">
        <v>130</v>
      </c>
      <c r="E25" s="25" t="s">
        <v>131</v>
      </c>
      <c r="F25" s="25" t="s">
        <v>10</v>
      </c>
      <c r="G25" s="43">
        <v>1</v>
      </c>
      <c r="H25" s="98"/>
      <c r="I25" s="671"/>
      <c r="J25" s="98"/>
      <c r="K25" s="25" t="s">
        <v>7</v>
      </c>
      <c r="L25" s="655">
        <v>1</v>
      </c>
      <c r="M25" s="45"/>
      <c r="N25" s="19">
        <f t="shared" si="16"/>
        <v>0</v>
      </c>
      <c r="O25" s="655">
        <v>1</v>
      </c>
      <c r="P25" s="45"/>
      <c r="Q25" s="19">
        <f t="shared" si="17"/>
        <v>0</v>
      </c>
      <c r="R25" s="655">
        <v>1</v>
      </c>
      <c r="S25" s="45"/>
      <c r="T25" s="19">
        <f t="shared" si="18"/>
        <v>0</v>
      </c>
      <c r="U25" s="655">
        <v>1</v>
      </c>
      <c r="V25" s="45"/>
      <c r="W25" s="19">
        <f t="shared" si="19"/>
        <v>0</v>
      </c>
      <c r="X25" s="655">
        <v>1</v>
      </c>
      <c r="Y25" s="45"/>
      <c r="Z25" s="19">
        <f t="shared" si="20"/>
        <v>0</v>
      </c>
      <c r="AA25" s="655">
        <v>1</v>
      </c>
      <c r="AB25" s="45"/>
      <c r="AC25" s="19">
        <f t="shared" si="21"/>
        <v>0</v>
      </c>
      <c r="AD25" s="1501">
        <f>(M25+P25+S25+V25+Y25+AB25)/6</f>
        <v>0</v>
      </c>
      <c r="AE25" s="19">
        <f t="shared" si="23"/>
        <v>0</v>
      </c>
      <c r="AF25" s="655">
        <v>1</v>
      </c>
      <c r="AG25" s="45">
        <v>0.1</v>
      </c>
      <c r="AH25" s="19">
        <f t="shared" si="24"/>
        <v>0.1</v>
      </c>
      <c r="AI25" s="655">
        <v>1</v>
      </c>
      <c r="AJ25" s="45">
        <v>0.1</v>
      </c>
      <c r="AK25" s="19">
        <f t="shared" si="25"/>
        <v>0.1</v>
      </c>
      <c r="AL25" s="655">
        <v>1</v>
      </c>
      <c r="AM25" s="45">
        <v>0.1</v>
      </c>
      <c r="AN25" s="19">
        <f t="shared" si="26"/>
        <v>0.1</v>
      </c>
      <c r="AO25" s="655">
        <v>1</v>
      </c>
      <c r="AP25" s="45">
        <v>0.1</v>
      </c>
      <c r="AQ25" s="19">
        <f t="shared" si="27"/>
        <v>0.1</v>
      </c>
      <c r="AR25" s="655">
        <v>1</v>
      </c>
      <c r="AS25" s="45">
        <v>0.1</v>
      </c>
      <c r="AT25" s="19">
        <f t="shared" si="28"/>
        <v>0.1</v>
      </c>
      <c r="AU25" s="655">
        <v>1</v>
      </c>
      <c r="AV25" s="45">
        <v>0.5</v>
      </c>
      <c r="AW25" s="19">
        <f t="shared" si="29"/>
        <v>0.5</v>
      </c>
      <c r="AX25" s="651">
        <f>+AV25</f>
        <v>0.5</v>
      </c>
      <c r="AY25" s="1491">
        <f t="shared" si="31"/>
        <v>0.5</v>
      </c>
    </row>
    <row r="26" spans="1:265" s="22" customFormat="1" ht="77.25" customHeight="1" thickTop="1" thickBot="1">
      <c r="A26" s="2979"/>
      <c r="B26" s="2864"/>
      <c r="C26" s="2930"/>
      <c r="D26" s="623" t="s">
        <v>132</v>
      </c>
      <c r="E26" s="561" t="s">
        <v>133</v>
      </c>
      <c r="F26" s="561" t="s">
        <v>10</v>
      </c>
      <c r="G26" s="48">
        <v>1</v>
      </c>
      <c r="H26" s="85"/>
      <c r="I26" s="674"/>
      <c r="J26" s="85"/>
      <c r="K26" s="561" t="s">
        <v>7</v>
      </c>
      <c r="L26" s="653">
        <v>0</v>
      </c>
      <c r="M26" s="50"/>
      <c r="N26" s="19" t="e">
        <f t="shared" si="16"/>
        <v>#DIV/0!</v>
      </c>
      <c r="O26" s="653">
        <v>0</v>
      </c>
      <c r="P26" s="50"/>
      <c r="Q26" s="19" t="e">
        <f t="shared" si="17"/>
        <v>#DIV/0!</v>
      </c>
      <c r="R26" s="653">
        <v>0</v>
      </c>
      <c r="S26" s="50"/>
      <c r="T26" s="19" t="e">
        <f t="shared" si="18"/>
        <v>#DIV/0!</v>
      </c>
      <c r="U26" s="653">
        <v>0</v>
      </c>
      <c r="V26" s="50"/>
      <c r="W26" s="19" t="e">
        <f t="shared" si="19"/>
        <v>#DIV/0!</v>
      </c>
      <c r="X26" s="653">
        <v>0</v>
      </c>
      <c r="Y26" s="50"/>
      <c r="Z26" s="19" t="e">
        <f t="shared" si="20"/>
        <v>#DIV/0!</v>
      </c>
      <c r="AA26" s="653">
        <v>0</v>
      </c>
      <c r="AB26" s="50"/>
      <c r="AC26" s="19" t="e">
        <f t="shared" si="21"/>
        <v>#DIV/0!</v>
      </c>
      <c r="AD26" s="1500">
        <f t="shared" si="22"/>
        <v>0</v>
      </c>
      <c r="AE26" s="19">
        <f t="shared" si="23"/>
        <v>0</v>
      </c>
      <c r="AF26" s="653">
        <v>0</v>
      </c>
      <c r="AG26" s="50"/>
      <c r="AH26" s="19" t="e">
        <f t="shared" si="24"/>
        <v>#DIV/0!</v>
      </c>
      <c r="AI26" s="653">
        <v>1</v>
      </c>
      <c r="AJ26" s="50"/>
      <c r="AK26" s="19">
        <f t="shared" si="25"/>
        <v>0</v>
      </c>
      <c r="AL26" s="653">
        <v>0</v>
      </c>
      <c r="AM26" s="50"/>
      <c r="AN26" s="19" t="e">
        <f t="shared" si="26"/>
        <v>#DIV/0!</v>
      </c>
      <c r="AO26" s="653">
        <v>0</v>
      </c>
      <c r="AP26" s="50"/>
      <c r="AQ26" s="19" t="e">
        <f t="shared" si="27"/>
        <v>#DIV/0!</v>
      </c>
      <c r="AR26" s="653">
        <v>0</v>
      </c>
      <c r="AS26" s="50"/>
      <c r="AT26" s="19" t="e">
        <f t="shared" si="28"/>
        <v>#DIV/0!</v>
      </c>
      <c r="AU26" s="653">
        <v>0</v>
      </c>
      <c r="AV26" s="50"/>
      <c r="AW26" s="19" t="e">
        <f t="shared" si="29"/>
        <v>#DIV/0!</v>
      </c>
      <c r="AX26" s="654">
        <f>AJ26</f>
        <v>0</v>
      </c>
      <c r="AY26" s="1491">
        <f t="shared" si="31"/>
        <v>0</v>
      </c>
    </row>
    <row r="27" spans="1:265" s="22" customFormat="1" ht="104.25" customHeight="1" thickTop="1" thickBot="1">
      <c r="A27" s="1502"/>
      <c r="B27" s="695" t="s">
        <v>137</v>
      </c>
      <c r="C27" s="25" t="s">
        <v>650</v>
      </c>
      <c r="D27" s="627" t="s">
        <v>227</v>
      </c>
      <c r="E27" s="25" t="s">
        <v>139</v>
      </c>
      <c r="F27" s="25" t="s">
        <v>101</v>
      </c>
      <c r="G27" s="99">
        <v>80000000</v>
      </c>
      <c r="H27" s="98"/>
      <c r="I27" s="671"/>
      <c r="J27" s="98"/>
      <c r="K27" s="25" t="s">
        <v>140</v>
      </c>
      <c r="L27" s="1503">
        <v>4000000</v>
      </c>
      <c r="M27" s="1504">
        <v>873970</v>
      </c>
      <c r="N27" s="19">
        <f t="shared" si="16"/>
        <v>0.21849250000000001</v>
      </c>
      <c r="O27" s="1503">
        <v>4000000</v>
      </c>
      <c r="P27" s="1504">
        <v>552816</v>
      </c>
      <c r="Q27" s="19">
        <f t="shared" si="17"/>
        <v>0.13820399999999999</v>
      </c>
      <c r="R27" s="1503">
        <v>4000000</v>
      </c>
      <c r="S27" s="1504">
        <v>14943015</v>
      </c>
      <c r="T27" s="19">
        <f t="shared" si="18"/>
        <v>3.7357537500000002</v>
      </c>
      <c r="U27" s="1503">
        <v>7933333</v>
      </c>
      <c r="V27" s="1504">
        <v>2266272</v>
      </c>
      <c r="W27" s="19">
        <f t="shared" si="19"/>
        <v>0.28566454981783823</v>
      </c>
      <c r="X27" s="1503">
        <v>7933333</v>
      </c>
      <c r="Y27" s="1504"/>
      <c r="Z27" s="19">
        <f t="shared" si="20"/>
        <v>0</v>
      </c>
      <c r="AA27" s="1503">
        <v>7933333</v>
      </c>
      <c r="AB27" s="1504"/>
      <c r="AC27" s="19">
        <f t="shared" si="21"/>
        <v>0</v>
      </c>
      <c r="AD27" s="1503">
        <f t="shared" si="22"/>
        <v>18636073</v>
      </c>
      <c r="AE27" s="19">
        <f t="shared" si="23"/>
        <v>0.2329509125</v>
      </c>
      <c r="AF27" s="1503">
        <v>7933333</v>
      </c>
      <c r="AG27" s="1504"/>
      <c r="AH27" s="19">
        <f t="shared" si="24"/>
        <v>0</v>
      </c>
      <c r="AI27" s="1503">
        <v>8341333.6399999997</v>
      </c>
      <c r="AJ27" s="1504">
        <v>2025600</v>
      </c>
      <c r="AK27" s="19">
        <f t="shared" si="25"/>
        <v>0.24283886575240743</v>
      </c>
      <c r="AL27" s="1503">
        <v>8341333.6399999997</v>
      </c>
      <c r="AM27" s="1504"/>
      <c r="AN27" s="19">
        <f t="shared" si="26"/>
        <v>0</v>
      </c>
      <c r="AO27" s="1503">
        <v>8341333.6399999997</v>
      </c>
      <c r="AP27" s="1504">
        <v>8326539</v>
      </c>
      <c r="AQ27" s="19">
        <f t="shared" si="27"/>
        <v>0.99822634597313631</v>
      </c>
      <c r="AR27" s="1503">
        <v>5621333.54</v>
      </c>
      <c r="AS27" s="1504">
        <v>9610158</v>
      </c>
      <c r="AT27" s="19">
        <f t="shared" si="28"/>
        <v>1.7095868678875796</v>
      </c>
      <c r="AU27" s="1503">
        <v>5621333.54</v>
      </c>
      <c r="AV27" s="1504">
        <v>14389978</v>
      </c>
      <c r="AW27" s="19">
        <f t="shared" si="29"/>
        <v>2.5598868840648796</v>
      </c>
      <c r="AX27" s="1503">
        <f t="shared" si="30"/>
        <v>52988348</v>
      </c>
      <c r="AY27" s="1491">
        <f t="shared" si="31"/>
        <v>0.66235434999999998</v>
      </c>
    </row>
    <row r="28" spans="1:265" s="22" customFormat="1" ht="22.5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55"/>
      <c r="M28" s="56"/>
      <c r="N28" s="55"/>
      <c r="O28" s="55"/>
      <c r="P28" s="56"/>
      <c r="Q28" s="55"/>
      <c r="R28" s="55"/>
      <c r="S28" s="56"/>
      <c r="T28" s="55"/>
      <c r="U28" s="55"/>
      <c r="V28" s="56"/>
      <c r="W28" s="55"/>
      <c r="X28" s="55"/>
      <c r="Y28" s="56"/>
      <c r="Z28" s="55"/>
      <c r="AA28" s="55"/>
      <c r="AB28" s="56"/>
      <c r="AC28" s="55"/>
      <c r="AD28" s="55"/>
      <c r="AE28" s="55"/>
      <c r="AF28" s="55"/>
      <c r="AG28" s="56"/>
      <c r="AH28" s="55"/>
      <c r="AI28" s="55"/>
      <c r="AJ28" s="56"/>
      <c r="AK28" s="55"/>
      <c r="AL28" s="55"/>
      <c r="AM28" s="56"/>
      <c r="AN28" s="55"/>
      <c r="AO28" s="55"/>
      <c r="AP28" s="56"/>
      <c r="AQ28" s="55"/>
      <c r="AR28" s="55"/>
      <c r="AS28" s="56"/>
      <c r="AT28" s="55"/>
      <c r="AU28" s="55"/>
      <c r="AV28" s="56"/>
      <c r="AW28" s="55"/>
      <c r="AX28" s="55"/>
      <c r="AY28" s="1505"/>
    </row>
    <row r="29" spans="1:265" s="22" customFormat="1" ht="132.75" customHeight="1" thickTop="1" thickBot="1">
      <c r="A29" s="2906" t="s">
        <v>376</v>
      </c>
      <c r="B29" s="2863" t="s">
        <v>143</v>
      </c>
      <c r="C29" s="1506" t="s">
        <v>377</v>
      </c>
      <c r="D29" s="627" t="s">
        <v>144</v>
      </c>
      <c r="E29" s="25" t="s">
        <v>145</v>
      </c>
      <c r="F29" s="418" t="s">
        <v>17</v>
      </c>
      <c r="G29" s="1507">
        <v>240</v>
      </c>
      <c r="H29" s="691"/>
      <c r="I29" s="692"/>
      <c r="J29" s="691"/>
      <c r="K29" s="418" t="s">
        <v>146</v>
      </c>
      <c r="L29" s="665">
        <v>0</v>
      </c>
      <c r="M29" s="28"/>
      <c r="N29" s="19" t="e">
        <f t="shared" si="16"/>
        <v>#DIV/0!</v>
      </c>
      <c r="O29" s="665">
        <v>0</v>
      </c>
      <c r="P29" s="28"/>
      <c r="Q29" s="19" t="e">
        <f t="shared" si="17"/>
        <v>#DIV/0!</v>
      </c>
      <c r="R29" s="665">
        <v>0</v>
      </c>
      <c r="S29" s="28"/>
      <c r="T29" s="19" t="e">
        <f t="shared" si="18"/>
        <v>#DIV/0!</v>
      </c>
      <c r="U29" s="665">
        <v>48</v>
      </c>
      <c r="V29" s="28">
        <v>174</v>
      </c>
      <c r="W29" s="19">
        <f t="shared" si="19"/>
        <v>3.625</v>
      </c>
      <c r="X29" s="665">
        <v>0</v>
      </c>
      <c r="Y29" s="28"/>
      <c r="Z29" s="19" t="e">
        <f t="shared" si="20"/>
        <v>#DIV/0!</v>
      </c>
      <c r="AA29" s="665">
        <v>0</v>
      </c>
      <c r="AB29" s="28"/>
      <c r="AC29" s="19" t="e">
        <f t="shared" si="21"/>
        <v>#DIV/0!</v>
      </c>
      <c r="AD29" s="29">
        <f t="shared" si="22"/>
        <v>174</v>
      </c>
      <c r="AE29" s="19">
        <f t="shared" si="23"/>
        <v>0.72499999999999998</v>
      </c>
      <c r="AF29" s="665">
        <v>0</v>
      </c>
      <c r="AG29" s="28"/>
      <c r="AH29" s="19" t="e">
        <f t="shared" si="24"/>
        <v>#DIV/0!</v>
      </c>
      <c r="AI29" s="665">
        <v>72</v>
      </c>
      <c r="AJ29" s="28">
        <v>748</v>
      </c>
      <c r="AK29" s="19">
        <f t="shared" si="25"/>
        <v>10.388888888888889</v>
      </c>
      <c r="AL29" s="665">
        <v>0</v>
      </c>
      <c r="AM29" s="28"/>
      <c r="AN29" s="19" t="e">
        <f t="shared" si="26"/>
        <v>#DIV/0!</v>
      </c>
      <c r="AO29" s="665">
        <v>0</v>
      </c>
      <c r="AP29" s="28"/>
      <c r="AQ29" s="19" t="e">
        <f t="shared" si="27"/>
        <v>#DIV/0!</v>
      </c>
      <c r="AR29" s="665">
        <v>0</v>
      </c>
      <c r="AS29" s="28"/>
      <c r="AT29" s="19" t="e">
        <f t="shared" si="28"/>
        <v>#DIV/0!</v>
      </c>
      <c r="AU29" s="665">
        <v>120</v>
      </c>
      <c r="AV29" s="28">
        <v>136</v>
      </c>
      <c r="AW29" s="19">
        <f t="shared" si="29"/>
        <v>1.1333333333333333</v>
      </c>
      <c r="AX29" s="636">
        <f t="shared" si="30"/>
        <v>1058</v>
      </c>
      <c r="AY29" s="1491">
        <f t="shared" si="31"/>
        <v>4.4083333333333332</v>
      </c>
    </row>
    <row r="30" spans="1:265" s="22" customFormat="1" ht="85.5" customHeight="1" thickTop="1" thickBot="1">
      <c r="A30" s="2906"/>
      <c r="B30" s="2864"/>
      <c r="C30" s="371" t="s">
        <v>378</v>
      </c>
      <c r="D30" s="666" t="s">
        <v>148</v>
      </c>
      <c r="E30" s="371" t="s">
        <v>149</v>
      </c>
      <c r="F30" s="371" t="s">
        <v>8</v>
      </c>
      <c r="G30" s="57">
        <v>10.199999999999999</v>
      </c>
      <c r="H30" s="693"/>
      <c r="I30" s="694"/>
      <c r="J30" s="693"/>
      <c r="K30" s="371" t="s">
        <v>9</v>
      </c>
      <c r="L30" s="625">
        <v>10.199999999999999</v>
      </c>
      <c r="M30" s="59"/>
      <c r="N30" s="19" t="e">
        <f>+L30/M30</f>
        <v>#DIV/0!</v>
      </c>
      <c r="O30" s="625">
        <v>10.199999999999999</v>
      </c>
      <c r="P30" s="59"/>
      <c r="Q30" s="19" t="e">
        <f>+O30/P30</f>
        <v>#DIV/0!</v>
      </c>
      <c r="R30" s="625">
        <v>10.199999999999999</v>
      </c>
      <c r="S30" s="59"/>
      <c r="T30" s="19" t="e">
        <f>+R30/S30</f>
        <v>#DIV/0!</v>
      </c>
      <c r="U30" s="625">
        <v>10.199999999999999</v>
      </c>
      <c r="V30" s="59"/>
      <c r="W30" s="19" t="e">
        <f>+U30/V30</f>
        <v>#DIV/0!</v>
      </c>
      <c r="X30" s="625">
        <v>10.199999999999999</v>
      </c>
      <c r="Y30" s="59"/>
      <c r="Z30" s="19" t="e">
        <f>+X30/Y30</f>
        <v>#DIV/0!</v>
      </c>
      <c r="AA30" s="625">
        <v>10.199999999999999</v>
      </c>
      <c r="AB30" s="59">
        <v>9</v>
      </c>
      <c r="AC30" s="19">
        <f>+AA30/AB30</f>
        <v>1.1333333333333333</v>
      </c>
      <c r="AD30" s="60">
        <f>(M30+P30+S30+V30+Y30+AB30)/6</f>
        <v>1.5</v>
      </c>
      <c r="AE30" s="19">
        <f>G30/AD30</f>
        <v>6.8</v>
      </c>
      <c r="AF30" s="625">
        <v>10.199999999999999</v>
      </c>
      <c r="AG30" s="59"/>
      <c r="AH30" s="19" t="e">
        <f>+AF30/AG30</f>
        <v>#DIV/0!</v>
      </c>
      <c r="AI30" s="625">
        <v>10.199999999999999</v>
      </c>
      <c r="AJ30" s="59"/>
      <c r="AK30" s="19" t="e">
        <f>+AI30/AJ30</f>
        <v>#DIV/0!</v>
      </c>
      <c r="AL30" s="625">
        <v>10.199999999999999</v>
      </c>
      <c r="AM30" s="59">
        <v>10</v>
      </c>
      <c r="AN30" s="19">
        <f>+AL30/AM30</f>
        <v>1.02</v>
      </c>
      <c r="AO30" s="625">
        <v>10.199999999999999</v>
      </c>
      <c r="AP30" s="59"/>
      <c r="AQ30" s="19" t="e">
        <f>+AO30/AP30</f>
        <v>#DIV/0!</v>
      </c>
      <c r="AR30" s="625">
        <v>10.199999999999999</v>
      </c>
      <c r="AS30" s="59"/>
      <c r="AT30" s="19" t="e">
        <f>+AR30/AS30</f>
        <v>#DIV/0!</v>
      </c>
      <c r="AU30" s="625">
        <v>10.199999999999999</v>
      </c>
      <c r="AV30" s="59"/>
      <c r="AW30" s="19" t="e">
        <f>+AU30/AV30</f>
        <v>#DIV/0!</v>
      </c>
      <c r="AX30" s="638">
        <f>(M30+P30+S30+V30+Y30+AB30+AG30+AJ30+AP30+AM30+AS30+AV30)/2</f>
        <v>9.5</v>
      </c>
      <c r="AY30" s="1491">
        <f>+G30/AX30</f>
        <v>1.0736842105263158</v>
      </c>
    </row>
    <row r="31" spans="1:265" s="22" customFormat="1" ht="97.15" customHeight="1" thickTop="1" thickBot="1">
      <c r="A31" s="2906"/>
      <c r="B31" s="695" t="s">
        <v>651</v>
      </c>
      <c r="C31" s="878" t="s">
        <v>379</v>
      </c>
      <c r="D31" s="689" t="s">
        <v>319</v>
      </c>
      <c r="E31" s="418" t="s">
        <v>153</v>
      </c>
      <c r="F31" s="418" t="s">
        <v>17</v>
      </c>
      <c r="G31" s="697">
        <v>37</v>
      </c>
      <c r="H31" s="691"/>
      <c r="I31" s="692"/>
      <c r="J31" s="691"/>
      <c r="K31" s="418" t="s">
        <v>21</v>
      </c>
      <c r="L31" s="665">
        <v>0</v>
      </c>
      <c r="M31" s="28"/>
      <c r="N31" s="19" t="e">
        <f>+L31/M31</f>
        <v>#DIV/0!</v>
      </c>
      <c r="O31" s="665">
        <v>0</v>
      </c>
      <c r="P31" s="28"/>
      <c r="Q31" s="19" t="e">
        <f>+O31/P31</f>
        <v>#DIV/0!</v>
      </c>
      <c r="R31" s="665">
        <v>37</v>
      </c>
      <c r="S31" s="28">
        <v>37</v>
      </c>
      <c r="T31" s="19">
        <f>+R31/S31</f>
        <v>1</v>
      </c>
      <c r="U31" s="665">
        <v>37</v>
      </c>
      <c r="V31" s="28">
        <v>37</v>
      </c>
      <c r="W31" s="19">
        <f>+U31/V31</f>
        <v>1</v>
      </c>
      <c r="X31" s="665">
        <v>37</v>
      </c>
      <c r="Y31" s="28">
        <v>37</v>
      </c>
      <c r="Z31" s="19">
        <f>+X31/Y31</f>
        <v>1</v>
      </c>
      <c r="AA31" s="665">
        <v>37</v>
      </c>
      <c r="AB31" s="28">
        <v>12</v>
      </c>
      <c r="AC31" s="19">
        <f>+AA31/AB31</f>
        <v>3.0833333333333335</v>
      </c>
      <c r="AD31" s="29"/>
      <c r="AE31" s="19" t="e">
        <f>G31/AD31</f>
        <v>#DIV/0!</v>
      </c>
      <c r="AF31" s="665">
        <v>37</v>
      </c>
      <c r="AG31" s="28">
        <v>12</v>
      </c>
      <c r="AH31" s="19">
        <f>+AF31/AG31</f>
        <v>3.0833333333333335</v>
      </c>
      <c r="AI31" s="665">
        <v>37</v>
      </c>
      <c r="AJ31" s="28">
        <v>21</v>
      </c>
      <c r="AK31" s="19">
        <f>+AI31/AJ31</f>
        <v>1.7619047619047619</v>
      </c>
      <c r="AL31" s="665">
        <v>37</v>
      </c>
      <c r="AM31" s="28">
        <v>31</v>
      </c>
      <c r="AN31" s="19">
        <f>+AL31/AM31</f>
        <v>1.1935483870967742</v>
      </c>
      <c r="AO31" s="665">
        <v>37</v>
      </c>
      <c r="AP31" s="28">
        <v>39</v>
      </c>
      <c r="AQ31" s="19">
        <f>+AO31/AP31</f>
        <v>0.94871794871794868</v>
      </c>
      <c r="AR31" s="665">
        <v>37</v>
      </c>
      <c r="AS31" s="28">
        <v>25</v>
      </c>
      <c r="AT31" s="19">
        <f>+AR31/AS31</f>
        <v>1.48</v>
      </c>
      <c r="AU31" s="665">
        <v>37</v>
      </c>
      <c r="AV31" s="28">
        <v>31</v>
      </c>
      <c r="AW31" s="19">
        <f>+AU31/AV31</f>
        <v>1.1935483870967742</v>
      </c>
      <c r="AX31" s="636">
        <f>(S31+V31+Y31+AB31+AG31+AJ31+AP31+AM31+AS31+AV31)/10</f>
        <v>28.2</v>
      </c>
      <c r="AY31" s="1491">
        <f>+G31/AX31</f>
        <v>1.3120567375886525</v>
      </c>
    </row>
    <row r="32" spans="1:265" s="22" customFormat="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61"/>
      <c r="M32" s="62"/>
      <c r="N32" s="61"/>
      <c r="O32" s="61"/>
      <c r="P32" s="62"/>
      <c r="Q32" s="61"/>
      <c r="R32" s="61"/>
      <c r="S32" s="62"/>
      <c r="T32" s="61"/>
      <c r="U32" s="61"/>
      <c r="V32" s="62"/>
      <c r="W32" s="61"/>
      <c r="X32" s="61"/>
      <c r="Y32" s="62"/>
      <c r="Z32" s="61"/>
      <c r="AA32" s="61"/>
      <c r="AB32" s="62"/>
      <c r="AC32" s="61"/>
      <c r="AD32" s="61"/>
      <c r="AE32" s="61"/>
      <c r="AF32" s="61"/>
      <c r="AG32" s="62"/>
      <c r="AH32" s="61"/>
      <c r="AI32" s="61"/>
      <c r="AJ32" s="62"/>
      <c r="AK32" s="61"/>
      <c r="AL32" s="61"/>
      <c r="AM32" s="62"/>
      <c r="AN32" s="61"/>
      <c r="AO32" s="61"/>
      <c r="AP32" s="62"/>
      <c r="AQ32" s="61"/>
      <c r="AR32" s="61"/>
      <c r="AS32" s="62"/>
      <c r="AT32" s="61"/>
      <c r="AU32" s="61"/>
      <c r="AV32" s="62"/>
      <c r="AW32" s="61"/>
      <c r="AX32" s="61"/>
      <c r="AY32" s="1508"/>
    </row>
    <row r="33" spans="1:51" s="22" customFormat="1" ht="132.75" customHeight="1" thickTop="1" thickBot="1">
      <c r="A33" s="1509" t="s">
        <v>155</v>
      </c>
      <c r="B33" s="739" t="s">
        <v>156</v>
      </c>
      <c r="C33" s="1506" t="s">
        <v>320</v>
      </c>
      <c r="D33" s="627" t="s">
        <v>158</v>
      </c>
      <c r="E33" s="25" t="s">
        <v>159</v>
      </c>
      <c r="F33" s="418" t="s">
        <v>17</v>
      </c>
      <c r="G33" s="1510">
        <v>10</v>
      </c>
      <c r="H33" s="691"/>
      <c r="I33" s="692"/>
      <c r="J33" s="691"/>
      <c r="K33" s="418" t="s">
        <v>27</v>
      </c>
      <c r="L33" s="1511">
        <v>0</v>
      </c>
      <c r="M33" s="1512"/>
      <c r="N33" s="19" t="e">
        <f t="shared" ref="N33" si="32">+M33/L33</f>
        <v>#DIV/0!</v>
      </c>
      <c r="O33" s="665">
        <v>0</v>
      </c>
      <c r="P33" s="28"/>
      <c r="Q33" s="19" t="e">
        <f t="shared" ref="Q33" si="33">+P33/O33</f>
        <v>#DIV/0!</v>
      </c>
      <c r="R33" s="665">
        <v>0</v>
      </c>
      <c r="S33" s="28"/>
      <c r="T33" s="19" t="e">
        <f t="shared" ref="T33" si="34">+S33/R33</f>
        <v>#DIV/0!</v>
      </c>
      <c r="U33" s="665">
        <v>0</v>
      </c>
      <c r="V33" s="28"/>
      <c r="W33" s="19" t="e">
        <f t="shared" ref="W33" si="35">+V33/U33</f>
        <v>#DIV/0!</v>
      </c>
      <c r="X33" s="665">
        <v>2</v>
      </c>
      <c r="Y33" s="28">
        <v>2</v>
      </c>
      <c r="Z33" s="19">
        <f t="shared" ref="Z33" si="36">+Y33/X33</f>
        <v>1</v>
      </c>
      <c r="AA33" s="665">
        <v>0</v>
      </c>
      <c r="AB33" s="28"/>
      <c r="AC33" s="19" t="e">
        <f t="shared" ref="AC33" si="37">+AB33/AA33</f>
        <v>#DIV/0!</v>
      </c>
      <c r="AD33" s="29">
        <f t="shared" ref="AD33" si="38">+M33+P33+S33+V33+Y33+AB33</f>
        <v>2</v>
      </c>
      <c r="AE33" s="19">
        <f t="shared" ref="AE33" si="39">AD33/G33</f>
        <v>0.2</v>
      </c>
      <c r="AF33" s="665">
        <v>1</v>
      </c>
      <c r="AG33" s="28">
        <v>1</v>
      </c>
      <c r="AH33" s="19">
        <f t="shared" ref="AH33" si="40">+AG33/AF33</f>
        <v>1</v>
      </c>
      <c r="AI33" s="665">
        <v>3</v>
      </c>
      <c r="AJ33" s="28">
        <v>3</v>
      </c>
      <c r="AK33" s="19">
        <f t="shared" ref="AK33" si="41">+AJ33/AI33</f>
        <v>1</v>
      </c>
      <c r="AL33" s="665">
        <v>1</v>
      </c>
      <c r="AM33" s="28">
        <v>1</v>
      </c>
      <c r="AN33" s="19">
        <f t="shared" ref="AN33" si="42">+AM33/AL33</f>
        <v>1</v>
      </c>
      <c r="AO33" s="665">
        <v>3</v>
      </c>
      <c r="AP33" s="28">
        <v>3</v>
      </c>
      <c r="AQ33" s="19">
        <f t="shared" ref="AQ33" si="43">+AP33/AO33</f>
        <v>1</v>
      </c>
      <c r="AR33" s="665">
        <v>0</v>
      </c>
      <c r="AS33" s="28"/>
      <c r="AT33" s="19" t="e">
        <f t="shared" ref="AT33" si="44">+AS33/AR33</f>
        <v>#DIV/0!</v>
      </c>
      <c r="AU33" s="665">
        <v>0</v>
      </c>
      <c r="AV33" s="28"/>
      <c r="AW33" s="19" t="e">
        <f t="shared" ref="AW33" si="45">+AV33/AU33</f>
        <v>#DIV/0!</v>
      </c>
      <c r="AX33" s="636">
        <f t="shared" ref="AX33" si="46">+M33+P33+S33+V33+Y33+AB33+AG33+AJ33+AP33+AM33+AS33+AV33</f>
        <v>10</v>
      </c>
      <c r="AY33" s="1491">
        <f t="shared" ref="AY33" si="47">+AX33/G33</f>
        <v>1</v>
      </c>
    </row>
    <row r="34" spans="1:51" ht="17.25" customHeight="1" thickTop="1"/>
    <row r="35" spans="1:51" ht="16.5" customHeight="1"/>
  </sheetData>
  <sheetProtection algorithmName="SHA-512" hashValue="8aAIZGbAdLVbdXo++WRCvK+A2z7drlNGSAr2pxF0+pH8OAEG7KQB1RcdYx/DvFDNQfj4FlZLLeWhWqP/WCftdQ==" saltValue="iJvShc+vmNuUR1KUZoJQCw==" spinCount="100000" sheet="1" objects="1" scenarios="1"/>
  <mergeCells count="36">
    <mergeCell ref="C1:K1"/>
    <mergeCell ref="A2:K2"/>
    <mergeCell ref="A3:K3"/>
    <mergeCell ref="A5:A7"/>
    <mergeCell ref="B5:B7"/>
    <mergeCell ref="C5:C7"/>
    <mergeCell ref="D5:D7"/>
    <mergeCell ref="E5:E7"/>
    <mergeCell ref="F5:F7"/>
    <mergeCell ref="G5:G7"/>
    <mergeCell ref="AR5:AT7"/>
    <mergeCell ref="AU5:AW7"/>
    <mergeCell ref="AX5:AY7"/>
    <mergeCell ref="A8:K8"/>
    <mergeCell ref="A9:A26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A28:K28"/>
    <mergeCell ref="A29:A31"/>
    <mergeCell ref="B29:B30"/>
    <mergeCell ref="A32:K32"/>
    <mergeCell ref="AO5:AQ7"/>
    <mergeCell ref="K5:K7"/>
    <mergeCell ref="L5:N7"/>
    <mergeCell ref="O5:Q7"/>
    <mergeCell ref="R5:T7"/>
    <mergeCell ref="U5:W7"/>
  </mergeCells>
  <conditionalFormatting sqref="AY9:AY27 AY33 AY29:AY31">
    <cfRule type="cellIs" dxfId="6174" priority="66" operator="greaterThan">
      <formula>110%</formula>
    </cfRule>
    <cfRule type="cellIs" dxfId="6173" priority="67" operator="between">
      <formula>100.001%</formula>
      <formula>110%</formula>
    </cfRule>
    <cfRule type="cellIs" dxfId="6172" priority="68" operator="between">
      <formula>70.001%</formula>
      <formula>100%</formula>
    </cfRule>
    <cfRule type="cellIs" dxfId="6171" priority="69" operator="between">
      <formula>0.00001%</formula>
      <formula>70%</formula>
    </cfRule>
    <cfRule type="cellIs" dxfId="6170" priority="70" operator="equal">
      <formula>0</formula>
    </cfRule>
  </conditionalFormatting>
  <conditionalFormatting sqref="AW9:AW27 AW33 AW29:AW31">
    <cfRule type="cellIs" dxfId="6169" priority="61" operator="greaterThan">
      <formula>110%</formula>
    </cfRule>
    <cfRule type="cellIs" dxfId="6168" priority="62" operator="between">
      <formula>100.001%</formula>
      <formula>110%</formula>
    </cfRule>
    <cfRule type="cellIs" dxfId="6167" priority="63" operator="between">
      <formula>70.001%</formula>
      <formula>100%</formula>
    </cfRule>
    <cfRule type="cellIs" dxfId="6166" priority="64" operator="between">
      <formula>0.00001%</formula>
      <formula>70%</formula>
    </cfRule>
    <cfRule type="cellIs" dxfId="6165" priority="65" operator="equal">
      <formula>0</formula>
    </cfRule>
  </conditionalFormatting>
  <conditionalFormatting sqref="AT9:AT27 AT33 AT29:AT31">
    <cfRule type="cellIs" dxfId="6164" priority="56" operator="greaterThan">
      <formula>110%</formula>
    </cfRule>
    <cfRule type="cellIs" dxfId="6163" priority="57" operator="between">
      <formula>100.001%</formula>
      <formula>110%</formula>
    </cfRule>
    <cfRule type="cellIs" dxfId="6162" priority="58" operator="between">
      <formula>70.001%</formula>
      <formula>100%</formula>
    </cfRule>
    <cfRule type="cellIs" dxfId="6161" priority="59" operator="between">
      <formula>0.00001%</formula>
      <formula>70%</formula>
    </cfRule>
    <cfRule type="cellIs" dxfId="6160" priority="60" operator="equal">
      <formula>0</formula>
    </cfRule>
  </conditionalFormatting>
  <conditionalFormatting sqref="AQ9:AQ27 AQ33 AQ29:AQ31">
    <cfRule type="cellIs" dxfId="6159" priority="51" operator="greaterThan">
      <formula>110%</formula>
    </cfRule>
    <cfRule type="cellIs" dxfId="6158" priority="52" operator="between">
      <formula>100.001%</formula>
      <formula>110%</formula>
    </cfRule>
    <cfRule type="cellIs" dxfId="6157" priority="53" operator="between">
      <formula>70.001%</formula>
      <formula>100%</formula>
    </cfRule>
    <cfRule type="cellIs" dxfId="6156" priority="54" operator="between">
      <formula>0.00001%</formula>
      <formula>70%</formula>
    </cfRule>
    <cfRule type="cellIs" dxfId="6155" priority="55" operator="equal">
      <formula>0</formula>
    </cfRule>
  </conditionalFormatting>
  <conditionalFormatting sqref="AN9:AN27 AN33 AN29:AN31">
    <cfRule type="cellIs" dxfId="6154" priority="46" operator="greaterThan">
      <formula>110%</formula>
    </cfRule>
    <cfRule type="cellIs" dxfId="6153" priority="47" operator="between">
      <formula>100.001%</formula>
      <formula>110%</formula>
    </cfRule>
    <cfRule type="cellIs" dxfId="6152" priority="48" operator="between">
      <formula>70.001%</formula>
      <formula>100%</formula>
    </cfRule>
    <cfRule type="cellIs" dxfId="6151" priority="49" operator="between">
      <formula>0.00001%</formula>
      <formula>70%</formula>
    </cfRule>
    <cfRule type="cellIs" dxfId="6150" priority="50" operator="equal">
      <formula>0</formula>
    </cfRule>
  </conditionalFormatting>
  <conditionalFormatting sqref="AK9:AK27 AK33 AK29:AK31">
    <cfRule type="cellIs" dxfId="6149" priority="41" operator="greaterThan">
      <formula>110%</formula>
    </cfRule>
    <cfRule type="cellIs" dxfId="6148" priority="42" operator="between">
      <formula>100.001%</formula>
      <formula>110%</formula>
    </cfRule>
    <cfRule type="cellIs" dxfId="6147" priority="43" operator="between">
      <formula>70.001%</formula>
      <formula>100%</formula>
    </cfRule>
    <cfRule type="cellIs" dxfId="6146" priority="44" operator="between">
      <formula>0.00001%</formula>
      <formula>70%</formula>
    </cfRule>
    <cfRule type="cellIs" dxfId="6145" priority="45" operator="equal">
      <formula>0</formula>
    </cfRule>
  </conditionalFormatting>
  <conditionalFormatting sqref="AH9:AH27 AH33 AH29:AH31">
    <cfRule type="cellIs" dxfId="6144" priority="36" operator="greaterThan">
      <formula>110%</formula>
    </cfRule>
    <cfRule type="cellIs" dxfId="6143" priority="37" operator="between">
      <formula>100.001%</formula>
      <formula>110%</formula>
    </cfRule>
    <cfRule type="cellIs" dxfId="6142" priority="38" operator="between">
      <formula>70.001%</formula>
      <formula>100%</formula>
    </cfRule>
    <cfRule type="cellIs" dxfId="6141" priority="39" operator="between">
      <formula>0.00001%</formula>
      <formula>70%</formula>
    </cfRule>
    <cfRule type="cellIs" dxfId="6140" priority="40" operator="equal">
      <formula>0</formula>
    </cfRule>
  </conditionalFormatting>
  <conditionalFormatting sqref="AE9:AE27 AE33 AE29:AE31">
    <cfRule type="cellIs" dxfId="6139" priority="31" operator="greaterThan">
      <formula>110%</formula>
    </cfRule>
    <cfRule type="cellIs" dxfId="6138" priority="32" operator="between">
      <formula>100.001%</formula>
      <formula>110%</formula>
    </cfRule>
    <cfRule type="cellIs" dxfId="6137" priority="33" operator="between">
      <formula>70.001%</formula>
      <formula>100%</formula>
    </cfRule>
    <cfRule type="cellIs" dxfId="6136" priority="34" operator="between">
      <formula>0.00001%</formula>
      <formula>70%</formula>
    </cfRule>
    <cfRule type="cellIs" dxfId="6135" priority="35" operator="equal">
      <formula>0</formula>
    </cfRule>
  </conditionalFormatting>
  <conditionalFormatting sqref="AC9:AC27 AC33 AC29:AC31">
    <cfRule type="cellIs" dxfId="6134" priority="26" operator="greaterThan">
      <formula>110%</formula>
    </cfRule>
    <cfRule type="cellIs" dxfId="6133" priority="27" operator="between">
      <formula>100.001%</formula>
      <formula>110%</formula>
    </cfRule>
    <cfRule type="cellIs" dxfId="6132" priority="28" operator="between">
      <formula>70.001%</formula>
      <formula>100%</formula>
    </cfRule>
    <cfRule type="cellIs" dxfId="6131" priority="29" operator="between">
      <formula>0.00001%</formula>
      <formula>70%</formula>
    </cfRule>
    <cfRule type="cellIs" dxfId="6130" priority="30" operator="equal">
      <formula>0</formula>
    </cfRule>
  </conditionalFormatting>
  <conditionalFormatting sqref="Z9:Z27 Z33 Z29:Z31">
    <cfRule type="cellIs" dxfId="6129" priority="21" operator="greaterThan">
      <formula>110%</formula>
    </cfRule>
    <cfRule type="cellIs" dxfId="6128" priority="22" operator="between">
      <formula>100.001%</formula>
      <formula>110%</formula>
    </cfRule>
    <cfRule type="cellIs" dxfId="6127" priority="23" operator="between">
      <formula>70.001%</formula>
      <formula>100%</formula>
    </cfRule>
    <cfRule type="cellIs" dxfId="6126" priority="24" operator="between">
      <formula>0.00001%</formula>
      <formula>70%</formula>
    </cfRule>
    <cfRule type="cellIs" dxfId="6125" priority="25" operator="equal">
      <formula>0</formula>
    </cfRule>
  </conditionalFormatting>
  <conditionalFormatting sqref="W9:W27 W33 W29:W31">
    <cfRule type="cellIs" dxfId="6124" priority="16" operator="greaterThan">
      <formula>110%</formula>
    </cfRule>
    <cfRule type="cellIs" dxfId="6123" priority="17" operator="between">
      <formula>100.001%</formula>
      <formula>110%</formula>
    </cfRule>
    <cfRule type="cellIs" dxfId="6122" priority="18" operator="between">
      <formula>70.001%</formula>
      <formula>100%</formula>
    </cfRule>
    <cfRule type="cellIs" dxfId="6121" priority="19" operator="between">
      <formula>0.00001%</formula>
      <formula>70%</formula>
    </cfRule>
    <cfRule type="cellIs" dxfId="6120" priority="20" operator="equal">
      <formula>0</formula>
    </cfRule>
  </conditionalFormatting>
  <conditionalFormatting sqref="T9:T27 T33 T29:T31">
    <cfRule type="cellIs" dxfId="6119" priority="11" operator="greaterThan">
      <formula>110%</formula>
    </cfRule>
    <cfRule type="cellIs" dxfId="6118" priority="12" operator="between">
      <formula>100.001%</formula>
      <formula>110%</formula>
    </cfRule>
    <cfRule type="cellIs" dxfId="6117" priority="13" operator="between">
      <formula>70.001%</formula>
      <formula>100%</formula>
    </cfRule>
    <cfRule type="cellIs" dxfId="6116" priority="14" operator="between">
      <formula>0.00001%</formula>
      <formula>70%</formula>
    </cfRule>
    <cfRule type="cellIs" dxfId="6115" priority="15" operator="equal">
      <formula>0</formula>
    </cfRule>
  </conditionalFormatting>
  <conditionalFormatting sqref="Q9:Q27 Q33 Q29:Q31">
    <cfRule type="cellIs" dxfId="6114" priority="6" operator="greaterThan">
      <formula>110%</formula>
    </cfRule>
    <cfRule type="cellIs" dxfId="6113" priority="7" operator="between">
      <formula>100.001%</formula>
      <formula>110%</formula>
    </cfRule>
    <cfRule type="cellIs" dxfId="6112" priority="8" operator="between">
      <formula>70.001%</formula>
      <formula>100%</formula>
    </cfRule>
    <cfRule type="cellIs" dxfId="6111" priority="9" operator="between">
      <formula>0.00001%</formula>
      <formula>70%</formula>
    </cfRule>
    <cfRule type="cellIs" dxfId="6110" priority="10" operator="equal">
      <formula>0</formula>
    </cfRule>
  </conditionalFormatting>
  <conditionalFormatting sqref="N9:N27 N33 N29:N31">
    <cfRule type="cellIs" dxfId="6109" priority="1" operator="greaterThan">
      <formula>110%</formula>
    </cfRule>
    <cfRule type="cellIs" dxfId="6108" priority="2" operator="between">
      <formula>100.001%</formula>
      <formula>110%</formula>
    </cfRule>
    <cfRule type="cellIs" dxfId="6107" priority="3" operator="between">
      <formula>70.001%</formula>
      <formula>100%</formula>
    </cfRule>
    <cfRule type="cellIs" dxfId="6106" priority="4" operator="between">
      <formula>0.00001%</formula>
      <formula>70%</formula>
    </cfRule>
    <cfRule type="cellIs" dxfId="6105" priority="5" operator="equal">
      <formula>0</formula>
    </cfRule>
  </conditionalFormatting>
  <hyperlinks>
    <hyperlink ref="D11" location="'IN1-3'!Área_de_impresión" display="IN1-3 Recaudo Bruto" xr:uid="{00000000-0004-0000-1400-000000000000}"/>
    <hyperlink ref="D12" location="'FIS-4'!Área_de_impresión" display="FIS-4 Gestión efectiva en fiscalización tributaria" xr:uid="{00000000-0004-0000-1400-000001000000}"/>
    <hyperlink ref="D13" location="'FIS-10'!Área_de_impresión" display="FIS-10 Gestión aceptada en fiscalización tributaria" xr:uid="{00000000-0004-0000-1400-000002000000}"/>
    <hyperlink ref="D14" location="'FIS-27'!Área_de_impresión" display="FIS-27 Reclasificación de no responsables a responsables" xr:uid="{00000000-0004-0000-1400-000003000000}"/>
    <hyperlink ref="D15" location="'FIS-17'!Área_de_impresión" display="FIS-17 Evacuación de expedientes en fiscalización tributaria" xr:uid="{00000000-0004-0000-1400-000004000000}"/>
    <hyperlink ref="D16" location="'IN1-4'!Área_de_impresión" display="IN1-4 Recaudo por gestión de cartera" xr:uid="{00000000-0004-0000-1400-000005000000}"/>
    <hyperlink ref="D17" location="'IN1-5'!Área_de_impresión" display="IN1-5 Inscritos en el Régimen Simple de Tributación - RST" xr:uid="{00000000-0004-0000-1400-000006000000}"/>
    <hyperlink ref="D18" location="'IN1-6.1'!Área_de_impresión" display="IN1-6.1 Grado de cumplimiento del cronograma de campañas del RST" xr:uid="{00000000-0004-0000-1400-000007000000}"/>
    <hyperlink ref="D19" location="'IN1-8'!Área_de_impresión" display="IN1-8 Contribuyentes habilitados como facturadores electrónicos" xr:uid="{00000000-0004-0000-1400-000008000000}"/>
    <hyperlink ref="D20" location="'JUR-3.1'!Área_de_impresión" display="JUR-3.1 Porcentaje de éxito de litigiosidad" xr:uid="{00000000-0004-0000-1400-000009000000}"/>
    <hyperlink ref="D21" location="'JUR-3.2'!Área_de_impresión" display="JUR-3.2 Porcentaje procesos judiciales revisados con mayor riesgo en Ekogui" xr:uid="{00000000-0004-0000-1400-00000A000000}"/>
    <hyperlink ref="D22" location="'JUR-3.3'!Área_de_impresión" display="JUR-3.3 Porcentaje de análisis de jurisprudencia remitidos junto con la copia de la sentencia " xr:uid="{00000000-0004-0000-1400-00000B000000}"/>
    <hyperlink ref="D23" location="'JUR-3.4'!Área_de_impresión" display="JUR-3.4 Porcentaje de procesos revisados con VoBo del Jefe " xr:uid="{00000000-0004-0000-1400-00000C000000}"/>
    <hyperlink ref="D24" location="'JUR-3.5'!Área_de_impresión" display="JUR-3.5 Porcentaje de requerimientos atendidos en oportunidad" xr:uid="{00000000-0004-0000-1400-00000D000000}"/>
    <hyperlink ref="D25" location="'JUR-3.6'!Área_de_impresión" display="JUR-3.6 Porcentaje de funcionarios capacitaciones en cursos virtuales de la ANDJE" xr:uid="{00000000-0004-0000-1400-00000E000000}"/>
    <hyperlink ref="D26" location="'JUR-4'!Área_de_impresión" display="JUR-4 Porcentaje funcionarios que participaron en el concurso de escritura jurídica" xr:uid="{00000000-0004-0000-1400-00000F000000}"/>
    <hyperlink ref="D27" location="'FIS-24'!Área_de_impresión" display="FIS-24 Valor Decomisos de mercancías en firme" xr:uid="{00000000-0004-0000-1400-000010000000}"/>
    <hyperlink ref="D29" location="'IN1-11'!Área_de_impresión" display="IN1-11  Nivel de cobertura de personas sensibilizadas por el plan de cultura. ACTUALMENTE. Cumplimiento al Plan de Acción de Cultura de la Contribución" xr:uid="{00000000-0004-0000-1400-000011000000}"/>
    <hyperlink ref="D30" location="'JUR-7'!Área_de_impresión" display="JUR-7 Oportunidad en las decisiones de los recursos tributarios hasta su remisión a notificaciones" xr:uid="{00000000-0004-0000-1400-000012000000}"/>
    <hyperlink ref="D31" location="'IN1-15'!Área_de_impresión" display="IN1-15 Días en devoluciones ordinarias" xr:uid="{00000000-0004-0000-1400-000013000000}"/>
    <hyperlink ref="D10" location="'DGRAE-2'!A1" display="DGRAE-2 Nivel de ejecución del PAA de la Dirección" xr:uid="{00000000-0004-0000-1400-000014000000}"/>
    <hyperlink ref="D33" location="'DGRAE-25'!A1" display="DGRAE-25 Actividades que componen el  PIC para la Dirección de Gestión" xr:uid="{00000000-0004-0000-1400-000015000000}"/>
    <hyperlink ref="D9" location="'DGRAE-1'!A1" display="DGRAE-1 Nivel de Ejecución del presupuesto " xr:uid="{00000000-0004-0000-1400-000016000000}"/>
    <hyperlink ref="AZ2" location="'Consolidado '!A1" display="VOLVER" xr:uid="{00000000-0004-0000-1400-000017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W34"/>
  <sheetViews>
    <sheetView zoomScale="60" zoomScaleNormal="60" workbookViewId="0">
      <selection activeCell="AY10" sqref="AY10"/>
    </sheetView>
  </sheetViews>
  <sheetFormatPr baseColWidth="10" defaultColWidth="11.42578125" defaultRowHeight="16.5"/>
  <cols>
    <col min="1" max="1" width="18.85546875" style="8" bestFit="1" customWidth="1"/>
    <col min="2" max="2" width="32.28515625" style="8" customWidth="1"/>
    <col min="3" max="3" width="41.42578125" style="63" customWidth="1"/>
    <col min="4" max="4" width="24" style="63" customWidth="1"/>
    <col min="5" max="5" width="71.42578125" style="8" hidden="1" customWidth="1"/>
    <col min="6" max="6" width="23.85546875" style="8" bestFit="1" customWidth="1"/>
    <col min="7" max="7" width="27.140625" style="8" customWidth="1"/>
    <col min="8" max="8" width="25.85546875" style="8" customWidth="1"/>
    <col min="9" max="10" width="21.7109375" style="8" hidden="1" customWidth="1"/>
    <col min="11" max="11" width="21.7109375" style="444" hidden="1" customWidth="1"/>
    <col min="12" max="46" width="21.7109375" style="8" hidden="1" customWidth="1"/>
    <col min="47" max="47" width="29.28515625" style="8" customWidth="1"/>
    <col min="48" max="48" width="21.7109375" style="444" customWidth="1"/>
    <col min="49" max="16384" width="11.42578125" style="8"/>
  </cols>
  <sheetData>
    <row r="1" spans="1:49" ht="26.25">
      <c r="A1" s="101"/>
      <c r="B1" s="101"/>
      <c r="C1" s="2885" t="s">
        <v>652</v>
      </c>
      <c r="D1" s="2885"/>
      <c r="E1" s="2885"/>
      <c r="F1" s="2885"/>
      <c r="G1" s="2885"/>
      <c r="H1" s="2885"/>
    </row>
    <row r="2" spans="1:49" ht="18.75" customHeight="1">
      <c r="A2" s="3002" t="s">
        <v>69</v>
      </c>
      <c r="B2" s="3002"/>
      <c r="C2" s="3002"/>
      <c r="D2" s="3002"/>
      <c r="E2" s="3002"/>
      <c r="F2" s="3002"/>
      <c r="G2" s="3002"/>
      <c r="H2" s="3002"/>
      <c r="AW2" s="670" t="s">
        <v>185</v>
      </c>
    </row>
    <row r="3" spans="1:49">
      <c r="A3" s="2866" t="s">
        <v>653</v>
      </c>
      <c r="B3" s="2867"/>
      <c r="C3" s="2867"/>
      <c r="D3" s="2867"/>
      <c r="E3" s="2867"/>
      <c r="F3" s="2867"/>
      <c r="G3" s="2867"/>
      <c r="H3" s="2867"/>
      <c r="AW3" s="444">
        <f>+(AV9+AV10+AV11+AV12+AV13+AV14+AV15+AV16+AV17+AV18+AV19+AV20+AV21+AV22+AV23+AV24+AV25+AV26+AV27+AV29+AV30+AV31+AV33)/23</f>
        <v>1.2610447833703495</v>
      </c>
    </row>
    <row r="4" spans="1:49" ht="17.25" thickBot="1">
      <c r="A4" s="70"/>
      <c r="B4" s="109"/>
      <c r="C4" s="109"/>
      <c r="D4" s="109"/>
      <c r="E4" s="109"/>
      <c r="F4" s="109"/>
      <c r="G4" s="109"/>
      <c r="H4" s="109"/>
    </row>
    <row r="5" spans="1:49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0" t="s">
        <v>5</v>
      </c>
      <c r="I5" s="2840" t="s">
        <v>70</v>
      </c>
      <c r="J5" s="2841"/>
      <c r="K5" s="2884"/>
      <c r="L5" s="2840" t="s">
        <v>71</v>
      </c>
      <c r="M5" s="2841"/>
      <c r="N5" s="2884"/>
      <c r="O5" s="2840" t="s">
        <v>72</v>
      </c>
      <c r="P5" s="2841"/>
      <c r="Q5" s="2884"/>
      <c r="R5" s="2840" t="s">
        <v>73</v>
      </c>
      <c r="S5" s="2841"/>
      <c r="T5" s="2884"/>
      <c r="U5" s="2840" t="s">
        <v>74</v>
      </c>
      <c r="V5" s="2841"/>
      <c r="W5" s="2884"/>
      <c r="X5" s="2840" t="s">
        <v>75</v>
      </c>
      <c r="Y5" s="2841"/>
      <c r="Z5" s="2841"/>
      <c r="AA5" s="2840" t="s">
        <v>188</v>
      </c>
      <c r="AB5" s="2841"/>
      <c r="AC5" s="2840" t="s">
        <v>76</v>
      </c>
      <c r="AD5" s="2841"/>
      <c r="AE5" s="2884"/>
      <c r="AF5" s="2840" t="s">
        <v>77</v>
      </c>
      <c r="AG5" s="2841"/>
      <c r="AH5" s="2884"/>
      <c r="AI5" s="2840" t="s">
        <v>78</v>
      </c>
      <c r="AJ5" s="2841"/>
      <c r="AK5" s="2884"/>
      <c r="AL5" s="2840" t="s">
        <v>79</v>
      </c>
      <c r="AM5" s="2841"/>
      <c r="AN5" s="2884"/>
      <c r="AO5" s="2840" t="s">
        <v>80</v>
      </c>
      <c r="AP5" s="2841"/>
      <c r="AQ5" s="2884"/>
      <c r="AR5" s="2840" t="s">
        <v>81</v>
      </c>
      <c r="AS5" s="2841"/>
      <c r="AT5" s="2884"/>
      <c r="AU5" s="2840" t="s">
        <v>82</v>
      </c>
      <c r="AV5" s="2841"/>
    </row>
    <row r="6" spans="1:49" ht="18" thickTop="1" thickBot="1">
      <c r="A6" s="2823"/>
      <c r="B6" s="2823"/>
      <c r="C6" s="2823"/>
      <c r="D6" s="2823"/>
      <c r="E6" s="2823"/>
      <c r="F6" s="2823"/>
      <c r="G6" s="2831"/>
      <c r="H6" s="2831"/>
      <c r="I6" s="2840"/>
      <c r="J6" s="2841"/>
      <c r="K6" s="2884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41"/>
      <c r="AA6" s="2840"/>
      <c r="AB6" s="2841"/>
      <c r="AC6" s="2840"/>
      <c r="AD6" s="2841"/>
      <c r="AE6" s="288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</row>
    <row r="7" spans="1:49" s="12" customFormat="1" ht="18" thickTop="1" thickBot="1">
      <c r="A7" s="2823"/>
      <c r="B7" s="2823"/>
      <c r="C7" s="2823"/>
      <c r="D7" s="2823"/>
      <c r="E7" s="2823"/>
      <c r="F7" s="2823"/>
      <c r="G7" s="2832"/>
      <c r="H7" s="2832"/>
      <c r="I7" s="2836"/>
      <c r="J7" s="2837"/>
      <c r="K7" s="2838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7"/>
      <c r="AA7" s="2836"/>
      <c r="AB7" s="2837"/>
      <c r="AC7" s="2836"/>
      <c r="AD7" s="2837"/>
      <c r="AE7" s="2838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40"/>
      <c r="AV7" s="2841"/>
    </row>
    <row r="8" spans="1:49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13" t="s">
        <v>84</v>
      </c>
      <c r="J8" s="14" t="s">
        <v>85</v>
      </c>
      <c r="K8" s="446" t="s">
        <v>86</v>
      </c>
      <c r="L8" s="13" t="s">
        <v>84</v>
      </c>
      <c r="M8" s="14" t="s">
        <v>85</v>
      </c>
      <c r="N8" s="13" t="s">
        <v>86</v>
      </c>
      <c r="O8" s="16" t="s">
        <v>84</v>
      </c>
      <c r="P8" s="16" t="s">
        <v>85</v>
      </c>
      <c r="Q8" s="13" t="s">
        <v>86</v>
      </c>
      <c r="R8" s="16" t="s">
        <v>84</v>
      </c>
      <c r="S8" s="16" t="s">
        <v>85</v>
      </c>
      <c r="T8" s="13" t="s">
        <v>86</v>
      </c>
      <c r="U8" s="16" t="s">
        <v>84</v>
      </c>
      <c r="V8" s="16" t="s">
        <v>85</v>
      </c>
      <c r="W8" s="13" t="s">
        <v>86</v>
      </c>
      <c r="X8" s="16" t="s">
        <v>84</v>
      </c>
      <c r="Y8" s="16" t="s">
        <v>85</v>
      </c>
      <c r="Z8" s="13" t="s">
        <v>86</v>
      </c>
      <c r="AA8" s="16" t="s">
        <v>87</v>
      </c>
      <c r="AB8" s="16" t="s">
        <v>6</v>
      </c>
      <c r="AC8" s="13" t="s">
        <v>84</v>
      </c>
      <c r="AD8" s="14" t="s">
        <v>85</v>
      </c>
      <c r="AE8" s="13" t="s">
        <v>86</v>
      </c>
      <c r="AF8" s="16" t="s">
        <v>84</v>
      </c>
      <c r="AG8" s="13" t="s">
        <v>85</v>
      </c>
      <c r="AH8" s="13" t="s">
        <v>86</v>
      </c>
      <c r="AI8" s="14" t="s">
        <v>84</v>
      </c>
      <c r="AJ8" s="16" t="s">
        <v>85</v>
      </c>
      <c r="AK8" s="13" t="s">
        <v>86</v>
      </c>
      <c r="AL8" s="16" t="s">
        <v>84</v>
      </c>
      <c r="AM8" s="16" t="s">
        <v>85</v>
      </c>
      <c r="AN8" s="13" t="s">
        <v>86</v>
      </c>
      <c r="AO8" s="16" t="s">
        <v>84</v>
      </c>
      <c r="AP8" s="13" t="s">
        <v>85</v>
      </c>
      <c r="AQ8" s="13" t="s">
        <v>86</v>
      </c>
      <c r="AR8" s="13" t="s">
        <v>84</v>
      </c>
      <c r="AS8" s="14" t="s">
        <v>85</v>
      </c>
      <c r="AT8" s="13" t="s">
        <v>86</v>
      </c>
      <c r="AU8" s="13" t="s">
        <v>87</v>
      </c>
      <c r="AV8" s="110" t="s">
        <v>6</v>
      </c>
    </row>
    <row r="9" spans="1:49" customFormat="1" ht="46.5" thickTop="1" thickBot="1">
      <c r="A9" s="2943" t="s">
        <v>88</v>
      </c>
      <c r="B9" s="3119" t="s">
        <v>654</v>
      </c>
      <c r="C9" s="881" t="s">
        <v>167</v>
      </c>
      <c r="D9" s="623" t="s">
        <v>90</v>
      </c>
      <c r="E9" s="706" t="s">
        <v>91</v>
      </c>
      <c r="F9" s="706" t="s">
        <v>168</v>
      </c>
      <c r="G9" s="706">
        <v>312.5</v>
      </c>
      <c r="H9" s="706" t="s">
        <v>655</v>
      </c>
      <c r="I9" s="20">
        <v>155.258049</v>
      </c>
      <c r="J9" s="21">
        <v>31.34</v>
      </c>
      <c r="K9" s="19">
        <f>+J9/I9</f>
        <v>0.20185748952700031</v>
      </c>
      <c r="L9" s="20">
        <v>46.072715000000002</v>
      </c>
      <c r="M9" s="21">
        <v>31.06</v>
      </c>
      <c r="N9" s="19">
        <f>+M9/L9</f>
        <v>0.6741517186473599</v>
      </c>
      <c r="O9" s="20">
        <v>25.989664999999999</v>
      </c>
      <c r="P9" s="21">
        <v>22.1</v>
      </c>
      <c r="Q9" s="19">
        <f>+P9/O9</f>
        <v>0.85033800935872017</v>
      </c>
      <c r="R9" s="20">
        <v>26.489664999999999</v>
      </c>
      <c r="S9" s="21">
        <v>17.260000000000002</v>
      </c>
      <c r="T9" s="19">
        <f>+S9/R9</f>
        <v>0.65157486891585836</v>
      </c>
      <c r="U9" s="20">
        <v>29.589665</v>
      </c>
      <c r="V9" s="21">
        <v>17.88</v>
      </c>
      <c r="W9" s="19">
        <f>+V9/U9</f>
        <v>0.60426503645783081</v>
      </c>
      <c r="X9" s="20">
        <v>21.989664999999999</v>
      </c>
      <c r="Y9" s="21">
        <v>18.48</v>
      </c>
      <c r="Z9" s="19">
        <f>+Y9/X9</f>
        <v>0.84039479455462385</v>
      </c>
      <c r="AA9" s="1513">
        <f>+J9+M9+P9+S9+V9+Y9</f>
        <v>138.12</v>
      </c>
      <c r="AB9" s="19">
        <f t="shared" ref="AB9:AB27" si="0">AA9/G9</f>
        <v>0.44198399999999999</v>
      </c>
      <c r="AC9" s="20">
        <v>22.589665</v>
      </c>
      <c r="AD9" s="21">
        <v>25.37</v>
      </c>
      <c r="AE9" s="19">
        <f>+AD9/AC9</f>
        <v>1.1230799571396921</v>
      </c>
      <c r="AF9" s="20">
        <v>22.589665</v>
      </c>
      <c r="AG9" s="21">
        <v>20.51</v>
      </c>
      <c r="AH9" s="19">
        <f>+AG9/AF9</f>
        <v>0.90793732443575426</v>
      </c>
      <c r="AI9" s="20">
        <v>21.989664999999999</v>
      </c>
      <c r="AJ9" s="21">
        <v>25.55</v>
      </c>
      <c r="AK9" s="19">
        <f>+AJ9/AI9</f>
        <v>1.1619094697440822</v>
      </c>
      <c r="AL9" s="20">
        <v>22.589665</v>
      </c>
      <c r="AM9" s="21">
        <v>21.49</v>
      </c>
      <c r="AN9" s="19">
        <f>+AM9/AL9</f>
        <v>0.95131999522790611</v>
      </c>
      <c r="AO9" s="20">
        <v>14.079665</v>
      </c>
      <c r="AP9" s="21">
        <v>41.6</v>
      </c>
      <c r="AQ9" s="19">
        <f>+AP9/AO9</f>
        <v>2.9546157525764993</v>
      </c>
      <c r="AR9" s="20">
        <v>22.255300999999999</v>
      </c>
      <c r="AS9" s="21">
        <v>29.236000000000001</v>
      </c>
      <c r="AT9" s="19">
        <f>+AS9/AR9</f>
        <v>1.3136645512006331</v>
      </c>
      <c r="AU9" s="20">
        <f>+J9+M9+P9+S9+V9+Y9+AD9+AG9+AJ9+AM9+AP9+AS9</f>
        <v>301.87600000000003</v>
      </c>
      <c r="AV9" s="19">
        <f>+AU9/G9</f>
        <v>0.96600320000000006</v>
      </c>
    </row>
    <row r="10" spans="1:49" customFormat="1" ht="46.5" thickTop="1" thickBot="1">
      <c r="A10" s="2944"/>
      <c r="B10" s="3120"/>
      <c r="C10" s="706" t="s">
        <v>656</v>
      </c>
      <c r="D10" s="623" t="s">
        <v>92</v>
      </c>
      <c r="E10" s="706" t="s">
        <v>93</v>
      </c>
      <c r="F10" s="706" t="s">
        <v>17</v>
      </c>
      <c r="G10" s="706">
        <v>7</v>
      </c>
      <c r="H10" s="706" t="s">
        <v>657</v>
      </c>
      <c r="I10" s="625">
        <v>0</v>
      </c>
      <c r="J10" s="59">
        <v>2</v>
      </c>
      <c r="K10" s="19" t="e">
        <f>+J10/I10</f>
        <v>#DIV/0!</v>
      </c>
      <c r="L10" s="625">
        <v>0</v>
      </c>
      <c r="M10" s="59">
        <v>1</v>
      </c>
      <c r="N10" s="19" t="e">
        <f>+M10/L10</f>
        <v>#DIV/0!</v>
      </c>
      <c r="O10" s="625">
        <v>0</v>
      </c>
      <c r="P10" s="59">
        <v>1</v>
      </c>
      <c r="Q10" s="19" t="e">
        <f>+P10/O10</f>
        <v>#DIV/0!</v>
      </c>
      <c r="R10" s="625">
        <v>0</v>
      </c>
      <c r="S10" s="59"/>
      <c r="T10" s="19" t="e">
        <f>+S10/R10</f>
        <v>#DIV/0!</v>
      </c>
      <c r="U10" s="625">
        <v>0</v>
      </c>
      <c r="V10" s="59"/>
      <c r="W10" s="19" t="e">
        <f>+V10/U10</f>
        <v>#DIV/0!</v>
      </c>
      <c r="X10" s="625">
        <v>0</v>
      </c>
      <c r="Y10" s="59">
        <v>1</v>
      </c>
      <c r="Z10" s="19" t="e">
        <f>+Y10/X10</f>
        <v>#DIV/0!</v>
      </c>
      <c r="AA10" s="719">
        <f>+J10+M10+P10+S10+V10+Y10</f>
        <v>5</v>
      </c>
      <c r="AB10" s="19">
        <f t="shared" si="0"/>
        <v>0.7142857142857143</v>
      </c>
      <c r="AC10" s="625">
        <v>0</v>
      </c>
      <c r="AD10" s="59">
        <v>1</v>
      </c>
      <c r="AE10" s="19" t="e">
        <f>+AD10/AC10</f>
        <v>#DIV/0!</v>
      </c>
      <c r="AF10" s="625">
        <v>0</v>
      </c>
      <c r="AG10" s="59">
        <v>1</v>
      </c>
      <c r="AH10" s="19" t="e">
        <f>+AG10/AF10</f>
        <v>#DIV/0!</v>
      </c>
      <c r="AI10" s="625">
        <v>0</v>
      </c>
      <c r="AJ10" s="59"/>
      <c r="AK10" s="19" t="e">
        <f>+AJ10/AI10</f>
        <v>#DIV/0!</v>
      </c>
      <c r="AL10" s="625">
        <v>0</v>
      </c>
      <c r="AM10" s="59"/>
      <c r="AN10" s="19" t="e">
        <f>+AM10/AL10</f>
        <v>#DIV/0!</v>
      </c>
      <c r="AO10" s="625">
        <v>0</v>
      </c>
      <c r="AP10" s="59"/>
      <c r="AQ10" s="19" t="e">
        <f>+AP10/AO10</f>
        <v>#DIV/0!</v>
      </c>
      <c r="AR10" s="625">
        <v>0</v>
      </c>
      <c r="AS10" s="59"/>
      <c r="AT10" s="19" t="e">
        <f>+AS10/AR10</f>
        <v>#DIV/0!</v>
      </c>
      <c r="AU10" s="638">
        <f>+J10+M10+P10+S10+V10+Y10+AD10+AG10+AJ10+AM10+AP10+AS10</f>
        <v>7</v>
      </c>
      <c r="AV10" s="19">
        <f>+AU10/G10</f>
        <v>1</v>
      </c>
    </row>
    <row r="11" spans="1:49" s="22" customFormat="1" ht="31.5" thickTop="1" thickBot="1">
      <c r="A11" s="2944"/>
      <c r="B11" s="3121" t="s">
        <v>94</v>
      </c>
      <c r="C11" s="1016" t="s">
        <v>521</v>
      </c>
      <c r="D11" s="627" t="s">
        <v>96</v>
      </c>
      <c r="E11" s="1016" t="s">
        <v>97</v>
      </c>
      <c r="F11" s="1016" t="s">
        <v>168</v>
      </c>
      <c r="G11" s="1514">
        <v>546416</v>
      </c>
      <c r="H11" s="1016" t="s">
        <v>20</v>
      </c>
      <c r="I11" s="31" t="s">
        <v>98</v>
      </c>
      <c r="J11" s="32"/>
      <c r="K11" s="19" t="e">
        <f>+J11/I11</f>
        <v>#VALUE!</v>
      </c>
      <c r="L11" s="31">
        <v>0</v>
      </c>
      <c r="M11" s="32"/>
      <c r="N11" s="19" t="e">
        <f>+M11/L11</f>
        <v>#DIV/0!</v>
      </c>
      <c r="O11" s="31">
        <v>0</v>
      </c>
      <c r="P11" s="32"/>
      <c r="Q11" s="19" t="e">
        <f>+P11/O11</f>
        <v>#DIV/0!</v>
      </c>
      <c r="R11" s="31">
        <v>0</v>
      </c>
      <c r="S11" s="32"/>
      <c r="T11" s="19" t="e">
        <f>+S11/R11</f>
        <v>#DIV/0!</v>
      </c>
      <c r="U11" s="31">
        <v>0</v>
      </c>
      <c r="V11" s="32"/>
      <c r="W11" s="19" t="e">
        <f>+V11/U11</f>
        <v>#DIV/0!</v>
      </c>
      <c r="X11" s="31">
        <v>0</v>
      </c>
      <c r="Y11" s="32"/>
      <c r="Z11" s="19" t="e">
        <f>+Y11/X11</f>
        <v>#DIV/0!</v>
      </c>
      <c r="AA11" s="32">
        <f>+J11+M11+P11+S11+V11+Y11</f>
        <v>0</v>
      </c>
      <c r="AB11" s="19">
        <f t="shared" si="0"/>
        <v>0</v>
      </c>
      <c r="AC11" s="31">
        <v>0</v>
      </c>
      <c r="AD11" s="32"/>
      <c r="AE11" s="19" t="e">
        <f>+AD11/AC11</f>
        <v>#DIV/0!</v>
      </c>
      <c r="AF11" s="31">
        <v>0</v>
      </c>
      <c r="AG11" s="32"/>
      <c r="AH11" s="19" t="e">
        <f>+AG11/AF11</f>
        <v>#DIV/0!</v>
      </c>
      <c r="AI11" s="31">
        <v>0</v>
      </c>
      <c r="AJ11" s="32"/>
      <c r="AK11" s="19" t="e">
        <f>+AJ11/AI11</f>
        <v>#DIV/0!</v>
      </c>
      <c r="AL11" s="31">
        <v>0</v>
      </c>
      <c r="AM11" s="32"/>
      <c r="AN11" s="19" t="e">
        <f>+AM11/AL11</f>
        <v>#DIV/0!</v>
      </c>
      <c r="AO11" s="31">
        <v>0</v>
      </c>
      <c r="AP11" s="32">
        <v>485077</v>
      </c>
      <c r="AQ11" s="19" t="e">
        <f>+AP11/AO11</f>
        <v>#DIV/0!</v>
      </c>
      <c r="AR11" s="31">
        <v>0</v>
      </c>
      <c r="AS11" s="32">
        <v>546416.428297985</v>
      </c>
      <c r="AT11" s="19" t="e">
        <f>+AS11/AR11</f>
        <v>#DIV/0!</v>
      </c>
      <c r="AU11" s="31">
        <f>+AS11</f>
        <v>546416.428297985</v>
      </c>
      <c r="AV11" s="19">
        <f>+AU11/AU11</f>
        <v>1</v>
      </c>
    </row>
    <row r="12" spans="1:49" s="22" customFormat="1" ht="76.5" thickTop="1" thickBot="1">
      <c r="A12" s="2944"/>
      <c r="B12" s="3122"/>
      <c r="C12" s="3124" t="s">
        <v>623</v>
      </c>
      <c r="D12" s="627" t="s">
        <v>99</v>
      </c>
      <c r="E12" s="81" t="s">
        <v>100</v>
      </c>
      <c r="F12" s="81" t="s">
        <v>101</v>
      </c>
      <c r="G12" s="1515">
        <v>67620000000</v>
      </c>
      <c r="H12" s="81" t="s">
        <v>172</v>
      </c>
      <c r="I12" s="31">
        <v>5409600000</v>
      </c>
      <c r="J12" s="32">
        <v>1788070509</v>
      </c>
      <c r="K12" s="19">
        <f t="shared" ref="K12:K33" si="1">+J12/I12</f>
        <v>0.33053654780390418</v>
      </c>
      <c r="L12" s="31">
        <v>5409600000</v>
      </c>
      <c r="M12" s="32">
        <v>3372961500</v>
      </c>
      <c r="N12" s="19">
        <f t="shared" ref="N12:N33" si="2">+M12/L12</f>
        <v>0.62351403061224486</v>
      </c>
      <c r="O12" s="31">
        <v>5409600000</v>
      </c>
      <c r="P12" s="32">
        <v>644027000</v>
      </c>
      <c r="Q12" s="19">
        <f t="shared" ref="Q12:Q33" si="3">+P12/O12</f>
        <v>0.11905261017450458</v>
      </c>
      <c r="R12" s="31">
        <v>6085800000</v>
      </c>
      <c r="S12" s="32">
        <v>1602716000</v>
      </c>
      <c r="T12" s="19">
        <f t="shared" ref="T12:T33" si="4">+S12/R12</f>
        <v>0.26335337999934272</v>
      </c>
      <c r="U12" s="31">
        <v>6762000000</v>
      </c>
      <c r="V12" s="32">
        <v>20776000</v>
      </c>
      <c r="W12" s="19">
        <f t="shared" ref="W12:W33" si="5">+V12/U12</f>
        <v>3.072463768115942E-3</v>
      </c>
      <c r="X12" s="31">
        <v>6762000000</v>
      </c>
      <c r="Y12" s="32">
        <v>1138765500</v>
      </c>
      <c r="Z12" s="19">
        <f t="shared" ref="Z12:Z33" si="6">+Y12/X12</f>
        <v>0.16840661047027505</v>
      </c>
      <c r="AA12" s="32">
        <f t="shared" ref="AA12:AA33" si="7">+J12+M12+P12+S12+V12+Y12</f>
        <v>8567316509</v>
      </c>
      <c r="AB12" s="19">
        <f t="shared" si="0"/>
        <v>0.12669796671103223</v>
      </c>
      <c r="AC12" s="31">
        <v>6762000000</v>
      </c>
      <c r="AD12" s="32">
        <v>6752080980</v>
      </c>
      <c r="AE12" s="19">
        <f t="shared" ref="AE12:AE33" si="8">+AD12/AC12</f>
        <v>0.99853312333629107</v>
      </c>
      <c r="AF12" s="31">
        <v>6762000000</v>
      </c>
      <c r="AG12" s="32">
        <v>1927080500</v>
      </c>
      <c r="AH12" s="19">
        <f t="shared" ref="AH12:AH33" si="9">+AG12/AF12</f>
        <v>0.28498676427092579</v>
      </c>
      <c r="AI12" s="31">
        <v>6762000000</v>
      </c>
      <c r="AJ12" s="32">
        <v>76205381000</v>
      </c>
      <c r="AK12" s="19">
        <f t="shared" ref="AK12:AK33" si="10">+AJ12/AI12</f>
        <v>11.269651138716355</v>
      </c>
      <c r="AL12" s="31">
        <v>6762000000</v>
      </c>
      <c r="AM12" s="32">
        <v>1784751670</v>
      </c>
      <c r="AN12" s="19">
        <f t="shared" ref="AN12:AN33" si="11">+AM12/AL12</f>
        <v>0.26393843093759245</v>
      </c>
      <c r="AO12" s="31">
        <v>2704800000</v>
      </c>
      <c r="AP12" s="32">
        <v>549453000</v>
      </c>
      <c r="AQ12" s="19">
        <f t="shared" ref="AQ12:AQ33" si="12">+AP12/AO12</f>
        <v>0.20313997338065662</v>
      </c>
      <c r="AR12" s="31">
        <v>2028600000</v>
      </c>
      <c r="AS12" s="32">
        <v>6947160830</v>
      </c>
      <c r="AT12" s="19">
        <f t="shared" ref="AT12:AT33" si="13">+AS12/AR12</f>
        <v>3.4246085132603765</v>
      </c>
      <c r="AU12" s="31">
        <f>+J12+M12+P12+S12+V12+Y12+AD12+AG12+AJ12+AM12+AP12+AS12</f>
        <v>102733224489</v>
      </c>
      <c r="AV12" s="19">
        <f t="shared" ref="AV12:AV27" si="14">+AU12/G12</f>
        <v>1.5192727667701864</v>
      </c>
    </row>
    <row r="13" spans="1:49" s="22" customFormat="1" ht="76.5" thickTop="1" thickBot="1">
      <c r="A13" s="2944"/>
      <c r="B13" s="3122"/>
      <c r="C13" s="3124"/>
      <c r="D13" s="623" t="s">
        <v>102</v>
      </c>
      <c r="E13" s="76" t="s">
        <v>103</v>
      </c>
      <c r="F13" s="76" t="s">
        <v>101</v>
      </c>
      <c r="G13" s="185">
        <v>51000000000</v>
      </c>
      <c r="H13" s="76" t="s">
        <v>172</v>
      </c>
      <c r="I13" s="20">
        <v>4080000000</v>
      </c>
      <c r="J13" s="21">
        <v>1190948000</v>
      </c>
      <c r="K13" s="19">
        <f t="shared" si="1"/>
        <v>0.29189901960784315</v>
      </c>
      <c r="L13" s="20">
        <v>4080000000</v>
      </c>
      <c r="M13" s="21">
        <v>2409210250</v>
      </c>
      <c r="N13" s="19">
        <f t="shared" si="2"/>
        <v>0.59049270833333334</v>
      </c>
      <c r="O13" s="20">
        <v>4080000000</v>
      </c>
      <c r="P13" s="21">
        <v>1889245009</v>
      </c>
      <c r="Q13" s="19">
        <f t="shared" si="3"/>
        <v>0.46305024730392158</v>
      </c>
      <c r="R13" s="20">
        <v>4590000000</v>
      </c>
      <c r="S13" s="21">
        <v>0</v>
      </c>
      <c r="T13" s="19">
        <f t="shared" si="4"/>
        <v>0</v>
      </c>
      <c r="U13" s="20">
        <v>5100000000</v>
      </c>
      <c r="V13" s="21">
        <v>1463487000</v>
      </c>
      <c r="W13" s="19">
        <f t="shared" si="5"/>
        <v>0.28695823529411763</v>
      </c>
      <c r="X13" s="20">
        <v>5100000000</v>
      </c>
      <c r="Y13" s="21">
        <v>484000</v>
      </c>
      <c r="Z13" s="19">
        <f t="shared" si="6"/>
        <v>9.4901960784313726E-5</v>
      </c>
      <c r="AA13" s="21">
        <f t="shared" si="7"/>
        <v>6953374259</v>
      </c>
      <c r="AB13" s="19">
        <f t="shared" si="0"/>
        <v>0.13634067174509804</v>
      </c>
      <c r="AC13" s="20">
        <v>5100000000</v>
      </c>
      <c r="AD13" s="21">
        <v>1337148000</v>
      </c>
      <c r="AE13" s="19">
        <f t="shared" si="8"/>
        <v>0.26218588235294116</v>
      </c>
      <c r="AF13" s="20">
        <v>5100000000</v>
      </c>
      <c r="AG13" s="21">
        <v>3102771980</v>
      </c>
      <c r="AH13" s="19">
        <f t="shared" si="9"/>
        <v>0.60838666274509801</v>
      </c>
      <c r="AI13" s="20">
        <v>5100000000</v>
      </c>
      <c r="AJ13" s="21">
        <v>76901917000</v>
      </c>
      <c r="AK13" s="19">
        <f t="shared" si="10"/>
        <v>15.07880725490196</v>
      </c>
      <c r="AL13" s="20">
        <v>5100000000</v>
      </c>
      <c r="AM13" s="21">
        <v>1595267000</v>
      </c>
      <c r="AN13" s="19">
        <f t="shared" si="11"/>
        <v>0.31279745098039213</v>
      </c>
      <c r="AO13" s="20">
        <v>2040000000</v>
      </c>
      <c r="AP13" s="21">
        <v>662286170</v>
      </c>
      <c r="AQ13" s="19">
        <f t="shared" si="12"/>
        <v>0.32465008333333334</v>
      </c>
      <c r="AR13" s="20">
        <v>1530000000</v>
      </c>
      <c r="AS13" s="21">
        <v>2267163640</v>
      </c>
      <c r="AT13" s="19">
        <f t="shared" si="13"/>
        <v>1.4818063006535949</v>
      </c>
      <c r="AU13" s="20">
        <f t="shared" ref="AU13:AU33" si="15">+J13+M13+P13+S13+V13+Y13+AD13+AG13+AJ13+AM13+AP13+AS13</f>
        <v>92819928049</v>
      </c>
      <c r="AV13" s="19">
        <f t="shared" si="14"/>
        <v>1.8199985891960784</v>
      </c>
    </row>
    <row r="14" spans="1:49" s="22" customFormat="1" ht="76.5" thickTop="1" thickBot="1">
      <c r="A14" s="2944"/>
      <c r="B14" s="3122"/>
      <c r="C14" s="3124"/>
      <c r="D14" s="627" t="s">
        <v>104</v>
      </c>
      <c r="E14" s="76" t="s">
        <v>117</v>
      </c>
      <c r="F14" s="1016" t="s">
        <v>24</v>
      </c>
      <c r="G14" s="1016">
        <v>80</v>
      </c>
      <c r="H14" s="1016" t="s">
        <v>172</v>
      </c>
      <c r="I14" s="676"/>
      <c r="J14" s="34"/>
      <c r="K14" s="19" t="e">
        <f t="shared" si="1"/>
        <v>#DIV/0!</v>
      </c>
      <c r="L14" s="676"/>
      <c r="M14" s="34"/>
      <c r="N14" s="19" t="e">
        <f t="shared" si="2"/>
        <v>#DIV/0!</v>
      </c>
      <c r="O14" s="676">
        <v>20</v>
      </c>
      <c r="P14" s="34"/>
      <c r="Q14" s="19">
        <f t="shared" si="3"/>
        <v>0</v>
      </c>
      <c r="R14" s="676"/>
      <c r="S14" s="34"/>
      <c r="T14" s="19" t="e">
        <f t="shared" si="4"/>
        <v>#DIV/0!</v>
      </c>
      <c r="U14" s="676"/>
      <c r="V14" s="34"/>
      <c r="W14" s="19" t="e">
        <f t="shared" si="5"/>
        <v>#DIV/0!</v>
      </c>
      <c r="X14" s="676">
        <v>20</v>
      </c>
      <c r="Y14" s="34">
        <v>40</v>
      </c>
      <c r="Z14" s="19">
        <f t="shared" si="6"/>
        <v>2</v>
      </c>
      <c r="AA14" s="722">
        <f t="shared" si="7"/>
        <v>40</v>
      </c>
      <c r="AB14" s="19">
        <f t="shared" si="0"/>
        <v>0.5</v>
      </c>
      <c r="AC14" s="676">
        <v>0</v>
      </c>
      <c r="AD14" s="34"/>
      <c r="AE14" s="19" t="e">
        <f t="shared" si="8"/>
        <v>#DIV/0!</v>
      </c>
      <c r="AF14" s="676"/>
      <c r="AG14" s="34"/>
      <c r="AH14" s="19" t="e">
        <f t="shared" si="9"/>
        <v>#DIV/0!</v>
      </c>
      <c r="AI14" s="676">
        <v>20</v>
      </c>
      <c r="AJ14" s="34">
        <v>20</v>
      </c>
      <c r="AK14" s="19">
        <f t="shared" si="10"/>
        <v>1</v>
      </c>
      <c r="AL14" s="676"/>
      <c r="AM14" s="34"/>
      <c r="AN14" s="19" t="e">
        <f t="shared" si="11"/>
        <v>#DIV/0!</v>
      </c>
      <c r="AO14" s="676"/>
      <c r="AP14" s="34"/>
      <c r="AQ14" s="19" t="e">
        <f t="shared" si="12"/>
        <v>#DIV/0!</v>
      </c>
      <c r="AR14" s="676">
        <v>20</v>
      </c>
      <c r="AS14" s="34">
        <v>20</v>
      </c>
      <c r="AT14" s="19">
        <f t="shared" si="13"/>
        <v>1</v>
      </c>
      <c r="AU14" s="721">
        <f t="shared" si="15"/>
        <v>80</v>
      </c>
      <c r="AV14" s="19">
        <f t="shared" si="14"/>
        <v>1</v>
      </c>
    </row>
    <row r="15" spans="1:49" s="22" customFormat="1" ht="76.5" thickTop="1" thickBot="1">
      <c r="A15" s="2944"/>
      <c r="B15" s="3122"/>
      <c r="C15" s="3124"/>
      <c r="D15" s="623" t="s">
        <v>106</v>
      </c>
      <c r="E15" s="76" t="s">
        <v>173</v>
      </c>
      <c r="F15" s="727" t="s">
        <v>24</v>
      </c>
      <c r="G15" s="1516">
        <v>143</v>
      </c>
      <c r="H15" s="727" t="s">
        <v>172</v>
      </c>
      <c r="I15" s="675"/>
      <c r="J15" s="36"/>
      <c r="K15" s="19" t="e">
        <f t="shared" si="1"/>
        <v>#DIV/0!</v>
      </c>
      <c r="L15" s="675">
        <v>0</v>
      </c>
      <c r="M15" s="36"/>
      <c r="N15" s="19" t="e">
        <f t="shared" si="2"/>
        <v>#DIV/0!</v>
      </c>
      <c r="O15" s="675">
        <v>0</v>
      </c>
      <c r="P15" s="36"/>
      <c r="Q15" s="19" t="e">
        <f t="shared" si="3"/>
        <v>#DIV/0!</v>
      </c>
      <c r="R15" s="675"/>
      <c r="S15" s="36"/>
      <c r="T15" s="19" t="e">
        <f t="shared" si="4"/>
        <v>#DIV/0!</v>
      </c>
      <c r="U15" s="675">
        <v>0</v>
      </c>
      <c r="V15" s="36"/>
      <c r="W15" s="19" t="e">
        <f t="shared" si="5"/>
        <v>#DIV/0!</v>
      </c>
      <c r="X15" s="675"/>
      <c r="Y15" s="36"/>
      <c r="Z15" s="19" t="e">
        <f t="shared" si="6"/>
        <v>#DIV/0!</v>
      </c>
      <c r="AA15" s="1517">
        <f t="shared" si="7"/>
        <v>0</v>
      </c>
      <c r="AB15" s="19">
        <f t="shared" si="0"/>
        <v>0</v>
      </c>
      <c r="AC15" s="675">
        <v>72</v>
      </c>
      <c r="AD15" s="36">
        <v>76</v>
      </c>
      <c r="AE15" s="19">
        <f t="shared" si="8"/>
        <v>1.0555555555555556</v>
      </c>
      <c r="AF15" s="675"/>
      <c r="AG15" s="36"/>
      <c r="AH15" s="19" t="e">
        <f t="shared" si="9"/>
        <v>#DIV/0!</v>
      </c>
      <c r="AI15" s="675"/>
      <c r="AJ15" s="36"/>
      <c r="AK15" s="19" t="e">
        <f t="shared" si="10"/>
        <v>#DIV/0!</v>
      </c>
      <c r="AL15" s="675">
        <v>0</v>
      </c>
      <c r="AM15" s="36"/>
      <c r="AN15" s="19" t="e">
        <f t="shared" si="11"/>
        <v>#DIV/0!</v>
      </c>
      <c r="AO15" s="675"/>
      <c r="AP15" s="36"/>
      <c r="AQ15" s="19" t="e">
        <f t="shared" si="12"/>
        <v>#DIV/0!</v>
      </c>
      <c r="AR15" s="675">
        <v>71</v>
      </c>
      <c r="AS15" s="36">
        <v>82</v>
      </c>
      <c r="AT15" s="19">
        <f t="shared" si="13"/>
        <v>1.1549295774647887</v>
      </c>
      <c r="AU15" s="1494">
        <f t="shared" si="15"/>
        <v>158</v>
      </c>
      <c r="AV15" s="19">
        <f t="shared" si="14"/>
        <v>1.1048951048951048</v>
      </c>
    </row>
    <row r="16" spans="1:49" s="22" customFormat="1" ht="46.5" thickTop="1" thickBot="1">
      <c r="A16" s="2944"/>
      <c r="B16" s="3122"/>
      <c r="C16" s="81" t="s">
        <v>658</v>
      </c>
      <c r="D16" s="627" t="s">
        <v>568</v>
      </c>
      <c r="E16" s="81" t="s">
        <v>110</v>
      </c>
      <c r="F16" s="81" t="s">
        <v>168</v>
      </c>
      <c r="G16" s="1172">
        <v>118439</v>
      </c>
      <c r="H16" s="81" t="s">
        <v>21</v>
      </c>
      <c r="I16" s="718"/>
      <c r="J16" s="39"/>
      <c r="K16" s="19" t="e">
        <f t="shared" si="1"/>
        <v>#DIV/0!</v>
      </c>
      <c r="L16" s="718">
        <v>0</v>
      </c>
      <c r="M16" s="39"/>
      <c r="N16" s="19" t="e">
        <f t="shared" si="2"/>
        <v>#DIV/0!</v>
      </c>
      <c r="O16" s="718">
        <v>27947.784538109066</v>
      </c>
      <c r="P16" s="39">
        <f>12619.648952+8724.64459+7782.748206</f>
        <v>29127.041748</v>
      </c>
      <c r="Q16" s="19">
        <f t="shared" si="3"/>
        <v>1.0421950157903543</v>
      </c>
      <c r="R16" s="718">
        <v>8958.2755705902346</v>
      </c>
      <c r="S16" s="36">
        <v>4104.0699160000004</v>
      </c>
      <c r="T16" s="19">
        <f t="shared" si="4"/>
        <v>0.45813168881224708</v>
      </c>
      <c r="U16" s="718">
        <v>11165.703423795794</v>
      </c>
      <c r="V16" s="39">
        <v>7041.2854930000003</v>
      </c>
      <c r="W16" s="19">
        <f t="shared" si="5"/>
        <v>0.63061727736686624</v>
      </c>
      <c r="X16" s="718">
        <v>9404.9699568571341</v>
      </c>
      <c r="Y16" s="39">
        <v>7058.7846650000001</v>
      </c>
      <c r="Z16" s="19">
        <f t="shared" si="6"/>
        <v>0.75053771541858705</v>
      </c>
      <c r="AA16" s="39">
        <f t="shared" si="7"/>
        <v>47331.181821999999</v>
      </c>
      <c r="AB16" s="19">
        <f t="shared" si="0"/>
        <v>0.39962497000143532</v>
      </c>
      <c r="AC16" s="718">
        <v>9065.4878238445162</v>
      </c>
      <c r="AD16" s="39">
        <v>5384.9621040000002</v>
      </c>
      <c r="AE16" s="19">
        <f t="shared" si="8"/>
        <v>0.59400687625835136</v>
      </c>
      <c r="AF16" s="718">
        <v>9389.8751257703498</v>
      </c>
      <c r="AG16" s="39">
        <v>6676.9718839999996</v>
      </c>
      <c r="AH16" s="19">
        <f t="shared" si="9"/>
        <v>0.71108207452888972</v>
      </c>
      <c r="AI16" s="718">
        <v>12252.172030726473</v>
      </c>
      <c r="AJ16" s="39">
        <v>13891.408028</v>
      </c>
      <c r="AK16" s="19">
        <f t="shared" si="10"/>
        <v>1.1337914610701341</v>
      </c>
      <c r="AL16" s="718">
        <v>11246.84870913118</v>
      </c>
      <c r="AM16" s="39">
        <v>80588.463195999997</v>
      </c>
      <c r="AN16" s="19">
        <f t="shared" si="11"/>
        <v>7.1654260922502857</v>
      </c>
      <c r="AO16" s="718">
        <v>11697.334935522626</v>
      </c>
      <c r="AP16" s="39">
        <v>11969</v>
      </c>
      <c r="AQ16" s="19">
        <f t="shared" si="12"/>
        <v>1.0232245264391275</v>
      </c>
      <c r="AR16" s="718">
        <v>7310.1529881186061</v>
      </c>
      <c r="AS16" s="39">
        <v>8584.1</v>
      </c>
      <c r="AT16" s="19">
        <f t="shared" si="13"/>
        <v>1.1742709097815018</v>
      </c>
      <c r="AU16" s="718">
        <f t="shared" si="15"/>
        <v>174426.087034</v>
      </c>
      <c r="AV16" s="19">
        <f t="shared" si="14"/>
        <v>1.4727082045103386</v>
      </c>
    </row>
    <row r="17" spans="1:48" s="22" customFormat="1" ht="61.5" thickTop="1" thickBot="1">
      <c r="A17" s="2944"/>
      <c r="B17" s="3122"/>
      <c r="C17" s="76" t="s">
        <v>659</v>
      </c>
      <c r="D17" s="623" t="s">
        <v>660</v>
      </c>
      <c r="E17" s="76" t="s">
        <v>112</v>
      </c>
      <c r="F17" s="76" t="s">
        <v>17</v>
      </c>
      <c r="G17" s="76">
        <v>360</v>
      </c>
      <c r="H17" s="76" t="s">
        <v>20</v>
      </c>
      <c r="I17" s="675">
        <v>0</v>
      </c>
      <c r="J17" s="36"/>
      <c r="K17" s="19" t="e">
        <f t="shared" si="1"/>
        <v>#DIV/0!</v>
      </c>
      <c r="L17" s="675">
        <v>0</v>
      </c>
      <c r="M17" s="36"/>
      <c r="N17" s="19" t="e">
        <f t="shared" si="2"/>
        <v>#DIV/0!</v>
      </c>
      <c r="O17" s="675">
        <v>0</v>
      </c>
      <c r="P17" s="36"/>
      <c r="Q17" s="19" t="e">
        <f t="shared" si="3"/>
        <v>#DIV/0!</v>
      </c>
      <c r="R17" s="675">
        <v>0</v>
      </c>
      <c r="S17" s="36"/>
      <c r="T17" s="19" t="e">
        <f t="shared" si="4"/>
        <v>#DIV/0!</v>
      </c>
      <c r="U17" s="675">
        <v>0</v>
      </c>
      <c r="V17" s="36"/>
      <c r="W17" s="19" t="e">
        <f t="shared" si="5"/>
        <v>#DIV/0!</v>
      </c>
      <c r="X17" s="675">
        <v>0</v>
      </c>
      <c r="Y17" s="36"/>
      <c r="Z17" s="19" t="e">
        <f t="shared" si="6"/>
        <v>#DIV/0!</v>
      </c>
      <c r="AA17" s="1517">
        <v>0</v>
      </c>
      <c r="AB17" s="19">
        <f t="shared" si="0"/>
        <v>0</v>
      </c>
      <c r="AC17" s="675">
        <v>0</v>
      </c>
      <c r="AD17" s="36"/>
      <c r="AE17" s="19" t="e">
        <f t="shared" si="8"/>
        <v>#DIV/0!</v>
      </c>
      <c r="AF17" s="675">
        <v>0</v>
      </c>
      <c r="AG17" s="36"/>
      <c r="AH17" s="19" t="e">
        <f t="shared" si="9"/>
        <v>#DIV/0!</v>
      </c>
      <c r="AI17" s="675">
        <v>0</v>
      </c>
      <c r="AJ17" s="36"/>
      <c r="AK17" s="19" t="e">
        <f t="shared" si="10"/>
        <v>#DIV/0!</v>
      </c>
      <c r="AL17" s="675">
        <v>350</v>
      </c>
      <c r="AM17" s="36">
        <v>367</v>
      </c>
      <c r="AN17" s="19">
        <f t="shared" si="11"/>
        <v>1.0485714285714285</v>
      </c>
      <c r="AO17" s="675">
        <v>0</v>
      </c>
      <c r="AP17" s="36"/>
      <c r="AQ17" s="19" t="e">
        <f t="shared" si="12"/>
        <v>#DIV/0!</v>
      </c>
      <c r="AR17" s="675">
        <v>10</v>
      </c>
      <c r="AS17" s="36">
        <v>16</v>
      </c>
      <c r="AT17" s="19">
        <f t="shared" si="13"/>
        <v>1.6</v>
      </c>
      <c r="AU17" s="1494">
        <f t="shared" si="15"/>
        <v>383</v>
      </c>
      <c r="AV17" s="19">
        <f t="shared" si="14"/>
        <v>1.0638888888888889</v>
      </c>
    </row>
    <row r="18" spans="1:48" s="22" customFormat="1" ht="61.5" thickTop="1" thickBot="1">
      <c r="A18" s="2944"/>
      <c r="B18" s="3122"/>
      <c r="C18" s="81" t="s">
        <v>332</v>
      </c>
      <c r="D18" s="627" t="s">
        <v>114</v>
      </c>
      <c r="E18" s="81" t="s">
        <v>115</v>
      </c>
      <c r="F18" s="81" t="s">
        <v>10</v>
      </c>
      <c r="G18" s="1518">
        <v>1</v>
      </c>
      <c r="H18" s="81" t="s">
        <v>20</v>
      </c>
      <c r="I18" s="655">
        <v>0</v>
      </c>
      <c r="J18" s="45"/>
      <c r="K18" s="19" t="e">
        <f t="shared" si="1"/>
        <v>#DIV/0!</v>
      </c>
      <c r="L18" s="655">
        <v>0</v>
      </c>
      <c r="M18" s="45"/>
      <c r="N18" s="19" t="e">
        <f t="shared" si="2"/>
        <v>#DIV/0!</v>
      </c>
      <c r="O18" s="655">
        <v>0.25</v>
      </c>
      <c r="P18" s="45">
        <v>0.25</v>
      </c>
      <c r="Q18" s="19">
        <f t="shared" si="3"/>
        <v>1</v>
      </c>
      <c r="R18" s="655">
        <v>0</v>
      </c>
      <c r="S18" s="45"/>
      <c r="T18" s="19" t="e">
        <f t="shared" si="4"/>
        <v>#DIV/0!</v>
      </c>
      <c r="U18" s="655">
        <v>0</v>
      </c>
      <c r="V18" s="45"/>
      <c r="W18" s="19" t="e">
        <f t="shared" si="5"/>
        <v>#DIV/0!</v>
      </c>
      <c r="X18" s="655">
        <v>0.25</v>
      </c>
      <c r="Y18" s="45">
        <v>0.25</v>
      </c>
      <c r="Z18" s="19">
        <f t="shared" si="6"/>
        <v>1</v>
      </c>
      <c r="AA18" s="1519">
        <f t="shared" si="7"/>
        <v>0.5</v>
      </c>
      <c r="AB18" s="19">
        <f t="shared" si="0"/>
        <v>0.5</v>
      </c>
      <c r="AC18" s="655">
        <v>0</v>
      </c>
      <c r="AD18" s="45"/>
      <c r="AE18" s="19" t="e">
        <f t="shared" si="8"/>
        <v>#DIV/0!</v>
      </c>
      <c r="AF18" s="655">
        <v>0</v>
      </c>
      <c r="AG18" s="45"/>
      <c r="AH18" s="19" t="e">
        <f t="shared" si="9"/>
        <v>#DIV/0!</v>
      </c>
      <c r="AI18" s="655">
        <v>0.25</v>
      </c>
      <c r="AJ18" s="45">
        <v>0.25</v>
      </c>
      <c r="AK18" s="19">
        <f t="shared" si="10"/>
        <v>1</v>
      </c>
      <c r="AL18" s="655">
        <v>0</v>
      </c>
      <c r="AM18" s="45"/>
      <c r="AN18" s="19" t="e">
        <f t="shared" si="11"/>
        <v>#DIV/0!</v>
      </c>
      <c r="AO18" s="655">
        <v>0</v>
      </c>
      <c r="AP18" s="45"/>
      <c r="AQ18" s="19" t="e">
        <f t="shared" si="12"/>
        <v>#DIV/0!</v>
      </c>
      <c r="AR18" s="655">
        <v>0.25</v>
      </c>
      <c r="AS18" s="45">
        <v>0.25</v>
      </c>
      <c r="AT18" s="19">
        <f t="shared" si="13"/>
        <v>1</v>
      </c>
      <c r="AU18" s="1520">
        <f t="shared" si="15"/>
        <v>1</v>
      </c>
      <c r="AV18" s="19">
        <f t="shared" si="14"/>
        <v>1</v>
      </c>
    </row>
    <row r="19" spans="1:48" s="22" customFormat="1" ht="46.5" thickTop="1" thickBot="1">
      <c r="A19" s="2944"/>
      <c r="B19" s="3122"/>
      <c r="C19" s="76" t="s">
        <v>661</v>
      </c>
      <c r="D19" s="623" t="s">
        <v>116</v>
      </c>
      <c r="E19" s="76" t="s">
        <v>117</v>
      </c>
      <c r="F19" s="76" t="s">
        <v>17</v>
      </c>
      <c r="G19" s="1521">
        <v>7157</v>
      </c>
      <c r="H19" s="76" t="s">
        <v>118</v>
      </c>
      <c r="I19" s="675"/>
      <c r="J19" s="36"/>
      <c r="K19" s="19" t="e">
        <f t="shared" si="1"/>
        <v>#DIV/0!</v>
      </c>
      <c r="L19" s="675"/>
      <c r="M19" s="36"/>
      <c r="N19" s="19" t="e">
        <f t="shared" si="2"/>
        <v>#DIV/0!</v>
      </c>
      <c r="O19" s="675">
        <v>1360</v>
      </c>
      <c r="P19" s="36">
        <v>1037</v>
      </c>
      <c r="Q19" s="19">
        <f t="shared" si="3"/>
        <v>0.76249999999999996</v>
      </c>
      <c r="R19" s="675">
        <v>1104</v>
      </c>
      <c r="S19" s="36">
        <f>1129-1037</f>
        <v>92</v>
      </c>
      <c r="T19" s="19">
        <f t="shared" si="4"/>
        <v>8.3333333333333329E-2</v>
      </c>
      <c r="U19" s="675">
        <v>321</v>
      </c>
      <c r="V19" s="36">
        <f>1223-1129</f>
        <v>94</v>
      </c>
      <c r="W19" s="19">
        <f t="shared" si="5"/>
        <v>0.29283489096573206</v>
      </c>
      <c r="X19" s="675">
        <v>361</v>
      </c>
      <c r="Y19" s="36">
        <f>1409-1223</f>
        <v>186</v>
      </c>
      <c r="Z19" s="19">
        <f t="shared" si="6"/>
        <v>0.51523545706371188</v>
      </c>
      <c r="AA19" s="1517">
        <f t="shared" si="7"/>
        <v>1409</v>
      </c>
      <c r="AB19" s="19">
        <f t="shared" si="0"/>
        <v>0.19687019700992037</v>
      </c>
      <c r="AC19" s="675">
        <v>666</v>
      </c>
      <c r="AD19" s="36">
        <f>1846-1409</f>
        <v>437</v>
      </c>
      <c r="AE19" s="19">
        <f t="shared" si="8"/>
        <v>0.65615615615615619</v>
      </c>
      <c r="AF19" s="675">
        <v>1016</v>
      </c>
      <c r="AG19" s="36">
        <f>2386-1846</f>
        <v>540</v>
      </c>
      <c r="AH19" s="19">
        <f t="shared" si="9"/>
        <v>0.53149606299212604</v>
      </c>
      <c r="AI19" s="675">
        <v>1379</v>
      </c>
      <c r="AJ19" s="36">
        <f>3043-2386</f>
        <v>657</v>
      </c>
      <c r="AK19" s="19">
        <f t="shared" si="10"/>
        <v>0.47643219724437996</v>
      </c>
      <c r="AL19" s="675">
        <v>539</v>
      </c>
      <c r="AM19" s="36">
        <f>3745-3043</f>
        <v>702</v>
      </c>
      <c r="AN19" s="19">
        <f t="shared" si="11"/>
        <v>1.3024118738404453</v>
      </c>
      <c r="AO19" s="675">
        <v>370</v>
      </c>
      <c r="AP19" s="36">
        <v>4054</v>
      </c>
      <c r="AQ19" s="19">
        <f t="shared" si="12"/>
        <v>10.956756756756757</v>
      </c>
      <c r="AR19" s="675">
        <v>41</v>
      </c>
      <c r="AS19" s="36">
        <f>9353-7799</f>
        <v>1554</v>
      </c>
      <c r="AT19" s="19">
        <f t="shared" si="13"/>
        <v>37.902439024390247</v>
      </c>
      <c r="AU19" s="1494">
        <f t="shared" si="15"/>
        <v>9353</v>
      </c>
      <c r="AV19" s="19">
        <f t="shared" si="14"/>
        <v>1.306832471706022</v>
      </c>
    </row>
    <row r="20" spans="1:48" s="22" customFormat="1" ht="61.5" thickTop="1" thickBot="1">
      <c r="A20" s="2944"/>
      <c r="B20" s="3122"/>
      <c r="C20" s="2917" t="s">
        <v>662</v>
      </c>
      <c r="D20" s="627" t="s">
        <v>574</v>
      </c>
      <c r="E20" s="81" t="s">
        <v>121</v>
      </c>
      <c r="F20" s="81" t="s">
        <v>10</v>
      </c>
      <c r="G20" s="1522">
        <v>0.64100000000000001</v>
      </c>
      <c r="H20" s="81" t="s">
        <v>7</v>
      </c>
      <c r="I20" s="675">
        <v>0</v>
      </c>
      <c r="J20" s="45">
        <v>1</v>
      </c>
      <c r="K20" s="19" t="e">
        <f t="shared" si="1"/>
        <v>#DIV/0!</v>
      </c>
      <c r="L20" s="675">
        <v>0</v>
      </c>
      <c r="M20" s="45">
        <v>1</v>
      </c>
      <c r="N20" s="19" t="e">
        <f t="shared" si="2"/>
        <v>#DIV/0!</v>
      </c>
      <c r="O20" s="655">
        <v>0.64100000000000001</v>
      </c>
      <c r="P20" s="45">
        <f>(2/2)</f>
        <v>1</v>
      </c>
      <c r="Q20" s="19">
        <f t="shared" si="3"/>
        <v>1.5600624024960998</v>
      </c>
      <c r="R20" s="675">
        <v>0</v>
      </c>
      <c r="S20" s="45">
        <v>1</v>
      </c>
      <c r="T20" s="19" t="e">
        <f t="shared" si="4"/>
        <v>#DIV/0!</v>
      </c>
      <c r="U20" s="675">
        <v>0</v>
      </c>
      <c r="V20" s="45">
        <v>1</v>
      </c>
      <c r="W20" s="19" t="e">
        <f t="shared" si="5"/>
        <v>#DIV/0!</v>
      </c>
      <c r="X20" s="655">
        <v>0.64100000000000001</v>
      </c>
      <c r="Y20" s="45">
        <f>+(0.5)</f>
        <v>0.5</v>
      </c>
      <c r="Z20" s="19">
        <f t="shared" si="6"/>
        <v>0.78003120124804992</v>
      </c>
      <c r="AA20" s="1519">
        <f t="shared" si="7"/>
        <v>5.5</v>
      </c>
      <c r="AB20" s="19">
        <f t="shared" si="0"/>
        <v>8.5803432137285487</v>
      </c>
      <c r="AC20" s="675">
        <v>0</v>
      </c>
      <c r="AD20" s="45">
        <v>1</v>
      </c>
      <c r="AE20" s="19" t="e">
        <f t="shared" si="8"/>
        <v>#DIV/0!</v>
      </c>
      <c r="AF20" s="675">
        <v>0</v>
      </c>
      <c r="AG20" s="45">
        <v>1</v>
      </c>
      <c r="AH20" s="19" t="e">
        <f t="shared" si="9"/>
        <v>#DIV/0!</v>
      </c>
      <c r="AI20" s="655">
        <v>0.64100000000000001</v>
      </c>
      <c r="AJ20" s="1519">
        <f>+(1)</f>
        <v>1</v>
      </c>
      <c r="AK20" s="19">
        <f t="shared" si="10"/>
        <v>1.5600624024960998</v>
      </c>
      <c r="AL20" s="675">
        <v>0</v>
      </c>
      <c r="AM20" s="45">
        <v>1</v>
      </c>
      <c r="AN20" s="19" t="e">
        <f t="shared" si="11"/>
        <v>#DIV/0!</v>
      </c>
      <c r="AO20" s="675">
        <v>0</v>
      </c>
      <c r="AP20" s="45">
        <v>1</v>
      </c>
      <c r="AQ20" s="19" t="e">
        <f t="shared" si="12"/>
        <v>#DIV/0!</v>
      </c>
      <c r="AR20" s="655">
        <v>0.64100000000000001</v>
      </c>
      <c r="AS20" s="45">
        <v>1</v>
      </c>
      <c r="AT20" s="19">
        <f t="shared" si="13"/>
        <v>1.5600624024960998</v>
      </c>
      <c r="AU20" s="1523">
        <f>+(P20+Y20+AJ20)/3</f>
        <v>0.83333333333333337</v>
      </c>
      <c r="AV20" s="19">
        <f t="shared" si="14"/>
        <v>1.3000520020800832</v>
      </c>
    </row>
    <row r="21" spans="1:48" s="22" customFormat="1" ht="61.5" thickTop="1" thickBot="1">
      <c r="A21" s="2944"/>
      <c r="B21" s="3122"/>
      <c r="C21" s="2918"/>
      <c r="D21" s="623" t="s">
        <v>577</v>
      </c>
      <c r="E21" s="76" t="s">
        <v>123</v>
      </c>
      <c r="F21" s="76" t="s">
        <v>10</v>
      </c>
      <c r="G21" s="1524">
        <v>1</v>
      </c>
      <c r="H21" s="76" t="s">
        <v>7</v>
      </c>
      <c r="I21" s="653">
        <v>0</v>
      </c>
      <c r="J21" s="45">
        <v>1</v>
      </c>
      <c r="K21" s="19" t="e">
        <f t="shared" si="1"/>
        <v>#DIV/0!</v>
      </c>
      <c r="L21" s="653">
        <v>0</v>
      </c>
      <c r="M21" s="45">
        <v>1</v>
      </c>
      <c r="N21" s="19" t="e">
        <f t="shared" si="2"/>
        <v>#DIV/0!</v>
      </c>
      <c r="O21" s="653">
        <v>0</v>
      </c>
      <c r="P21" s="45">
        <v>1</v>
      </c>
      <c r="Q21" s="19" t="e">
        <f t="shared" si="3"/>
        <v>#DIV/0!</v>
      </c>
      <c r="R21" s="653">
        <v>1</v>
      </c>
      <c r="S21" s="50">
        <v>1</v>
      </c>
      <c r="T21" s="19">
        <f t="shared" si="4"/>
        <v>1</v>
      </c>
      <c r="U21" s="653">
        <v>0</v>
      </c>
      <c r="V21" s="45">
        <v>1</v>
      </c>
      <c r="W21" s="19" t="e">
        <f t="shared" si="5"/>
        <v>#DIV/0!</v>
      </c>
      <c r="X21" s="653">
        <v>0</v>
      </c>
      <c r="Y21" s="45">
        <v>1</v>
      </c>
      <c r="Z21" s="19" t="e">
        <f t="shared" si="6"/>
        <v>#DIV/0!</v>
      </c>
      <c r="AA21" s="305">
        <f>(S21)</f>
        <v>1</v>
      </c>
      <c r="AB21" s="19">
        <f t="shared" si="0"/>
        <v>1</v>
      </c>
      <c r="AC21" s="653">
        <v>0</v>
      </c>
      <c r="AD21" s="45">
        <v>1</v>
      </c>
      <c r="AE21" s="19" t="e">
        <f t="shared" si="8"/>
        <v>#DIV/0!</v>
      </c>
      <c r="AF21" s="653">
        <v>0</v>
      </c>
      <c r="AG21" s="45">
        <v>1</v>
      </c>
      <c r="AH21" s="19" t="e">
        <f t="shared" si="9"/>
        <v>#DIV/0!</v>
      </c>
      <c r="AI21" s="653">
        <v>0</v>
      </c>
      <c r="AJ21" s="45">
        <v>1</v>
      </c>
      <c r="AK21" s="19" t="e">
        <f t="shared" si="10"/>
        <v>#DIV/0!</v>
      </c>
      <c r="AL21" s="653">
        <v>1</v>
      </c>
      <c r="AM21" s="45">
        <v>1</v>
      </c>
      <c r="AN21" s="19">
        <f t="shared" si="11"/>
        <v>1</v>
      </c>
      <c r="AO21" s="653">
        <v>0</v>
      </c>
      <c r="AP21" s="50">
        <v>1</v>
      </c>
      <c r="AQ21" s="19" t="e">
        <f t="shared" si="12"/>
        <v>#DIV/0!</v>
      </c>
      <c r="AR21" s="653">
        <v>0</v>
      </c>
      <c r="AS21" s="50">
        <v>1</v>
      </c>
      <c r="AT21" s="19" t="e">
        <f t="shared" si="13"/>
        <v>#DIV/0!</v>
      </c>
      <c r="AU21" s="656">
        <v>1</v>
      </c>
      <c r="AV21" s="19">
        <f t="shared" si="14"/>
        <v>1</v>
      </c>
    </row>
    <row r="22" spans="1:48" s="22" customFormat="1" ht="61.5" thickTop="1" thickBot="1">
      <c r="A22" s="2944"/>
      <c r="B22" s="3122"/>
      <c r="C22" s="2918"/>
      <c r="D22" s="627" t="s">
        <v>413</v>
      </c>
      <c r="E22" s="1016" t="s">
        <v>176</v>
      </c>
      <c r="F22" s="81" t="s">
        <v>10</v>
      </c>
      <c r="G22" s="1518">
        <v>1</v>
      </c>
      <c r="H22" s="81" t="s">
        <v>7</v>
      </c>
      <c r="I22" s="655">
        <v>0</v>
      </c>
      <c r="J22" s="45">
        <v>1</v>
      </c>
      <c r="K22" s="19" t="e">
        <f t="shared" si="1"/>
        <v>#DIV/0!</v>
      </c>
      <c r="L22" s="655">
        <v>0</v>
      </c>
      <c r="M22" s="45">
        <v>1</v>
      </c>
      <c r="N22" s="19" t="e">
        <f t="shared" si="2"/>
        <v>#DIV/0!</v>
      </c>
      <c r="O22" s="655">
        <v>1</v>
      </c>
      <c r="P22" s="45">
        <v>1</v>
      </c>
      <c r="Q22" s="19">
        <f t="shared" si="3"/>
        <v>1</v>
      </c>
      <c r="R22" s="655">
        <v>0</v>
      </c>
      <c r="S22" s="50">
        <v>1</v>
      </c>
      <c r="T22" s="19" t="e">
        <f t="shared" si="4"/>
        <v>#DIV/0!</v>
      </c>
      <c r="U22" s="655">
        <v>0</v>
      </c>
      <c r="V22" s="45">
        <v>1</v>
      </c>
      <c r="W22" s="19" t="e">
        <f t="shared" si="5"/>
        <v>#DIV/0!</v>
      </c>
      <c r="X22" s="655">
        <v>1</v>
      </c>
      <c r="Y22" s="45">
        <v>1</v>
      </c>
      <c r="Z22" s="19">
        <f t="shared" si="6"/>
        <v>1</v>
      </c>
      <c r="AA22" s="1519">
        <f>(P22+Y22)/2</f>
        <v>1</v>
      </c>
      <c r="AB22" s="19">
        <f t="shared" si="0"/>
        <v>1</v>
      </c>
      <c r="AC22" s="655">
        <v>0</v>
      </c>
      <c r="AD22" s="45">
        <v>1</v>
      </c>
      <c r="AE22" s="19" t="e">
        <f t="shared" si="8"/>
        <v>#DIV/0!</v>
      </c>
      <c r="AF22" s="655">
        <v>0</v>
      </c>
      <c r="AG22" s="45">
        <v>1</v>
      </c>
      <c r="AH22" s="19" t="e">
        <f t="shared" si="9"/>
        <v>#DIV/0!</v>
      </c>
      <c r="AI22" s="655">
        <v>1</v>
      </c>
      <c r="AJ22" s="45">
        <v>1</v>
      </c>
      <c r="AK22" s="19">
        <f t="shared" si="10"/>
        <v>1</v>
      </c>
      <c r="AL22" s="655">
        <v>0</v>
      </c>
      <c r="AM22" s="45">
        <v>1</v>
      </c>
      <c r="AN22" s="19" t="e">
        <f t="shared" si="11"/>
        <v>#DIV/0!</v>
      </c>
      <c r="AO22" s="655">
        <v>0</v>
      </c>
      <c r="AP22" s="45">
        <v>1</v>
      </c>
      <c r="AQ22" s="19" t="e">
        <f t="shared" si="12"/>
        <v>#DIV/0!</v>
      </c>
      <c r="AR22" s="655">
        <v>1</v>
      </c>
      <c r="AS22" s="45">
        <v>1</v>
      </c>
      <c r="AT22" s="19">
        <f t="shared" si="13"/>
        <v>1</v>
      </c>
      <c r="AU22" s="733">
        <v>1</v>
      </c>
      <c r="AV22" s="19">
        <f t="shared" si="14"/>
        <v>1</v>
      </c>
    </row>
    <row r="23" spans="1:48" s="22" customFormat="1" ht="46.5" thickTop="1" thickBot="1">
      <c r="A23" s="2944"/>
      <c r="B23" s="3122"/>
      <c r="C23" s="2918"/>
      <c r="D23" s="623" t="s">
        <v>663</v>
      </c>
      <c r="E23" s="76" t="s">
        <v>127</v>
      </c>
      <c r="F23" s="76" t="s">
        <v>10</v>
      </c>
      <c r="G23" s="1524">
        <v>0.7</v>
      </c>
      <c r="H23" s="76" t="s">
        <v>7</v>
      </c>
      <c r="I23" s="653">
        <v>0.7</v>
      </c>
      <c r="J23" s="45">
        <v>1</v>
      </c>
      <c r="K23" s="19">
        <f t="shared" si="1"/>
        <v>1.4285714285714286</v>
      </c>
      <c r="L23" s="653">
        <v>0.7</v>
      </c>
      <c r="M23" s="45">
        <v>1</v>
      </c>
      <c r="N23" s="19">
        <f t="shared" si="2"/>
        <v>1.4285714285714286</v>
      </c>
      <c r="O23" s="653">
        <v>0.7</v>
      </c>
      <c r="P23" s="45">
        <v>1</v>
      </c>
      <c r="Q23" s="19">
        <f t="shared" si="3"/>
        <v>1.4285714285714286</v>
      </c>
      <c r="R23" s="653">
        <v>0.7</v>
      </c>
      <c r="S23" s="50">
        <v>1</v>
      </c>
      <c r="T23" s="19">
        <f t="shared" si="4"/>
        <v>1.4285714285714286</v>
      </c>
      <c r="U23" s="653">
        <v>0.7</v>
      </c>
      <c r="V23" s="45">
        <v>1</v>
      </c>
      <c r="W23" s="19">
        <f t="shared" si="5"/>
        <v>1.4285714285714286</v>
      </c>
      <c r="X23" s="653">
        <v>0.7</v>
      </c>
      <c r="Y23" s="45">
        <v>1</v>
      </c>
      <c r="Z23" s="19">
        <f t="shared" si="6"/>
        <v>1.4285714285714286</v>
      </c>
      <c r="AA23" s="305">
        <f>(J23+M23+P23+S23+V23+Y23)/6</f>
        <v>1</v>
      </c>
      <c r="AB23" s="19">
        <f t="shared" si="0"/>
        <v>1.4285714285714286</v>
      </c>
      <c r="AC23" s="653">
        <v>0.7</v>
      </c>
      <c r="AD23" s="45">
        <v>1</v>
      </c>
      <c r="AE23" s="19">
        <f t="shared" si="8"/>
        <v>1.4285714285714286</v>
      </c>
      <c r="AF23" s="653">
        <v>0.7</v>
      </c>
      <c r="AG23" s="45">
        <v>1</v>
      </c>
      <c r="AH23" s="19">
        <f t="shared" si="9"/>
        <v>1.4285714285714286</v>
      </c>
      <c r="AI23" s="653">
        <v>0.7</v>
      </c>
      <c r="AJ23" s="45">
        <v>1</v>
      </c>
      <c r="AK23" s="19">
        <f t="shared" si="10"/>
        <v>1.4285714285714286</v>
      </c>
      <c r="AL23" s="653">
        <v>0.7</v>
      </c>
      <c r="AM23" s="45">
        <v>1</v>
      </c>
      <c r="AN23" s="19">
        <f t="shared" si="11"/>
        <v>1.4285714285714286</v>
      </c>
      <c r="AO23" s="653">
        <v>0.7</v>
      </c>
      <c r="AP23" s="50">
        <v>1</v>
      </c>
      <c r="AQ23" s="19">
        <f t="shared" si="12"/>
        <v>1.4285714285714286</v>
      </c>
      <c r="AR23" s="653">
        <v>0.7</v>
      </c>
      <c r="AS23" s="50">
        <v>1</v>
      </c>
      <c r="AT23" s="19">
        <f t="shared" si="13"/>
        <v>1.4285714285714286</v>
      </c>
      <c r="AU23" s="656">
        <v>1</v>
      </c>
      <c r="AV23" s="19">
        <f t="shared" si="14"/>
        <v>1.4285714285714286</v>
      </c>
    </row>
    <row r="24" spans="1:48" s="22" customFormat="1" ht="61.5" thickTop="1" thickBot="1">
      <c r="A24" s="2944"/>
      <c r="B24" s="3122"/>
      <c r="C24" s="2918"/>
      <c r="D24" s="627" t="s">
        <v>128</v>
      </c>
      <c r="E24" s="81" t="s">
        <v>129</v>
      </c>
      <c r="F24" s="81" t="s">
        <v>10</v>
      </c>
      <c r="G24" s="1518">
        <v>1</v>
      </c>
      <c r="H24" s="81" t="s">
        <v>7</v>
      </c>
      <c r="I24" s="655">
        <v>1</v>
      </c>
      <c r="J24" s="45">
        <v>1</v>
      </c>
      <c r="K24" s="19">
        <f t="shared" si="1"/>
        <v>1</v>
      </c>
      <c r="L24" s="655">
        <v>1</v>
      </c>
      <c r="M24" s="45">
        <v>1</v>
      </c>
      <c r="N24" s="19">
        <f t="shared" si="2"/>
        <v>1</v>
      </c>
      <c r="O24" s="655">
        <v>1</v>
      </c>
      <c r="P24" s="45">
        <v>1</v>
      </c>
      <c r="Q24" s="19">
        <f t="shared" si="3"/>
        <v>1</v>
      </c>
      <c r="R24" s="655">
        <v>1</v>
      </c>
      <c r="S24" s="50">
        <v>1</v>
      </c>
      <c r="T24" s="19">
        <f t="shared" si="4"/>
        <v>1</v>
      </c>
      <c r="U24" s="655">
        <v>1</v>
      </c>
      <c r="V24" s="45">
        <v>1</v>
      </c>
      <c r="W24" s="19">
        <f t="shared" si="5"/>
        <v>1</v>
      </c>
      <c r="X24" s="655">
        <v>1</v>
      </c>
      <c r="Y24" s="45">
        <v>1</v>
      </c>
      <c r="Z24" s="19">
        <f t="shared" si="6"/>
        <v>1</v>
      </c>
      <c r="AA24" s="1519">
        <f>(J24+M24+P24+S24+V24+Y24)/6</f>
        <v>1</v>
      </c>
      <c r="AB24" s="19">
        <f t="shared" si="0"/>
        <v>1</v>
      </c>
      <c r="AC24" s="655">
        <v>1</v>
      </c>
      <c r="AD24" s="45">
        <v>1</v>
      </c>
      <c r="AE24" s="19">
        <f t="shared" si="8"/>
        <v>1</v>
      </c>
      <c r="AF24" s="655">
        <v>1</v>
      </c>
      <c r="AG24" s="45">
        <v>1</v>
      </c>
      <c r="AH24" s="19">
        <f t="shared" si="9"/>
        <v>1</v>
      </c>
      <c r="AI24" s="655">
        <v>1</v>
      </c>
      <c r="AJ24" s="45">
        <v>1</v>
      </c>
      <c r="AK24" s="19">
        <f t="shared" si="10"/>
        <v>1</v>
      </c>
      <c r="AL24" s="655">
        <v>1</v>
      </c>
      <c r="AM24" s="45">
        <v>1</v>
      </c>
      <c r="AN24" s="19">
        <f t="shared" si="11"/>
        <v>1</v>
      </c>
      <c r="AO24" s="655">
        <v>1</v>
      </c>
      <c r="AP24" s="45">
        <v>1</v>
      </c>
      <c r="AQ24" s="19">
        <f t="shared" si="12"/>
        <v>1</v>
      </c>
      <c r="AR24" s="655">
        <v>1</v>
      </c>
      <c r="AS24" s="45">
        <v>1</v>
      </c>
      <c r="AT24" s="19">
        <f t="shared" si="13"/>
        <v>1</v>
      </c>
      <c r="AU24" s="733">
        <v>1</v>
      </c>
      <c r="AV24" s="19">
        <f t="shared" si="14"/>
        <v>1</v>
      </c>
    </row>
    <row r="25" spans="1:48" s="22" customFormat="1" ht="61.5" thickTop="1" thickBot="1">
      <c r="A25" s="2944"/>
      <c r="B25" s="3122"/>
      <c r="C25" s="2918"/>
      <c r="D25" s="623" t="s">
        <v>582</v>
      </c>
      <c r="E25" s="76" t="s">
        <v>131</v>
      </c>
      <c r="F25" s="76" t="s">
        <v>10</v>
      </c>
      <c r="G25" s="1524">
        <v>1</v>
      </c>
      <c r="H25" s="76" t="s">
        <v>7</v>
      </c>
      <c r="I25" s="653">
        <v>1</v>
      </c>
      <c r="J25" s="45">
        <v>1</v>
      </c>
      <c r="K25" s="19">
        <f t="shared" si="1"/>
        <v>1</v>
      </c>
      <c r="L25" s="653">
        <v>1</v>
      </c>
      <c r="M25" s="45">
        <v>1</v>
      </c>
      <c r="N25" s="19">
        <f t="shared" si="2"/>
        <v>1</v>
      </c>
      <c r="O25" s="653">
        <v>1</v>
      </c>
      <c r="P25" s="45">
        <v>1</v>
      </c>
      <c r="Q25" s="19">
        <f t="shared" si="3"/>
        <v>1</v>
      </c>
      <c r="R25" s="653">
        <v>1</v>
      </c>
      <c r="S25" s="50">
        <v>1</v>
      </c>
      <c r="T25" s="19">
        <f t="shared" si="4"/>
        <v>1</v>
      </c>
      <c r="U25" s="653">
        <v>1</v>
      </c>
      <c r="V25" s="45">
        <v>1</v>
      </c>
      <c r="W25" s="19">
        <f t="shared" si="5"/>
        <v>1</v>
      </c>
      <c r="X25" s="653">
        <v>1</v>
      </c>
      <c r="Y25" s="45">
        <v>1</v>
      </c>
      <c r="Z25" s="19">
        <f t="shared" si="6"/>
        <v>1</v>
      </c>
      <c r="AA25" s="305">
        <f>(J25+M25+P25+S25+V25+Y25)/6</f>
        <v>1</v>
      </c>
      <c r="AB25" s="19">
        <f t="shared" si="0"/>
        <v>1</v>
      </c>
      <c r="AC25" s="653">
        <v>1</v>
      </c>
      <c r="AD25" s="45">
        <v>1</v>
      </c>
      <c r="AE25" s="19">
        <f t="shared" si="8"/>
        <v>1</v>
      </c>
      <c r="AF25" s="653">
        <v>1</v>
      </c>
      <c r="AG25" s="45">
        <v>1</v>
      </c>
      <c r="AH25" s="19">
        <f t="shared" si="9"/>
        <v>1</v>
      </c>
      <c r="AI25" s="653">
        <v>1</v>
      </c>
      <c r="AJ25" s="45">
        <v>1</v>
      </c>
      <c r="AK25" s="19">
        <f t="shared" si="10"/>
        <v>1</v>
      </c>
      <c r="AL25" s="653">
        <v>1</v>
      </c>
      <c r="AM25" s="45">
        <v>1</v>
      </c>
      <c r="AN25" s="19">
        <f t="shared" si="11"/>
        <v>1</v>
      </c>
      <c r="AO25" s="653">
        <v>1</v>
      </c>
      <c r="AP25" s="50">
        <v>1</v>
      </c>
      <c r="AQ25" s="19">
        <f t="shared" si="12"/>
        <v>1</v>
      </c>
      <c r="AR25" s="653">
        <v>1</v>
      </c>
      <c r="AS25" s="50">
        <v>1</v>
      </c>
      <c r="AT25" s="19">
        <f t="shared" si="13"/>
        <v>1</v>
      </c>
      <c r="AU25" s="656">
        <v>1</v>
      </c>
      <c r="AV25" s="19">
        <f t="shared" si="14"/>
        <v>1</v>
      </c>
    </row>
    <row r="26" spans="1:48" s="22" customFormat="1" ht="76.5" thickTop="1" thickBot="1">
      <c r="A26" s="2944"/>
      <c r="B26" s="3123"/>
      <c r="C26" s="2919"/>
      <c r="D26" s="1525" t="s">
        <v>132</v>
      </c>
      <c r="E26" s="711" t="s">
        <v>133</v>
      </c>
      <c r="F26" s="626" t="s">
        <v>10</v>
      </c>
      <c r="G26" s="1526">
        <v>1</v>
      </c>
      <c r="H26" s="81" t="s">
        <v>7</v>
      </c>
      <c r="I26" s="1526">
        <v>1</v>
      </c>
      <c r="J26" s="45">
        <v>1</v>
      </c>
      <c r="K26" s="19">
        <f t="shared" si="1"/>
        <v>1</v>
      </c>
      <c r="L26" s="1526">
        <v>1</v>
      </c>
      <c r="M26" s="45">
        <v>1</v>
      </c>
      <c r="N26" s="19">
        <f t="shared" si="2"/>
        <v>1</v>
      </c>
      <c r="O26" s="1526">
        <v>1</v>
      </c>
      <c r="P26" s="45">
        <v>1</v>
      </c>
      <c r="Q26" s="19">
        <f t="shared" si="3"/>
        <v>1</v>
      </c>
      <c r="R26" s="1526">
        <v>1</v>
      </c>
      <c r="S26" s="50">
        <v>1</v>
      </c>
      <c r="T26" s="19">
        <f t="shared" si="4"/>
        <v>1</v>
      </c>
      <c r="U26" s="1526">
        <v>1</v>
      </c>
      <c r="V26" s="45">
        <v>1</v>
      </c>
      <c r="W26" s="19">
        <f t="shared" si="5"/>
        <v>1</v>
      </c>
      <c r="X26" s="1526">
        <v>1</v>
      </c>
      <c r="Y26" s="45">
        <v>1</v>
      </c>
      <c r="Z26" s="19">
        <f t="shared" si="6"/>
        <v>1</v>
      </c>
      <c r="AA26" s="1519">
        <f>+(J26+M26+P26+S26+V26+Y26)/6</f>
        <v>1</v>
      </c>
      <c r="AB26" s="19">
        <f t="shared" si="0"/>
        <v>1</v>
      </c>
      <c r="AC26" s="45">
        <v>1</v>
      </c>
      <c r="AD26" s="45">
        <v>1</v>
      </c>
      <c r="AE26" s="19">
        <f t="shared" si="8"/>
        <v>1</v>
      </c>
      <c r="AF26" s="655">
        <v>1</v>
      </c>
      <c r="AG26" s="45">
        <v>1</v>
      </c>
      <c r="AH26" s="19">
        <f t="shared" si="9"/>
        <v>1</v>
      </c>
      <c r="AI26" s="45">
        <v>1</v>
      </c>
      <c r="AJ26" s="45">
        <v>1</v>
      </c>
      <c r="AK26" s="19">
        <f t="shared" si="10"/>
        <v>1</v>
      </c>
      <c r="AL26" s="45">
        <v>1</v>
      </c>
      <c r="AM26" s="45">
        <v>1</v>
      </c>
      <c r="AN26" s="19">
        <f t="shared" si="11"/>
        <v>1</v>
      </c>
      <c r="AO26" s="45">
        <v>1</v>
      </c>
      <c r="AP26" s="45">
        <v>1</v>
      </c>
      <c r="AQ26" s="19">
        <f t="shared" si="12"/>
        <v>1</v>
      </c>
      <c r="AR26" s="45">
        <v>1</v>
      </c>
      <c r="AS26" s="45">
        <v>1</v>
      </c>
      <c r="AT26" s="19">
        <f t="shared" si="13"/>
        <v>1</v>
      </c>
      <c r="AU26" s="733">
        <v>1</v>
      </c>
      <c r="AV26" s="19">
        <f t="shared" si="14"/>
        <v>1</v>
      </c>
    </row>
    <row r="27" spans="1:48" s="22" customFormat="1" ht="114" thickTop="1" thickBot="1">
      <c r="A27" s="2945"/>
      <c r="B27" s="1527" t="s">
        <v>137</v>
      </c>
      <c r="C27" s="706" t="s">
        <v>664</v>
      </c>
      <c r="D27" s="623" t="s">
        <v>227</v>
      </c>
      <c r="E27" s="706" t="s">
        <v>139</v>
      </c>
      <c r="F27" s="706" t="s">
        <v>101</v>
      </c>
      <c r="G27" s="1528">
        <f>+'[4]FIS-24'!$AB$16</f>
        <v>290000000</v>
      </c>
      <c r="H27" s="706" t="s">
        <v>140</v>
      </c>
      <c r="I27" s="1529">
        <v>23333333.333333332</v>
      </c>
      <c r="J27" s="1530">
        <v>6548415</v>
      </c>
      <c r="K27" s="19">
        <f t="shared" si="1"/>
        <v>0.28064635714285718</v>
      </c>
      <c r="L27" s="1529">
        <v>23333333.333333332</v>
      </c>
      <c r="M27" s="1530">
        <v>54326571</v>
      </c>
      <c r="N27" s="19">
        <f t="shared" si="2"/>
        <v>2.3282816142857143</v>
      </c>
      <c r="O27" s="1529">
        <v>23333333.333333332</v>
      </c>
      <c r="P27" s="1530">
        <v>16429128</v>
      </c>
      <c r="Q27" s="19">
        <f t="shared" si="3"/>
        <v>0.70410548571428577</v>
      </c>
      <c r="R27" s="1529">
        <v>46277778</v>
      </c>
      <c r="S27" s="1530"/>
      <c r="T27" s="19">
        <f t="shared" si="4"/>
        <v>0</v>
      </c>
      <c r="U27" s="1529">
        <v>46277778</v>
      </c>
      <c r="V27" s="1530"/>
      <c r="W27" s="19">
        <f t="shared" si="5"/>
        <v>0</v>
      </c>
      <c r="X27" s="1529">
        <v>46277778</v>
      </c>
      <c r="Y27" s="1530">
        <v>52379011</v>
      </c>
      <c r="Z27" s="19">
        <f t="shared" si="6"/>
        <v>1.1318393679143368</v>
      </c>
      <c r="AA27" s="1530">
        <f t="shared" si="7"/>
        <v>129683125</v>
      </c>
      <c r="AB27" s="19">
        <f t="shared" si="0"/>
        <v>0.4471831896551724</v>
      </c>
      <c r="AC27" s="1529">
        <v>46277778</v>
      </c>
      <c r="AD27" s="1530"/>
      <c r="AE27" s="19">
        <f t="shared" si="8"/>
        <v>0</v>
      </c>
      <c r="AF27" s="1529">
        <v>8024444.2400000002</v>
      </c>
      <c r="AG27" s="1530">
        <v>10946512</v>
      </c>
      <c r="AH27" s="19">
        <f t="shared" si="9"/>
        <v>1.3641458115484393</v>
      </c>
      <c r="AI27" s="1529">
        <v>8024444.2400000002</v>
      </c>
      <c r="AJ27" s="1530">
        <v>17694458</v>
      </c>
      <c r="AK27" s="19">
        <f t="shared" si="10"/>
        <v>2.2050695937043483</v>
      </c>
      <c r="AL27" s="1529">
        <v>8024444.2400000002</v>
      </c>
      <c r="AM27" s="1530">
        <v>34816864</v>
      </c>
      <c r="AN27" s="19">
        <f t="shared" si="11"/>
        <v>4.3388505120947789</v>
      </c>
      <c r="AO27" s="1529">
        <v>5407777.6399999997</v>
      </c>
      <c r="AP27" s="1530">
        <v>83458218</v>
      </c>
      <c r="AQ27" s="19">
        <f t="shared" si="12"/>
        <v>15.432997352309775</v>
      </c>
      <c r="AR27" s="1529">
        <v>5407777.6399999997</v>
      </c>
      <c r="AS27" s="1530">
        <v>59826021</v>
      </c>
      <c r="AT27" s="19">
        <f t="shared" si="13"/>
        <v>11.06295875730571</v>
      </c>
      <c r="AU27" s="1529">
        <f t="shared" si="15"/>
        <v>336425198</v>
      </c>
      <c r="AV27" s="19">
        <f t="shared" si="14"/>
        <v>1.1600868896551724</v>
      </c>
    </row>
    <row r="28" spans="1:48" s="22" customFormat="1" ht="22.5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9"/>
      <c r="I28" s="55"/>
      <c r="J28" s="56"/>
      <c r="K28" s="55"/>
      <c r="L28" s="55"/>
      <c r="M28" s="56"/>
      <c r="N28" s="55"/>
      <c r="O28" s="55"/>
      <c r="P28" s="56"/>
      <c r="Q28" s="55"/>
      <c r="R28" s="55"/>
      <c r="S28" s="56"/>
      <c r="T28" s="55"/>
      <c r="U28" s="55"/>
      <c r="V28" s="56"/>
      <c r="W28" s="55"/>
      <c r="X28" s="55"/>
      <c r="Y28" s="56"/>
      <c r="Z28" s="55"/>
      <c r="AA28" s="56"/>
      <c r="AB28" s="55"/>
      <c r="AC28" s="55"/>
      <c r="AD28" s="56"/>
      <c r="AE28" s="55"/>
      <c r="AF28" s="55"/>
      <c r="AG28" s="56"/>
      <c r="AH28" s="55"/>
      <c r="AI28" s="55"/>
      <c r="AJ28" s="56"/>
      <c r="AK28" s="55"/>
      <c r="AL28" s="55"/>
      <c r="AM28" s="56"/>
      <c r="AN28" s="55"/>
      <c r="AO28" s="55"/>
      <c r="AP28" s="56"/>
      <c r="AQ28" s="55"/>
      <c r="AR28" s="55"/>
      <c r="AS28" s="56"/>
      <c r="AT28" s="55"/>
      <c r="AU28" s="55"/>
      <c r="AV28" s="55"/>
    </row>
    <row r="29" spans="1:48" s="22" customFormat="1" ht="76.5" thickTop="1" thickBot="1">
      <c r="A29" s="2905" t="s">
        <v>181</v>
      </c>
      <c r="B29" s="3117" t="s">
        <v>631</v>
      </c>
      <c r="C29" s="76" t="s">
        <v>665</v>
      </c>
      <c r="D29" s="623" t="s">
        <v>666</v>
      </c>
      <c r="E29" s="561" t="s">
        <v>149</v>
      </c>
      <c r="F29" s="561" t="s">
        <v>8</v>
      </c>
      <c r="G29" s="561">
        <v>10.199999999999999</v>
      </c>
      <c r="H29" s="561" t="s">
        <v>9</v>
      </c>
      <c r="I29" s="119">
        <v>10.199999999999999</v>
      </c>
      <c r="J29" s="120"/>
      <c r="K29" s="19" t="e">
        <f>+I29/J29</f>
        <v>#DIV/0!</v>
      </c>
      <c r="L29" s="119">
        <v>10.199999999999999</v>
      </c>
      <c r="M29" s="120">
        <v>9.83</v>
      </c>
      <c r="N29" s="19">
        <f>+L29/M29</f>
        <v>1.0376398779247202</v>
      </c>
      <c r="O29" s="119">
        <v>10.199999999999999</v>
      </c>
      <c r="P29" s="120">
        <v>0</v>
      </c>
      <c r="Q29" s="19" t="e">
        <f>+O29/P29</f>
        <v>#DIV/0!</v>
      </c>
      <c r="R29" s="119">
        <v>10.199999999999999</v>
      </c>
      <c r="S29" s="120"/>
      <c r="T29" s="19" t="e">
        <f>+R29/S29</f>
        <v>#DIV/0!</v>
      </c>
      <c r="U29" s="119">
        <v>10.199999999999999</v>
      </c>
      <c r="V29" s="120"/>
      <c r="W29" s="19" t="e">
        <f>+U29/V29</f>
        <v>#DIV/0!</v>
      </c>
      <c r="X29" s="119">
        <v>10.199999999999999</v>
      </c>
      <c r="Y29" s="120">
        <v>8.33</v>
      </c>
      <c r="Z29" s="19">
        <f>+X29/Y29</f>
        <v>1.2244897959183672</v>
      </c>
      <c r="AA29" s="1531">
        <f>+(M29+Y29)/2</f>
        <v>9.08</v>
      </c>
      <c r="AB29" s="19">
        <f>G29/AA29</f>
        <v>1.1233480176211452</v>
      </c>
      <c r="AC29" s="119">
        <v>10.199999999999999</v>
      </c>
      <c r="AD29" s="120"/>
      <c r="AE29" s="19" t="e">
        <f>+AC29/AD29</f>
        <v>#DIV/0!</v>
      </c>
      <c r="AF29" s="119"/>
      <c r="AG29" s="120">
        <v>8.6</v>
      </c>
      <c r="AH29" s="19">
        <f>+AF29/AG29</f>
        <v>0</v>
      </c>
      <c r="AI29" s="119">
        <v>10.199999999999999</v>
      </c>
      <c r="AJ29" s="120">
        <v>8.52</v>
      </c>
      <c r="AK29" s="19">
        <f>+AI29/AJ29</f>
        <v>1.1971830985915493</v>
      </c>
      <c r="AL29" s="119">
        <v>10.199999999999999</v>
      </c>
      <c r="AM29" s="120">
        <v>8.75</v>
      </c>
      <c r="AN29" s="19">
        <f>+AL29/AM29</f>
        <v>1.1657142857142857</v>
      </c>
      <c r="AO29" s="119">
        <v>10.199999999999999</v>
      </c>
      <c r="AP29" s="120">
        <v>8.66</v>
      </c>
      <c r="AQ29" s="19">
        <f>+AO29/AP29</f>
        <v>1.1778290993071592</v>
      </c>
      <c r="AR29" s="119">
        <v>10.199999999999999</v>
      </c>
      <c r="AS29" s="120">
        <v>8.08</v>
      </c>
      <c r="AT29" s="19">
        <f>+AR29/AS29</f>
        <v>1.2623762376237624</v>
      </c>
      <c r="AU29" s="1532">
        <f>+(M29+Y29+AG29+AJ29+AM29+AP29+AS29)/7</f>
        <v>8.6814285714285706</v>
      </c>
      <c r="AV29" s="19">
        <f>G29/AU29</f>
        <v>1.1749218364324503</v>
      </c>
    </row>
    <row r="30" spans="1:48" ht="121.5" thickTop="1" thickBot="1">
      <c r="A30" s="2906"/>
      <c r="B30" s="3118"/>
      <c r="C30" s="878" t="s">
        <v>667</v>
      </c>
      <c r="D30" s="627" t="s">
        <v>144</v>
      </c>
      <c r="E30" s="878" t="s">
        <v>145</v>
      </c>
      <c r="F30" s="878" t="s">
        <v>17</v>
      </c>
      <c r="G30" s="878">
        <v>250</v>
      </c>
      <c r="H30" s="878" t="s">
        <v>146</v>
      </c>
      <c r="I30" s="514">
        <v>0</v>
      </c>
      <c r="J30" s="496"/>
      <c r="K30" s="19" t="e">
        <f t="shared" si="1"/>
        <v>#DIV/0!</v>
      </c>
      <c r="L30" s="514">
        <v>0</v>
      </c>
      <c r="M30" s="496"/>
      <c r="N30" s="19" t="e">
        <f t="shared" si="2"/>
        <v>#DIV/0!</v>
      </c>
      <c r="O30" s="514">
        <v>0</v>
      </c>
      <c r="P30" s="496"/>
      <c r="Q30" s="19" t="e">
        <f t="shared" si="3"/>
        <v>#DIV/0!</v>
      </c>
      <c r="R30" s="514">
        <v>50</v>
      </c>
      <c r="S30" s="496">
        <v>76</v>
      </c>
      <c r="T30" s="19">
        <f t="shared" si="4"/>
        <v>1.52</v>
      </c>
      <c r="U30" s="514">
        <v>0</v>
      </c>
      <c r="V30" s="496"/>
      <c r="W30" s="19" t="e">
        <f t="shared" si="5"/>
        <v>#DIV/0!</v>
      </c>
      <c r="X30" s="514">
        <v>0</v>
      </c>
      <c r="Y30" s="496"/>
      <c r="Z30" s="19" t="e">
        <f t="shared" si="6"/>
        <v>#DIV/0!</v>
      </c>
      <c r="AA30" s="462">
        <f t="shared" si="7"/>
        <v>76</v>
      </c>
      <c r="AB30" s="19">
        <f>AA30/G30</f>
        <v>0.30399999999999999</v>
      </c>
      <c r="AC30" s="514">
        <v>0</v>
      </c>
      <c r="AD30" s="496"/>
      <c r="AE30" s="19" t="e">
        <f t="shared" si="8"/>
        <v>#DIV/0!</v>
      </c>
      <c r="AF30" s="514">
        <v>75</v>
      </c>
      <c r="AG30" s="496">
        <v>357</v>
      </c>
      <c r="AH30" s="19">
        <f t="shared" si="9"/>
        <v>4.76</v>
      </c>
      <c r="AI30" s="514">
        <v>0</v>
      </c>
      <c r="AJ30" s="496"/>
      <c r="AK30" s="19" t="e">
        <f t="shared" si="10"/>
        <v>#DIV/0!</v>
      </c>
      <c r="AL30" s="514">
        <v>0</v>
      </c>
      <c r="AM30" s="496"/>
      <c r="AN30" s="19" t="e">
        <f t="shared" si="11"/>
        <v>#DIV/0!</v>
      </c>
      <c r="AO30" s="514">
        <v>0</v>
      </c>
      <c r="AP30" s="496"/>
      <c r="AQ30" s="19" t="e">
        <f t="shared" si="12"/>
        <v>#DIV/0!</v>
      </c>
      <c r="AR30" s="514">
        <v>125</v>
      </c>
      <c r="AS30" s="496">
        <v>423</v>
      </c>
      <c r="AT30" s="19">
        <f t="shared" si="13"/>
        <v>3.3839999999999999</v>
      </c>
      <c r="AU30" s="461">
        <f t="shared" si="15"/>
        <v>856</v>
      </c>
      <c r="AV30" s="19">
        <f>+AU30/G30</f>
        <v>3.4239999999999999</v>
      </c>
    </row>
    <row r="31" spans="1:48" ht="57.75" thickTop="1" thickBot="1">
      <c r="A31" s="2906"/>
      <c r="B31" s="1533" t="s">
        <v>150</v>
      </c>
      <c r="C31" s="561" t="s">
        <v>151</v>
      </c>
      <c r="D31" s="623" t="s">
        <v>319</v>
      </c>
      <c r="E31" s="561" t="s">
        <v>183</v>
      </c>
      <c r="F31" s="561" t="s">
        <v>17</v>
      </c>
      <c r="G31" s="561">
        <v>37</v>
      </c>
      <c r="H31" s="561" t="s">
        <v>21</v>
      </c>
      <c r="I31" s="119"/>
      <c r="J31" s="120"/>
      <c r="K31" s="19" t="e">
        <f>+I31/J31</f>
        <v>#DIV/0!</v>
      </c>
      <c r="L31" s="119">
        <v>0</v>
      </c>
      <c r="M31" s="120"/>
      <c r="N31" s="19" t="e">
        <f>+L31/M31</f>
        <v>#DIV/0!</v>
      </c>
      <c r="O31" s="119">
        <v>37</v>
      </c>
      <c r="P31" s="120">
        <v>41</v>
      </c>
      <c r="Q31" s="19">
        <f>+O31/P31</f>
        <v>0.90243902439024393</v>
      </c>
      <c r="R31" s="119">
        <v>37</v>
      </c>
      <c r="S31" s="120">
        <v>34</v>
      </c>
      <c r="T31" s="19">
        <f>+R31/S31</f>
        <v>1.088235294117647</v>
      </c>
      <c r="U31" s="119">
        <v>37</v>
      </c>
      <c r="V31" s="120">
        <v>22</v>
      </c>
      <c r="W31" s="19">
        <f>+U31/V31</f>
        <v>1.6818181818181819</v>
      </c>
      <c r="X31" s="119">
        <v>37</v>
      </c>
      <c r="Y31" s="120">
        <v>15</v>
      </c>
      <c r="Z31" s="19">
        <f>+X31/Y31</f>
        <v>2.4666666666666668</v>
      </c>
      <c r="AA31" s="1012">
        <f>(P31+S31+V31+Y31)/4</f>
        <v>28</v>
      </c>
      <c r="AB31" s="19">
        <f>G31/AA31</f>
        <v>1.3214285714285714</v>
      </c>
      <c r="AC31" s="119">
        <v>37</v>
      </c>
      <c r="AD31" s="120">
        <v>16</v>
      </c>
      <c r="AE31" s="19">
        <f>+AC31/AD31</f>
        <v>2.3125</v>
      </c>
      <c r="AF31" s="119">
        <v>37</v>
      </c>
      <c r="AG31" s="120">
        <v>25</v>
      </c>
      <c r="AH31" s="19">
        <f>+AF31/AG31</f>
        <v>1.48</v>
      </c>
      <c r="AI31" s="119">
        <v>37</v>
      </c>
      <c r="AJ31" s="120">
        <v>36</v>
      </c>
      <c r="AK31" s="19">
        <f>+AI31/AJ31</f>
        <v>1.0277777777777777</v>
      </c>
      <c r="AL31" s="119">
        <v>37</v>
      </c>
      <c r="AM31" s="120">
        <v>33</v>
      </c>
      <c r="AN31" s="19">
        <f>+AL31/AM31</f>
        <v>1.1212121212121211</v>
      </c>
      <c r="AO31" s="119">
        <v>37</v>
      </c>
      <c r="AP31" s="120">
        <v>37</v>
      </c>
      <c r="AQ31" s="19">
        <f>+AO31/AP31</f>
        <v>1</v>
      </c>
      <c r="AR31" s="119">
        <v>37</v>
      </c>
      <c r="AS31" s="120">
        <v>34</v>
      </c>
      <c r="AT31" s="19">
        <f>+AR31/AS31</f>
        <v>1.088235294117647</v>
      </c>
      <c r="AU31" s="1011">
        <f>(P31+S31+V31+Y31+AD31+AG31+AJ31+AM31+AP31+AS31)/10</f>
        <v>29.3</v>
      </c>
      <c r="AV31" s="19">
        <f>G31/AU31</f>
        <v>1.2627986348122866</v>
      </c>
    </row>
    <row r="32" spans="1:48" s="22" customFormat="1" ht="22.5" thickTop="1" thickBot="1">
      <c r="A32" s="2842" t="s">
        <v>668</v>
      </c>
      <c r="B32" s="2843"/>
      <c r="C32" s="2843"/>
      <c r="D32" s="2843"/>
      <c r="E32" s="2843"/>
      <c r="F32" s="2843"/>
      <c r="G32" s="2843"/>
      <c r="H32" s="2844"/>
      <c r="I32" s="61"/>
      <c r="J32" s="62"/>
      <c r="K32" s="61"/>
      <c r="L32" s="61"/>
      <c r="M32" s="62"/>
      <c r="N32" s="61"/>
      <c r="O32" s="61"/>
      <c r="P32" s="62"/>
      <c r="Q32" s="61"/>
      <c r="R32" s="61"/>
      <c r="S32" s="62"/>
      <c r="T32" s="61"/>
      <c r="U32" s="61"/>
      <c r="V32" s="62"/>
      <c r="W32" s="61"/>
      <c r="X32" s="61"/>
      <c r="Y32" s="62"/>
      <c r="Z32" s="61"/>
      <c r="AA32" s="62"/>
      <c r="AB32" s="61"/>
      <c r="AC32" s="61"/>
      <c r="AD32" s="62"/>
      <c r="AE32" s="61"/>
      <c r="AF32" s="61"/>
      <c r="AG32" s="62"/>
      <c r="AH32" s="61"/>
      <c r="AI32" s="61"/>
      <c r="AJ32" s="62"/>
      <c r="AK32" s="61"/>
      <c r="AL32" s="61"/>
      <c r="AM32" s="62"/>
      <c r="AN32" s="61"/>
      <c r="AO32" s="61"/>
      <c r="AP32" s="62"/>
      <c r="AQ32" s="61"/>
      <c r="AR32" s="61"/>
      <c r="AS32" s="62"/>
      <c r="AT32" s="61"/>
      <c r="AU32" s="61"/>
      <c r="AV32" s="61"/>
    </row>
    <row r="33" spans="1:48" ht="64.5" thickTop="1" thickBot="1">
      <c r="A33" s="200" t="s">
        <v>669</v>
      </c>
      <c r="B33" s="1533" t="s">
        <v>156</v>
      </c>
      <c r="C33" s="561" t="s">
        <v>184</v>
      </c>
      <c r="D33" s="623" t="s">
        <v>158</v>
      </c>
      <c r="E33" s="561" t="s">
        <v>670</v>
      </c>
      <c r="F33" s="561" t="s">
        <v>17</v>
      </c>
      <c r="G33" s="561">
        <v>10</v>
      </c>
      <c r="H33" s="561" t="s">
        <v>27</v>
      </c>
      <c r="I33" s="119">
        <v>0</v>
      </c>
      <c r="J33" s="120"/>
      <c r="K33" s="19" t="e">
        <f t="shared" si="1"/>
        <v>#DIV/0!</v>
      </c>
      <c r="L33" s="119">
        <v>0</v>
      </c>
      <c r="M33" s="120"/>
      <c r="N33" s="19" t="e">
        <f t="shared" si="2"/>
        <v>#DIV/0!</v>
      </c>
      <c r="O33" s="119">
        <v>0</v>
      </c>
      <c r="P33" s="120"/>
      <c r="Q33" s="19" t="e">
        <f t="shared" si="3"/>
        <v>#DIV/0!</v>
      </c>
      <c r="R33" s="119">
        <v>0</v>
      </c>
      <c r="S33" s="120"/>
      <c r="T33" s="19" t="e">
        <f t="shared" si="4"/>
        <v>#DIV/0!</v>
      </c>
      <c r="U33" s="119">
        <v>2</v>
      </c>
      <c r="V33" s="120">
        <v>2</v>
      </c>
      <c r="W33" s="19">
        <f t="shared" si="5"/>
        <v>1</v>
      </c>
      <c r="X33" s="119">
        <v>0</v>
      </c>
      <c r="Y33" s="120"/>
      <c r="Z33" s="19" t="e">
        <f t="shared" si="6"/>
        <v>#DIV/0!</v>
      </c>
      <c r="AA33" s="1012">
        <f t="shared" si="7"/>
        <v>2</v>
      </c>
      <c r="AB33" s="19">
        <f>AA33/G33</f>
        <v>0.2</v>
      </c>
      <c r="AC33" s="119">
        <v>1</v>
      </c>
      <c r="AD33" s="120">
        <v>1</v>
      </c>
      <c r="AE33" s="19">
        <f t="shared" si="8"/>
        <v>1</v>
      </c>
      <c r="AF33" s="119">
        <v>3</v>
      </c>
      <c r="AG33" s="120">
        <v>3</v>
      </c>
      <c r="AH33" s="19">
        <f t="shared" si="9"/>
        <v>1</v>
      </c>
      <c r="AI33" s="119">
        <v>1</v>
      </c>
      <c r="AJ33" s="120">
        <v>1</v>
      </c>
      <c r="AK33" s="19">
        <f t="shared" si="10"/>
        <v>1</v>
      </c>
      <c r="AL33" s="119">
        <v>3</v>
      </c>
      <c r="AM33" s="120">
        <v>3</v>
      </c>
      <c r="AN33" s="19">
        <f t="shared" si="11"/>
        <v>1</v>
      </c>
      <c r="AO33" s="119">
        <v>0</v>
      </c>
      <c r="AP33" s="120"/>
      <c r="AQ33" s="19" t="e">
        <f t="shared" si="12"/>
        <v>#DIV/0!</v>
      </c>
      <c r="AR33" s="119">
        <v>0</v>
      </c>
      <c r="AS33" s="120"/>
      <c r="AT33" s="19" t="e">
        <f t="shared" si="13"/>
        <v>#DIV/0!</v>
      </c>
      <c r="AU33" s="1011">
        <f t="shared" si="15"/>
        <v>10</v>
      </c>
      <c r="AV33" s="19">
        <f>+AU33/G33</f>
        <v>1</v>
      </c>
    </row>
    <row r="34" spans="1:48" ht="17.25" thickTop="1">
      <c r="A34" s="1534"/>
      <c r="C34" s="64"/>
    </row>
  </sheetData>
  <sheetProtection algorithmName="SHA-512" hashValue="t2qQDQLkpB81noHNSurDSyIbNUZyRyI8tafJjUUWY2MvT22HYXDJx5dNQ+hxZ9XBUZaE/g5jC5K6NjzrV8PFEQ==" saltValue="cYPETsBZVndINxpP5fccvA==" spinCount="100000" sheet="1" objects="1" scenarios="1"/>
  <mergeCells count="35">
    <mergeCell ref="C1:H1"/>
    <mergeCell ref="A2:H2"/>
    <mergeCell ref="A3:H3"/>
    <mergeCell ref="A5:A7"/>
    <mergeCell ref="B5:B7"/>
    <mergeCell ref="C5:C7"/>
    <mergeCell ref="D5:D7"/>
    <mergeCell ref="E5:E7"/>
    <mergeCell ref="F5:F7"/>
    <mergeCell ref="G5:G7"/>
    <mergeCell ref="AR5:AT7"/>
    <mergeCell ref="AU5:AV7"/>
    <mergeCell ref="A8:H8"/>
    <mergeCell ref="A9:A27"/>
    <mergeCell ref="B9:B10"/>
    <mergeCell ref="B11:B26"/>
    <mergeCell ref="C12:C15"/>
    <mergeCell ref="C20:C26"/>
    <mergeCell ref="X5:Z7"/>
    <mergeCell ref="AA5:AB7"/>
    <mergeCell ref="AC5:AE7"/>
    <mergeCell ref="AF5:AH7"/>
    <mergeCell ref="AI5:AK7"/>
    <mergeCell ref="AL5:AN7"/>
    <mergeCell ref="H5:H7"/>
    <mergeCell ref="I5:K7"/>
    <mergeCell ref="A28:H28"/>
    <mergeCell ref="A29:A31"/>
    <mergeCell ref="B29:B30"/>
    <mergeCell ref="A32:H32"/>
    <mergeCell ref="AO5:AQ7"/>
    <mergeCell ref="L5:N7"/>
    <mergeCell ref="O5:Q7"/>
    <mergeCell ref="R5:T7"/>
    <mergeCell ref="U5:W7"/>
  </mergeCells>
  <conditionalFormatting sqref="AV9:AV27 AV33 AV29:AV31">
    <cfRule type="cellIs" dxfId="6104" priority="66" operator="greaterThan">
      <formula>110%</formula>
    </cfRule>
    <cfRule type="cellIs" dxfId="6103" priority="67" operator="between">
      <formula>100.001%</formula>
      <formula>110%</formula>
    </cfRule>
    <cfRule type="cellIs" dxfId="6102" priority="68" operator="between">
      <formula>70.001%</formula>
      <formula>100%</formula>
    </cfRule>
    <cfRule type="cellIs" dxfId="6101" priority="69" operator="between">
      <formula>0.00001%</formula>
      <formula>70%</formula>
    </cfRule>
    <cfRule type="cellIs" dxfId="6100" priority="70" operator="equal">
      <formula>0</formula>
    </cfRule>
  </conditionalFormatting>
  <conditionalFormatting sqref="AT9:AT27 AT33 AT29:AT31">
    <cfRule type="cellIs" dxfId="6099" priority="61" operator="greaterThan">
      <formula>110%</formula>
    </cfRule>
    <cfRule type="cellIs" dxfId="6098" priority="62" operator="between">
      <formula>100.001%</formula>
      <formula>110%</formula>
    </cfRule>
    <cfRule type="cellIs" dxfId="6097" priority="63" operator="between">
      <formula>70.001%</formula>
      <formula>100%</formula>
    </cfRule>
    <cfRule type="cellIs" dxfId="6096" priority="64" operator="between">
      <formula>0.00001%</formula>
      <formula>70%</formula>
    </cfRule>
    <cfRule type="cellIs" dxfId="6095" priority="65" operator="equal">
      <formula>0</formula>
    </cfRule>
  </conditionalFormatting>
  <conditionalFormatting sqref="AQ9:AQ27 AQ33 AQ29:AQ31">
    <cfRule type="cellIs" dxfId="6094" priority="56" operator="greaterThan">
      <formula>110%</formula>
    </cfRule>
    <cfRule type="cellIs" dxfId="6093" priority="57" operator="between">
      <formula>100.001%</formula>
      <formula>110%</formula>
    </cfRule>
    <cfRule type="cellIs" dxfId="6092" priority="58" operator="between">
      <formula>70.001%</formula>
      <formula>100%</formula>
    </cfRule>
    <cfRule type="cellIs" dxfId="6091" priority="59" operator="between">
      <formula>0.00001%</formula>
      <formula>70%</formula>
    </cfRule>
    <cfRule type="cellIs" dxfId="6090" priority="60" operator="equal">
      <formula>0</formula>
    </cfRule>
  </conditionalFormatting>
  <conditionalFormatting sqref="AN9:AN27 AN33 AN29:AN31">
    <cfRule type="cellIs" dxfId="6089" priority="51" operator="greaterThan">
      <formula>110%</formula>
    </cfRule>
    <cfRule type="cellIs" dxfId="6088" priority="52" operator="between">
      <formula>100.001%</formula>
      <formula>110%</formula>
    </cfRule>
    <cfRule type="cellIs" dxfId="6087" priority="53" operator="between">
      <formula>70.001%</formula>
      <formula>100%</formula>
    </cfRule>
    <cfRule type="cellIs" dxfId="6086" priority="54" operator="between">
      <formula>0.00001%</formula>
      <formula>70%</formula>
    </cfRule>
    <cfRule type="cellIs" dxfId="6085" priority="55" operator="equal">
      <formula>0</formula>
    </cfRule>
  </conditionalFormatting>
  <conditionalFormatting sqref="AK9:AK27 AK33 AK29:AK31">
    <cfRule type="cellIs" dxfId="6084" priority="46" operator="greaterThan">
      <formula>110%</formula>
    </cfRule>
    <cfRule type="cellIs" dxfId="6083" priority="47" operator="between">
      <formula>100.001%</formula>
      <formula>110%</formula>
    </cfRule>
    <cfRule type="cellIs" dxfId="6082" priority="48" operator="between">
      <formula>70.001%</formula>
      <formula>100%</formula>
    </cfRule>
    <cfRule type="cellIs" dxfId="6081" priority="49" operator="between">
      <formula>0.00001%</formula>
      <formula>70%</formula>
    </cfRule>
    <cfRule type="cellIs" dxfId="6080" priority="50" operator="equal">
      <formula>0</formula>
    </cfRule>
  </conditionalFormatting>
  <conditionalFormatting sqref="AH9:AH27 AH33 AH29:AH31">
    <cfRule type="cellIs" dxfId="6079" priority="41" operator="greaterThan">
      <formula>110%</formula>
    </cfRule>
    <cfRule type="cellIs" dxfId="6078" priority="42" operator="between">
      <formula>100.001%</formula>
      <formula>110%</formula>
    </cfRule>
    <cfRule type="cellIs" dxfId="6077" priority="43" operator="between">
      <formula>70.001%</formula>
      <formula>100%</formula>
    </cfRule>
    <cfRule type="cellIs" dxfId="6076" priority="44" operator="between">
      <formula>0.00001%</formula>
      <formula>70%</formula>
    </cfRule>
    <cfRule type="cellIs" dxfId="6075" priority="45" operator="equal">
      <formula>0</formula>
    </cfRule>
  </conditionalFormatting>
  <conditionalFormatting sqref="AE33 AE29:AE31 AE9:AE27">
    <cfRule type="cellIs" dxfId="6074" priority="36" operator="greaterThan">
      <formula>110%</formula>
    </cfRule>
    <cfRule type="cellIs" dxfId="6073" priority="37" operator="between">
      <formula>100.001%</formula>
      <formula>110%</formula>
    </cfRule>
    <cfRule type="cellIs" dxfId="6072" priority="38" operator="between">
      <formula>70.001%</formula>
      <formula>100%</formula>
    </cfRule>
    <cfRule type="cellIs" dxfId="6071" priority="39" operator="between">
      <formula>0.00001%</formula>
      <formula>70%</formula>
    </cfRule>
    <cfRule type="cellIs" dxfId="6070" priority="40" operator="equal">
      <formula>0</formula>
    </cfRule>
  </conditionalFormatting>
  <conditionalFormatting sqref="AB9:AB27 AB33 AB29:AB31">
    <cfRule type="cellIs" dxfId="6069" priority="31" operator="greaterThan">
      <formula>110%</formula>
    </cfRule>
    <cfRule type="cellIs" dxfId="6068" priority="32" operator="between">
      <formula>100.001%</formula>
      <formula>110%</formula>
    </cfRule>
    <cfRule type="cellIs" dxfId="6067" priority="33" operator="between">
      <formula>70.001%</formula>
      <formula>100%</formula>
    </cfRule>
    <cfRule type="cellIs" dxfId="6066" priority="34" operator="between">
      <formula>0.00001%</formula>
      <formula>70%</formula>
    </cfRule>
    <cfRule type="cellIs" dxfId="6065" priority="35" operator="equal">
      <formula>0</formula>
    </cfRule>
  </conditionalFormatting>
  <conditionalFormatting sqref="Z9:Z27 Z33 Z29:Z31">
    <cfRule type="cellIs" dxfId="6064" priority="26" operator="greaterThan">
      <formula>110%</formula>
    </cfRule>
    <cfRule type="cellIs" dxfId="6063" priority="27" operator="between">
      <formula>100.001%</formula>
      <formula>110%</formula>
    </cfRule>
    <cfRule type="cellIs" dxfId="6062" priority="28" operator="between">
      <formula>70.001%</formula>
      <formula>100%</formula>
    </cfRule>
    <cfRule type="cellIs" dxfId="6061" priority="29" operator="between">
      <formula>0.00001%</formula>
      <formula>70%</formula>
    </cfRule>
    <cfRule type="cellIs" dxfId="6060" priority="30" operator="equal">
      <formula>0</formula>
    </cfRule>
  </conditionalFormatting>
  <conditionalFormatting sqref="W9:W27 W33 W29:W31">
    <cfRule type="cellIs" dxfId="6059" priority="21" operator="greaterThan">
      <formula>110%</formula>
    </cfRule>
    <cfRule type="cellIs" dxfId="6058" priority="22" operator="between">
      <formula>100.001%</formula>
      <formula>110%</formula>
    </cfRule>
    <cfRule type="cellIs" dxfId="6057" priority="23" operator="between">
      <formula>70.001%</formula>
      <formula>100%</formula>
    </cfRule>
    <cfRule type="cellIs" dxfId="6056" priority="24" operator="between">
      <formula>0.00001%</formula>
      <formula>70%</formula>
    </cfRule>
    <cfRule type="cellIs" dxfId="6055" priority="25" operator="equal">
      <formula>0</formula>
    </cfRule>
  </conditionalFormatting>
  <conditionalFormatting sqref="T9:T27 T33 T29:T31">
    <cfRule type="cellIs" dxfId="6054" priority="16" operator="greaterThan">
      <formula>110%</formula>
    </cfRule>
    <cfRule type="cellIs" dxfId="6053" priority="17" operator="between">
      <formula>100.001%</formula>
      <formula>110%</formula>
    </cfRule>
    <cfRule type="cellIs" dxfId="6052" priority="18" operator="between">
      <formula>70.001%</formula>
      <formula>100%</formula>
    </cfRule>
    <cfRule type="cellIs" dxfId="6051" priority="19" operator="between">
      <formula>0.00001%</formula>
      <formula>70%</formula>
    </cfRule>
    <cfRule type="cellIs" dxfId="6050" priority="20" operator="equal">
      <formula>0</formula>
    </cfRule>
  </conditionalFormatting>
  <conditionalFormatting sqref="Q9:Q27 Q33 Q29:Q31">
    <cfRule type="cellIs" dxfId="6049" priority="11" operator="greaterThan">
      <formula>110%</formula>
    </cfRule>
    <cfRule type="cellIs" dxfId="6048" priority="12" operator="between">
      <formula>100.001%</formula>
      <formula>110%</formula>
    </cfRule>
    <cfRule type="cellIs" dxfId="6047" priority="13" operator="between">
      <formula>70.001%</formula>
      <formula>100%</formula>
    </cfRule>
    <cfRule type="cellIs" dxfId="6046" priority="14" operator="between">
      <formula>0.00001%</formula>
      <formula>70%</formula>
    </cfRule>
    <cfRule type="cellIs" dxfId="6045" priority="15" operator="equal">
      <formula>0</formula>
    </cfRule>
  </conditionalFormatting>
  <conditionalFormatting sqref="N9:N27 N33 N29:N31">
    <cfRule type="cellIs" dxfId="6044" priority="6" operator="greaterThan">
      <formula>110%</formula>
    </cfRule>
    <cfRule type="cellIs" dxfId="6043" priority="7" operator="between">
      <formula>100.001%</formula>
      <formula>110%</formula>
    </cfRule>
    <cfRule type="cellIs" dxfId="6042" priority="8" operator="between">
      <formula>70.001%</formula>
      <formula>100%</formula>
    </cfRule>
    <cfRule type="cellIs" dxfId="6041" priority="9" operator="between">
      <formula>0.00001%</formula>
      <formula>70%</formula>
    </cfRule>
    <cfRule type="cellIs" dxfId="6040" priority="10" operator="equal">
      <formula>0</formula>
    </cfRule>
  </conditionalFormatting>
  <conditionalFormatting sqref="K33 K29:K31 K9:K27">
    <cfRule type="cellIs" dxfId="6039" priority="1" operator="greaterThan">
      <formula>110%</formula>
    </cfRule>
    <cfRule type="cellIs" dxfId="6038" priority="2" operator="between">
      <formula>100.001%</formula>
      <formula>110%</formula>
    </cfRule>
    <cfRule type="cellIs" dxfId="6037" priority="3" operator="between">
      <formula>70.001%</formula>
      <formula>100%</formula>
    </cfRule>
    <cfRule type="cellIs" dxfId="6036" priority="4" operator="between">
      <formula>0.00001%</formula>
      <formula>70%</formula>
    </cfRule>
    <cfRule type="cellIs" dxfId="6035" priority="5" operator="equal">
      <formula>0</formula>
    </cfRule>
  </conditionalFormatting>
  <hyperlinks>
    <hyperlink ref="D11" location="'IN1-3'!Área_de_impresión" display="IN1-3 Recaudo Bruto" xr:uid="{00000000-0004-0000-1500-000000000000}"/>
    <hyperlink ref="D12" location="'FIS-4'!Área_de_impresión" display="FIS-4 Gestión efectiva en fiscalización tributaria" xr:uid="{00000000-0004-0000-1500-000001000000}"/>
    <hyperlink ref="D13" location="'FIS-10'!Área_de_impresión" display="FIS-10 Gestión aceptada en fiscalización tributaria" xr:uid="{00000000-0004-0000-1500-000002000000}"/>
    <hyperlink ref="D14" location="'FIS-27'!Área_de_impresión" display="FIS-27 Reclasificación de no responsables a responsables" xr:uid="{00000000-0004-0000-1500-000003000000}"/>
    <hyperlink ref="D15" location="'FIS-17'!Área_de_impresión" display="FIS-17 Evacuación de expedientes en fiscalización tributaria" xr:uid="{00000000-0004-0000-1500-000004000000}"/>
    <hyperlink ref="D16" location="'IN1-4'!Área_de_impresión" display="IN1-4  Recaudo por gestión de cartera" xr:uid="{00000000-0004-0000-1500-000005000000}"/>
    <hyperlink ref="D17" location="'IN1-5'!Área_de_impresión" display="IN1-5  Inscritos en el Régimen Simple de Tributación - RST" xr:uid="{00000000-0004-0000-1500-000006000000}"/>
    <hyperlink ref="D18" location="'IN1-6.1'!Área_de_impresión" display="IN1-6.1 Grado de cumplimiento del cronograma de campañas del RST" xr:uid="{00000000-0004-0000-1500-000007000000}"/>
    <hyperlink ref="D19" location="'IN1-8'!Área_de_impresión" display="IN1-8 Contribuyentes habilitados como facturadores electrónicos" xr:uid="{00000000-0004-0000-1500-000008000000}"/>
    <hyperlink ref="D20" location="'JUR-3.1'!Área_de_impresión" display=" JUR-3.1 Porcentaje de éxito de litigiosidad" xr:uid="{00000000-0004-0000-1500-000009000000}"/>
    <hyperlink ref="D21" location="'JUR-3.2'!Área_de_impresión" display=" JUR-3.2 Porcentaje procesos judiciales revisados con mayor riesgo en Ekogui" xr:uid="{00000000-0004-0000-1500-00000A000000}"/>
    <hyperlink ref="D22" location="'JUR-3.3'!Área_de_impresión" display="JUR-3.3  Porcentaje de análisis de jurisprudencia remitidos junto con la copia de la sentencia " xr:uid="{00000000-0004-0000-1500-00000B000000}"/>
    <hyperlink ref="D23" location="'JUR-3.4'!Área_de_impresión" display="JUR-3.4  Porcentaje  de procesos revisados con VoBo del Jefe " xr:uid="{00000000-0004-0000-1500-00000C000000}"/>
    <hyperlink ref="D24" location="'JUR-3.5'!Área_de_impresión" display="JUR-3.5 Porcentaje de requerimientos atendidos en oportunidad" xr:uid="{00000000-0004-0000-1500-00000D000000}"/>
    <hyperlink ref="D25" location="'JUR-3.6'!Área_de_impresión" display=" JUR-3.6 Porcentaje funcionarios capacitaciones en cursos virtuales de la ANDJE" xr:uid="{00000000-0004-0000-1500-00000E000000}"/>
    <hyperlink ref="D26" location="'JUR-4'!Área_de_impresión" display="JUR-4 Porcentaje funcionarios que participaron en el concurso de escritura jurídica" xr:uid="{00000000-0004-0000-1500-00000F000000}"/>
    <hyperlink ref="D27" location="'FIS-24'!Área_de_impresión" display="FIS-24 Valor Decomisos de mercancías en firme" xr:uid="{00000000-0004-0000-1500-000010000000}"/>
    <hyperlink ref="D29" location="'JUR-7'!Área_de_impresión" display="JUR-7  Oportunidad en las decisiones de los recursos tributarios hasta su remisión a notificaciones" xr:uid="{00000000-0004-0000-1500-000011000000}"/>
    <hyperlink ref="D30" location="'IN1-11'!Área_de_impresión" display="IN1-11  Nivel de cobertura de personas sensibilizadas por el plan de cultura. ACTUALMENTE. Cumplimiento al Plan de Acción de Cultura de la Contribución" xr:uid="{00000000-0004-0000-1500-000012000000}"/>
    <hyperlink ref="D33" location="'DGRAE-25'!A1" display="DGRAE-25 Actividades que componen el  PIC para la Dirección de Gestión" xr:uid="{00000000-0004-0000-1500-000013000000}"/>
    <hyperlink ref="D10" location="'DGRAE-2'!A1" display="DGRAE-2 Nivel de ejecución del PAA de la Dirección" xr:uid="{00000000-0004-0000-1500-000014000000}"/>
    <hyperlink ref="D9" location="'DGRAE-1'!A1" display="DGRAE-1 Nivel de Ejecución del presupuesto " xr:uid="{00000000-0004-0000-1500-000015000000}"/>
    <hyperlink ref="D31" location="'IN1-15'!Área_de_impresión" display="IN1-15 Días en devoluciones ordinarias" xr:uid="{00000000-0004-0000-1500-000016000000}"/>
    <hyperlink ref="AW2" location="'Consolidado '!A1" display="VOLVER" xr:uid="{00000000-0004-0000-1500-000017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39"/>
  <sheetViews>
    <sheetView topLeftCell="E1" zoomScale="80" zoomScaleNormal="80" workbookViewId="0">
      <selection activeCell="AX9" sqref="AX9"/>
    </sheetView>
  </sheetViews>
  <sheetFormatPr baseColWidth="10" defaultColWidth="11.42578125" defaultRowHeight="16.5"/>
  <cols>
    <col min="1" max="1" width="24.42578125" style="8" customWidth="1"/>
    <col min="2" max="2" width="30.28515625" style="8" customWidth="1"/>
    <col min="3" max="3" width="56.85546875" style="63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8.42578125" style="8" customWidth="1"/>
    <col min="8" max="8" width="11.85546875" style="8" hidden="1" customWidth="1"/>
    <col min="9" max="9" width="8.28515625" style="8" hidden="1" customWidth="1"/>
    <col min="10" max="10" width="0.7109375" style="8" hidden="1" customWidth="1"/>
    <col min="11" max="11" width="25.85546875" style="8" customWidth="1"/>
    <col min="12" max="13" width="20.7109375" style="8" hidden="1" customWidth="1"/>
    <col min="14" max="14" width="20.7109375" style="1430" hidden="1" customWidth="1"/>
    <col min="15" max="16" width="20.7109375" style="8" hidden="1" customWidth="1"/>
    <col min="17" max="17" width="20.7109375" style="1430" hidden="1" customWidth="1"/>
    <col min="18" max="19" width="20.7109375" style="8" hidden="1" customWidth="1"/>
    <col min="20" max="20" width="20.7109375" style="1430" hidden="1" customWidth="1"/>
    <col min="21" max="22" width="20.7109375" style="8" hidden="1" customWidth="1"/>
    <col min="23" max="23" width="20.7109375" style="1430" hidden="1" customWidth="1"/>
    <col min="24" max="25" width="20.7109375" style="8" hidden="1" customWidth="1"/>
    <col min="26" max="26" width="20.7109375" style="1430" hidden="1" customWidth="1"/>
    <col min="27" max="28" width="20.7109375" style="8" hidden="1" customWidth="1"/>
    <col min="29" max="29" width="20.7109375" style="1430" hidden="1" customWidth="1"/>
    <col min="30" max="30" width="20.7109375" style="8" hidden="1" customWidth="1"/>
    <col min="31" max="31" width="20.7109375" style="1430" hidden="1" customWidth="1"/>
    <col min="32" max="33" width="20.7109375" style="8" hidden="1" customWidth="1"/>
    <col min="34" max="34" width="20.7109375" style="1430" hidden="1" customWidth="1"/>
    <col min="35" max="36" width="20.7109375" style="8" hidden="1" customWidth="1"/>
    <col min="37" max="37" width="20.7109375" style="1430" hidden="1" customWidth="1"/>
    <col min="38" max="39" width="20.7109375" style="8" hidden="1" customWidth="1"/>
    <col min="40" max="40" width="20.7109375" style="1430" hidden="1" customWidth="1"/>
    <col min="41" max="42" width="20.7109375" style="8" hidden="1" customWidth="1"/>
    <col min="43" max="43" width="20.7109375" style="1430" hidden="1" customWidth="1"/>
    <col min="44" max="45" width="20.7109375" style="8" hidden="1" customWidth="1"/>
    <col min="46" max="46" width="20.7109375" style="1430" hidden="1" customWidth="1"/>
    <col min="47" max="49" width="20.7109375" style="8" hidden="1" customWidth="1"/>
    <col min="50" max="50" width="20.7109375" style="8" customWidth="1"/>
    <col min="51" max="51" width="20.7109375" style="1535" customWidth="1"/>
  </cols>
  <sheetData>
    <row r="1" spans="1:52" ht="29.25" customHeight="1">
      <c r="A1" s="101"/>
      <c r="B1" s="101"/>
      <c r="C1" s="2885" t="s">
        <v>671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</row>
    <row r="3" spans="1:52">
      <c r="A3" s="107"/>
      <c r="B3" s="108"/>
      <c r="C3" s="2866" t="s">
        <v>672</v>
      </c>
      <c r="D3" s="2867"/>
      <c r="E3" s="2867"/>
      <c r="F3" s="2867"/>
      <c r="G3" s="2867"/>
      <c r="H3" s="2867"/>
      <c r="I3" s="2867"/>
      <c r="J3" s="2867"/>
      <c r="K3" s="2867"/>
      <c r="AZ3" s="670" t="s">
        <v>185</v>
      </c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23" t="s">
        <v>188</v>
      </c>
      <c r="AE5" s="2823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3140"/>
      <c r="AO5" s="2840" t="s">
        <v>79</v>
      </c>
      <c r="AP5" s="2841"/>
      <c r="AQ5" s="3140"/>
      <c r="AR5" s="2840" t="s">
        <v>80</v>
      </c>
      <c r="AS5" s="2841"/>
      <c r="AT5" s="3140"/>
      <c r="AU5" s="2840" t="s">
        <v>81</v>
      </c>
      <c r="AV5" s="2841"/>
      <c r="AW5" s="2884"/>
      <c r="AX5" s="2840" t="s">
        <v>397</v>
      </c>
      <c r="AY5" s="2841"/>
    </row>
    <row r="6" spans="1:52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23"/>
      <c r="AE6" s="2823"/>
      <c r="AF6" s="2840"/>
      <c r="AG6" s="2841"/>
      <c r="AH6" s="2884"/>
      <c r="AI6" s="2840"/>
      <c r="AJ6" s="2841"/>
      <c r="AK6" s="2884"/>
      <c r="AL6" s="2840"/>
      <c r="AM6" s="2841"/>
      <c r="AN6" s="3140"/>
      <c r="AO6" s="2840"/>
      <c r="AP6" s="2841"/>
      <c r="AQ6" s="3140"/>
      <c r="AR6" s="2840"/>
      <c r="AS6" s="2841"/>
      <c r="AT6" s="3140"/>
      <c r="AU6" s="2840"/>
      <c r="AV6" s="2841"/>
      <c r="AW6" s="2884"/>
      <c r="AX6" s="2840"/>
      <c r="AY6" s="2841"/>
      <c r="AZ6" s="370">
        <f>+(AY9+AY10+AY11+AY12+AY13+AY14+AY15+AY16+AY17+AY19+AY20+AY21+AY22+AY23+AY24+AY26+AY27+AY28+AY29+AY32+AY33+AY36+AY38)/23</f>
        <v>1.5198863270147962</v>
      </c>
    </row>
    <row r="7" spans="1:52" ht="31.9" customHeight="1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23"/>
      <c r="AE7" s="2823"/>
      <c r="AF7" s="2836"/>
      <c r="AG7" s="2837"/>
      <c r="AH7" s="2838"/>
      <c r="AI7" s="2836"/>
      <c r="AJ7" s="2837"/>
      <c r="AK7" s="2838"/>
      <c r="AL7" s="2836"/>
      <c r="AM7" s="2837"/>
      <c r="AN7" s="3141"/>
      <c r="AO7" s="2836"/>
      <c r="AP7" s="2837"/>
      <c r="AQ7" s="3141"/>
      <c r="AR7" s="2836"/>
      <c r="AS7" s="2837"/>
      <c r="AT7" s="3141"/>
      <c r="AU7" s="2836"/>
      <c r="AV7" s="2837"/>
      <c r="AW7" s="2838"/>
      <c r="AX7" s="2840"/>
      <c r="AY7" s="2841"/>
    </row>
    <row r="8" spans="1:52" ht="29.25" customHeight="1" thickTop="1" thickBot="1">
      <c r="A8" s="2839" t="s">
        <v>165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4" t="s">
        <v>84</v>
      </c>
      <c r="M8" s="14" t="s">
        <v>85</v>
      </c>
      <c r="N8" s="15" t="s">
        <v>86</v>
      </c>
      <c r="O8" s="14" t="s">
        <v>84</v>
      </c>
      <c r="P8" s="14" t="s">
        <v>85</v>
      </c>
      <c r="Q8" s="15" t="s">
        <v>86</v>
      </c>
      <c r="R8" s="14" t="s">
        <v>84</v>
      </c>
      <c r="S8" s="14" t="s">
        <v>85</v>
      </c>
      <c r="T8" s="15" t="s">
        <v>86</v>
      </c>
      <c r="U8" s="14" t="s">
        <v>84</v>
      </c>
      <c r="V8" s="14" t="s">
        <v>85</v>
      </c>
      <c r="W8" s="15" t="s">
        <v>86</v>
      </c>
      <c r="X8" s="14" t="s">
        <v>84</v>
      </c>
      <c r="Y8" s="14" t="s">
        <v>85</v>
      </c>
      <c r="Z8" s="15" t="s">
        <v>86</v>
      </c>
      <c r="AA8" s="14" t="s">
        <v>84</v>
      </c>
      <c r="AB8" s="14" t="s">
        <v>85</v>
      </c>
      <c r="AC8" s="15" t="s">
        <v>86</v>
      </c>
      <c r="AD8" s="13" t="s">
        <v>87</v>
      </c>
      <c r="AE8" s="15" t="s">
        <v>6</v>
      </c>
      <c r="AF8" s="14" t="s">
        <v>84</v>
      </c>
      <c r="AG8" s="14" t="s">
        <v>85</v>
      </c>
      <c r="AH8" s="15" t="s">
        <v>86</v>
      </c>
      <c r="AI8" s="14" t="s">
        <v>84</v>
      </c>
      <c r="AJ8" s="14" t="s">
        <v>85</v>
      </c>
      <c r="AK8" s="15" t="s">
        <v>86</v>
      </c>
      <c r="AL8" s="14" t="s">
        <v>84</v>
      </c>
      <c r="AM8" s="14" t="s">
        <v>85</v>
      </c>
      <c r="AN8" s="15" t="s">
        <v>86</v>
      </c>
      <c r="AO8" s="14" t="s">
        <v>84</v>
      </c>
      <c r="AP8" s="14" t="s">
        <v>85</v>
      </c>
      <c r="AQ8" s="15" t="s">
        <v>86</v>
      </c>
      <c r="AR8" s="14" t="s">
        <v>84</v>
      </c>
      <c r="AS8" s="14" t="s">
        <v>85</v>
      </c>
      <c r="AT8" s="15" t="s">
        <v>86</v>
      </c>
      <c r="AU8" s="14" t="s">
        <v>84</v>
      </c>
      <c r="AV8" s="14" t="s">
        <v>85</v>
      </c>
      <c r="AW8" s="15" t="s">
        <v>86</v>
      </c>
      <c r="AX8" s="14" t="s">
        <v>87</v>
      </c>
      <c r="AY8" s="1536" t="s">
        <v>6</v>
      </c>
    </row>
    <row r="9" spans="1:52" ht="39.75" customHeight="1" thickTop="1" thickBot="1">
      <c r="A9" s="2943" t="s">
        <v>88</v>
      </c>
      <c r="B9" s="2848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764">
        <f>653579254.76/1000000</f>
        <v>653.57925476000003</v>
      </c>
      <c r="H9" s="74" t="s">
        <v>25</v>
      </c>
      <c r="I9" s="79"/>
      <c r="J9" s="78"/>
      <c r="K9" s="76" t="s">
        <v>25</v>
      </c>
      <c r="L9" s="765">
        <f>+[7]DGRAE1!$CY$4</f>
        <v>60.293722000000002</v>
      </c>
      <c r="M9" s="567">
        <v>60.24</v>
      </c>
      <c r="N9" s="19">
        <f>+M9/L9</f>
        <v>0.9991089951288793</v>
      </c>
      <c r="O9" s="765">
        <f>+[7]DGRAE1!$CY$5</f>
        <v>74.450574000000003</v>
      </c>
      <c r="P9" s="567">
        <v>13.04</v>
      </c>
      <c r="Q9" s="19">
        <f>+P9/O9</f>
        <v>0.17514975774397654</v>
      </c>
      <c r="R9" s="765">
        <f>+[7]DGRAE1!$CY$6</f>
        <v>15.448923000000001</v>
      </c>
      <c r="S9" s="567">
        <v>73.569999999999993</v>
      </c>
      <c r="T9" s="19">
        <f>+S9/R9</f>
        <v>4.7621442608005742</v>
      </c>
      <c r="U9" s="765">
        <f>+[7]DGRAE1!$CY$7</f>
        <v>69.579723000000001</v>
      </c>
      <c r="V9" s="567">
        <v>3.23</v>
      </c>
      <c r="W9" s="19">
        <f>+V9/U9</f>
        <v>4.6421570261209577E-2</v>
      </c>
      <c r="X9" s="765">
        <f>+[7]DGRAE1!$CY$8</f>
        <v>15.141373</v>
      </c>
      <c r="Y9" s="567">
        <v>63.8</v>
      </c>
      <c r="Z9" s="19">
        <f>+Y9/X9</f>
        <v>4.2136205217320777</v>
      </c>
      <c r="AA9" s="765">
        <f>+[7]DGRAE1!$CY$9</f>
        <v>15.164723</v>
      </c>
      <c r="AB9" s="567">
        <v>41.34</v>
      </c>
      <c r="AC9" s="19">
        <f>+AB9/AA9</f>
        <v>2.7260636412547727</v>
      </c>
      <c r="AD9" s="566">
        <f>+AB9+Y9+V9+S9+P9+M9</f>
        <v>255.22</v>
      </c>
      <c r="AE9" s="121">
        <f>+AD9/G9</f>
        <v>0.3904958704567803</v>
      </c>
      <c r="AF9" s="765">
        <f>+[7]DGRAE1!$CY$10</f>
        <v>15.340923</v>
      </c>
      <c r="AG9" s="567">
        <v>8.93</v>
      </c>
      <c r="AH9" s="19">
        <f>+AG9/AF9</f>
        <v>0.58210317593015748</v>
      </c>
      <c r="AI9" s="765">
        <f>+[7]DGRAE1!$CY$11</f>
        <v>15.164723</v>
      </c>
      <c r="AJ9" s="567">
        <v>10.26</v>
      </c>
      <c r="AK9" s="19">
        <f>+AJ9/AI9</f>
        <v>0.67657022155960245</v>
      </c>
      <c r="AL9" s="765">
        <f>+[7]DGRAE1!$CY$12</f>
        <v>15.448923000000001</v>
      </c>
      <c r="AM9" s="567">
        <v>14.3</v>
      </c>
      <c r="AN9" s="19">
        <f>+AM9/AL9</f>
        <v>0.92563086760157975</v>
      </c>
      <c r="AO9" s="765">
        <f>+[7]DGRAE1!$CY$13</f>
        <v>14.750723000000001</v>
      </c>
      <c r="AP9" s="567">
        <v>238.33</v>
      </c>
      <c r="AQ9" s="19">
        <f>+AP9/AO9</f>
        <v>16.157174126312317</v>
      </c>
      <c r="AR9" s="765">
        <f>+[7]DGRAE1!$CY$14</f>
        <v>14.344723</v>
      </c>
      <c r="AS9" s="567">
        <v>87.25</v>
      </c>
      <c r="AT9" s="19">
        <f>+AS9/AR9</f>
        <v>6.0823760765544232</v>
      </c>
      <c r="AU9" s="765">
        <f>+[7]DGRAE1!$CY$15</f>
        <v>11.407759</v>
      </c>
      <c r="AV9" s="567">
        <v>26.01</v>
      </c>
      <c r="AW9" s="19">
        <f>+AV9/AU9</f>
        <v>2.2800271289041083</v>
      </c>
      <c r="AX9" s="747">
        <f>+M9+P9+S9+V9+Y9+AB9+AG9+AJ9+AM9+AP9+AS9+AV9</f>
        <v>640.29999999999995</v>
      </c>
      <c r="AY9" s="1203">
        <f>+AX9/G9</f>
        <v>0.97968225786958874</v>
      </c>
    </row>
    <row r="10" spans="1:52" ht="47.25" customHeight="1" thickTop="1" thickBot="1">
      <c r="A10" s="2944"/>
      <c r="B10" s="2850"/>
      <c r="C10" s="74" t="s">
        <v>169</v>
      </c>
      <c r="D10" s="111" t="s">
        <v>92</v>
      </c>
      <c r="E10" s="74" t="s">
        <v>170</v>
      </c>
      <c r="F10" s="74" t="s">
        <v>17</v>
      </c>
      <c r="G10" s="203">
        <v>2</v>
      </c>
      <c r="H10" s="118" t="s">
        <v>26</v>
      </c>
      <c r="I10" s="79"/>
      <c r="J10" s="78"/>
      <c r="K10" s="76" t="s">
        <v>26</v>
      </c>
      <c r="L10" s="119">
        <v>0</v>
      </c>
      <c r="M10" s="120">
        <v>0</v>
      </c>
      <c r="N10" s="19" t="e">
        <f>+M10/L10</f>
        <v>#DIV/0!</v>
      </c>
      <c r="O10" s="119">
        <v>0</v>
      </c>
      <c r="P10" s="120">
        <v>0</v>
      </c>
      <c r="Q10" s="19" t="e">
        <f>+P10/O10</f>
        <v>#DIV/0!</v>
      </c>
      <c r="R10" s="119">
        <v>0</v>
      </c>
      <c r="S10" s="120">
        <v>0</v>
      </c>
      <c r="T10" s="19" t="e">
        <f>+S10/R10</f>
        <v>#DIV/0!</v>
      </c>
      <c r="U10" s="119">
        <v>0</v>
      </c>
      <c r="V10" s="120">
        <v>0</v>
      </c>
      <c r="W10" s="19" t="e">
        <f>+V10/U10</f>
        <v>#DIV/0!</v>
      </c>
      <c r="X10" s="119">
        <v>0</v>
      </c>
      <c r="Y10" s="120">
        <v>0</v>
      </c>
      <c r="Z10" s="121" t="e">
        <f>+Y10/X10</f>
        <v>#DIV/0!</v>
      </c>
      <c r="AA10" s="119">
        <v>0</v>
      </c>
      <c r="AB10" s="120">
        <v>0</v>
      </c>
      <c r="AC10" s="19" t="e">
        <f>+AB10/AA10</f>
        <v>#DIV/0!</v>
      </c>
      <c r="AD10" s="122">
        <f>+AB10+Y10+V10+S10+P10+M10</f>
        <v>0</v>
      </c>
      <c r="AE10" s="19">
        <f t="shared" ref="AE10" si="0">+AD10/G10</f>
        <v>0</v>
      </c>
      <c r="AF10" s="119">
        <v>0</v>
      </c>
      <c r="AG10" s="120">
        <v>0</v>
      </c>
      <c r="AH10" s="19" t="e">
        <f>+AG10/AF10</f>
        <v>#DIV/0!</v>
      </c>
      <c r="AI10" s="119">
        <v>0</v>
      </c>
      <c r="AJ10" s="120">
        <v>0</v>
      </c>
      <c r="AK10" s="19" t="e">
        <f>+AJ10/AI10</f>
        <v>#DIV/0!</v>
      </c>
      <c r="AL10" s="119">
        <v>0</v>
      </c>
      <c r="AM10" s="120">
        <v>0</v>
      </c>
      <c r="AN10" s="19" t="e">
        <f>+AM10/AL10</f>
        <v>#DIV/0!</v>
      </c>
      <c r="AO10" s="119">
        <v>0</v>
      </c>
      <c r="AP10" s="120">
        <v>0</v>
      </c>
      <c r="AQ10" s="121" t="e">
        <f>+AP10/AO10</f>
        <v>#DIV/0!</v>
      </c>
      <c r="AR10" s="119">
        <v>1</v>
      </c>
      <c r="AS10" s="120">
        <v>1</v>
      </c>
      <c r="AT10" s="19">
        <f>+AS10/AR10</f>
        <v>1</v>
      </c>
      <c r="AU10" s="119">
        <v>1</v>
      </c>
      <c r="AV10" s="120">
        <v>1</v>
      </c>
      <c r="AW10" s="19">
        <f>+AV10/AU10</f>
        <v>1</v>
      </c>
      <c r="AX10" s="123">
        <f t="shared" ref="AX10" si="1">+M10+P10+S10+V10+Y10+AB10+AG10+AJ10+AM10+AP10+AS10+AV10</f>
        <v>2</v>
      </c>
      <c r="AY10" s="1203">
        <f t="shared" ref="AY10" si="2">+AX10/G10</f>
        <v>1</v>
      </c>
    </row>
    <row r="11" spans="1:52" ht="31.5" thickTop="1" thickBot="1">
      <c r="A11" s="2944"/>
      <c r="B11" s="2948" t="s">
        <v>94</v>
      </c>
      <c r="C11" s="172" t="s">
        <v>647</v>
      </c>
      <c r="D11" s="171" t="s">
        <v>673</v>
      </c>
      <c r="E11" s="172" t="s">
        <v>97</v>
      </c>
      <c r="F11" s="172" t="s">
        <v>300</v>
      </c>
      <c r="G11" s="1537">
        <v>300705</v>
      </c>
      <c r="H11" s="767"/>
      <c r="I11" s="1538"/>
      <c r="J11" s="767"/>
      <c r="K11" s="172" t="s">
        <v>20</v>
      </c>
      <c r="L11" s="765" t="str">
        <f>+'[8]IN1-3'!$CY$4</f>
        <v>PENDIENTE</v>
      </c>
      <c r="M11" s="567">
        <v>23459</v>
      </c>
      <c r="N11" s="19">
        <v>0</v>
      </c>
      <c r="O11" s="765">
        <f>+'[8]IN1-3'!$CY$5</f>
        <v>0</v>
      </c>
      <c r="P11" s="567">
        <v>23811</v>
      </c>
      <c r="Q11" s="19" t="e">
        <f t="shared" ref="Q11:Q33" si="3">+P11/O11</f>
        <v>#DIV/0!</v>
      </c>
      <c r="R11" s="765">
        <f>+'[8]IN1-3'!$CY$6</f>
        <v>0</v>
      </c>
      <c r="S11" s="567">
        <v>19773</v>
      </c>
      <c r="T11" s="19" t="e">
        <f t="shared" ref="T11:T33" si="4">+S11/R11</f>
        <v>#DIV/0!</v>
      </c>
      <c r="U11" s="765">
        <f>+'[8]IN1-3'!$CY$7</f>
        <v>0</v>
      </c>
      <c r="V11" s="567">
        <v>13349</v>
      </c>
      <c r="W11" s="19" t="e">
        <f t="shared" ref="W11:W33" si="5">+V11/U11</f>
        <v>#DIV/0!</v>
      </c>
      <c r="X11" s="765">
        <f>+'[8]IN1-3'!$CY$8</f>
        <v>0</v>
      </c>
      <c r="Y11" s="567">
        <v>15373</v>
      </c>
      <c r="Z11" s="19" t="e">
        <f t="shared" ref="Z11:Z33" si="6">+Y11/X11</f>
        <v>#DIV/0!</v>
      </c>
      <c r="AA11" s="765">
        <f>+'[8]IN1-3'!$CY$9</f>
        <v>0</v>
      </c>
      <c r="AB11" s="567">
        <v>21753</v>
      </c>
      <c r="AC11" s="19" t="e">
        <f t="shared" ref="AC11:AC33" si="7">+AB11/AA11</f>
        <v>#DIV/0!</v>
      </c>
      <c r="AD11" s="566">
        <f>SUM(+AB11+Y11+V11+S11+P11+M11)</f>
        <v>117518</v>
      </c>
      <c r="AE11" s="19">
        <f>+AD11/G11</f>
        <v>0.3908082672386558</v>
      </c>
      <c r="AF11" s="765">
        <f>+'[8]IN1-3'!$CY$10</f>
        <v>0</v>
      </c>
      <c r="AG11" s="567">
        <v>25357</v>
      </c>
      <c r="AH11" s="19" t="e">
        <f t="shared" ref="AH11:AH33" si="8">+AG11/AF11</f>
        <v>#DIV/0!</v>
      </c>
      <c r="AI11" s="765">
        <f>+'[8]IN1-3'!$CY$11</f>
        <v>0</v>
      </c>
      <c r="AJ11" s="567">
        <v>29818</v>
      </c>
      <c r="AK11" s="19" t="e">
        <f t="shared" ref="AK11:AK33" si="9">+AJ11/AI11</f>
        <v>#DIV/0!</v>
      </c>
      <c r="AL11" s="765">
        <f>+'[8]IN1-3'!$CY$12</f>
        <v>0</v>
      </c>
      <c r="AM11" s="567">
        <v>29136</v>
      </c>
      <c r="AN11" s="19" t="e">
        <f t="shared" ref="AN11:AN33" si="10">+AM11/AL11</f>
        <v>#DIV/0!</v>
      </c>
      <c r="AO11" s="765">
        <f>+'[8]IN1-3'!$CY$13</f>
        <v>0</v>
      </c>
      <c r="AP11" s="567">
        <v>34476</v>
      </c>
      <c r="AQ11" s="19" t="e">
        <f t="shared" ref="AQ11:AQ33" si="11">+AP11/AO11</f>
        <v>#DIV/0!</v>
      </c>
      <c r="AR11" s="765">
        <f>+'[8]IN1-3'!$CY$14</f>
        <v>0</v>
      </c>
      <c r="AS11" s="567">
        <v>31814</v>
      </c>
      <c r="AT11" s="19" t="e">
        <f t="shared" ref="AT11:AT33" si="12">+AS11/AR11</f>
        <v>#DIV/0!</v>
      </c>
      <c r="AU11" s="765">
        <f>+'[8]IN1-3'!$CY$15</f>
        <v>0</v>
      </c>
      <c r="AV11" s="567">
        <v>32585</v>
      </c>
      <c r="AW11" s="19" t="e">
        <f t="shared" ref="AW11:AW33" si="13">+AV11/AU11</f>
        <v>#DIV/0!</v>
      </c>
      <c r="AX11" s="765">
        <f>+M11+P11+S11+V11+Y11+AB11+AG11+AJ11+AM11+AP11+AS11+AV11+1</f>
        <v>300705</v>
      </c>
      <c r="AY11" s="1203">
        <f>+AX11/G11</f>
        <v>1</v>
      </c>
    </row>
    <row r="12" spans="1:52" ht="63" customHeight="1" thickTop="1" thickBot="1">
      <c r="A12" s="2944"/>
      <c r="B12" s="2949"/>
      <c r="C12" s="2994" t="s">
        <v>674</v>
      </c>
      <c r="D12" s="111" t="s">
        <v>399</v>
      </c>
      <c r="E12" s="177" t="s">
        <v>192</v>
      </c>
      <c r="F12" s="177" t="s">
        <v>101</v>
      </c>
      <c r="G12" s="773">
        <v>6000000000</v>
      </c>
      <c r="H12" s="1539"/>
      <c r="I12" s="1540"/>
      <c r="J12" s="774"/>
      <c r="K12" s="177" t="s">
        <v>140</v>
      </c>
      <c r="L12" s="776">
        <f>+'[9]FIS-5'!$CY$4</f>
        <v>400000000</v>
      </c>
      <c r="M12" s="769">
        <v>743426297</v>
      </c>
      <c r="N12" s="19">
        <f t="shared" ref="N12:N33" si="14">+M12/L12</f>
        <v>1.8585657425</v>
      </c>
      <c r="O12" s="776">
        <f>+'[9]FIS-5'!$CY$5</f>
        <v>400000000</v>
      </c>
      <c r="P12" s="769">
        <v>2291587281</v>
      </c>
      <c r="Q12" s="19">
        <f t="shared" si="3"/>
        <v>5.7289682024999999</v>
      </c>
      <c r="R12" s="776">
        <f>+'[9]FIS-5'!$CY$6</f>
        <v>400000000</v>
      </c>
      <c r="S12" s="769">
        <v>1601055729</v>
      </c>
      <c r="T12" s="19">
        <f t="shared" si="4"/>
        <v>4.0026393225000003</v>
      </c>
      <c r="U12" s="776">
        <f>+'[9]FIS-5'!$CY$7</f>
        <v>600000000</v>
      </c>
      <c r="V12" s="769">
        <v>0</v>
      </c>
      <c r="W12" s="19">
        <f t="shared" si="5"/>
        <v>0</v>
      </c>
      <c r="X12" s="776">
        <f>+'[9]FIS-5'!$CY$8</f>
        <v>600000000</v>
      </c>
      <c r="Y12" s="769">
        <v>0</v>
      </c>
      <c r="Z12" s="19">
        <f t="shared" si="6"/>
        <v>0</v>
      </c>
      <c r="AA12" s="776">
        <f>+'[9]FIS-5'!$CY$9</f>
        <v>600000000</v>
      </c>
      <c r="AB12" s="769">
        <v>0</v>
      </c>
      <c r="AC12" s="19">
        <f t="shared" si="7"/>
        <v>0</v>
      </c>
      <c r="AD12" s="777">
        <f t="shared" ref="AD12:AD27" si="15">+AB12+Y12+V12+S12+P12+M12</f>
        <v>4636069307</v>
      </c>
      <c r="AE12" s="19">
        <f t="shared" ref="AE12:AE36" si="16">+AD12/G12</f>
        <v>0.77267821783333335</v>
      </c>
      <c r="AF12" s="776">
        <f>+'[9]FIS-5'!$CY$10</f>
        <v>600000000</v>
      </c>
      <c r="AG12" s="769">
        <v>28546137</v>
      </c>
      <c r="AH12" s="19">
        <f t="shared" si="8"/>
        <v>4.7576895000000001E-2</v>
      </c>
      <c r="AI12" s="776">
        <f>+'[9]FIS-5'!$CY$11</f>
        <v>600000000</v>
      </c>
      <c r="AJ12" s="769">
        <v>799924064</v>
      </c>
      <c r="AK12" s="19">
        <f t="shared" si="9"/>
        <v>1.3332067733333333</v>
      </c>
      <c r="AL12" s="776">
        <f>+'[9]FIS-5'!$CY$12</f>
        <v>600000000</v>
      </c>
      <c r="AM12" s="769">
        <v>530580751</v>
      </c>
      <c r="AN12" s="19">
        <f t="shared" si="10"/>
        <v>0.88430125166666662</v>
      </c>
      <c r="AO12" s="776">
        <f>+'[9]FIS-5'!$CY$13</f>
        <v>400000000</v>
      </c>
      <c r="AP12" s="769">
        <v>1289734007</v>
      </c>
      <c r="AQ12" s="19">
        <f t="shared" si="11"/>
        <v>3.2243350175000001</v>
      </c>
      <c r="AR12" s="776">
        <f>+'[9]FIS-5'!$CY$14</f>
        <v>400000000</v>
      </c>
      <c r="AS12" s="769">
        <v>395029000</v>
      </c>
      <c r="AT12" s="19">
        <f t="shared" si="12"/>
        <v>0.98757249999999996</v>
      </c>
      <c r="AU12" s="776">
        <f>+'[9]FIS-5'!$CY$15</f>
        <v>400000000</v>
      </c>
      <c r="AV12" s="769">
        <v>223916000</v>
      </c>
      <c r="AW12" s="19">
        <f t="shared" si="13"/>
        <v>0.55979000000000001</v>
      </c>
      <c r="AX12" s="776">
        <f t="shared" ref="AX12:AX27" si="17">+M12+P12+S12+V12+Y12+AB12+AG12+AJ12+AM12+AP12+AS12+AV12</f>
        <v>7903799266</v>
      </c>
      <c r="AY12" s="1203">
        <f t="shared" ref="AY12:AY36" si="18">+AX12/G12</f>
        <v>1.3172998776666667</v>
      </c>
    </row>
    <row r="13" spans="1:52" ht="31.5" thickTop="1" thickBot="1">
      <c r="A13" s="2944"/>
      <c r="B13" s="2949"/>
      <c r="C13" s="2995"/>
      <c r="D13" s="786" t="s">
        <v>456</v>
      </c>
      <c r="E13" s="787" t="s">
        <v>302</v>
      </c>
      <c r="F13" s="787" t="s">
        <v>101</v>
      </c>
      <c r="G13" s="780">
        <v>1438489230</v>
      </c>
      <c r="H13" s="1541"/>
      <c r="I13" s="1542"/>
      <c r="J13" s="1541"/>
      <c r="K13" s="787" t="s">
        <v>196</v>
      </c>
      <c r="L13" s="1543">
        <f>+'[9]FIS-7'!$CY$4</f>
        <v>47949641</v>
      </c>
      <c r="M13" s="1544">
        <v>0</v>
      </c>
      <c r="N13" s="19">
        <f t="shared" si="14"/>
        <v>0</v>
      </c>
      <c r="O13" s="1543">
        <f>+'[9]FIS-7'!$CY$5</f>
        <v>47949641</v>
      </c>
      <c r="P13" s="1544">
        <v>0</v>
      </c>
      <c r="Q13" s="19">
        <f t="shared" si="3"/>
        <v>0</v>
      </c>
      <c r="R13" s="1543">
        <f>+'[9]FIS-7'!$CY$6</f>
        <v>47949641</v>
      </c>
      <c r="S13" s="1544">
        <v>0</v>
      </c>
      <c r="T13" s="19">
        <f t="shared" si="4"/>
        <v>0</v>
      </c>
      <c r="U13" s="1543">
        <f>+'[9]FIS-7'!$CY$7</f>
        <v>191798564</v>
      </c>
      <c r="V13" s="1544">
        <v>0</v>
      </c>
      <c r="W13" s="19">
        <f t="shared" si="5"/>
        <v>0</v>
      </c>
      <c r="X13" s="1543">
        <f>+'[9]FIS-7'!$CY$8</f>
        <v>191798564</v>
      </c>
      <c r="Y13" s="1544">
        <v>0</v>
      </c>
      <c r="Z13" s="19">
        <f t="shared" si="6"/>
        <v>0</v>
      </c>
      <c r="AA13" s="1543">
        <f>+'[9]FIS-7'!$CY$9</f>
        <v>191798564</v>
      </c>
      <c r="AB13" s="1544">
        <v>0</v>
      </c>
      <c r="AC13" s="19">
        <f t="shared" si="7"/>
        <v>0</v>
      </c>
      <c r="AD13" s="1545">
        <f t="shared" si="15"/>
        <v>0</v>
      </c>
      <c r="AE13" s="19">
        <f t="shared" si="16"/>
        <v>0</v>
      </c>
      <c r="AF13" s="1543">
        <f>+'[9]FIS-7'!$CY$10</f>
        <v>191798564</v>
      </c>
      <c r="AG13" s="1544">
        <v>203145840</v>
      </c>
      <c r="AH13" s="19">
        <f t="shared" si="8"/>
        <v>1.0591624658879093</v>
      </c>
      <c r="AI13" s="1543">
        <f>+'[9]FIS-7'!$CY$11</f>
        <v>191798564</v>
      </c>
      <c r="AJ13" s="1544">
        <v>363167876</v>
      </c>
      <c r="AK13" s="19">
        <f t="shared" si="9"/>
        <v>1.893485897005986</v>
      </c>
      <c r="AL13" s="1543">
        <f>+'[9]FIS-7'!$CY$12</f>
        <v>191798564</v>
      </c>
      <c r="AM13" s="1544">
        <v>0</v>
      </c>
      <c r="AN13" s="19">
        <f t="shared" si="10"/>
        <v>0</v>
      </c>
      <c r="AO13" s="1543">
        <f>+'[9]FIS-7'!$CY$13</f>
        <v>47949641</v>
      </c>
      <c r="AP13" s="1544">
        <v>2210400</v>
      </c>
      <c r="AQ13" s="19">
        <f t="shared" si="11"/>
        <v>4.6098363906415897E-2</v>
      </c>
      <c r="AR13" s="1543">
        <f>+'[9]FIS-7'!$CY$14</f>
        <v>47949641</v>
      </c>
      <c r="AS13" s="1544">
        <v>1105200</v>
      </c>
      <c r="AT13" s="19">
        <f t="shared" si="12"/>
        <v>2.3049181953207949E-2</v>
      </c>
      <c r="AU13" s="1543">
        <f>+'[9]FIS-7'!$CY$15</f>
        <v>47949641</v>
      </c>
      <c r="AV13" s="1544">
        <v>16443550</v>
      </c>
      <c r="AW13" s="19">
        <f t="shared" si="13"/>
        <v>0.34293374584389485</v>
      </c>
      <c r="AX13" s="1543">
        <f t="shared" si="17"/>
        <v>586072866</v>
      </c>
      <c r="AY13" s="1203">
        <f t="shared" si="18"/>
        <v>0.40742249144263665</v>
      </c>
    </row>
    <row r="14" spans="1:52" ht="126" customHeight="1" thickTop="1" thickBot="1">
      <c r="A14" s="2944"/>
      <c r="B14" s="2949"/>
      <c r="C14" s="2995"/>
      <c r="D14" s="1546" t="s">
        <v>457</v>
      </c>
      <c r="E14" s="1547" t="s">
        <v>198</v>
      </c>
      <c r="F14" s="1547" t="s">
        <v>101</v>
      </c>
      <c r="G14" s="1548">
        <v>358337314.85905403</v>
      </c>
      <c r="H14" s="1549"/>
      <c r="I14" s="1540"/>
      <c r="J14" s="1549"/>
      <c r="K14" s="1547" t="s">
        <v>140</v>
      </c>
      <c r="L14" s="1550">
        <f>+'[9]FIS-8'!$CY$4</f>
        <v>23889154.323936936</v>
      </c>
      <c r="M14" s="1551">
        <v>6130000</v>
      </c>
      <c r="N14" s="19">
        <f t="shared" si="14"/>
        <v>0.25660179999999999</v>
      </c>
      <c r="O14" s="1550">
        <f>+'[9]FIS-8'!$CY$5</f>
        <v>23889154.323936936</v>
      </c>
      <c r="P14" s="1551">
        <v>0</v>
      </c>
      <c r="Q14" s="19">
        <f t="shared" si="3"/>
        <v>0</v>
      </c>
      <c r="R14" s="1550">
        <f>+'[9]FIS-8'!$CY$6</f>
        <v>23889154.323936936</v>
      </c>
      <c r="S14" s="1551">
        <v>18123000</v>
      </c>
      <c r="T14" s="19">
        <f t="shared" si="4"/>
        <v>0.75862877999999989</v>
      </c>
      <c r="U14" s="1550">
        <f>+'[9]FIS-8'!$CY$7</f>
        <v>35833731.485905394</v>
      </c>
      <c r="V14" s="1551">
        <v>0</v>
      </c>
      <c r="W14" s="19">
        <f t="shared" si="5"/>
        <v>0</v>
      </c>
      <c r="X14" s="1550">
        <f>+'[9]FIS-8'!$CY$8</f>
        <v>35833731.485905394</v>
      </c>
      <c r="Y14" s="1551">
        <v>0</v>
      </c>
      <c r="Z14" s="19">
        <f t="shared" si="6"/>
        <v>0</v>
      </c>
      <c r="AA14" s="1550">
        <f>+'[9]FIS-8'!$CY$9</f>
        <v>35833731.485905394</v>
      </c>
      <c r="AB14" s="1551">
        <v>86112000</v>
      </c>
      <c r="AC14" s="19">
        <f t="shared" si="7"/>
        <v>2.4030988800000004</v>
      </c>
      <c r="AD14" s="1552">
        <f t="shared" si="15"/>
        <v>110365000</v>
      </c>
      <c r="AE14" s="19">
        <f t="shared" si="16"/>
        <v>0.30799192666666664</v>
      </c>
      <c r="AF14" s="1550">
        <f>+'[9]FIS-8'!$CY$10</f>
        <v>35833731.485905394</v>
      </c>
      <c r="AG14" s="1551">
        <v>25555000</v>
      </c>
      <c r="AH14" s="19">
        <f t="shared" si="8"/>
        <v>0.71315486666666672</v>
      </c>
      <c r="AI14" s="1550">
        <f>+'[9]FIS-8'!$CY$11</f>
        <v>35833731.485905394</v>
      </c>
      <c r="AJ14" s="1551">
        <v>6744000</v>
      </c>
      <c r="AK14" s="19">
        <f t="shared" si="9"/>
        <v>0.18820256000000002</v>
      </c>
      <c r="AL14" s="1550">
        <f>+'[9]FIS-8'!$CY$12</f>
        <v>35833731.485905394</v>
      </c>
      <c r="AM14" s="1551">
        <v>6534000</v>
      </c>
      <c r="AN14" s="19">
        <f t="shared" si="10"/>
        <v>0.18234216000000003</v>
      </c>
      <c r="AO14" s="1550">
        <f>+'[9]FIS-8'!$CY$13</f>
        <v>23889154.323936936</v>
      </c>
      <c r="AP14" s="1551">
        <v>36942150</v>
      </c>
      <c r="AQ14" s="19">
        <f t="shared" si="11"/>
        <v>1.5463983989999999</v>
      </c>
      <c r="AR14" s="1550">
        <f>+'[9]FIS-8'!$CY$14</f>
        <v>23889154.323936936</v>
      </c>
      <c r="AS14" s="1551">
        <v>3978000</v>
      </c>
      <c r="AT14" s="19">
        <f t="shared" si="12"/>
        <v>0.16651907999999999</v>
      </c>
      <c r="AU14" s="1550">
        <f>+'[9]FIS-8'!$CY$15</f>
        <v>23889154.323936936</v>
      </c>
      <c r="AV14" s="1551">
        <v>64815000</v>
      </c>
      <c r="AW14" s="19">
        <f t="shared" si="13"/>
        <v>2.7131558999999998</v>
      </c>
      <c r="AX14" s="1550">
        <f t="shared" si="17"/>
        <v>254933150</v>
      </c>
      <c r="AY14" s="1203">
        <f t="shared" si="18"/>
        <v>0.7114334439333333</v>
      </c>
    </row>
    <row r="15" spans="1:52" ht="46.5" thickTop="1" thickBot="1">
      <c r="A15" s="2944"/>
      <c r="B15" s="2949"/>
      <c r="C15" s="2995"/>
      <c r="D15" s="786" t="s">
        <v>458</v>
      </c>
      <c r="E15" s="787" t="s">
        <v>200</v>
      </c>
      <c r="F15" s="787" t="s">
        <v>101</v>
      </c>
      <c r="G15" s="780">
        <v>4400000000</v>
      </c>
      <c r="H15" s="1541"/>
      <c r="I15" s="1542"/>
      <c r="J15" s="1541"/>
      <c r="K15" s="787" t="s">
        <v>140</v>
      </c>
      <c r="L15" s="1543">
        <f>+'[9]FIS-9'!$CY$4</f>
        <v>293333333.33333331</v>
      </c>
      <c r="M15" s="1544">
        <v>20562000</v>
      </c>
      <c r="N15" s="19">
        <f t="shared" si="14"/>
        <v>7.0097727272727284E-2</v>
      </c>
      <c r="O15" s="1543">
        <f>+'[9]FIS-9'!$CY$5</f>
        <v>293333333.33333331</v>
      </c>
      <c r="P15" s="1544">
        <v>6854000</v>
      </c>
      <c r="Q15" s="19">
        <f t="shared" si="3"/>
        <v>2.3365909090909093E-2</v>
      </c>
      <c r="R15" s="1543">
        <f>+'[9]FIS-9'!$CY$6</f>
        <v>293333333.33333331</v>
      </c>
      <c r="S15" s="1544">
        <v>0</v>
      </c>
      <c r="T15" s="19">
        <f t="shared" si="4"/>
        <v>0</v>
      </c>
      <c r="U15" s="1543">
        <f>+'[9]FIS-9'!$CY$7</f>
        <v>440000000</v>
      </c>
      <c r="V15" s="1544">
        <v>0</v>
      </c>
      <c r="W15" s="19">
        <f t="shared" si="5"/>
        <v>0</v>
      </c>
      <c r="X15" s="1543">
        <f>+'[9]FIS-9'!$CY$8</f>
        <v>440000000</v>
      </c>
      <c r="Y15" s="1544">
        <v>0</v>
      </c>
      <c r="Z15" s="19">
        <f t="shared" si="6"/>
        <v>0</v>
      </c>
      <c r="AA15" s="1543">
        <f>+'[9]FIS-9'!$CY$9</f>
        <v>440000000</v>
      </c>
      <c r="AB15" s="1544">
        <v>0</v>
      </c>
      <c r="AC15" s="19">
        <f t="shared" si="7"/>
        <v>0</v>
      </c>
      <c r="AD15" s="1545">
        <f t="shared" si="15"/>
        <v>27416000</v>
      </c>
      <c r="AE15" s="19">
        <f t="shared" si="16"/>
        <v>6.2309090909090908E-3</v>
      </c>
      <c r="AF15" s="1543">
        <f>+'[9]FIS-9'!$CY$10</f>
        <v>440000000</v>
      </c>
      <c r="AG15" s="1544">
        <v>3386796421</v>
      </c>
      <c r="AH15" s="19">
        <f t="shared" si="8"/>
        <v>7.697264593181818</v>
      </c>
      <c r="AI15" s="1543">
        <f>+'[9]FIS-9'!$CY$11</f>
        <v>440000000</v>
      </c>
      <c r="AJ15" s="1544">
        <v>151055363</v>
      </c>
      <c r="AK15" s="19">
        <f t="shared" si="9"/>
        <v>0.34330764318181817</v>
      </c>
      <c r="AL15" s="1543">
        <f>+'[9]FIS-9'!$CY$12</f>
        <v>440000000</v>
      </c>
      <c r="AM15" s="1544">
        <v>247833024</v>
      </c>
      <c r="AN15" s="19">
        <f t="shared" si="10"/>
        <v>0.56325687272727276</v>
      </c>
      <c r="AO15" s="1543">
        <f>+'[9]FIS-9'!$CY$13</f>
        <v>293333333.33333331</v>
      </c>
      <c r="AP15" s="1544">
        <v>40869137</v>
      </c>
      <c r="AQ15" s="19">
        <f t="shared" si="11"/>
        <v>0.13932660340909092</v>
      </c>
      <c r="AR15" s="1543">
        <f>+'[9]FIS-9'!$CY$14</f>
        <v>293333333.33333331</v>
      </c>
      <c r="AS15" s="1544">
        <v>1852685439</v>
      </c>
      <c r="AT15" s="19">
        <f t="shared" si="12"/>
        <v>6.3159730875000006</v>
      </c>
      <c r="AU15" s="1543">
        <f>+'[9]FIS-9'!$CY$15</f>
        <v>293333333.33333331</v>
      </c>
      <c r="AV15" s="1544">
        <v>548396033</v>
      </c>
      <c r="AW15" s="19">
        <f t="shared" si="13"/>
        <v>1.8695319306818183</v>
      </c>
      <c r="AX15" s="1543">
        <f t="shared" si="17"/>
        <v>6255051417</v>
      </c>
      <c r="AY15" s="1203">
        <f t="shared" si="18"/>
        <v>1.4216025947727273</v>
      </c>
    </row>
    <row r="16" spans="1:52" ht="31.5" thickTop="1" thickBot="1">
      <c r="A16" s="2944"/>
      <c r="B16" s="2949"/>
      <c r="C16" s="2995"/>
      <c r="D16" s="1546" t="s">
        <v>403</v>
      </c>
      <c r="E16" s="1547" t="s">
        <v>274</v>
      </c>
      <c r="F16" s="1547" t="s">
        <v>101</v>
      </c>
      <c r="G16" s="1548">
        <v>600000000</v>
      </c>
      <c r="H16" s="1549"/>
      <c r="I16" s="1540"/>
      <c r="J16" s="1549"/>
      <c r="K16" s="1553" t="s">
        <v>196</v>
      </c>
      <c r="L16" s="1554">
        <f>+'[9]FIS-11'!$CY$4</f>
        <v>20000000</v>
      </c>
      <c r="M16" s="1555">
        <v>6854000</v>
      </c>
      <c r="N16" s="19">
        <f t="shared" si="14"/>
        <v>0.3427</v>
      </c>
      <c r="O16" s="1554">
        <f>+'[9]FIS-11'!$CY$5</f>
        <v>20000000</v>
      </c>
      <c r="P16" s="1555">
        <v>242925028</v>
      </c>
      <c r="Q16" s="19">
        <f t="shared" si="3"/>
        <v>12.146251400000001</v>
      </c>
      <c r="R16" s="1554">
        <f>+'[9]FIS-11'!$CY$6</f>
        <v>20000000</v>
      </c>
      <c r="S16" s="1544">
        <v>1388000</v>
      </c>
      <c r="T16" s="19">
        <f t="shared" si="4"/>
        <v>6.9400000000000003E-2</v>
      </c>
      <c r="U16" s="1554">
        <f>+'[9]FIS-11'!$CY$7</f>
        <v>80000000</v>
      </c>
      <c r="V16" s="1555">
        <v>0</v>
      </c>
      <c r="W16" s="19">
        <f t="shared" si="5"/>
        <v>0</v>
      </c>
      <c r="X16" s="1554">
        <f>+'[9]FIS-11'!$CY$8</f>
        <v>80000000</v>
      </c>
      <c r="Y16" s="1555">
        <v>0</v>
      </c>
      <c r="Z16" s="19">
        <f t="shared" si="6"/>
        <v>0</v>
      </c>
      <c r="AA16" s="1554">
        <f>+'[9]FIS-11'!$CY$9</f>
        <v>80000000</v>
      </c>
      <c r="AB16" s="1555">
        <v>10892000</v>
      </c>
      <c r="AC16" s="19">
        <f t="shared" si="7"/>
        <v>0.13614999999999999</v>
      </c>
      <c r="AD16" s="1556">
        <f t="shared" si="15"/>
        <v>262059028</v>
      </c>
      <c r="AE16" s="19">
        <f t="shared" si="16"/>
        <v>0.43676504666666666</v>
      </c>
      <c r="AF16" s="1554">
        <f>+'[9]FIS-11'!$CY$10</f>
        <v>80000000</v>
      </c>
      <c r="AG16" s="1555">
        <v>0</v>
      </c>
      <c r="AH16" s="19">
        <f t="shared" si="8"/>
        <v>0</v>
      </c>
      <c r="AI16" s="1554">
        <f>+'[9]FIS-11'!$CY$11</f>
        <v>80000000</v>
      </c>
      <c r="AJ16" s="1555">
        <v>0</v>
      </c>
      <c r="AK16" s="19">
        <f t="shared" si="9"/>
        <v>0</v>
      </c>
      <c r="AL16" s="1554">
        <f>+'[9]FIS-11'!$CY$12</f>
        <v>80000000</v>
      </c>
      <c r="AM16" s="1555">
        <v>2549000</v>
      </c>
      <c r="AN16" s="19">
        <f t="shared" si="10"/>
        <v>3.1862500000000002E-2</v>
      </c>
      <c r="AO16" s="1554">
        <f>+'[9]FIS-11'!$CY$13</f>
        <v>20000000</v>
      </c>
      <c r="AP16" s="1555">
        <v>11142000</v>
      </c>
      <c r="AQ16" s="19">
        <f t="shared" si="11"/>
        <v>0.55710000000000004</v>
      </c>
      <c r="AR16" s="1554">
        <f>+'[9]FIS-11'!$CY$14</f>
        <v>20000000</v>
      </c>
      <c r="AS16" s="1555">
        <v>1326000</v>
      </c>
      <c r="AT16" s="19">
        <f t="shared" si="12"/>
        <v>6.6299999999999998E-2</v>
      </c>
      <c r="AU16" s="1554">
        <f>+'[9]FIS-11'!$CY$15</f>
        <v>20000000</v>
      </c>
      <c r="AV16" s="1555">
        <v>3739000</v>
      </c>
      <c r="AW16" s="19">
        <f t="shared" si="13"/>
        <v>0.18695000000000001</v>
      </c>
      <c r="AX16" s="1554">
        <f t="shared" si="17"/>
        <v>280815028</v>
      </c>
      <c r="AY16" s="1203">
        <f t="shared" si="18"/>
        <v>0.46802504666666667</v>
      </c>
    </row>
    <row r="17" spans="1:51" ht="46.5" thickTop="1" thickBot="1">
      <c r="A17" s="2944"/>
      <c r="B17" s="2949"/>
      <c r="C17" s="2996"/>
      <c r="D17" s="786" t="s">
        <v>405</v>
      </c>
      <c r="E17" s="787" t="s">
        <v>274</v>
      </c>
      <c r="F17" s="787" t="s">
        <v>101</v>
      </c>
      <c r="G17" s="780">
        <v>2760000000</v>
      </c>
      <c r="H17" s="1541"/>
      <c r="I17" s="1542"/>
      <c r="J17" s="1541"/>
      <c r="K17" s="787" t="s">
        <v>196</v>
      </c>
      <c r="L17" s="1543">
        <f>+'[9]FIS-12'!$CY$4</f>
        <v>92000000</v>
      </c>
      <c r="M17" s="1544">
        <v>828900</v>
      </c>
      <c r="N17" s="19">
        <f t="shared" si="14"/>
        <v>9.0097826086956521E-3</v>
      </c>
      <c r="O17" s="1543">
        <f>+'[9]FIS-12'!$CY$5</f>
        <v>92000000</v>
      </c>
      <c r="P17" s="1544">
        <v>278783057</v>
      </c>
      <c r="Q17" s="19">
        <f t="shared" si="3"/>
        <v>3.0302506195652175</v>
      </c>
      <c r="R17" s="1543">
        <f>+'[9]FIS-12'!$CY$6</f>
        <v>92000000</v>
      </c>
      <c r="S17" s="1544">
        <v>0</v>
      </c>
      <c r="T17" s="19">
        <f t="shared" si="4"/>
        <v>0</v>
      </c>
      <c r="U17" s="1543">
        <f>+'[9]FIS-12'!$CY$7</f>
        <v>368000000</v>
      </c>
      <c r="V17" s="1544">
        <v>0</v>
      </c>
      <c r="W17" s="19">
        <f t="shared" si="5"/>
        <v>0</v>
      </c>
      <c r="X17" s="1543">
        <f>+'[9]FIS-12'!$CY$8</f>
        <v>368000000</v>
      </c>
      <c r="Y17" s="1544">
        <v>0</v>
      </c>
      <c r="Z17" s="19">
        <f t="shared" si="6"/>
        <v>0</v>
      </c>
      <c r="AA17" s="1543">
        <f>+'[9]FIS-12'!$CY$9</f>
        <v>368000000</v>
      </c>
      <c r="AB17" s="1544"/>
      <c r="AC17" s="19">
        <f t="shared" si="7"/>
        <v>0</v>
      </c>
      <c r="AD17" s="1545">
        <f t="shared" si="15"/>
        <v>279611957</v>
      </c>
      <c r="AE17" s="19">
        <f t="shared" si="16"/>
        <v>0.10130868007246377</v>
      </c>
      <c r="AF17" s="1543">
        <f>+'[9]FIS-12'!$CY$10</f>
        <v>368000000</v>
      </c>
      <c r="AG17" s="1544">
        <v>0</v>
      </c>
      <c r="AH17" s="19">
        <f t="shared" si="8"/>
        <v>0</v>
      </c>
      <c r="AI17" s="1543">
        <f>+'[9]FIS-12'!$CY$11</f>
        <v>368000000</v>
      </c>
      <c r="AJ17" s="1544">
        <v>116270832</v>
      </c>
      <c r="AK17" s="19">
        <f t="shared" si="9"/>
        <v>0.31595334782608697</v>
      </c>
      <c r="AL17" s="1543">
        <f>+'[9]FIS-12'!$CY$12</f>
        <v>368000000</v>
      </c>
      <c r="AM17" s="1544">
        <v>828900</v>
      </c>
      <c r="AN17" s="19">
        <f t="shared" si="10"/>
        <v>2.252445652173913E-3</v>
      </c>
      <c r="AO17" s="1543">
        <f>+'[9]FIS-12'!$CY$13</f>
        <v>92000000</v>
      </c>
      <c r="AP17" s="1544">
        <v>446450984</v>
      </c>
      <c r="AQ17" s="19">
        <f t="shared" si="11"/>
        <v>4.8527280869565219</v>
      </c>
      <c r="AR17" s="1543">
        <f>+'[9]FIS-12'!$CY$14</f>
        <v>92000000</v>
      </c>
      <c r="AS17" s="1544">
        <v>1105200</v>
      </c>
      <c r="AT17" s="19">
        <f t="shared" si="12"/>
        <v>1.2013043478260869E-2</v>
      </c>
      <c r="AU17" s="1543">
        <f>+'[9]FIS-12'!$CY$15</f>
        <v>92000000</v>
      </c>
      <c r="AV17" s="1544">
        <v>3315600</v>
      </c>
      <c r="AW17" s="19">
        <f t="shared" si="13"/>
        <v>3.6039130434782608E-2</v>
      </c>
      <c r="AX17" s="1543">
        <f t="shared" si="17"/>
        <v>847583473</v>
      </c>
      <c r="AY17" s="1203">
        <f t="shared" si="18"/>
        <v>0.30709546123188408</v>
      </c>
    </row>
    <row r="18" spans="1:51" ht="77.25" customHeight="1" thickTop="1" thickBot="1">
      <c r="A18" s="2944"/>
      <c r="B18" s="2949"/>
      <c r="C18" s="787" t="s">
        <v>675</v>
      </c>
      <c r="D18" s="1546" t="s">
        <v>114</v>
      </c>
      <c r="E18" s="1547" t="s">
        <v>115</v>
      </c>
      <c r="F18" s="1547" t="s">
        <v>10</v>
      </c>
      <c r="G18" s="1557">
        <v>1</v>
      </c>
      <c r="H18" s="1547"/>
      <c r="I18" s="1547"/>
      <c r="J18" s="1547"/>
      <c r="K18" s="1547" t="s">
        <v>20</v>
      </c>
      <c r="L18" s="529">
        <f>+'[8]IN1-6.1'!$CY$4</f>
        <v>0</v>
      </c>
      <c r="M18" s="527">
        <v>0</v>
      </c>
      <c r="N18" s="19" t="e">
        <f t="shared" si="14"/>
        <v>#DIV/0!</v>
      </c>
      <c r="O18" s="529">
        <f>+'[8]IN1-6.1'!$CY$5</f>
        <v>0</v>
      </c>
      <c r="P18" s="527">
        <v>0</v>
      </c>
      <c r="Q18" s="19" t="e">
        <f t="shared" si="3"/>
        <v>#DIV/0!</v>
      </c>
      <c r="R18" s="529">
        <f>+'[8]IN1-6.1'!$CY$6</f>
        <v>0</v>
      </c>
      <c r="S18" s="527">
        <v>0</v>
      </c>
      <c r="T18" s="19" t="e">
        <f t="shared" si="4"/>
        <v>#DIV/0!</v>
      </c>
      <c r="U18" s="529">
        <f>+'[8]IN1-6.1'!$CY$7</f>
        <v>0</v>
      </c>
      <c r="V18" s="527">
        <v>0</v>
      </c>
      <c r="W18" s="19" t="e">
        <f t="shared" si="5"/>
        <v>#DIV/0!</v>
      </c>
      <c r="X18" s="529">
        <f>+'[8]IN1-6.1'!$CY$8</f>
        <v>0</v>
      </c>
      <c r="Y18" s="527">
        <v>0</v>
      </c>
      <c r="Z18" s="19" t="e">
        <f t="shared" si="6"/>
        <v>#DIV/0!</v>
      </c>
      <c r="AA18" s="529">
        <f>+'[8]IN1-6.1'!$CY$9</f>
        <v>0</v>
      </c>
      <c r="AB18" s="527">
        <v>0</v>
      </c>
      <c r="AC18" s="19" t="e">
        <f t="shared" si="7"/>
        <v>#DIV/0!</v>
      </c>
      <c r="AD18" s="596">
        <f t="shared" si="15"/>
        <v>0</v>
      </c>
      <c r="AE18" s="19">
        <f t="shared" si="16"/>
        <v>0</v>
      </c>
      <c r="AF18" s="529">
        <f>+'[8]IN1-6.1'!$CY$10</f>
        <v>0</v>
      </c>
      <c r="AG18" s="527">
        <v>0</v>
      </c>
      <c r="AH18" s="19" t="e">
        <f t="shared" si="8"/>
        <v>#DIV/0!</v>
      </c>
      <c r="AI18" s="529">
        <f>+'[8]IN1-6.1'!$CY$11</f>
        <v>0</v>
      </c>
      <c r="AJ18" s="527">
        <v>0</v>
      </c>
      <c r="AK18" s="19" t="e">
        <f t="shared" si="9"/>
        <v>#DIV/0!</v>
      </c>
      <c r="AL18" s="529">
        <f>+'[8]IN1-6.1'!$CY$12</f>
        <v>0</v>
      </c>
      <c r="AM18" s="527">
        <v>0</v>
      </c>
      <c r="AN18" s="19" t="e">
        <f t="shared" si="10"/>
        <v>#DIV/0!</v>
      </c>
      <c r="AO18" s="529">
        <f>+'[8]IN1-6.1'!$CY$13</f>
        <v>0</v>
      </c>
      <c r="AP18" s="527">
        <v>0</v>
      </c>
      <c r="AQ18" s="19" t="e">
        <f t="shared" si="11"/>
        <v>#DIV/0!</v>
      </c>
      <c r="AR18" s="529">
        <f>+'[8]IN1-6.1'!$CY$14</f>
        <v>0</v>
      </c>
      <c r="AS18" s="527">
        <v>0</v>
      </c>
      <c r="AT18" s="19" t="e">
        <f t="shared" si="12"/>
        <v>#DIV/0!</v>
      </c>
      <c r="AU18" s="529">
        <f>+'[8]IN1-6.1'!$CY$15</f>
        <v>1</v>
      </c>
      <c r="AV18" s="527">
        <v>0</v>
      </c>
      <c r="AW18" s="19">
        <f t="shared" si="13"/>
        <v>0</v>
      </c>
      <c r="AX18" s="529">
        <f>+AV18</f>
        <v>0</v>
      </c>
      <c r="AY18" s="1558">
        <f>+AX18/G18</f>
        <v>0</v>
      </c>
    </row>
    <row r="19" spans="1:51" ht="77.25" customHeight="1" thickTop="1" thickBot="1">
      <c r="A19" s="2944"/>
      <c r="B19" s="2949"/>
      <c r="C19" s="3131" t="s">
        <v>275</v>
      </c>
      <c r="D19" s="171" t="s">
        <v>205</v>
      </c>
      <c r="E19" s="172" t="s">
        <v>206</v>
      </c>
      <c r="F19" s="172" t="s">
        <v>24</v>
      </c>
      <c r="G19" s="1559">
        <v>8</v>
      </c>
      <c r="H19" s="767"/>
      <c r="I19" s="1538"/>
      <c r="J19" s="767"/>
      <c r="K19" s="172" t="s">
        <v>196</v>
      </c>
      <c r="L19" s="172" t="e">
        <f>+'[9]FIS-16'!$CY$4</f>
        <v>#REF!</v>
      </c>
      <c r="M19" s="243">
        <v>0</v>
      </c>
      <c r="N19" s="19" t="e">
        <f t="shared" si="14"/>
        <v>#REF!</v>
      </c>
      <c r="O19" s="172" t="e">
        <f>+'[9]FIS-16'!$CY$5</f>
        <v>#REF!</v>
      </c>
      <c r="P19" s="243">
        <v>0</v>
      </c>
      <c r="Q19" s="19" t="e">
        <f t="shared" si="3"/>
        <v>#REF!</v>
      </c>
      <c r="R19" s="172" t="e">
        <f>+'[9]FIS-16'!$CY$6</f>
        <v>#REF!</v>
      </c>
      <c r="S19" s="243">
        <v>0</v>
      </c>
      <c r="T19" s="19" t="e">
        <f t="shared" si="4"/>
        <v>#REF!</v>
      </c>
      <c r="U19" s="172" t="e">
        <f>+'[9]FIS-16'!$CY$7</f>
        <v>#REF!</v>
      </c>
      <c r="V19" s="243">
        <v>0</v>
      </c>
      <c r="W19" s="19" t="e">
        <f t="shared" si="5"/>
        <v>#REF!</v>
      </c>
      <c r="X19" s="172">
        <f>+'[9]FIS-16'!$CY$8</f>
        <v>4</v>
      </c>
      <c r="Y19" s="243">
        <v>0</v>
      </c>
      <c r="Z19" s="19">
        <f t="shared" si="6"/>
        <v>0</v>
      </c>
      <c r="AA19" s="172" t="e">
        <f>+'[9]FIS-16'!$CY$9</f>
        <v>#REF!</v>
      </c>
      <c r="AB19" s="243">
        <v>0</v>
      </c>
      <c r="AC19" s="19" t="e">
        <f t="shared" si="7"/>
        <v>#REF!</v>
      </c>
      <c r="AD19" s="172">
        <f t="shared" si="15"/>
        <v>0</v>
      </c>
      <c r="AE19" s="19">
        <f t="shared" si="16"/>
        <v>0</v>
      </c>
      <c r="AF19" s="172" t="e">
        <f>+'[9]FIS-16'!$CY$10</f>
        <v>#REF!</v>
      </c>
      <c r="AG19" s="243">
        <v>0</v>
      </c>
      <c r="AH19" s="19" t="e">
        <f t="shared" si="8"/>
        <v>#REF!</v>
      </c>
      <c r="AI19" s="172" t="e">
        <f>+'[9]FIS-16'!$CY$11</f>
        <v>#REF!</v>
      </c>
      <c r="AJ19" s="243">
        <v>0</v>
      </c>
      <c r="AK19" s="19" t="e">
        <f t="shared" si="9"/>
        <v>#REF!</v>
      </c>
      <c r="AL19" s="172">
        <f>+'[9]FIS-16'!$CY$12</f>
        <v>4</v>
      </c>
      <c r="AM19" s="243">
        <v>0</v>
      </c>
      <c r="AN19" s="19">
        <f t="shared" si="10"/>
        <v>0</v>
      </c>
      <c r="AO19" s="172" t="e">
        <f>+'[9]FIS-16'!$CY$13</f>
        <v>#REF!</v>
      </c>
      <c r="AP19" s="243">
        <v>0</v>
      </c>
      <c r="AQ19" s="19" t="e">
        <f t="shared" si="11"/>
        <v>#REF!</v>
      </c>
      <c r="AR19" s="172" t="e">
        <f>+'[9]FIS-16'!$CY$14</f>
        <v>#REF!</v>
      </c>
      <c r="AS19" s="243">
        <v>0</v>
      </c>
      <c r="AT19" s="19" t="e">
        <f t="shared" si="12"/>
        <v>#REF!</v>
      </c>
      <c r="AU19" s="172" t="e">
        <f>+'[9]FIS-16'!$CY$15</f>
        <v>#REF!</v>
      </c>
      <c r="AV19" s="243">
        <v>10</v>
      </c>
      <c r="AW19" s="19" t="e">
        <f t="shared" si="13"/>
        <v>#REF!</v>
      </c>
      <c r="AX19" s="172">
        <f t="shared" si="17"/>
        <v>10</v>
      </c>
      <c r="AY19" s="1203">
        <f t="shared" si="18"/>
        <v>1.25</v>
      </c>
    </row>
    <row r="20" spans="1:51" ht="38.25" customHeight="1" thickTop="1" thickBot="1">
      <c r="A20" s="2944"/>
      <c r="B20" s="2949"/>
      <c r="C20" s="3132"/>
      <c r="D20" s="1546" t="s">
        <v>406</v>
      </c>
      <c r="E20" s="1547" t="s">
        <v>676</v>
      </c>
      <c r="F20" s="1547" t="s">
        <v>24</v>
      </c>
      <c r="G20" s="1560">
        <v>50</v>
      </c>
      <c r="H20" s="1549"/>
      <c r="I20" s="1540"/>
      <c r="J20" s="1549"/>
      <c r="K20" s="1547" t="s">
        <v>196</v>
      </c>
      <c r="L20" s="1561" t="e">
        <f>+'[9]FIS-15'!$CY$4</f>
        <v>#REF!</v>
      </c>
      <c r="M20" s="1562">
        <v>0</v>
      </c>
      <c r="N20" s="19" t="e">
        <f t="shared" si="14"/>
        <v>#REF!</v>
      </c>
      <c r="O20" s="1561" t="e">
        <f>+'[9]FIS-15'!$CY$5</f>
        <v>#REF!</v>
      </c>
      <c r="P20" s="1562">
        <v>0</v>
      </c>
      <c r="Q20" s="19" t="e">
        <f t="shared" si="3"/>
        <v>#REF!</v>
      </c>
      <c r="R20" s="1561" t="e">
        <f>+'[9]FIS-15'!$CY$6</f>
        <v>#REF!</v>
      </c>
      <c r="S20" s="1562">
        <v>0</v>
      </c>
      <c r="T20" s="19" t="e">
        <f t="shared" si="4"/>
        <v>#REF!</v>
      </c>
      <c r="U20" s="1561" t="e">
        <f>+'[9]FIS-15'!$CY$7</f>
        <v>#REF!</v>
      </c>
      <c r="V20" s="1562">
        <v>0</v>
      </c>
      <c r="W20" s="19" t="e">
        <f t="shared" si="5"/>
        <v>#REF!</v>
      </c>
      <c r="X20" s="1561">
        <f>+'[9]FIS-15'!$CY$8</f>
        <v>25</v>
      </c>
      <c r="Y20" s="1562">
        <v>0</v>
      </c>
      <c r="Z20" s="19">
        <f t="shared" si="6"/>
        <v>0</v>
      </c>
      <c r="AA20" s="1561" t="e">
        <f>+'[9]FIS-15'!$CY$9</f>
        <v>#REF!</v>
      </c>
      <c r="AB20" s="1562">
        <v>0</v>
      </c>
      <c r="AC20" s="19" t="e">
        <f t="shared" si="7"/>
        <v>#REF!</v>
      </c>
      <c r="AD20" s="1563">
        <f t="shared" si="15"/>
        <v>0</v>
      </c>
      <c r="AE20" s="19">
        <f t="shared" si="16"/>
        <v>0</v>
      </c>
      <c r="AF20" s="1561" t="e">
        <f>+'[9]FIS-15'!$CY$10</f>
        <v>#REF!</v>
      </c>
      <c r="AG20" s="1562">
        <v>0</v>
      </c>
      <c r="AH20" s="19" t="e">
        <f t="shared" si="8"/>
        <v>#REF!</v>
      </c>
      <c r="AI20" s="1561" t="e">
        <f>+'[9]FIS-15'!$CY$11</f>
        <v>#REF!</v>
      </c>
      <c r="AJ20" s="1562">
        <v>0</v>
      </c>
      <c r="AK20" s="19" t="e">
        <f t="shared" si="9"/>
        <v>#REF!</v>
      </c>
      <c r="AL20" s="1561" t="e">
        <f>+'[9]FIS-15'!$CY$12</f>
        <v>#REF!</v>
      </c>
      <c r="AM20" s="1562">
        <v>0</v>
      </c>
      <c r="AN20" s="19" t="e">
        <f t="shared" si="10"/>
        <v>#REF!</v>
      </c>
      <c r="AO20" s="1561">
        <f>+'[9]FIS-15'!$CY$13</f>
        <v>25</v>
      </c>
      <c r="AP20" s="1562">
        <v>20</v>
      </c>
      <c r="AQ20" s="19">
        <f t="shared" si="11"/>
        <v>0.8</v>
      </c>
      <c r="AR20" s="1561" t="e">
        <f>+'[9]FIS-15'!$CY$14</f>
        <v>#REF!</v>
      </c>
      <c r="AS20" s="1562">
        <v>30</v>
      </c>
      <c r="AT20" s="19" t="e">
        <f t="shared" si="12"/>
        <v>#REF!</v>
      </c>
      <c r="AU20" s="1561" t="e">
        <f>+'[9]FIS-15'!$CY$15</f>
        <v>#REF!</v>
      </c>
      <c r="AV20" s="1562">
        <v>0</v>
      </c>
      <c r="AW20" s="19" t="e">
        <f t="shared" si="13"/>
        <v>#REF!</v>
      </c>
      <c r="AX20" s="1561">
        <f t="shared" si="17"/>
        <v>50</v>
      </c>
      <c r="AY20" s="1203">
        <f t="shared" si="18"/>
        <v>1</v>
      </c>
    </row>
    <row r="21" spans="1:51" ht="46.5" thickTop="1" thickBot="1">
      <c r="A21" s="2944"/>
      <c r="B21" s="2949"/>
      <c r="C21" s="3133"/>
      <c r="D21" s="171" t="s">
        <v>433</v>
      </c>
      <c r="E21" s="172" t="s">
        <v>209</v>
      </c>
      <c r="F21" s="1564" t="s">
        <v>10</v>
      </c>
      <c r="G21" s="1565">
        <v>0.63</v>
      </c>
      <c r="H21" s="767"/>
      <c r="I21" s="1538"/>
      <c r="J21" s="767"/>
      <c r="K21" s="172" t="s">
        <v>196</v>
      </c>
      <c r="L21" s="1001">
        <f>+'[9]FIS-18'!$CY$4</f>
        <v>0.63</v>
      </c>
      <c r="M21" s="1566">
        <v>1</v>
      </c>
      <c r="N21" s="19">
        <f t="shared" si="14"/>
        <v>1.5873015873015872</v>
      </c>
      <c r="O21" s="1001">
        <f>+'[9]FIS-18'!$CY$5</f>
        <v>0.63</v>
      </c>
      <c r="P21" s="1566">
        <v>1</v>
      </c>
      <c r="Q21" s="19">
        <f t="shared" si="3"/>
        <v>1.5873015873015872</v>
      </c>
      <c r="R21" s="1001">
        <f>+'[9]FIS-18'!$CY$6</f>
        <v>0.63</v>
      </c>
      <c r="S21" s="1567">
        <v>1</v>
      </c>
      <c r="T21" s="19">
        <f t="shared" si="4"/>
        <v>1.5873015873015872</v>
      </c>
      <c r="U21" s="1001">
        <f>+'[9]FIS-18'!$CY$7</f>
        <v>0.63</v>
      </c>
      <c r="V21" s="1566">
        <v>0</v>
      </c>
      <c r="W21" s="19">
        <f t="shared" si="5"/>
        <v>0</v>
      </c>
      <c r="X21" s="1001">
        <f>+'[9]FIS-18'!$CY$8</f>
        <v>0.63</v>
      </c>
      <c r="Y21" s="1566">
        <v>0</v>
      </c>
      <c r="Z21" s="19">
        <f t="shared" si="6"/>
        <v>0</v>
      </c>
      <c r="AA21" s="1001">
        <f>+'[9]FIS-18'!$CY$9</f>
        <v>0.63</v>
      </c>
      <c r="AB21" s="1567">
        <v>1</v>
      </c>
      <c r="AC21" s="19">
        <f t="shared" si="7"/>
        <v>1.5873015873015872</v>
      </c>
      <c r="AD21" s="1568">
        <f>(AB21+Y21+V21+S21+P21+M21)/6</f>
        <v>0.66666666666666663</v>
      </c>
      <c r="AE21" s="19">
        <f t="shared" si="16"/>
        <v>1.0582010582010581</v>
      </c>
      <c r="AF21" s="1001">
        <f>+'[9]FIS-18'!$CY$10</f>
        <v>0.63</v>
      </c>
      <c r="AG21" s="1566">
        <v>0</v>
      </c>
      <c r="AH21" s="19">
        <f t="shared" si="8"/>
        <v>0</v>
      </c>
      <c r="AI21" s="1001">
        <f>+'[9]FIS-18'!$CY$11</f>
        <v>0.63</v>
      </c>
      <c r="AJ21" s="1566">
        <v>1</v>
      </c>
      <c r="AK21" s="19">
        <f t="shared" si="9"/>
        <v>1.5873015873015872</v>
      </c>
      <c r="AL21" s="1001">
        <f>+'[9]FIS-18'!$CY$12</f>
        <v>0.63</v>
      </c>
      <c r="AM21" s="1567">
        <v>1</v>
      </c>
      <c r="AN21" s="19">
        <f t="shared" si="10"/>
        <v>1.5873015873015872</v>
      </c>
      <c r="AO21" s="1001">
        <f>+'[9]FIS-18'!$CY$13</f>
        <v>0.63</v>
      </c>
      <c r="AP21" s="1566">
        <v>1</v>
      </c>
      <c r="AQ21" s="19">
        <f t="shared" si="11"/>
        <v>1.5873015873015872</v>
      </c>
      <c r="AR21" s="1001">
        <f>+'[9]FIS-18'!$CY$14</f>
        <v>0.63</v>
      </c>
      <c r="AS21" s="1566">
        <v>1</v>
      </c>
      <c r="AT21" s="19">
        <f t="shared" si="12"/>
        <v>1.5873015873015872</v>
      </c>
      <c r="AU21" s="1001">
        <f>+'[9]FIS-18'!$CY$15</f>
        <v>0.63</v>
      </c>
      <c r="AV21" s="1566">
        <v>1</v>
      </c>
      <c r="AW21" s="19">
        <f t="shared" si="13"/>
        <v>1.5873015873015872</v>
      </c>
      <c r="AX21" s="1568">
        <f>(AV21+AS21+AP21+AM21+AJ21+AG21)/6</f>
        <v>0.83333333333333337</v>
      </c>
      <c r="AY21" s="1203">
        <f>+AX21/G21</f>
        <v>1.3227513227513228</v>
      </c>
    </row>
    <row r="22" spans="1:51" ht="102" customHeight="1" thickTop="1" thickBot="1">
      <c r="A22" s="2944"/>
      <c r="B22" s="2949"/>
      <c r="C22" s="787" t="s">
        <v>434</v>
      </c>
      <c r="D22" s="111" t="s">
        <v>435</v>
      </c>
      <c r="E22" s="1547" t="s">
        <v>212</v>
      </c>
      <c r="F22" s="1547" t="s">
        <v>24</v>
      </c>
      <c r="G22" s="1569">
        <v>1</v>
      </c>
      <c r="H22" s="1549"/>
      <c r="I22" s="1540"/>
      <c r="J22" s="1549"/>
      <c r="K22" s="1547" t="s">
        <v>140</v>
      </c>
      <c r="L22" s="1561" t="e">
        <f>+'[9]FIS-21'!$CY$4</f>
        <v>#REF!</v>
      </c>
      <c r="M22" s="1562"/>
      <c r="N22" s="19" t="e">
        <f t="shared" si="14"/>
        <v>#REF!</v>
      </c>
      <c r="O22" s="1561" t="e">
        <f>+'[9]FIS-21'!$CY$5</f>
        <v>#REF!</v>
      </c>
      <c r="P22" s="1562"/>
      <c r="Q22" s="19" t="e">
        <f t="shared" si="3"/>
        <v>#REF!</v>
      </c>
      <c r="R22" s="1561">
        <f>+'[9]FIS-21'!$CY$6</f>
        <v>1</v>
      </c>
      <c r="S22" s="1562">
        <v>1</v>
      </c>
      <c r="T22" s="19">
        <f t="shared" si="4"/>
        <v>1</v>
      </c>
      <c r="U22" s="1561" t="e">
        <f>+'[9]FIS-21'!$CY$7</f>
        <v>#REF!</v>
      </c>
      <c r="V22" s="1562"/>
      <c r="W22" s="19" t="e">
        <f t="shared" si="5"/>
        <v>#REF!</v>
      </c>
      <c r="X22" s="1561" t="e">
        <f>+'[9]FIS-21'!$CY$8</f>
        <v>#REF!</v>
      </c>
      <c r="Y22" s="1562"/>
      <c r="Z22" s="19" t="e">
        <f t="shared" si="6"/>
        <v>#REF!</v>
      </c>
      <c r="AA22" s="1561" t="e">
        <f>+'[9]FIS-21'!$CY$9</f>
        <v>#REF!</v>
      </c>
      <c r="AB22" s="1562"/>
      <c r="AC22" s="19" t="e">
        <f t="shared" si="7"/>
        <v>#REF!</v>
      </c>
      <c r="AD22" s="1563">
        <f>S22</f>
        <v>1</v>
      </c>
      <c r="AE22" s="19">
        <f t="shared" si="16"/>
        <v>1</v>
      </c>
      <c r="AF22" s="1561" t="e">
        <f>+'[9]FIS-21'!$CY$10</f>
        <v>#REF!</v>
      </c>
      <c r="AG22" s="1562"/>
      <c r="AH22" s="19" t="e">
        <f t="shared" si="8"/>
        <v>#REF!</v>
      </c>
      <c r="AI22" s="1561" t="e">
        <f>+'[9]FIS-21'!$CY$11</f>
        <v>#REF!</v>
      </c>
      <c r="AJ22" s="1562"/>
      <c r="AK22" s="19" t="e">
        <f t="shared" si="9"/>
        <v>#REF!</v>
      </c>
      <c r="AL22" s="1561" t="e">
        <f>+'[9]FIS-21'!$CY$12</f>
        <v>#REF!</v>
      </c>
      <c r="AM22" s="1562"/>
      <c r="AN22" s="19" t="e">
        <f t="shared" si="10"/>
        <v>#REF!</v>
      </c>
      <c r="AO22" s="1561" t="e">
        <f>+'[9]FIS-21'!$CY$13</f>
        <v>#REF!</v>
      </c>
      <c r="AP22" s="1562"/>
      <c r="AQ22" s="19" t="e">
        <f t="shared" si="11"/>
        <v>#REF!</v>
      </c>
      <c r="AR22" s="1561" t="e">
        <f>+'[9]FIS-21'!$CY$14</f>
        <v>#REF!</v>
      </c>
      <c r="AS22" s="1562"/>
      <c r="AT22" s="19" t="e">
        <f t="shared" si="12"/>
        <v>#REF!</v>
      </c>
      <c r="AU22" s="1561" t="e">
        <f>+'[9]FIS-21'!$CY$15</f>
        <v>#REF!</v>
      </c>
      <c r="AV22" s="1562"/>
      <c r="AW22" s="19" t="e">
        <f t="shared" si="13"/>
        <v>#REF!</v>
      </c>
      <c r="AX22" s="1561">
        <f>+S22</f>
        <v>1</v>
      </c>
      <c r="AY22" s="1203">
        <f t="shared" si="18"/>
        <v>1</v>
      </c>
    </row>
    <row r="23" spans="1:51" ht="121.5" thickTop="1" thickBot="1">
      <c r="A23" s="2944"/>
      <c r="B23" s="2949"/>
      <c r="C23" s="1547" t="s">
        <v>463</v>
      </c>
      <c r="D23" s="171" t="s">
        <v>214</v>
      </c>
      <c r="E23" s="172" t="s">
        <v>215</v>
      </c>
      <c r="F23" s="172" t="s">
        <v>24</v>
      </c>
      <c r="G23" s="556">
        <v>2</v>
      </c>
      <c r="H23" s="767"/>
      <c r="I23" s="1538"/>
      <c r="J23" s="767"/>
      <c r="K23" s="172" t="s">
        <v>140</v>
      </c>
      <c r="L23" s="514" t="e">
        <f>+'[9]FIS-14'!$CY$4</f>
        <v>#REF!</v>
      </c>
      <c r="M23" s="496"/>
      <c r="N23" s="19" t="e">
        <f t="shared" si="14"/>
        <v>#REF!</v>
      </c>
      <c r="O23" s="514" t="e">
        <f>+'[9]FIS-14'!$CY$5</f>
        <v>#REF!</v>
      </c>
      <c r="P23" s="496"/>
      <c r="Q23" s="19" t="e">
        <f t="shared" si="3"/>
        <v>#REF!</v>
      </c>
      <c r="R23" s="514" t="e">
        <f>+'[9]FIS-14'!$CY$6</f>
        <v>#REF!</v>
      </c>
      <c r="S23" s="496"/>
      <c r="T23" s="19" t="e">
        <f t="shared" si="4"/>
        <v>#REF!</v>
      </c>
      <c r="U23" s="514" t="e">
        <f>+'[9]FIS-14'!$CY$7</f>
        <v>#REF!</v>
      </c>
      <c r="V23" s="496"/>
      <c r="W23" s="19" t="e">
        <f t="shared" si="5"/>
        <v>#REF!</v>
      </c>
      <c r="X23" s="514">
        <f>+'[9]FIS-14'!$CY$8</f>
        <v>1</v>
      </c>
      <c r="Y23" s="496">
        <v>1</v>
      </c>
      <c r="Z23" s="19">
        <f t="shared" si="6"/>
        <v>1</v>
      </c>
      <c r="AA23" s="514" t="e">
        <f>+'[9]FIS-14'!$CY$9</f>
        <v>#REF!</v>
      </c>
      <c r="AB23" s="496"/>
      <c r="AC23" s="19" t="e">
        <f t="shared" si="7"/>
        <v>#REF!</v>
      </c>
      <c r="AD23" s="782">
        <f>+Y23</f>
        <v>1</v>
      </c>
      <c r="AE23" s="19">
        <f t="shared" si="16"/>
        <v>0.5</v>
      </c>
      <c r="AF23" s="514" t="e">
        <f>+'[9]FIS-14'!$CY$10</f>
        <v>#REF!</v>
      </c>
      <c r="AG23" s="496"/>
      <c r="AH23" s="19" t="e">
        <f t="shared" si="8"/>
        <v>#REF!</v>
      </c>
      <c r="AI23" s="514">
        <f>+'[9]FIS-14'!$CY$11</f>
        <v>1</v>
      </c>
      <c r="AJ23" s="496">
        <v>1</v>
      </c>
      <c r="AK23" s="19">
        <f t="shared" si="9"/>
        <v>1</v>
      </c>
      <c r="AL23" s="514" t="e">
        <f>+'[9]FIS-14'!$CY$12</f>
        <v>#REF!</v>
      </c>
      <c r="AM23" s="496"/>
      <c r="AN23" s="19" t="e">
        <f t="shared" si="10"/>
        <v>#REF!</v>
      </c>
      <c r="AO23" s="514" t="e">
        <f>+'[9]FIS-14'!$CY$13</f>
        <v>#REF!</v>
      </c>
      <c r="AP23" s="496"/>
      <c r="AQ23" s="19" t="e">
        <f t="shared" si="11"/>
        <v>#REF!</v>
      </c>
      <c r="AR23" s="514" t="e">
        <f>+'[9]FIS-14'!$CY$14</f>
        <v>#REF!</v>
      </c>
      <c r="AS23" s="496"/>
      <c r="AT23" s="19" t="e">
        <f t="shared" si="12"/>
        <v>#REF!</v>
      </c>
      <c r="AU23" s="514" t="e">
        <f>+'[9]FIS-14'!$CY$15</f>
        <v>#REF!</v>
      </c>
      <c r="AV23" s="496"/>
      <c r="AW23" s="19" t="e">
        <f t="shared" si="13"/>
        <v>#REF!</v>
      </c>
      <c r="AX23" s="514">
        <f>Y23+AJ23</f>
        <v>2</v>
      </c>
      <c r="AY23" s="1203">
        <f t="shared" si="18"/>
        <v>1</v>
      </c>
    </row>
    <row r="24" spans="1:51" ht="46.5" thickTop="1" thickBot="1">
      <c r="A24" s="2944"/>
      <c r="B24" s="2949"/>
      <c r="C24" s="190" t="s">
        <v>134</v>
      </c>
      <c r="D24" s="1546" t="s">
        <v>417</v>
      </c>
      <c r="E24" s="1547" t="s">
        <v>22</v>
      </c>
      <c r="F24" s="1547" t="s">
        <v>300</v>
      </c>
      <c r="G24" s="1570" t="s">
        <v>136</v>
      </c>
      <c r="H24" s="1549"/>
      <c r="I24" s="1540"/>
      <c r="J24" s="1549"/>
      <c r="K24" s="1547" t="s">
        <v>23</v>
      </c>
      <c r="L24" s="1571">
        <f>+'[10]ADU-3'!$CY$4</f>
        <v>0</v>
      </c>
      <c r="M24" s="1572">
        <v>291323000</v>
      </c>
      <c r="N24" s="19" t="e">
        <f t="shared" si="14"/>
        <v>#DIV/0!</v>
      </c>
      <c r="O24" s="1571">
        <f>+'[10]ADU-3'!$CY$5</f>
        <v>0</v>
      </c>
      <c r="P24" s="1572">
        <v>319746000</v>
      </c>
      <c r="Q24" s="19" t="e">
        <f t="shared" si="3"/>
        <v>#DIV/0!</v>
      </c>
      <c r="R24" s="1571">
        <f>+'[10]ADU-3'!$CY$6</f>
        <v>0</v>
      </c>
      <c r="S24" s="1572">
        <v>207137000</v>
      </c>
      <c r="T24" s="19" t="e">
        <f t="shared" si="4"/>
        <v>#DIV/0!</v>
      </c>
      <c r="U24" s="1571">
        <f>+'[10]ADU-3'!$CY$7</f>
        <v>0</v>
      </c>
      <c r="V24" s="1572">
        <v>124898000</v>
      </c>
      <c r="W24" s="19" t="e">
        <f t="shared" si="5"/>
        <v>#DIV/0!</v>
      </c>
      <c r="X24" s="1571">
        <f>+'[10]ADU-3'!$CY$8</f>
        <v>0</v>
      </c>
      <c r="Y24" s="1572">
        <v>293095000</v>
      </c>
      <c r="Z24" s="19" t="e">
        <f t="shared" si="6"/>
        <v>#DIV/0!</v>
      </c>
      <c r="AA24" s="1571">
        <f>+'[10]ADU-3'!$CY$9</f>
        <v>0</v>
      </c>
      <c r="AB24" s="1572">
        <v>411530000</v>
      </c>
      <c r="AC24" s="19" t="e">
        <f t="shared" si="7"/>
        <v>#DIV/0!</v>
      </c>
      <c r="AD24" s="1573">
        <f t="shared" si="15"/>
        <v>1647729000</v>
      </c>
      <c r="AE24" s="19" t="e">
        <f t="shared" si="16"/>
        <v>#VALUE!</v>
      </c>
      <c r="AF24" s="1571">
        <f>+'[10]ADU-3'!$CY$10</f>
        <v>0</v>
      </c>
      <c r="AG24" s="1572">
        <v>294072100</v>
      </c>
      <c r="AH24" s="19" t="e">
        <f t="shared" si="8"/>
        <v>#DIV/0!</v>
      </c>
      <c r="AI24" s="1571">
        <f>+'[10]ADU-3'!$CY$11</f>
        <v>0</v>
      </c>
      <c r="AJ24" s="1572">
        <v>157116000</v>
      </c>
      <c r="AK24" s="19" t="e">
        <f t="shared" si="9"/>
        <v>#DIV/0!</v>
      </c>
      <c r="AL24" s="1571">
        <f>+'[10]ADU-3'!$CY$12</f>
        <v>0</v>
      </c>
      <c r="AM24" s="1572">
        <v>109184000</v>
      </c>
      <c r="AN24" s="19" t="e">
        <f t="shared" si="10"/>
        <v>#DIV/0!</v>
      </c>
      <c r="AO24" s="1571">
        <f>+'[10]ADU-3'!$CY$13</f>
        <v>0</v>
      </c>
      <c r="AP24" s="1572">
        <v>95727000</v>
      </c>
      <c r="AQ24" s="19" t="e">
        <f t="shared" si="11"/>
        <v>#DIV/0!</v>
      </c>
      <c r="AR24" s="1571">
        <f>+'[10]ADU-3'!$CY$14</f>
        <v>0</v>
      </c>
      <c r="AS24" s="1572">
        <v>106655000</v>
      </c>
      <c r="AT24" s="19" t="e">
        <f t="shared" si="12"/>
        <v>#DIV/0!</v>
      </c>
      <c r="AU24" s="1571">
        <f>+'[10]ADU-3'!$CY$15</f>
        <v>0</v>
      </c>
      <c r="AV24" s="1572">
        <v>164023000</v>
      </c>
      <c r="AW24" s="19" t="e">
        <f t="shared" si="13"/>
        <v>#DIV/0!</v>
      </c>
      <c r="AX24" s="1571">
        <f t="shared" si="17"/>
        <v>2574506100</v>
      </c>
      <c r="AY24" s="1203">
        <f>+AX24/1000000000</f>
        <v>2.5745060999999998</v>
      </c>
    </row>
    <row r="25" spans="1:51" ht="61.5" thickTop="1" thickBot="1">
      <c r="A25" s="2944"/>
      <c r="B25" s="2950"/>
      <c r="C25" s="1547" t="s">
        <v>677</v>
      </c>
      <c r="D25" s="124" t="s">
        <v>678</v>
      </c>
      <c r="E25" s="190" t="s">
        <v>220</v>
      </c>
      <c r="F25" s="190" t="s">
        <v>10</v>
      </c>
      <c r="G25" s="198">
        <v>1</v>
      </c>
      <c r="H25" s="1574"/>
      <c r="I25" s="1575"/>
      <c r="J25" s="1574"/>
      <c r="K25" s="190" t="s">
        <v>7</v>
      </c>
      <c r="L25" s="146">
        <f>+'[11]JUR-3.5'!$CY$4</f>
        <v>1</v>
      </c>
      <c r="M25" s="150">
        <v>0</v>
      </c>
      <c r="N25" s="1576">
        <f t="shared" si="14"/>
        <v>0</v>
      </c>
      <c r="O25" s="146">
        <f>+'[11]JUR-3.5'!$CY$5</f>
        <v>1</v>
      </c>
      <c r="P25" s="150">
        <v>0</v>
      </c>
      <c r="Q25" s="1576">
        <f t="shared" si="3"/>
        <v>0</v>
      </c>
      <c r="R25" s="146">
        <f>+'[11]JUR-3.5'!$CY$6</f>
        <v>1</v>
      </c>
      <c r="S25" s="150">
        <v>0</v>
      </c>
      <c r="T25" s="1576">
        <f t="shared" si="4"/>
        <v>0</v>
      </c>
      <c r="U25" s="146">
        <f>+'[11]JUR-3.5'!$CY$7</f>
        <v>1</v>
      </c>
      <c r="V25" s="150">
        <v>0</v>
      </c>
      <c r="W25" s="1576">
        <f t="shared" si="5"/>
        <v>0</v>
      </c>
      <c r="X25" s="146">
        <f>+'[11]JUR-3.5'!$CY$8</f>
        <v>1</v>
      </c>
      <c r="Y25" s="150">
        <v>0</v>
      </c>
      <c r="Z25" s="1576">
        <f t="shared" si="6"/>
        <v>0</v>
      </c>
      <c r="AA25" s="146">
        <f>+'[11]JUR-3.5'!$CY$9</f>
        <v>1</v>
      </c>
      <c r="AB25" s="150">
        <v>0</v>
      </c>
      <c r="AC25" s="1576">
        <f t="shared" si="7"/>
        <v>0</v>
      </c>
      <c r="AD25" s="1577">
        <f>(AB25+Y25+V25+S25+P25+M25)/6</f>
        <v>0</v>
      </c>
      <c r="AE25" s="1576">
        <f t="shared" si="16"/>
        <v>0</v>
      </c>
      <c r="AF25" s="146">
        <f>+'[11]JUR-3.5'!$CY$10</f>
        <v>1</v>
      </c>
      <c r="AG25" s="150">
        <v>0</v>
      </c>
      <c r="AH25" s="1576">
        <f t="shared" si="8"/>
        <v>0</v>
      </c>
      <c r="AI25" s="146">
        <f>+'[11]JUR-3.5'!$CY$11</f>
        <v>1</v>
      </c>
      <c r="AJ25" s="150">
        <v>0</v>
      </c>
      <c r="AK25" s="1576">
        <f t="shared" si="9"/>
        <v>0</v>
      </c>
      <c r="AL25" s="146">
        <f>+'[11]JUR-3.5'!$CY$12</f>
        <v>1</v>
      </c>
      <c r="AM25" s="150">
        <v>0</v>
      </c>
      <c r="AN25" s="1576">
        <f t="shared" si="10"/>
        <v>0</v>
      </c>
      <c r="AO25" s="146">
        <f>+'[11]JUR-3.5'!$CY$13</f>
        <v>1</v>
      </c>
      <c r="AP25" s="150">
        <v>0</v>
      </c>
      <c r="AQ25" s="1576">
        <f t="shared" si="11"/>
        <v>0</v>
      </c>
      <c r="AR25" s="146">
        <f>+'[11]JUR-3.5'!$CY$14</f>
        <v>1</v>
      </c>
      <c r="AS25" s="150">
        <v>0</v>
      </c>
      <c r="AT25" s="1576">
        <f t="shared" si="12"/>
        <v>0</v>
      </c>
      <c r="AU25" s="146">
        <f>+'[11]JUR-3.5'!$CY$15</f>
        <v>1</v>
      </c>
      <c r="AV25" s="150">
        <v>0</v>
      </c>
      <c r="AW25" s="1576">
        <f t="shared" si="13"/>
        <v>0</v>
      </c>
      <c r="AX25" s="146">
        <f>(M25+P25+S25+V25+Y25+AB25+AG25+AJ25+AM25+AP25+AS25+AV25)/12</f>
        <v>0</v>
      </c>
      <c r="AY25" s="1558">
        <f t="shared" si="18"/>
        <v>0</v>
      </c>
    </row>
    <row r="26" spans="1:51" ht="93" customHeight="1" thickTop="1" thickBot="1">
      <c r="A26" s="2944"/>
      <c r="B26" s="3134" t="s">
        <v>679</v>
      </c>
      <c r="C26" s="1578" t="s">
        <v>680</v>
      </c>
      <c r="D26" s="171" t="s">
        <v>138</v>
      </c>
      <c r="E26" s="172" t="s">
        <v>228</v>
      </c>
      <c r="F26" s="172" t="s">
        <v>101</v>
      </c>
      <c r="G26" s="766">
        <f>+'[4]FIS-24'!$CY$16</f>
        <v>13699999999.999998</v>
      </c>
      <c r="H26" s="767"/>
      <c r="I26" s="1538"/>
      <c r="J26" s="767"/>
      <c r="K26" s="172" t="s">
        <v>140</v>
      </c>
      <c r="L26" s="1571">
        <f>+'[9]FIS-24'!$CY$4</f>
        <v>1133333333.3333333</v>
      </c>
      <c r="M26" s="1572">
        <v>892075441</v>
      </c>
      <c r="N26" s="19">
        <f t="shared" si="14"/>
        <v>0.78712538911764707</v>
      </c>
      <c r="O26" s="1571">
        <f>+'[9]FIS-24'!$CY$5</f>
        <v>1133333333.3333333</v>
      </c>
      <c r="P26" s="1572">
        <v>654800103</v>
      </c>
      <c r="Q26" s="19">
        <f t="shared" si="3"/>
        <v>0.57776479676470593</v>
      </c>
      <c r="R26" s="1571">
        <f>+'[9]FIS-24'!$CY$6</f>
        <v>1133333333.3333333</v>
      </c>
      <c r="S26" s="1572">
        <v>477836667</v>
      </c>
      <c r="T26" s="19">
        <f t="shared" si="4"/>
        <v>0.42162058852941181</v>
      </c>
      <c r="U26" s="1571">
        <f>+'[9]FIS-24'!$CY$7</f>
        <v>2247777778</v>
      </c>
      <c r="V26" s="1572"/>
      <c r="W26" s="19">
        <f t="shared" si="5"/>
        <v>0</v>
      </c>
      <c r="X26" s="1571">
        <f>+'[9]FIS-24'!$CY$8</f>
        <v>2247777778</v>
      </c>
      <c r="Y26" s="1572">
        <v>0</v>
      </c>
      <c r="Z26" s="19">
        <f t="shared" si="6"/>
        <v>0</v>
      </c>
      <c r="AA26" s="1571">
        <f>+'[9]FIS-24'!$CY$9</f>
        <v>2247777778</v>
      </c>
      <c r="AB26" s="1572">
        <v>869152315</v>
      </c>
      <c r="AC26" s="19">
        <f t="shared" si="7"/>
        <v>0.38667181582929594</v>
      </c>
      <c r="AD26" s="1573">
        <f t="shared" si="15"/>
        <v>2893864526</v>
      </c>
      <c r="AE26" s="19">
        <f t="shared" si="16"/>
        <v>0.21123098729927009</v>
      </c>
      <c r="AF26" s="1571">
        <f>+'[9]FIS-24'!$CY$10</f>
        <v>2247777778</v>
      </c>
      <c r="AG26" s="1572">
        <v>896543389</v>
      </c>
      <c r="AH26" s="19">
        <f t="shared" si="8"/>
        <v>0.39885766189828398</v>
      </c>
      <c r="AI26" s="1571">
        <f>+'[9]FIS-24'!$CY$11</f>
        <v>301044444.23999953</v>
      </c>
      <c r="AJ26" s="1572">
        <v>784926206</v>
      </c>
      <c r="AK26" s="19">
        <f t="shared" si="9"/>
        <v>2.607343271129225</v>
      </c>
      <c r="AL26" s="1571">
        <f>+'[9]FIS-24'!$CY$12</f>
        <v>301044444.23999953</v>
      </c>
      <c r="AM26" s="1572">
        <v>1725737197</v>
      </c>
      <c r="AN26" s="19">
        <f t="shared" si="10"/>
        <v>5.7324997355679574</v>
      </c>
      <c r="AO26" s="1571">
        <f>+'[9]FIS-24'!$CY$13</f>
        <v>301044444.23999953</v>
      </c>
      <c r="AP26" s="1572">
        <v>997117873</v>
      </c>
      <c r="AQ26" s="19">
        <f t="shared" si="11"/>
        <v>3.3121949003818014</v>
      </c>
      <c r="AR26" s="1571">
        <f>+'[9]FIS-24'!$CY$14</f>
        <v>202877777.63999969</v>
      </c>
      <c r="AS26" s="1572">
        <v>1430981734</v>
      </c>
      <c r="AT26" s="19">
        <f t="shared" si="12"/>
        <v>7.0534178294245349</v>
      </c>
      <c r="AU26" s="1571">
        <f>+'[9]FIS-24'!$CY$15</f>
        <v>202877777.63999969</v>
      </c>
      <c r="AV26" s="1572">
        <v>2303051975</v>
      </c>
      <c r="AW26" s="19">
        <f t="shared" si="13"/>
        <v>11.351918390424673</v>
      </c>
      <c r="AX26" s="1571">
        <f t="shared" si="17"/>
        <v>11032222900</v>
      </c>
      <c r="AY26" s="1203">
        <f t="shared" si="18"/>
        <v>0.80527174452554751</v>
      </c>
    </row>
    <row r="27" spans="1:51" ht="93" customHeight="1" thickTop="1" thickBot="1">
      <c r="A27" s="2944"/>
      <c r="B27" s="3135"/>
      <c r="C27" s="1547" t="s">
        <v>442</v>
      </c>
      <c r="D27" s="129" t="s">
        <v>681</v>
      </c>
      <c r="E27" s="72" t="s">
        <v>469</v>
      </c>
      <c r="F27" s="72" t="s">
        <v>24</v>
      </c>
      <c r="G27" s="1579">
        <v>116</v>
      </c>
      <c r="H27" s="1580"/>
      <c r="I27" s="1106"/>
      <c r="J27" s="1580"/>
      <c r="K27" s="72" t="s">
        <v>140</v>
      </c>
      <c r="L27" s="1561" t="e">
        <f>+'[9]FIS-33'!$CY$4</f>
        <v>#REF!</v>
      </c>
      <c r="M27" s="1562">
        <v>74</v>
      </c>
      <c r="N27" s="19" t="e">
        <f t="shared" si="14"/>
        <v>#REF!</v>
      </c>
      <c r="O27" s="1561">
        <f>+'[9]FIS-33'!$CY$5</f>
        <v>7.7333333333333334</v>
      </c>
      <c r="P27" s="1562">
        <v>70</v>
      </c>
      <c r="Q27" s="19">
        <f t="shared" si="3"/>
        <v>9.0517241379310338</v>
      </c>
      <c r="R27" s="1561">
        <f>+'[9]FIS-33'!$CY$6</f>
        <v>7.7333333333333334</v>
      </c>
      <c r="S27" s="1562">
        <v>89</v>
      </c>
      <c r="T27" s="19">
        <f t="shared" si="4"/>
        <v>11.508620689655173</v>
      </c>
      <c r="U27" s="1561">
        <f>+'[9]FIS-33'!$CY$7</f>
        <v>11.6</v>
      </c>
      <c r="V27" s="1562">
        <v>39</v>
      </c>
      <c r="W27" s="19">
        <f t="shared" si="5"/>
        <v>3.3620689655172415</v>
      </c>
      <c r="X27" s="1561">
        <f>+'[9]FIS-33'!$CY$8</f>
        <v>11.6</v>
      </c>
      <c r="Y27" s="1562">
        <v>43</v>
      </c>
      <c r="Z27" s="19">
        <f t="shared" si="6"/>
        <v>3.7068965517241379</v>
      </c>
      <c r="AA27" s="1561">
        <f>+'[9]FIS-33'!$CY$9</f>
        <v>11.6</v>
      </c>
      <c r="AB27" s="1562">
        <v>74</v>
      </c>
      <c r="AC27" s="19">
        <f t="shared" si="7"/>
        <v>6.3793103448275863</v>
      </c>
      <c r="AD27" s="1563">
        <f t="shared" si="15"/>
        <v>389</v>
      </c>
      <c r="AE27" s="19">
        <f>+AD27/G27</f>
        <v>3.353448275862069</v>
      </c>
      <c r="AF27" s="1561">
        <f>+'[9]FIS-33'!$CY$10</f>
        <v>11.6</v>
      </c>
      <c r="AG27" s="1562">
        <v>76</v>
      </c>
      <c r="AH27" s="19">
        <f t="shared" si="8"/>
        <v>6.5517241379310347</v>
      </c>
      <c r="AI27" s="1561">
        <f>+'[9]FIS-33'!$CY$11</f>
        <v>11.6</v>
      </c>
      <c r="AJ27" s="1562">
        <v>93</v>
      </c>
      <c r="AK27" s="19">
        <f t="shared" si="9"/>
        <v>8.0172413793103452</v>
      </c>
      <c r="AL27" s="1561">
        <f>+'[9]FIS-33'!$CY$12</f>
        <v>11.6</v>
      </c>
      <c r="AM27" s="1562">
        <v>111</v>
      </c>
      <c r="AN27" s="19">
        <f t="shared" si="10"/>
        <v>9.568965517241379</v>
      </c>
      <c r="AO27" s="1561">
        <f>+'[9]FIS-33'!$CY$13</f>
        <v>7.7333333333333334</v>
      </c>
      <c r="AP27" s="1562">
        <v>113</v>
      </c>
      <c r="AQ27" s="19">
        <f t="shared" si="11"/>
        <v>14.612068965517242</v>
      </c>
      <c r="AR27" s="1561">
        <f>+'[9]FIS-33'!$CY$14</f>
        <v>7.7333333333333334</v>
      </c>
      <c r="AS27" s="1562">
        <v>96</v>
      </c>
      <c r="AT27" s="19">
        <f t="shared" si="12"/>
        <v>12.413793103448276</v>
      </c>
      <c r="AU27" s="1561">
        <f>+'[9]FIS-33'!$CY$15</f>
        <v>7.7333333333333334</v>
      </c>
      <c r="AV27" s="1562">
        <v>52</v>
      </c>
      <c r="AW27" s="19">
        <f t="shared" si="13"/>
        <v>6.7241379310344831</v>
      </c>
      <c r="AX27" s="1561">
        <f t="shared" si="17"/>
        <v>930</v>
      </c>
      <c r="AY27" s="1203">
        <f t="shared" si="18"/>
        <v>8.0172413793103452</v>
      </c>
    </row>
    <row r="28" spans="1:51" ht="46.5" thickTop="1" thickBot="1">
      <c r="A28" s="2944"/>
      <c r="B28" s="3135"/>
      <c r="C28" s="3137" t="s">
        <v>422</v>
      </c>
      <c r="D28" s="171" t="s">
        <v>445</v>
      </c>
      <c r="E28" s="172" t="s">
        <v>234</v>
      </c>
      <c r="F28" s="172" t="s">
        <v>10</v>
      </c>
      <c r="G28" s="1001">
        <v>0.02</v>
      </c>
      <c r="H28" s="767"/>
      <c r="I28" s="1538"/>
      <c r="J28" s="767"/>
      <c r="K28" s="172" t="s">
        <v>23</v>
      </c>
      <c r="L28" s="1557">
        <f>+'[10]ADU-8'!$CY$4</f>
        <v>0</v>
      </c>
      <c r="M28" s="1581">
        <v>0</v>
      </c>
      <c r="N28" s="19" t="e">
        <f t="shared" si="14"/>
        <v>#DIV/0!</v>
      </c>
      <c r="O28" s="1557">
        <f>+'[10]ADU-8'!$CY$5</f>
        <v>0</v>
      </c>
      <c r="P28" s="1581">
        <v>0</v>
      </c>
      <c r="Q28" s="19" t="e">
        <f t="shared" si="3"/>
        <v>#DIV/0!</v>
      </c>
      <c r="R28" s="1557">
        <f>+'[10]ADU-8'!$CY$6</f>
        <v>0</v>
      </c>
      <c r="S28" s="1581">
        <v>0</v>
      </c>
      <c r="T28" s="19" t="e">
        <f t="shared" si="4"/>
        <v>#DIV/0!</v>
      </c>
      <c r="U28" s="1557">
        <f>+'[10]ADU-8'!$CY$7</f>
        <v>0.02</v>
      </c>
      <c r="V28" s="1581">
        <v>0</v>
      </c>
      <c r="W28" s="19">
        <f t="shared" si="5"/>
        <v>0</v>
      </c>
      <c r="X28" s="1557">
        <f>+'[10]ADU-8'!$CY$8</f>
        <v>0.02</v>
      </c>
      <c r="Y28" s="1581">
        <v>0</v>
      </c>
      <c r="Z28" s="19">
        <f t="shared" si="6"/>
        <v>0</v>
      </c>
      <c r="AA28" s="1557">
        <f>+'[10]ADU-8'!$CY$9</f>
        <v>0.02</v>
      </c>
      <c r="AB28" s="1581">
        <v>0</v>
      </c>
      <c r="AC28" s="19">
        <f t="shared" si="7"/>
        <v>0</v>
      </c>
      <c r="AD28" s="1582">
        <f>(AB28+Y28+V28)/3</f>
        <v>0</v>
      </c>
      <c r="AE28" s="19">
        <f t="shared" si="16"/>
        <v>0</v>
      </c>
      <c r="AF28" s="1557">
        <f>+'[10]ADU-8'!$CY$10</f>
        <v>0.02</v>
      </c>
      <c r="AG28" s="1581">
        <v>0.33</v>
      </c>
      <c r="AH28" s="19">
        <f t="shared" si="8"/>
        <v>16.5</v>
      </c>
      <c r="AI28" s="1557">
        <f>+'[10]ADU-8'!$CY$11</f>
        <v>0.02</v>
      </c>
      <c r="AJ28" s="1581">
        <v>0</v>
      </c>
      <c r="AK28" s="19">
        <f t="shared" si="9"/>
        <v>0</v>
      </c>
      <c r="AL28" s="1557">
        <f>+'[10]ADU-8'!$CY$12</f>
        <v>0.02</v>
      </c>
      <c r="AM28" s="1581">
        <v>0</v>
      </c>
      <c r="AN28" s="19">
        <f t="shared" si="10"/>
        <v>0</v>
      </c>
      <c r="AO28" s="1557">
        <f>+'[10]ADU-8'!$CY$13</f>
        <v>0.02</v>
      </c>
      <c r="AP28" s="1581">
        <v>0.13</v>
      </c>
      <c r="AQ28" s="19">
        <f t="shared" si="11"/>
        <v>6.5</v>
      </c>
      <c r="AR28" s="1557">
        <f>+'[10]ADU-8'!$CY$14</f>
        <v>0.02</v>
      </c>
      <c r="AS28" s="1581">
        <v>0</v>
      </c>
      <c r="AT28" s="19">
        <f t="shared" si="12"/>
        <v>0</v>
      </c>
      <c r="AU28" s="1557">
        <f>+'[10]ADU-8'!$CY$15</f>
        <v>0.02</v>
      </c>
      <c r="AV28" s="1581">
        <v>0</v>
      </c>
      <c r="AW28" s="19">
        <f t="shared" si="13"/>
        <v>0</v>
      </c>
      <c r="AX28" s="1557">
        <f>(V28+Y28+AB28+AG28+AJ28+AM28+AP28+AS28+AV28)/9</f>
        <v>5.1111111111111114E-2</v>
      </c>
      <c r="AY28" s="1203">
        <f t="shared" si="18"/>
        <v>2.5555555555555558</v>
      </c>
    </row>
    <row r="29" spans="1:51" ht="61.5" thickTop="1" thickBot="1">
      <c r="A29" s="2944"/>
      <c r="B29" s="3135"/>
      <c r="C29" s="3138"/>
      <c r="D29" s="86" t="s">
        <v>236</v>
      </c>
      <c r="E29" s="81" t="s">
        <v>237</v>
      </c>
      <c r="F29" s="88" t="s">
        <v>10</v>
      </c>
      <c r="G29" s="167">
        <v>0.02</v>
      </c>
      <c r="H29" s="88"/>
      <c r="I29" s="81"/>
      <c r="J29" s="81"/>
      <c r="K29" s="87" t="s">
        <v>23</v>
      </c>
      <c r="L29" s="163">
        <f>+'[12]ADU-9'!$CY$4</f>
        <v>0</v>
      </c>
      <c r="M29" s="164">
        <v>0.08</v>
      </c>
      <c r="N29" s="19" t="e">
        <f t="shared" si="14"/>
        <v>#DIV/0!</v>
      </c>
      <c r="O29" s="163">
        <f>+'[12]ADU-9'!$CY$5</f>
        <v>0</v>
      </c>
      <c r="P29" s="164">
        <v>0.09</v>
      </c>
      <c r="Q29" s="19" t="e">
        <f t="shared" si="3"/>
        <v>#DIV/0!</v>
      </c>
      <c r="R29" s="163">
        <f>+'[12]ADU-9'!$CY$6</f>
        <v>0</v>
      </c>
      <c r="S29" s="164">
        <v>0.1</v>
      </c>
      <c r="T29" s="19" t="e">
        <f t="shared" si="4"/>
        <v>#DIV/0!</v>
      </c>
      <c r="U29" s="163">
        <f>+'[12]ADU-9'!$CY$7</f>
        <v>0.03</v>
      </c>
      <c r="V29" s="164">
        <v>0.06</v>
      </c>
      <c r="W29" s="19">
        <f t="shared" si="5"/>
        <v>2</v>
      </c>
      <c r="X29" s="163">
        <f>+'[12]ADU-9'!$CY$7</f>
        <v>0.03</v>
      </c>
      <c r="Y29" s="164">
        <v>0.1</v>
      </c>
      <c r="Z29" s="19">
        <f t="shared" si="6"/>
        <v>3.3333333333333335</v>
      </c>
      <c r="AA29" s="163">
        <f>+'[12]ADU-9'!$CY$9</f>
        <v>0.03</v>
      </c>
      <c r="AB29" s="164">
        <v>0.09</v>
      </c>
      <c r="AC29" s="19">
        <f t="shared" si="7"/>
        <v>3</v>
      </c>
      <c r="AD29" s="165">
        <f>(V29+Y29+AB29)/3</f>
        <v>8.3333333333333329E-2</v>
      </c>
      <c r="AE29" s="19">
        <f t="shared" si="16"/>
        <v>4.1666666666666661</v>
      </c>
      <c r="AF29" s="163">
        <f>+'[12]ADU-9'!$CY$9</f>
        <v>0.03</v>
      </c>
      <c r="AG29" s="164">
        <v>0.04</v>
      </c>
      <c r="AH29" s="19">
        <f t="shared" si="8"/>
        <v>1.3333333333333335</v>
      </c>
      <c r="AI29" s="163">
        <f>+'[12]ADU-9'!$CY$10</f>
        <v>0.03</v>
      </c>
      <c r="AJ29" s="164">
        <v>0.04</v>
      </c>
      <c r="AK29" s="19">
        <f t="shared" si="9"/>
        <v>1.3333333333333335</v>
      </c>
      <c r="AL29" s="163">
        <f>+'[12]ADU-9'!$CY$11</f>
        <v>0.03</v>
      </c>
      <c r="AM29" s="164">
        <v>0.04</v>
      </c>
      <c r="AN29" s="19">
        <f t="shared" si="10"/>
        <v>1.3333333333333335</v>
      </c>
      <c r="AO29" s="163">
        <f>+'[12]ADU-9'!$CY$12</f>
        <v>0.02</v>
      </c>
      <c r="AP29" s="164">
        <v>0.03</v>
      </c>
      <c r="AQ29" s="19">
        <f t="shared" si="11"/>
        <v>1.5</v>
      </c>
      <c r="AR29" s="163">
        <f>+'[12]ADU-9'!$CY$13</f>
        <v>0.02</v>
      </c>
      <c r="AS29" s="164">
        <v>0.03</v>
      </c>
      <c r="AT29" s="19">
        <f t="shared" si="12"/>
        <v>1.5</v>
      </c>
      <c r="AU29" s="163">
        <f>+'[12]ADU-9'!$CY$14</f>
        <v>0.02</v>
      </c>
      <c r="AV29" s="164">
        <v>0.03</v>
      </c>
      <c r="AW29" s="19">
        <f t="shared" si="13"/>
        <v>1.5</v>
      </c>
      <c r="AX29" s="163">
        <f>+((AG29+AJ29)/2+(AM29+AP29+AS29+AV29)/4)</f>
        <v>7.2500000000000009E-2</v>
      </c>
      <c r="AY29" s="1203">
        <f t="shared" si="18"/>
        <v>3.6250000000000004</v>
      </c>
    </row>
    <row r="30" spans="1:51" ht="61.5" thickTop="1" thickBot="1">
      <c r="A30" s="2944"/>
      <c r="B30" s="3135"/>
      <c r="C30" s="3138"/>
      <c r="D30" s="86" t="s">
        <v>238</v>
      </c>
      <c r="E30" s="81" t="s">
        <v>239</v>
      </c>
      <c r="F30" s="88" t="s">
        <v>10</v>
      </c>
      <c r="G30" s="167">
        <v>0.01</v>
      </c>
      <c r="H30" s="88"/>
      <c r="I30" s="81"/>
      <c r="J30" s="81"/>
      <c r="K30" s="87" t="s">
        <v>23</v>
      </c>
      <c r="L30" s="163">
        <f>+'[12]ADU-9.1'!$CY$4</f>
        <v>1.9999995827674866E-2</v>
      </c>
      <c r="M30" s="164">
        <v>0</v>
      </c>
      <c r="N30" s="1576">
        <f t="shared" si="14"/>
        <v>0</v>
      </c>
      <c r="O30" s="163">
        <f>+'[12]ADU-9.1'!$CY$5</f>
        <v>1.9999995827674866E-2</v>
      </c>
      <c r="P30" s="164">
        <v>0</v>
      </c>
      <c r="Q30" s="1576">
        <f t="shared" si="3"/>
        <v>0</v>
      </c>
      <c r="R30" s="163">
        <f>+'[12]ADU-9.1'!$CY$6</f>
        <v>1.9999995827674866E-2</v>
      </c>
      <c r="S30" s="164">
        <v>0</v>
      </c>
      <c r="T30" s="1576">
        <f t="shared" si="4"/>
        <v>0</v>
      </c>
      <c r="U30" s="163">
        <f>+'[12]ADU-9.1'!$CY$7</f>
        <v>1.9999995827674866E-2</v>
      </c>
      <c r="V30" s="164">
        <v>0</v>
      </c>
      <c r="W30" s="1576">
        <f t="shared" si="5"/>
        <v>0</v>
      </c>
      <c r="X30" s="163">
        <f>+'[12]ADU-9.1'!$CY$8</f>
        <v>1.9999995827674866E-2</v>
      </c>
      <c r="Y30" s="164">
        <v>0</v>
      </c>
      <c r="Z30" s="1576">
        <f t="shared" si="6"/>
        <v>0</v>
      </c>
      <c r="AA30" s="163">
        <f>+'[12]ADU-9.1'!$CY$9</f>
        <v>1.9999995827674866E-2</v>
      </c>
      <c r="AB30" s="164">
        <v>0</v>
      </c>
      <c r="AC30" s="1576">
        <f t="shared" si="7"/>
        <v>0</v>
      </c>
      <c r="AD30" s="165">
        <f>(V30+Y30+AB30)/3</f>
        <v>0</v>
      </c>
      <c r="AE30" s="1576">
        <f>+AD30/G30</f>
        <v>0</v>
      </c>
      <c r="AF30" s="163">
        <f>+'[12]ADU-9.1'!$CY$10</f>
        <v>1.9999995827674866E-2</v>
      </c>
      <c r="AG30" s="164">
        <v>0</v>
      </c>
      <c r="AH30" s="1576">
        <f t="shared" si="8"/>
        <v>0</v>
      </c>
      <c r="AI30" s="163">
        <f>+'[12]ADU-9.1'!$CY$11</f>
        <v>1.9999995827674866E-2</v>
      </c>
      <c r="AJ30" s="164">
        <v>0</v>
      </c>
      <c r="AK30" s="1576">
        <f t="shared" si="9"/>
        <v>0</v>
      </c>
      <c r="AL30" s="163">
        <f>+'[12]ADU-9.1'!$CY$12</f>
        <v>0.01</v>
      </c>
      <c r="AM30" s="164">
        <v>0</v>
      </c>
      <c r="AN30" s="1576">
        <f t="shared" si="10"/>
        <v>0</v>
      </c>
      <c r="AO30" s="163">
        <f>+'[12]ADU-9.1'!$CY$13</f>
        <v>0.01</v>
      </c>
      <c r="AP30" s="164">
        <v>0</v>
      </c>
      <c r="AQ30" s="1576">
        <f t="shared" si="11"/>
        <v>0</v>
      </c>
      <c r="AR30" s="163">
        <f>+'[12]ADU-9.1'!$CY$14</f>
        <v>0.01</v>
      </c>
      <c r="AS30" s="164">
        <v>0</v>
      </c>
      <c r="AT30" s="1576">
        <f t="shared" si="12"/>
        <v>0</v>
      </c>
      <c r="AU30" s="163">
        <f>+'[12]ADU-9.1'!$CY$15</f>
        <v>0.01</v>
      </c>
      <c r="AV30" s="164">
        <v>0</v>
      </c>
      <c r="AW30" s="1576">
        <f t="shared" si="13"/>
        <v>0</v>
      </c>
      <c r="AX30" s="163">
        <f>+(AV30+AS30+AP30+AM30)/4</f>
        <v>0</v>
      </c>
      <c r="AY30" s="1558">
        <f t="shared" si="18"/>
        <v>0</v>
      </c>
    </row>
    <row r="31" spans="1:51" ht="31.5" thickTop="1" thickBot="1">
      <c r="A31" s="2944"/>
      <c r="B31" s="3135"/>
      <c r="C31" s="3138"/>
      <c r="D31" s="171" t="s">
        <v>240</v>
      </c>
      <c r="E31" s="190" t="s">
        <v>423</v>
      </c>
      <c r="F31" s="172" t="s">
        <v>10</v>
      </c>
      <c r="G31" s="1001">
        <v>0.01</v>
      </c>
      <c r="H31" s="767"/>
      <c r="I31" s="1538"/>
      <c r="J31" s="767"/>
      <c r="K31" s="172" t="s">
        <v>23</v>
      </c>
      <c r="L31" s="1557">
        <f>+'[13]ADU-10.1'!$CY$4</f>
        <v>0</v>
      </c>
      <c r="M31" s="1557">
        <v>0</v>
      </c>
      <c r="N31" s="1583" t="e">
        <f t="shared" si="14"/>
        <v>#DIV/0!</v>
      </c>
      <c r="O31" s="1557">
        <f>+'[13]ADU-10.1'!$CY$5</f>
        <v>0</v>
      </c>
      <c r="P31" s="1557">
        <v>0</v>
      </c>
      <c r="Q31" s="1583" t="e">
        <f t="shared" si="3"/>
        <v>#DIV/0!</v>
      </c>
      <c r="R31" s="1557">
        <f>+'[13]ADU-10.1'!$CY$6</f>
        <v>0</v>
      </c>
      <c r="S31" s="1557">
        <v>0</v>
      </c>
      <c r="T31" s="1583" t="e">
        <f t="shared" si="4"/>
        <v>#DIV/0!</v>
      </c>
      <c r="U31" s="1557">
        <f>+'[13]ADU-10.1'!$CY$7</f>
        <v>0.01</v>
      </c>
      <c r="V31" s="1581">
        <v>0</v>
      </c>
      <c r="W31" s="1576">
        <f t="shared" si="5"/>
        <v>0</v>
      </c>
      <c r="X31" s="1557">
        <f>+'[13]ADU-10.1'!$CY$8</f>
        <v>0.01</v>
      </c>
      <c r="Y31" s="1581">
        <v>0</v>
      </c>
      <c r="Z31" s="1576">
        <f t="shared" si="6"/>
        <v>0</v>
      </c>
      <c r="AA31" s="1557">
        <f>+'[13]ADU-10.1'!$CY$9</f>
        <v>0.01</v>
      </c>
      <c r="AB31" s="1581">
        <v>0</v>
      </c>
      <c r="AC31" s="1576">
        <f t="shared" si="7"/>
        <v>0</v>
      </c>
      <c r="AD31" s="1582">
        <f>(AB31+Y31+V31)/3</f>
        <v>0</v>
      </c>
      <c r="AE31" s="1576">
        <f t="shared" si="16"/>
        <v>0</v>
      </c>
      <c r="AF31" s="1557">
        <f>+'[13]ADU-10.1'!$CY$10</f>
        <v>0.01</v>
      </c>
      <c r="AG31" s="1581">
        <v>0</v>
      </c>
      <c r="AH31" s="19">
        <f t="shared" si="8"/>
        <v>0</v>
      </c>
      <c r="AI31" s="1557">
        <f>+'[13]ADU-10.1'!$CY$11</f>
        <v>0.01</v>
      </c>
      <c r="AJ31" s="1581">
        <v>0</v>
      </c>
      <c r="AK31" s="19">
        <f t="shared" si="9"/>
        <v>0</v>
      </c>
      <c r="AL31" s="1557">
        <f>+'[13]ADU-10.1'!$CY$12</f>
        <v>0.01</v>
      </c>
      <c r="AM31" s="1581">
        <v>0</v>
      </c>
      <c r="AN31" s="19">
        <f t="shared" si="10"/>
        <v>0</v>
      </c>
      <c r="AO31" s="1557">
        <f>+'[13]ADU-10.1'!$CY$13</f>
        <v>0.01</v>
      </c>
      <c r="AP31" s="1581">
        <v>0</v>
      </c>
      <c r="AQ31" s="19">
        <f t="shared" si="11"/>
        <v>0</v>
      </c>
      <c r="AR31" s="1557">
        <f>+'[13]ADU-10.1'!$CY$14</f>
        <v>0.01</v>
      </c>
      <c r="AS31" s="1581">
        <v>0</v>
      </c>
      <c r="AT31" s="1576">
        <f t="shared" si="12"/>
        <v>0</v>
      </c>
      <c r="AU31" s="1557">
        <f>+'[13]ADU-10.1'!$CY$15</f>
        <v>0.01</v>
      </c>
      <c r="AV31" s="1581">
        <v>0</v>
      </c>
      <c r="AW31" s="1576">
        <f t="shared" si="13"/>
        <v>0</v>
      </c>
      <c r="AX31" s="1557">
        <f>(V31+Y31+AB31+AG31+AJ31+AM31+AP31+AS31+AV31)/9</f>
        <v>0</v>
      </c>
      <c r="AY31" s="1558">
        <f t="shared" si="18"/>
        <v>0</v>
      </c>
    </row>
    <row r="32" spans="1:51" ht="73.5" customHeight="1" thickTop="1" thickBot="1">
      <c r="A32" s="2944"/>
      <c r="B32" s="3135"/>
      <c r="C32" s="3139"/>
      <c r="D32" s="129" t="s">
        <v>247</v>
      </c>
      <c r="E32" s="72" t="s">
        <v>447</v>
      </c>
      <c r="F32" s="72" t="s">
        <v>24</v>
      </c>
      <c r="G32" s="1584">
        <v>40</v>
      </c>
      <c r="H32" s="1580"/>
      <c r="I32" s="1106"/>
      <c r="J32" s="1580"/>
      <c r="K32" s="72" t="s">
        <v>249</v>
      </c>
      <c r="L32" s="1561">
        <f>+'[10]ADU-29'!$CY$4</f>
        <v>0</v>
      </c>
      <c r="M32" s="1562">
        <v>3</v>
      </c>
      <c r="N32" s="19" t="e">
        <f t="shared" si="14"/>
        <v>#DIV/0!</v>
      </c>
      <c r="O32" s="1561">
        <f>+'[10]ADU-29'!$CY$5</f>
        <v>0</v>
      </c>
      <c r="P32" s="1562">
        <v>4</v>
      </c>
      <c r="Q32" s="19" t="e">
        <f t="shared" si="3"/>
        <v>#DIV/0!</v>
      </c>
      <c r="R32" s="1561">
        <f>+'[10]ADU-29'!$CY$6</f>
        <v>0</v>
      </c>
      <c r="S32" s="1562">
        <v>0</v>
      </c>
      <c r="T32" s="19" t="e">
        <f t="shared" si="4"/>
        <v>#DIV/0!</v>
      </c>
      <c r="U32" s="1561">
        <f>+'[10]ADU-29'!$CY$7</f>
        <v>0</v>
      </c>
      <c r="V32" s="1562">
        <v>0</v>
      </c>
      <c r="W32" s="19" t="e">
        <f t="shared" si="5"/>
        <v>#DIV/0!</v>
      </c>
      <c r="X32" s="1561">
        <f>+'[10]ADU-29'!$CY$8</f>
        <v>5</v>
      </c>
      <c r="Y32" s="1562">
        <v>0</v>
      </c>
      <c r="Z32" s="19">
        <f t="shared" si="6"/>
        <v>0</v>
      </c>
      <c r="AA32" s="1561">
        <f>+'[10]ADU-29'!$CY$9</f>
        <v>5</v>
      </c>
      <c r="AB32" s="1562">
        <v>16</v>
      </c>
      <c r="AC32" s="19">
        <f t="shared" si="7"/>
        <v>3.2</v>
      </c>
      <c r="AD32" s="1563">
        <f>+AB32+Y32+V32+S32+P32+M32</f>
        <v>23</v>
      </c>
      <c r="AE32" s="19">
        <f t="shared" si="16"/>
        <v>0.57499999999999996</v>
      </c>
      <c r="AF32" s="1561">
        <f>+'[10]ADU-29'!$CY$10</f>
        <v>5</v>
      </c>
      <c r="AG32" s="1562">
        <v>5</v>
      </c>
      <c r="AH32" s="19">
        <f t="shared" si="8"/>
        <v>1</v>
      </c>
      <c r="AI32" s="1561">
        <f>+'[10]ADU-29'!$CY$11</f>
        <v>5</v>
      </c>
      <c r="AJ32" s="1562">
        <v>3</v>
      </c>
      <c r="AK32" s="19">
        <f t="shared" si="9"/>
        <v>0.6</v>
      </c>
      <c r="AL32" s="1561">
        <f>+'[10]ADU-29'!$CY$12</f>
        <v>5</v>
      </c>
      <c r="AM32" s="1562">
        <v>3</v>
      </c>
      <c r="AN32" s="19">
        <f t="shared" si="10"/>
        <v>0.6</v>
      </c>
      <c r="AO32" s="1561">
        <f>+'[10]ADU-29'!$CY$13</f>
        <v>5</v>
      </c>
      <c r="AP32" s="1562">
        <v>1</v>
      </c>
      <c r="AQ32" s="19">
        <f t="shared" si="11"/>
        <v>0.2</v>
      </c>
      <c r="AR32" s="1561">
        <f>+'[10]ADU-29'!$CY$14</f>
        <v>5</v>
      </c>
      <c r="AS32" s="1562">
        <v>9</v>
      </c>
      <c r="AT32" s="19">
        <f t="shared" si="12"/>
        <v>1.8</v>
      </c>
      <c r="AU32" s="1561">
        <f>+'[10]ADU-29'!$CY$15</f>
        <v>5</v>
      </c>
      <c r="AV32" s="1562">
        <v>3</v>
      </c>
      <c r="AW32" s="19">
        <f t="shared" si="13"/>
        <v>0.6</v>
      </c>
      <c r="AX32" s="1561">
        <f>+M32+P32+S32+V32+Y32+AB32+AG32+AJ32+AM32+AP32+AS32+AV32</f>
        <v>47</v>
      </c>
      <c r="AY32" s="1203">
        <f t="shared" si="18"/>
        <v>1.175</v>
      </c>
    </row>
    <row r="33" spans="1:51" ht="46.5" thickTop="1" thickBot="1">
      <c r="A33" s="2945"/>
      <c r="B33" s="3136"/>
      <c r="C33" s="1547" t="s">
        <v>286</v>
      </c>
      <c r="D33" s="1546" t="s">
        <v>224</v>
      </c>
      <c r="E33" s="1547" t="s">
        <v>421</v>
      </c>
      <c r="F33" s="1547" t="s">
        <v>17</v>
      </c>
      <c r="G33" s="1569">
        <v>3420</v>
      </c>
      <c r="H33" s="1547"/>
      <c r="I33" s="1547"/>
      <c r="J33" s="1547"/>
      <c r="K33" s="1547" t="s">
        <v>226</v>
      </c>
      <c r="L33" s="514">
        <f>+'[14]POLFA-3'!$CY$4</f>
        <v>257</v>
      </c>
      <c r="M33" s="496">
        <v>257</v>
      </c>
      <c r="N33" s="19">
        <f t="shared" si="14"/>
        <v>1</v>
      </c>
      <c r="O33" s="514">
        <f>+'[14]POLFA-3'!$CY$5</f>
        <v>286</v>
      </c>
      <c r="P33" s="496">
        <v>286</v>
      </c>
      <c r="Q33" s="19">
        <f t="shared" si="3"/>
        <v>1</v>
      </c>
      <c r="R33" s="514">
        <f>+'[14]POLFA-3'!$CY$6</f>
        <v>255</v>
      </c>
      <c r="S33" s="496">
        <v>255</v>
      </c>
      <c r="T33" s="19">
        <f t="shared" si="4"/>
        <v>1</v>
      </c>
      <c r="U33" s="514">
        <f>+'[14]POLFA-3'!$CY$7</f>
        <v>67</v>
      </c>
      <c r="V33" s="496">
        <v>67</v>
      </c>
      <c r="W33" s="19">
        <f t="shared" si="5"/>
        <v>1</v>
      </c>
      <c r="X33" s="514">
        <f>+'[14]POLFA-3'!$CY$8</f>
        <v>85</v>
      </c>
      <c r="Y33" s="496">
        <v>85</v>
      </c>
      <c r="Z33" s="19">
        <f t="shared" si="6"/>
        <v>1</v>
      </c>
      <c r="AA33" s="514">
        <f>+'[14]POLFA-3'!$CY$9</f>
        <v>190</v>
      </c>
      <c r="AB33" s="496">
        <v>187</v>
      </c>
      <c r="AC33" s="19">
        <f t="shared" si="7"/>
        <v>0.98421052631578942</v>
      </c>
      <c r="AD33" s="782">
        <f>+AB33+Y33+V33+S33+P33+M33</f>
        <v>1137</v>
      </c>
      <c r="AE33" s="19">
        <f t="shared" si="16"/>
        <v>0.33245614035087717</v>
      </c>
      <c r="AF33" s="514">
        <f>+'[14]POLFA-3'!$CY$10</f>
        <v>304</v>
      </c>
      <c r="AG33" s="496">
        <v>308</v>
      </c>
      <c r="AH33" s="19">
        <f t="shared" si="8"/>
        <v>1.013157894736842</v>
      </c>
      <c r="AI33" s="514">
        <f>+'[14]POLFA-3'!$CY$11</f>
        <v>325</v>
      </c>
      <c r="AJ33" s="496">
        <v>320</v>
      </c>
      <c r="AK33" s="19">
        <f t="shared" si="9"/>
        <v>0.98461538461538467</v>
      </c>
      <c r="AL33" s="514">
        <f>+'[14]POLFA-3'!$CY$12</f>
        <v>428</v>
      </c>
      <c r="AM33" s="496">
        <v>428</v>
      </c>
      <c r="AN33" s="19">
        <f t="shared" si="10"/>
        <v>1</v>
      </c>
      <c r="AO33" s="514">
        <f>+'[14]POLFA-3'!$CY$13</f>
        <v>488</v>
      </c>
      <c r="AP33" s="496">
        <v>488</v>
      </c>
      <c r="AQ33" s="19">
        <f t="shared" si="11"/>
        <v>1</v>
      </c>
      <c r="AR33" s="514">
        <f>+'[14]POLFA-3'!$CY$14</f>
        <v>375</v>
      </c>
      <c r="AS33" s="496">
        <v>488</v>
      </c>
      <c r="AT33" s="19">
        <f t="shared" si="12"/>
        <v>1.3013333333333332</v>
      </c>
      <c r="AU33" s="514">
        <f>+'[14]POLFA-3'!$CY$15</f>
        <v>360</v>
      </c>
      <c r="AV33" s="496">
        <v>317</v>
      </c>
      <c r="AW33" s="19">
        <f t="shared" si="13"/>
        <v>0.88055555555555554</v>
      </c>
      <c r="AX33" s="514">
        <f>+M33+P33+S33+V33+Y33+AB33+AG33+AJ33+AM33+AP33+AS33+AV33</f>
        <v>3486</v>
      </c>
      <c r="AY33" s="1203">
        <f t="shared" si="18"/>
        <v>1.0192982456140351</v>
      </c>
    </row>
    <row r="34" spans="1:51" ht="22.5" customHeight="1" thickTop="1" thickBot="1">
      <c r="A34" s="2970" t="s">
        <v>682</v>
      </c>
      <c r="B34" s="2860"/>
      <c r="C34" s="2860"/>
      <c r="D34" s="2858"/>
      <c r="E34" s="2858"/>
      <c r="F34" s="2858"/>
      <c r="G34" s="2858"/>
      <c r="H34" s="2858"/>
      <c r="I34" s="2858"/>
      <c r="J34" s="2858"/>
      <c r="K34" s="2859"/>
      <c r="L34" s="1585"/>
      <c r="M34" s="1586"/>
      <c r="N34" s="1586"/>
      <c r="O34" s="1585"/>
      <c r="P34" s="1586"/>
      <c r="Q34" s="1586"/>
      <c r="R34" s="1585"/>
      <c r="S34" s="1586"/>
      <c r="T34" s="1586"/>
      <c r="U34" s="1585"/>
      <c r="V34" s="1586"/>
      <c r="W34" s="1586"/>
      <c r="X34" s="1585"/>
      <c r="Y34" s="1586"/>
      <c r="Z34" s="1586"/>
      <c r="AA34" s="1585"/>
      <c r="AB34" s="1586"/>
      <c r="AC34" s="1586"/>
      <c r="AD34" s="1587"/>
      <c r="AE34" s="19"/>
      <c r="AF34" s="1585"/>
      <c r="AG34" s="1586"/>
      <c r="AH34" s="1586"/>
      <c r="AI34" s="1585"/>
      <c r="AJ34" s="1586"/>
      <c r="AK34" s="1586"/>
      <c r="AL34" s="1585"/>
      <c r="AM34" s="1586"/>
      <c r="AN34" s="1586"/>
      <c r="AO34" s="1585"/>
      <c r="AP34" s="1586"/>
      <c r="AQ34" s="1586"/>
      <c r="AR34" s="1585"/>
      <c r="AS34" s="1586"/>
      <c r="AT34" s="1586"/>
      <c r="AU34" s="1585"/>
      <c r="AV34" s="1586"/>
      <c r="AW34" s="1586"/>
      <c r="AX34" s="1585"/>
      <c r="AY34" s="1588"/>
    </row>
    <row r="35" spans="1:51" ht="78.75" customHeight="1" thickTop="1" thickBot="1">
      <c r="A35" s="3125" t="s">
        <v>181</v>
      </c>
      <c r="B35" s="3127" t="s">
        <v>314</v>
      </c>
      <c r="C35" s="3129" t="s">
        <v>452</v>
      </c>
      <c r="D35" s="1589" t="s">
        <v>261</v>
      </c>
      <c r="E35" s="177" t="s">
        <v>262</v>
      </c>
      <c r="F35" s="177" t="s">
        <v>10</v>
      </c>
      <c r="G35" s="1590">
        <v>0.03</v>
      </c>
      <c r="H35" s="774"/>
      <c r="I35" s="779"/>
      <c r="J35" s="774"/>
      <c r="K35" s="177" t="s">
        <v>226</v>
      </c>
      <c r="L35" s="184">
        <f>+'[15]POLFA-7'!$CY$4</f>
        <v>0</v>
      </c>
      <c r="M35" s="799">
        <v>0</v>
      </c>
      <c r="N35" s="19" t="e">
        <f>+M35/L35</f>
        <v>#DIV/0!</v>
      </c>
      <c r="O35" s="184">
        <f>+'[15]POLFA-7'!$CY$5</f>
        <v>0</v>
      </c>
      <c r="P35" s="799">
        <v>0</v>
      </c>
      <c r="Q35" s="19" t="e">
        <f>+P35/O35</f>
        <v>#DIV/0!</v>
      </c>
      <c r="R35" s="184">
        <f>+'[15]POLFA-7'!$CY$6</f>
        <v>0</v>
      </c>
      <c r="S35" s="799">
        <v>0</v>
      </c>
      <c r="T35" s="19" t="e">
        <f>+S35/R35</f>
        <v>#DIV/0!</v>
      </c>
      <c r="U35" s="184">
        <f>+'[15]POLFA-7'!$CY$7</f>
        <v>0</v>
      </c>
      <c r="V35" s="799">
        <v>0</v>
      </c>
      <c r="W35" s="19" t="e">
        <f>+V35/U35</f>
        <v>#DIV/0!</v>
      </c>
      <c r="X35" s="184">
        <f>+'[15]POLFA-7'!$CY$8</f>
        <v>0</v>
      </c>
      <c r="Y35" s="799">
        <v>0</v>
      </c>
      <c r="Z35" s="19" t="e">
        <f>+Y35/X35</f>
        <v>#DIV/0!</v>
      </c>
      <c r="AA35" s="184">
        <f>+'[15]POLFA-7'!$CY$9</f>
        <v>0</v>
      </c>
      <c r="AB35" s="799">
        <v>0</v>
      </c>
      <c r="AC35" s="19" t="e">
        <f>+AB35/AA35</f>
        <v>#DIV/0!</v>
      </c>
      <c r="AD35" s="800">
        <f>+AB35+Y35+V35+S35+P35+M35</f>
        <v>0</v>
      </c>
      <c r="AE35" s="19">
        <f t="shared" si="16"/>
        <v>0</v>
      </c>
      <c r="AF35" s="184">
        <f>+'[15]POLFA-7'!$CY$10</f>
        <v>0</v>
      </c>
      <c r="AG35" s="799">
        <v>0</v>
      </c>
      <c r="AH35" s="19" t="e">
        <f>+AG35/AF35</f>
        <v>#DIV/0!</v>
      </c>
      <c r="AI35" s="184">
        <f>+'[15]POLFA-7'!$CY$11</f>
        <v>0</v>
      </c>
      <c r="AJ35" s="799">
        <v>0</v>
      </c>
      <c r="AK35" s="19" t="e">
        <f>+AJ35/AI35</f>
        <v>#DIV/0!</v>
      </c>
      <c r="AL35" s="184">
        <f>+'[15]POLFA-7'!$CY$12</f>
        <v>0</v>
      </c>
      <c r="AM35" s="799">
        <v>0</v>
      </c>
      <c r="AN35" s="19" t="e">
        <f>+AM35/AL35</f>
        <v>#DIV/0!</v>
      </c>
      <c r="AO35" s="184">
        <f>+'[15]POLFA-7'!$CY$13</f>
        <v>0</v>
      </c>
      <c r="AP35" s="799">
        <v>0</v>
      </c>
      <c r="AQ35" s="19" t="e">
        <f>+AP35/AO35</f>
        <v>#DIV/0!</v>
      </c>
      <c r="AR35" s="184">
        <f>+'[15]POLFA-7'!$CY$14</f>
        <v>0</v>
      </c>
      <c r="AS35" s="799">
        <v>0</v>
      </c>
      <c r="AT35" s="19" t="e">
        <f>+AS35/AR35</f>
        <v>#DIV/0!</v>
      </c>
      <c r="AU35" s="184">
        <f>+'[15]POLFA-7'!$CY$15</f>
        <v>0.03</v>
      </c>
      <c r="AV35" s="799">
        <v>0</v>
      </c>
      <c r="AW35" s="19">
        <f>+AV35/AU35</f>
        <v>0</v>
      </c>
      <c r="AX35" s="184">
        <f>+AV35</f>
        <v>0</v>
      </c>
      <c r="AY35" s="1558">
        <f t="shared" si="18"/>
        <v>0</v>
      </c>
    </row>
    <row r="36" spans="1:51" ht="91.5" customHeight="1" thickTop="1" thickBot="1">
      <c r="A36" s="3126"/>
      <c r="B36" s="3128"/>
      <c r="C36" s="3130"/>
      <c r="D36" s="1591" t="s">
        <v>263</v>
      </c>
      <c r="E36" s="172" t="s">
        <v>264</v>
      </c>
      <c r="F36" s="172" t="s">
        <v>10</v>
      </c>
      <c r="G36" s="1001">
        <v>1</v>
      </c>
      <c r="H36" s="172"/>
      <c r="I36" s="172"/>
      <c r="J36" s="172"/>
      <c r="K36" s="172" t="s">
        <v>226</v>
      </c>
      <c r="L36" s="529">
        <f>+'[15]POLFA-8'!$CY$4</f>
        <v>0</v>
      </c>
      <c r="M36" s="527">
        <v>0</v>
      </c>
      <c r="N36" s="19" t="e">
        <f>+M36/L36</f>
        <v>#DIV/0!</v>
      </c>
      <c r="O36" s="529">
        <f>+'[15]POLFA-8'!$CY$5</f>
        <v>0</v>
      </c>
      <c r="P36" s="527">
        <v>0</v>
      </c>
      <c r="Q36" s="19" t="e">
        <f>+P36/O36</f>
        <v>#DIV/0!</v>
      </c>
      <c r="R36" s="529">
        <f>+'[15]POLFA-8'!$CY$6</f>
        <v>0</v>
      </c>
      <c r="S36" s="527">
        <v>0</v>
      </c>
      <c r="T36" s="19" t="e">
        <f>+S36/R36</f>
        <v>#DIV/0!</v>
      </c>
      <c r="U36" s="529">
        <f>+'[15]POLFA-8'!$CY$7</f>
        <v>0</v>
      </c>
      <c r="V36" s="527">
        <v>0</v>
      </c>
      <c r="W36" s="19" t="e">
        <f>+V36/U36</f>
        <v>#DIV/0!</v>
      </c>
      <c r="X36" s="529">
        <f>+'[15]POLFA-8'!$CY$8</f>
        <v>0</v>
      </c>
      <c r="Y36" s="1592">
        <v>0.16669999999999999</v>
      </c>
      <c r="Z36" s="19" t="e">
        <f>+Y36/X36</f>
        <v>#DIV/0!</v>
      </c>
      <c r="AA36" s="529">
        <f>+'[15]POLFA-8'!$CY$9</f>
        <v>0</v>
      </c>
      <c r="AB36" s="527">
        <f>16.67*4%</f>
        <v>0.66680000000000006</v>
      </c>
      <c r="AC36" s="19" t="e">
        <f>+AB36/AA36</f>
        <v>#DIV/0!</v>
      </c>
      <c r="AD36" s="1593">
        <f>+AB36+Y36+V36+S36+P36+M36</f>
        <v>0.83350000000000002</v>
      </c>
      <c r="AE36" s="19">
        <f t="shared" si="16"/>
        <v>0.83350000000000002</v>
      </c>
      <c r="AF36" s="529">
        <f>+'[15]POLFA-8'!$CY$10</f>
        <v>0</v>
      </c>
      <c r="AG36" s="527">
        <v>0</v>
      </c>
      <c r="AH36" s="19" t="e">
        <f>+AG36/AF36</f>
        <v>#DIV/0!</v>
      </c>
      <c r="AI36" s="529">
        <f>+'[15]POLFA-8'!$CY$11</f>
        <v>0</v>
      </c>
      <c r="AJ36" s="527">
        <v>0</v>
      </c>
      <c r="AK36" s="19" t="e">
        <f>+AJ36/AI36</f>
        <v>#DIV/0!</v>
      </c>
      <c r="AL36" s="529">
        <f>+'[15]POLFA-8'!$CY$12</f>
        <v>0.5</v>
      </c>
      <c r="AM36" s="527">
        <v>0</v>
      </c>
      <c r="AN36" s="19">
        <f>+AM36/AL36</f>
        <v>0</v>
      </c>
      <c r="AO36" s="529">
        <f>+'[15]POLFA-8'!$CY$13</f>
        <v>0</v>
      </c>
      <c r="AP36" s="527">
        <v>0</v>
      </c>
      <c r="AQ36" s="19" t="e">
        <f>+AP36/AO36</f>
        <v>#DIV/0!</v>
      </c>
      <c r="AR36" s="529">
        <f>+'[15]POLFA-8'!$CY$14</f>
        <v>0</v>
      </c>
      <c r="AS36" s="527">
        <v>0</v>
      </c>
      <c r="AT36" s="19" t="e">
        <f>+AS36/AR36</f>
        <v>#DIV/0!</v>
      </c>
      <c r="AU36" s="529">
        <f>+'[15]POLFA-8'!$CY$15</f>
        <v>0.5</v>
      </c>
      <c r="AV36" s="1592">
        <v>0.16669999999999999</v>
      </c>
      <c r="AW36" s="19">
        <f>+AV36/AU36</f>
        <v>0.33339999999999997</v>
      </c>
      <c r="AX36" s="529">
        <f>+AV36+AB36+Y36</f>
        <v>1.0002</v>
      </c>
      <c r="AY36" s="1203">
        <f t="shared" si="18"/>
        <v>1.0002</v>
      </c>
    </row>
    <row r="37" spans="1:51" ht="22.5" customHeight="1" thickTop="1" thickBot="1">
      <c r="A37" s="2843" t="s">
        <v>635</v>
      </c>
      <c r="B37" s="2843"/>
      <c r="C37" s="2843"/>
      <c r="D37" s="2843"/>
      <c r="E37" s="2843"/>
      <c r="F37" s="2843"/>
      <c r="G37" s="2843"/>
      <c r="H37" s="2843"/>
      <c r="I37" s="2843"/>
      <c r="J37" s="2843"/>
      <c r="K37" s="2843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1"/>
      <c r="AY37" s="1594"/>
    </row>
    <row r="38" spans="1:51" ht="75" customHeight="1" thickTop="1" thickBot="1">
      <c r="A38" s="202" t="s">
        <v>155</v>
      </c>
      <c r="B38" s="97" t="s">
        <v>156</v>
      </c>
      <c r="C38" s="74" t="s">
        <v>157</v>
      </c>
      <c r="D38" s="111" t="s">
        <v>158</v>
      </c>
      <c r="E38" s="74" t="s">
        <v>159</v>
      </c>
      <c r="F38" s="74" t="s">
        <v>265</v>
      </c>
      <c r="G38" s="203">
        <v>10</v>
      </c>
      <c r="H38" s="99">
        <v>10</v>
      </c>
      <c r="I38" s="204"/>
      <c r="J38" s="204"/>
      <c r="K38" s="25" t="s">
        <v>27</v>
      </c>
      <c r="L38" s="205">
        <f>+[7]DGRAE25!$CY$4</f>
        <v>0</v>
      </c>
      <c r="M38" s="206">
        <v>0</v>
      </c>
      <c r="N38" s="19" t="e">
        <f t="shared" ref="N38" si="19">+M38/L38</f>
        <v>#DIV/0!</v>
      </c>
      <c r="O38" s="205">
        <f>+[7]DGRAE25!$CY$5</f>
        <v>0</v>
      </c>
      <c r="P38" s="206">
        <v>0</v>
      </c>
      <c r="Q38" s="19" t="e">
        <f t="shared" ref="Q38" si="20">+P38/O38</f>
        <v>#DIV/0!</v>
      </c>
      <c r="R38" s="205">
        <f>+[7]DGRAE25!$CY$6</f>
        <v>0</v>
      </c>
      <c r="S38" s="206">
        <v>0</v>
      </c>
      <c r="T38" s="19" t="e">
        <f t="shared" ref="T38" si="21">+S38/R38</f>
        <v>#DIV/0!</v>
      </c>
      <c r="U38" s="205">
        <f>+[7]DGRAE25!$CY$7</f>
        <v>0</v>
      </c>
      <c r="V38" s="206">
        <v>0</v>
      </c>
      <c r="W38" s="19" t="e">
        <f t="shared" ref="W38" si="22">+V38/U38</f>
        <v>#DIV/0!</v>
      </c>
      <c r="X38" s="205">
        <f>+[7]DGRAE25!$CY$8</f>
        <v>2</v>
      </c>
      <c r="Y38" s="1595">
        <v>2</v>
      </c>
      <c r="Z38" s="19">
        <f t="shared" ref="Z38" si="23">+Y38/X38</f>
        <v>1</v>
      </c>
      <c r="AA38" s="205">
        <f>+[7]DGRAE25!$CY$9</f>
        <v>0</v>
      </c>
      <c r="AB38" s="206">
        <v>0</v>
      </c>
      <c r="AC38" s="19" t="e">
        <f t="shared" ref="AC38" si="24">+AB38/AA38</f>
        <v>#DIV/0!</v>
      </c>
      <c r="AD38" s="207">
        <f t="shared" ref="AD38" si="25">+AB38+Y38+V38+S38+P38+M38</f>
        <v>2</v>
      </c>
      <c r="AE38" s="19">
        <f t="shared" ref="AE38" si="26">+AD38/G38</f>
        <v>0.2</v>
      </c>
      <c r="AF38" s="205">
        <f>+[7]DGRAE25!$CY$10</f>
        <v>1</v>
      </c>
      <c r="AG38" s="1596">
        <v>1</v>
      </c>
      <c r="AH38" s="208">
        <f t="shared" ref="AH38" si="27">+AG38/AF38</f>
        <v>1</v>
      </c>
      <c r="AI38" s="205">
        <f>+[7]DGRAE25!$CY$11</f>
        <v>3</v>
      </c>
      <c r="AJ38" s="1596">
        <v>3</v>
      </c>
      <c r="AK38" s="208">
        <f t="shared" ref="AK38" si="28">+AJ38/AI38</f>
        <v>1</v>
      </c>
      <c r="AL38" s="205">
        <f>+[7]DGRAE25!$CY$12</f>
        <v>1</v>
      </c>
      <c r="AM38" s="1596">
        <v>1</v>
      </c>
      <c r="AN38" s="208">
        <f t="shared" ref="AN38" si="29">+AM38/AL38</f>
        <v>1</v>
      </c>
      <c r="AO38" s="205">
        <f>+[7]DGRAE25!$CY$13</f>
        <v>3</v>
      </c>
      <c r="AP38" s="1596">
        <v>3</v>
      </c>
      <c r="AQ38" s="19">
        <f t="shared" ref="AQ38" si="30">+AP38/AO38</f>
        <v>1</v>
      </c>
      <c r="AR38" s="205">
        <f>+[7]DGRAE25!$CY$14</f>
        <v>0</v>
      </c>
      <c r="AS38" s="206">
        <v>0</v>
      </c>
      <c r="AT38" s="19" t="e">
        <f t="shared" ref="AT38" si="31">+AS38/AR38</f>
        <v>#DIV/0!</v>
      </c>
      <c r="AU38" s="205">
        <f>+[7]DGRAE25!$CY$15</f>
        <v>0</v>
      </c>
      <c r="AV38" s="206">
        <v>0</v>
      </c>
      <c r="AW38" s="19" t="e">
        <f t="shared" ref="AW38" si="32">+AV38/AU38</f>
        <v>#DIV/0!</v>
      </c>
      <c r="AX38" s="1597">
        <f t="shared" ref="AX38" si="33">+M38+P38+S38+V38+Y38+AB38+AG38+AJ38+AM38+AP38+AS38+AV38</f>
        <v>10</v>
      </c>
      <c r="AY38" s="1203">
        <f>+AX38/G38</f>
        <v>1</v>
      </c>
    </row>
    <row r="39" spans="1:51" ht="22.5" customHeight="1" thickTop="1"/>
  </sheetData>
  <sheetProtection algorithmName="SHA-512" hashValue="+uzfMYFH6DJWhtnhuqRm6dICSn2c0MprYhYYB5+xkIu0qLtH6mb/mYf5GrnMuo58FMBFMpexqlT4yrdBvadYIg==" saltValue="9ejDwwoQ+8QSxvhdaBfSpA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AD29:AD30" name="Rango1_2"/>
    <protectedRange algorithmName="SHA-512" hashValue="Uds9cYMsxnQI1SjFHe8NNqfDC/fFeray9QhmtAdG/GCgT0L97QBkFAQ9tCw5vTy3J/lQFdDpBTyQoZDg0KZNmQ==" saltValue="0HoWkw5WsZ+PdZDtJpkerg==" spinCount="100000" sqref="AX29:AX30" name="Rango1_1_1"/>
  </protectedRanges>
  <mergeCells count="40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9:A33"/>
    <mergeCell ref="B9:B10"/>
    <mergeCell ref="B11:B25"/>
    <mergeCell ref="C12:C17"/>
    <mergeCell ref="C19:C21"/>
    <mergeCell ref="B26:B33"/>
    <mergeCell ref="C28:C32"/>
    <mergeCell ref="A34:K34"/>
    <mergeCell ref="A35:A36"/>
    <mergeCell ref="B35:B36"/>
    <mergeCell ref="C35:C36"/>
    <mergeCell ref="A37:K37"/>
  </mergeCells>
  <conditionalFormatting sqref="AE11:AE28 AE31:AE36">
    <cfRule type="cellIs" dxfId="6034" priority="406" operator="greaterThan">
      <formula>110%</formula>
    </cfRule>
    <cfRule type="cellIs" dxfId="6033" priority="407" operator="between">
      <formula>100.001%</formula>
      <formula>110%</formula>
    </cfRule>
    <cfRule type="cellIs" dxfId="6032" priority="408" operator="between">
      <formula>70.001%</formula>
      <formula>100%</formula>
    </cfRule>
    <cfRule type="cellIs" dxfId="6031" priority="409" operator="between">
      <formula>0.00001%</formula>
      <formula>70%</formula>
    </cfRule>
    <cfRule type="cellIs" dxfId="6030" priority="410" operator="equal">
      <formula>0</formula>
    </cfRule>
  </conditionalFormatting>
  <conditionalFormatting sqref="AY11:AY28 AY35:AY36 AY31:AY33">
    <cfRule type="cellIs" dxfId="6029" priority="401" operator="greaterThan">
      <formula>110%</formula>
    </cfRule>
    <cfRule type="cellIs" dxfId="6028" priority="402" operator="between">
      <formula>100.001%</formula>
      <formula>110%</formula>
    </cfRule>
    <cfRule type="cellIs" dxfId="6027" priority="403" operator="between">
      <formula>70.001%</formula>
      <formula>100%</formula>
    </cfRule>
    <cfRule type="cellIs" dxfId="6026" priority="404" operator="between">
      <formula>0.00001%</formula>
      <formula>70%</formula>
    </cfRule>
    <cfRule type="cellIs" dxfId="6025" priority="405" operator="equal">
      <formula>0</formula>
    </cfRule>
  </conditionalFormatting>
  <conditionalFormatting sqref="N11">
    <cfRule type="cellIs" dxfId="6024" priority="396" operator="greaterThan">
      <formula>110%</formula>
    </cfRule>
    <cfRule type="cellIs" dxfId="6023" priority="397" operator="between">
      <formula>100.001%</formula>
      <formula>110%</formula>
    </cfRule>
    <cfRule type="cellIs" dxfId="6022" priority="398" operator="between">
      <formula>70.001%</formula>
      <formula>100%</formula>
    </cfRule>
    <cfRule type="cellIs" dxfId="6021" priority="399" operator="between">
      <formula>0.00001%</formula>
      <formula>70%</formula>
    </cfRule>
    <cfRule type="cellIs" dxfId="6020" priority="400" operator="equal">
      <formula>0</formula>
    </cfRule>
  </conditionalFormatting>
  <conditionalFormatting sqref="N12:N28 N35:N36 N32:N33">
    <cfRule type="cellIs" dxfId="6019" priority="391" operator="greaterThan">
      <formula>110%</formula>
    </cfRule>
    <cfRule type="cellIs" dxfId="6018" priority="392" operator="between">
      <formula>100.001%</formula>
      <formula>110%</formula>
    </cfRule>
    <cfRule type="cellIs" dxfId="6017" priority="393" operator="between">
      <formula>70.001%</formula>
      <formula>100%</formula>
    </cfRule>
    <cfRule type="cellIs" dxfId="6016" priority="394" operator="between">
      <formula>0.00001%</formula>
      <formula>70%</formula>
    </cfRule>
    <cfRule type="cellIs" dxfId="6015" priority="395" operator="equal">
      <formula>0</formula>
    </cfRule>
  </conditionalFormatting>
  <conditionalFormatting sqref="Q11">
    <cfRule type="cellIs" dxfId="6014" priority="386" operator="greaterThan">
      <formula>110%</formula>
    </cfRule>
    <cfRule type="cellIs" dxfId="6013" priority="387" operator="between">
      <formula>100.001%</formula>
      <formula>110%</formula>
    </cfRule>
    <cfRule type="cellIs" dxfId="6012" priority="388" operator="between">
      <formula>70.001%</formula>
      <formula>100%</formula>
    </cfRule>
    <cfRule type="cellIs" dxfId="6011" priority="389" operator="between">
      <formula>0.00001%</formula>
      <formula>70%</formula>
    </cfRule>
    <cfRule type="cellIs" dxfId="6010" priority="390" operator="equal">
      <formula>0</formula>
    </cfRule>
  </conditionalFormatting>
  <conditionalFormatting sqref="Q12:Q28 Q35:Q36 Q32:Q33">
    <cfRule type="cellIs" dxfId="6009" priority="381" operator="greaterThan">
      <formula>110%</formula>
    </cfRule>
    <cfRule type="cellIs" dxfId="6008" priority="382" operator="between">
      <formula>100.001%</formula>
      <formula>110%</formula>
    </cfRule>
    <cfRule type="cellIs" dxfId="6007" priority="383" operator="between">
      <formula>70.001%</formula>
      <formula>100%</formula>
    </cfRule>
    <cfRule type="cellIs" dxfId="6006" priority="384" operator="between">
      <formula>0.00001%</formula>
      <formula>70%</formula>
    </cfRule>
    <cfRule type="cellIs" dxfId="6005" priority="385" operator="equal">
      <formula>0</formula>
    </cfRule>
  </conditionalFormatting>
  <conditionalFormatting sqref="T11">
    <cfRule type="cellIs" dxfId="6004" priority="376" operator="greaterThan">
      <formula>110%</formula>
    </cfRule>
    <cfRule type="cellIs" dxfId="6003" priority="377" operator="between">
      <formula>100.001%</formula>
      <formula>110%</formula>
    </cfRule>
    <cfRule type="cellIs" dxfId="6002" priority="378" operator="between">
      <formula>70.001%</formula>
      <formula>100%</formula>
    </cfRule>
    <cfRule type="cellIs" dxfId="6001" priority="379" operator="between">
      <formula>0.00001%</formula>
      <formula>70%</formula>
    </cfRule>
    <cfRule type="cellIs" dxfId="6000" priority="380" operator="equal">
      <formula>0</formula>
    </cfRule>
  </conditionalFormatting>
  <conditionalFormatting sqref="T12:T28 T35:T36 T32:T33">
    <cfRule type="cellIs" dxfId="5999" priority="371" operator="greaterThan">
      <formula>110%</formula>
    </cfRule>
    <cfRule type="cellIs" dxfId="5998" priority="372" operator="between">
      <formula>100.001%</formula>
      <formula>110%</formula>
    </cfRule>
    <cfRule type="cellIs" dxfId="5997" priority="373" operator="between">
      <formula>70.001%</formula>
      <formula>100%</formula>
    </cfRule>
    <cfRule type="cellIs" dxfId="5996" priority="374" operator="between">
      <formula>0.00001%</formula>
      <formula>70%</formula>
    </cfRule>
    <cfRule type="cellIs" dxfId="5995" priority="375" operator="equal">
      <formula>0</formula>
    </cfRule>
  </conditionalFormatting>
  <conditionalFormatting sqref="W11">
    <cfRule type="cellIs" dxfId="5994" priority="366" operator="greaterThan">
      <formula>110%</formula>
    </cfRule>
    <cfRule type="cellIs" dxfId="5993" priority="367" operator="between">
      <formula>100.001%</formula>
      <formula>110%</formula>
    </cfRule>
    <cfRule type="cellIs" dxfId="5992" priority="368" operator="between">
      <formula>70.001%</formula>
      <formula>100%</formula>
    </cfRule>
    <cfRule type="cellIs" dxfId="5991" priority="369" operator="between">
      <formula>0.00001%</formula>
      <formula>70%</formula>
    </cfRule>
    <cfRule type="cellIs" dxfId="5990" priority="370" operator="equal">
      <formula>0</formula>
    </cfRule>
  </conditionalFormatting>
  <conditionalFormatting sqref="W12:W28 W35:W36 W31:W33">
    <cfRule type="cellIs" dxfId="5989" priority="361" operator="greaterThan">
      <formula>110%</formula>
    </cfRule>
    <cfRule type="cellIs" dxfId="5988" priority="362" operator="between">
      <formula>100.001%</formula>
      <formula>110%</formula>
    </cfRule>
    <cfRule type="cellIs" dxfId="5987" priority="363" operator="between">
      <formula>70.001%</formula>
      <formula>100%</formula>
    </cfRule>
    <cfRule type="cellIs" dxfId="5986" priority="364" operator="between">
      <formula>0.00001%</formula>
      <formula>70%</formula>
    </cfRule>
    <cfRule type="cellIs" dxfId="5985" priority="365" operator="equal">
      <formula>0</formula>
    </cfRule>
  </conditionalFormatting>
  <conditionalFormatting sqref="Z11">
    <cfRule type="cellIs" dxfId="5984" priority="356" operator="greaterThan">
      <formula>110%</formula>
    </cfRule>
    <cfRule type="cellIs" dxfId="5983" priority="357" operator="between">
      <formula>100.001%</formula>
      <formula>110%</formula>
    </cfRule>
    <cfRule type="cellIs" dxfId="5982" priority="358" operator="between">
      <formula>70.001%</formula>
      <formula>100%</formula>
    </cfRule>
    <cfRule type="cellIs" dxfId="5981" priority="359" operator="between">
      <formula>0.00001%</formula>
      <formula>70%</formula>
    </cfRule>
    <cfRule type="cellIs" dxfId="5980" priority="360" operator="equal">
      <formula>0</formula>
    </cfRule>
  </conditionalFormatting>
  <conditionalFormatting sqref="Z12:Z28 Z35:Z36 Z31:Z33">
    <cfRule type="cellIs" dxfId="5979" priority="351" operator="greaterThan">
      <formula>110%</formula>
    </cfRule>
    <cfRule type="cellIs" dxfId="5978" priority="352" operator="between">
      <formula>100.001%</formula>
      <formula>110%</formula>
    </cfRule>
    <cfRule type="cellIs" dxfId="5977" priority="353" operator="between">
      <formula>70.001%</formula>
      <formula>100%</formula>
    </cfRule>
    <cfRule type="cellIs" dxfId="5976" priority="354" operator="between">
      <formula>0.00001%</formula>
      <formula>70%</formula>
    </cfRule>
    <cfRule type="cellIs" dxfId="5975" priority="355" operator="equal">
      <formula>0</formula>
    </cfRule>
  </conditionalFormatting>
  <conditionalFormatting sqref="AC11">
    <cfRule type="cellIs" dxfId="5974" priority="346" operator="greaterThan">
      <formula>110%</formula>
    </cfRule>
    <cfRule type="cellIs" dxfId="5973" priority="347" operator="between">
      <formula>100.001%</formula>
      <formula>110%</formula>
    </cfRule>
    <cfRule type="cellIs" dxfId="5972" priority="348" operator="between">
      <formula>70.001%</formula>
      <formula>100%</formula>
    </cfRule>
    <cfRule type="cellIs" dxfId="5971" priority="349" operator="between">
      <formula>0.00001%</formula>
      <formula>70%</formula>
    </cfRule>
    <cfRule type="cellIs" dxfId="5970" priority="350" operator="equal">
      <formula>0</formula>
    </cfRule>
  </conditionalFormatting>
  <conditionalFormatting sqref="AC12:AC28 AC35:AC36 AC31:AC33">
    <cfRule type="cellIs" dxfId="5969" priority="341" operator="greaterThan">
      <formula>110%</formula>
    </cfRule>
    <cfRule type="cellIs" dxfId="5968" priority="342" operator="between">
      <formula>100.001%</formula>
      <formula>110%</formula>
    </cfRule>
    <cfRule type="cellIs" dxfId="5967" priority="343" operator="between">
      <formula>70.001%</formula>
      <formula>100%</formula>
    </cfRule>
    <cfRule type="cellIs" dxfId="5966" priority="344" operator="between">
      <formula>0.00001%</formula>
      <formula>70%</formula>
    </cfRule>
    <cfRule type="cellIs" dxfId="5965" priority="345" operator="equal">
      <formula>0</formula>
    </cfRule>
  </conditionalFormatting>
  <conditionalFormatting sqref="AH11">
    <cfRule type="cellIs" dxfId="5964" priority="336" operator="greaterThan">
      <formula>110%</formula>
    </cfRule>
    <cfRule type="cellIs" dxfId="5963" priority="337" operator="between">
      <formula>100.001%</formula>
      <formula>110%</formula>
    </cfRule>
    <cfRule type="cellIs" dxfId="5962" priority="338" operator="between">
      <formula>70.001%</formula>
      <formula>100%</formula>
    </cfRule>
    <cfRule type="cellIs" dxfId="5961" priority="339" operator="between">
      <formula>0.00001%</formula>
      <formula>70%</formula>
    </cfRule>
    <cfRule type="cellIs" dxfId="5960" priority="340" operator="equal">
      <formula>0</formula>
    </cfRule>
  </conditionalFormatting>
  <conditionalFormatting sqref="AH12:AH28 AH35:AH36 AH31:AH33">
    <cfRule type="cellIs" dxfId="5959" priority="331" operator="greaterThan">
      <formula>110%</formula>
    </cfRule>
    <cfRule type="cellIs" dxfId="5958" priority="332" operator="between">
      <formula>100.001%</formula>
      <formula>110%</formula>
    </cfRule>
    <cfRule type="cellIs" dxfId="5957" priority="333" operator="between">
      <formula>70.001%</formula>
      <formula>100%</formula>
    </cfRule>
    <cfRule type="cellIs" dxfId="5956" priority="334" operator="between">
      <formula>0.00001%</formula>
      <formula>70%</formula>
    </cfRule>
    <cfRule type="cellIs" dxfId="5955" priority="335" operator="equal">
      <formula>0</formula>
    </cfRule>
  </conditionalFormatting>
  <conditionalFormatting sqref="AK11">
    <cfRule type="cellIs" dxfId="5954" priority="326" operator="greaterThan">
      <formula>110%</formula>
    </cfRule>
    <cfRule type="cellIs" dxfId="5953" priority="327" operator="between">
      <formula>100.001%</formula>
      <formula>110%</formula>
    </cfRule>
    <cfRule type="cellIs" dxfId="5952" priority="328" operator="between">
      <formula>70.001%</formula>
      <formula>100%</formula>
    </cfRule>
    <cfRule type="cellIs" dxfId="5951" priority="329" operator="between">
      <formula>0.00001%</formula>
      <formula>70%</formula>
    </cfRule>
    <cfRule type="cellIs" dxfId="5950" priority="330" operator="equal">
      <formula>0</formula>
    </cfRule>
  </conditionalFormatting>
  <conditionalFormatting sqref="AK12:AK28 AK35:AK36 AK31:AK33">
    <cfRule type="cellIs" dxfId="5949" priority="321" operator="greaterThan">
      <formula>110%</formula>
    </cfRule>
    <cfRule type="cellIs" dxfId="5948" priority="322" operator="between">
      <formula>100.001%</formula>
      <formula>110%</formula>
    </cfRule>
    <cfRule type="cellIs" dxfId="5947" priority="323" operator="between">
      <formula>70.001%</formula>
      <formula>100%</formula>
    </cfRule>
    <cfRule type="cellIs" dxfId="5946" priority="324" operator="between">
      <formula>0.00001%</formula>
      <formula>70%</formula>
    </cfRule>
    <cfRule type="cellIs" dxfId="5945" priority="325" operator="equal">
      <formula>0</formula>
    </cfRule>
  </conditionalFormatting>
  <conditionalFormatting sqref="AN11">
    <cfRule type="cellIs" dxfId="5944" priority="316" operator="greaterThan">
      <formula>110%</formula>
    </cfRule>
    <cfRule type="cellIs" dxfId="5943" priority="317" operator="between">
      <formula>100.001%</formula>
      <formula>110%</formula>
    </cfRule>
    <cfRule type="cellIs" dxfId="5942" priority="318" operator="between">
      <formula>70.001%</formula>
      <formula>100%</formula>
    </cfRule>
    <cfRule type="cellIs" dxfId="5941" priority="319" operator="between">
      <formula>0.00001%</formula>
      <formula>70%</formula>
    </cfRule>
    <cfRule type="cellIs" dxfId="5940" priority="320" operator="equal">
      <formula>0</formula>
    </cfRule>
  </conditionalFormatting>
  <conditionalFormatting sqref="AN12:AN28 AN35:AN36 AN31:AN33">
    <cfRule type="cellIs" dxfId="5939" priority="311" operator="greaterThan">
      <formula>110%</formula>
    </cfRule>
    <cfRule type="cellIs" dxfId="5938" priority="312" operator="between">
      <formula>100.001%</formula>
      <formula>110%</formula>
    </cfRule>
    <cfRule type="cellIs" dxfId="5937" priority="313" operator="between">
      <formula>70.001%</formula>
      <formula>100%</formula>
    </cfRule>
    <cfRule type="cellIs" dxfId="5936" priority="314" operator="between">
      <formula>0.00001%</formula>
      <formula>70%</formula>
    </cfRule>
    <cfRule type="cellIs" dxfId="5935" priority="315" operator="equal">
      <formula>0</formula>
    </cfRule>
  </conditionalFormatting>
  <conditionalFormatting sqref="AQ11">
    <cfRule type="cellIs" dxfId="5934" priority="306" operator="greaterThan">
      <formula>110%</formula>
    </cfRule>
    <cfRule type="cellIs" dxfId="5933" priority="307" operator="between">
      <formula>100.001%</formula>
      <formula>110%</formula>
    </cfRule>
    <cfRule type="cellIs" dxfId="5932" priority="308" operator="between">
      <formula>70.001%</formula>
      <formula>100%</formula>
    </cfRule>
    <cfRule type="cellIs" dxfId="5931" priority="309" operator="between">
      <formula>0.00001%</formula>
      <formula>70%</formula>
    </cfRule>
    <cfRule type="cellIs" dxfId="5930" priority="310" operator="equal">
      <formula>0</formula>
    </cfRule>
  </conditionalFormatting>
  <conditionalFormatting sqref="AQ12:AQ28 AQ35:AQ36 AQ31:AQ33">
    <cfRule type="cellIs" dxfId="5929" priority="301" operator="greaterThan">
      <formula>110%</formula>
    </cfRule>
    <cfRule type="cellIs" dxfId="5928" priority="302" operator="between">
      <formula>100.001%</formula>
      <formula>110%</formula>
    </cfRule>
    <cfRule type="cellIs" dxfId="5927" priority="303" operator="between">
      <formula>70.001%</formula>
      <formula>100%</formula>
    </cfRule>
    <cfRule type="cellIs" dxfId="5926" priority="304" operator="between">
      <formula>0.00001%</formula>
      <formula>70%</formula>
    </cfRule>
    <cfRule type="cellIs" dxfId="5925" priority="305" operator="equal">
      <formula>0</formula>
    </cfRule>
  </conditionalFormatting>
  <conditionalFormatting sqref="AT11">
    <cfRule type="cellIs" dxfId="5924" priority="296" operator="greaterThan">
      <formula>110%</formula>
    </cfRule>
    <cfRule type="cellIs" dxfId="5923" priority="297" operator="between">
      <formula>100.001%</formula>
      <formula>110%</formula>
    </cfRule>
    <cfRule type="cellIs" dxfId="5922" priority="298" operator="between">
      <formula>70.001%</formula>
      <formula>100%</formula>
    </cfRule>
    <cfRule type="cellIs" dxfId="5921" priority="299" operator="between">
      <formula>0.00001%</formula>
      <formula>70%</formula>
    </cfRule>
    <cfRule type="cellIs" dxfId="5920" priority="300" operator="equal">
      <formula>0</formula>
    </cfRule>
  </conditionalFormatting>
  <conditionalFormatting sqref="AT12:AT28 AT35:AT36 AT31:AT33">
    <cfRule type="cellIs" dxfId="5919" priority="291" operator="greaterThan">
      <formula>110%</formula>
    </cfRule>
    <cfRule type="cellIs" dxfId="5918" priority="292" operator="between">
      <formula>100.001%</formula>
      <formula>110%</formula>
    </cfRule>
    <cfRule type="cellIs" dxfId="5917" priority="293" operator="between">
      <formula>70.001%</formula>
      <formula>100%</formula>
    </cfRule>
    <cfRule type="cellIs" dxfId="5916" priority="294" operator="between">
      <formula>0.00001%</formula>
      <formula>70%</formula>
    </cfRule>
    <cfRule type="cellIs" dxfId="5915" priority="295" operator="equal">
      <formula>0</formula>
    </cfRule>
  </conditionalFormatting>
  <conditionalFormatting sqref="AW11">
    <cfRule type="cellIs" dxfId="5914" priority="286" operator="greaterThan">
      <formula>110%</formula>
    </cfRule>
    <cfRule type="cellIs" dxfId="5913" priority="287" operator="between">
      <formula>100.001%</formula>
      <formula>110%</formula>
    </cfRule>
    <cfRule type="cellIs" dxfId="5912" priority="288" operator="between">
      <formula>70.001%</formula>
      <formula>100%</formula>
    </cfRule>
    <cfRule type="cellIs" dxfId="5911" priority="289" operator="between">
      <formula>0.00001%</formula>
      <formula>70%</formula>
    </cfRule>
    <cfRule type="cellIs" dxfId="5910" priority="290" operator="equal">
      <formula>0</formula>
    </cfRule>
  </conditionalFormatting>
  <conditionalFormatting sqref="AW12:AW28 AW35:AW36 AW31:AW33">
    <cfRule type="cellIs" dxfId="5909" priority="281" operator="greaterThan">
      <formula>110%</formula>
    </cfRule>
    <cfRule type="cellIs" dxfId="5908" priority="282" operator="between">
      <formula>100.001%</formula>
      <formula>110%</formula>
    </cfRule>
    <cfRule type="cellIs" dxfId="5907" priority="283" operator="between">
      <formula>70.001%</formula>
      <formula>100%</formula>
    </cfRule>
    <cfRule type="cellIs" dxfId="5906" priority="284" operator="between">
      <formula>0.00001%</formula>
      <formula>70%</formula>
    </cfRule>
    <cfRule type="cellIs" dxfId="5905" priority="285" operator="equal">
      <formula>0</formula>
    </cfRule>
  </conditionalFormatting>
  <conditionalFormatting sqref="AE9:AE10">
    <cfRule type="cellIs" dxfId="5904" priority="276" operator="greaterThan">
      <formula>110%</formula>
    </cfRule>
    <cfRule type="cellIs" dxfId="5903" priority="277" operator="between">
      <formula>100.001%</formula>
      <formula>110%</formula>
    </cfRule>
    <cfRule type="cellIs" dxfId="5902" priority="278" operator="between">
      <formula>70.001%</formula>
      <formula>100%</formula>
    </cfRule>
    <cfRule type="cellIs" dxfId="5901" priority="279" operator="between">
      <formula>0.00001%</formula>
      <formula>70%</formula>
    </cfRule>
    <cfRule type="cellIs" dxfId="5900" priority="280" operator="equal">
      <formula>0</formula>
    </cfRule>
  </conditionalFormatting>
  <conditionalFormatting sqref="AY9:AY10">
    <cfRule type="cellIs" dxfId="5899" priority="271" operator="greaterThan">
      <formula>110%</formula>
    </cfRule>
    <cfRule type="cellIs" dxfId="5898" priority="272" operator="between">
      <formula>100.001%</formula>
      <formula>110%</formula>
    </cfRule>
    <cfRule type="cellIs" dxfId="5897" priority="273" operator="between">
      <formula>70.001%</formula>
      <formula>100%</formula>
    </cfRule>
    <cfRule type="cellIs" dxfId="5896" priority="274" operator="between">
      <formula>0.00001%</formula>
      <formula>70%</formula>
    </cfRule>
    <cfRule type="cellIs" dxfId="5895" priority="275" operator="equal">
      <formula>0</formula>
    </cfRule>
  </conditionalFormatting>
  <conditionalFormatting sqref="N9:N10">
    <cfRule type="cellIs" dxfId="5894" priority="266" operator="greaterThan">
      <formula>110%</formula>
    </cfRule>
    <cfRule type="cellIs" dxfId="5893" priority="267" operator="between">
      <formula>100.001%</formula>
      <formula>110%</formula>
    </cfRule>
    <cfRule type="cellIs" dxfId="5892" priority="268" operator="between">
      <formula>70.001%</formula>
      <formula>100%</formula>
    </cfRule>
    <cfRule type="cellIs" dxfId="5891" priority="269" operator="between">
      <formula>0.00001%</formula>
      <formula>70%</formula>
    </cfRule>
    <cfRule type="cellIs" dxfId="5890" priority="270" operator="equal">
      <formula>0</formula>
    </cfRule>
  </conditionalFormatting>
  <conditionalFormatting sqref="Q9:Q10">
    <cfRule type="cellIs" dxfId="5889" priority="261" operator="greaterThan">
      <formula>110%</formula>
    </cfRule>
    <cfRule type="cellIs" dxfId="5888" priority="262" operator="between">
      <formula>100.001%</formula>
      <formula>110%</formula>
    </cfRule>
    <cfRule type="cellIs" dxfId="5887" priority="263" operator="between">
      <formula>70.001%</formula>
      <formula>100%</formula>
    </cfRule>
    <cfRule type="cellIs" dxfId="5886" priority="264" operator="between">
      <formula>0.00001%</formula>
      <formula>70%</formula>
    </cfRule>
    <cfRule type="cellIs" dxfId="5885" priority="265" operator="equal">
      <formula>0</formula>
    </cfRule>
  </conditionalFormatting>
  <conditionalFormatting sqref="T9:T10">
    <cfRule type="cellIs" dxfId="5884" priority="256" operator="greaterThan">
      <formula>110%</formula>
    </cfRule>
    <cfRule type="cellIs" dxfId="5883" priority="257" operator="between">
      <formula>100.001%</formula>
      <formula>110%</formula>
    </cfRule>
    <cfRule type="cellIs" dxfId="5882" priority="258" operator="between">
      <formula>70.001%</formula>
      <formula>100%</formula>
    </cfRule>
    <cfRule type="cellIs" dxfId="5881" priority="259" operator="between">
      <formula>0.00001%</formula>
      <formula>70%</formula>
    </cfRule>
    <cfRule type="cellIs" dxfId="5880" priority="260" operator="equal">
      <formula>0</formula>
    </cfRule>
  </conditionalFormatting>
  <conditionalFormatting sqref="W9:W10">
    <cfRule type="cellIs" dxfId="5879" priority="251" operator="greaterThan">
      <formula>110%</formula>
    </cfRule>
    <cfRule type="cellIs" dxfId="5878" priority="252" operator="between">
      <formula>100.001%</formula>
      <formula>110%</formula>
    </cfRule>
    <cfRule type="cellIs" dxfId="5877" priority="253" operator="between">
      <formula>70.001%</formula>
      <formula>100%</formula>
    </cfRule>
    <cfRule type="cellIs" dxfId="5876" priority="254" operator="between">
      <formula>0.00001%</formula>
      <formula>70%</formula>
    </cfRule>
    <cfRule type="cellIs" dxfId="5875" priority="255" operator="equal">
      <formula>0</formula>
    </cfRule>
  </conditionalFormatting>
  <conditionalFormatting sqref="Z9:Z10">
    <cfRule type="cellIs" dxfId="5874" priority="246" operator="greaterThan">
      <formula>110%</formula>
    </cfRule>
    <cfRule type="cellIs" dxfId="5873" priority="247" operator="between">
      <formula>100.001%</formula>
      <formula>110%</formula>
    </cfRule>
    <cfRule type="cellIs" dxfId="5872" priority="248" operator="between">
      <formula>70.001%</formula>
      <formula>100%</formula>
    </cfRule>
    <cfRule type="cellIs" dxfId="5871" priority="249" operator="between">
      <formula>0.00001%</formula>
      <formula>70%</formula>
    </cfRule>
    <cfRule type="cellIs" dxfId="5870" priority="250" operator="equal">
      <formula>0</formula>
    </cfRule>
  </conditionalFormatting>
  <conditionalFormatting sqref="AC9:AC10">
    <cfRule type="cellIs" dxfId="5869" priority="241" operator="greaterThan">
      <formula>110%</formula>
    </cfRule>
    <cfRule type="cellIs" dxfId="5868" priority="242" operator="between">
      <formula>100.001%</formula>
      <formula>110%</formula>
    </cfRule>
    <cfRule type="cellIs" dxfId="5867" priority="243" operator="between">
      <formula>70.001%</formula>
      <formula>100%</formula>
    </cfRule>
    <cfRule type="cellIs" dxfId="5866" priority="244" operator="between">
      <formula>0.00001%</formula>
      <formula>70%</formula>
    </cfRule>
    <cfRule type="cellIs" dxfId="5865" priority="245" operator="equal">
      <formula>0</formula>
    </cfRule>
  </conditionalFormatting>
  <conditionalFormatting sqref="AH9:AH10">
    <cfRule type="cellIs" dxfId="5864" priority="236" operator="greaterThan">
      <formula>110%</formula>
    </cfRule>
    <cfRule type="cellIs" dxfId="5863" priority="237" operator="between">
      <formula>100.001%</formula>
      <formula>110%</formula>
    </cfRule>
    <cfRule type="cellIs" dxfId="5862" priority="238" operator="between">
      <formula>70.001%</formula>
      <formula>100%</formula>
    </cfRule>
    <cfRule type="cellIs" dxfId="5861" priority="239" operator="between">
      <formula>0.00001%</formula>
      <formula>70%</formula>
    </cfRule>
    <cfRule type="cellIs" dxfId="5860" priority="240" operator="equal">
      <formula>0</formula>
    </cfRule>
  </conditionalFormatting>
  <conditionalFormatting sqref="AK9:AK10">
    <cfRule type="cellIs" dxfId="5859" priority="231" operator="greaterThan">
      <formula>110%</formula>
    </cfRule>
    <cfRule type="cellIs" dxfId="5858" priority="232" operator="between">
      <formula>100.001%</formula>
      <formula>110%</formula>
    </cfRule>
    <cfRule type="cellIs" dxfId="5857" priority="233" operator="between">
      <formula>70.001%</formula>
      <formula>100%</formula>
    </cfRule>
    <cfRule type="cellIs" dxfId="5856" priority="234" operator="between">
      <formula>0.00001%</formula>
      <formula>70%</formula>
    </cfRule>
    <cfRule type="cellIs" dxfId="5855" priority="235" operator="equal">
      <formula>0</formula>
    </cfRule>
  </conditionalFormatting>
  <conditionalFormatting sqref="AN9:AN10">
    <cfRule type="cellIs" dxfId="5854" priority="226" operator="greaterThan">
      <formula>110%</formula>
    </cfRule>
    <cfRule type="cellIs" dxfId="5853" priority="227" operator="between">
      <formula>100.001%</formula>
      <formula>110%</formula>
    </cfRule>
    <cfRule type="cellIs" dxfId="5852" priority="228" operator="between">
      <formula>70.001%</formula>
      <formula>100%</formula>
    </cfRule>
    <cfRule type="cellIs" dxfId="5851" priority="229" operator="between">
      <formula>0.00001%</formula>
      <formula>70%</formula>
    </cfRule>
    <cfRule type="cellIs" dxfId="5850" priority="230" operator="equal">
      <formula>0</formula>
    </cfRule>
  </conditionalFormatting>
  <conditionalFormatting sqref="AQ9:AQ10">
    <cfRule type="cellIs" dxfId="5849" priority="221" operator="greaterThan">
      <formula>110%</formula>
    </cfRule>
    <cfRule type="cellIs" dxfId="5848" priority="222" operator="between">
      <formula>100.001%</formula>
      <formula>110%</formula>
    </cfRule>
    <cfRule type="cellIs" dxfId="5847" priority="223" operator="between">
      <formula>70.001%</formula>
      <formula>100%</formula>
    </cfRule>
    <cfRule type="cellIs" dxfId="5846" priority="224" operator="between">
      <formula>0.00001%</formula>
      <formula>70%</formula>
    </cfRule>
    <cfRule type="cellIs" dxfId="5845" priority="225" operator="equal">
      <formula>0</formula>
    </cfRule>
  </conditionalFormatting>
  <conditionalFormatting sqref="AT9:AT10">
    <cfRule type="cellIs" dxfId="5844" priority="216" operator="greaterThan">
      <formula>110%</formula>
    </cfRule>
    <cfRule type="cellIs" dxfId="5843" priority="217" operator="between">
      <formula>100.001%</formula>
      <formula>110%</formula>
    </cfRule>
    <cfRule type="cellIs" dxfId="5842" priority="218" operator="between">
      <formula>70.001%</formula>
      <formula>100%</formula>
    </cfRule>
    <cfRule type="cellIs" dxfId="5841" priority="219" operator="between">
      <formula>0.00001%</formula>
      <formula>70%</formula>
    </cfRule>
    <cfRule type="cellIs" dxfId="5840" priority="220" operator="equal">
      <formula>0</formula>
    </cfRule>
  </conditionalFormatting>
  <conditionalFormatting sqref="AW9:AW10">
    <cfRule type="cellIs" dxfId="5839" priority="211" operator="greaterThan">
      <formula>110%</formula>
    </cfRule>
    <cfRule type="cellIs" dxfId="5838" priority="212" operator="between">
      <formula>100.001%</formula>
      <formula>110%</formula>
    </cfRule>
    <cfRule type="cellIs" dxfId="5837" priority="213" operator="between">
      <formula>70.001%</formula>
      <formula>100%</formula>
    </cfRule>
    <cfRule type="cellIs" dxfId="5836" priority="214" operator="between">
      <formula>0.00001%</formula>
      <formula>70%</formula>
    </cfRule>
    <cfRule type="cellIs" dxfId="5835" priority="215" operator="equal">
      <formula>0</formula>
    </cfRule>
  </conditionalFormatting>
  <conditionalFormatting sqref="AE38">
    <cfRule type="cellIs" dxfId="5834" priority="206" operator="greaterThan">
      <formula>110%</formula>
    </cfRule>
    <cfRule type="cellIs" dxfId="5833" priority="207" operator="between">
      <formula>100.001%</formula>
      <formula>110%</formula>
    </cfRule>
    <cfRule type="cellIs" dxfId="5832" priority="208" operator="between">
      <formula>70.001%</formula>
      <formula>100%</formula>
    </cfRule>
    <cfRule type="cellIs" dxfId="5831" priority="209" operator="between">
      <formula>0.00001%</formula>
      <formula>70%</formula>
    </cfRule>
    <cfRule type="cellIs" dxfId="5830" priority="210" operator="equal">
      <formula>0</formula>
    </cfRule>
  </conditionalFormatting>
  <conditionalFormatting sqref="AY38">
    <cfRule type="cellIs" dxfId="5829" priority="201" operator="greaterThan">
      <formula>110%</formula>
    </cfRule>
    <cfRule type="cellIs" dxfId="5828" priority="202" operator="between">
      <formula>100.001%</formula>
      <formula>110%</formula>
    </cfRule>
    <cfRule type="cellIs" dxfId="5827" priority="203" operator="between">
      <formula>70.001%</formula>
      <formula>100%</formula>
    </cfRule>
    <cfRule type="cellIs" dxfId="5826" priority="204" operator="between">
      <formula>0.00001%</formula>
      <formula>70%</formula>
    </cfRule>
    <cfRule type="cellIs" dxfId="5825" priority="205" operator="equal">
      <formula>0</formula>
    </cfRule>
  </conditionalFormatting>
  <conditionalFormatting sqref="N38">
    <cfRule type="cellIs" dxfId="5824" priority="196" operator="greaterThan">
      <formula>110%</formula>
    </cfRule>
    <cfRule type="cellIs" dxfId="5823" priority="197" operator="between">
      <formula>100.001%</formula>
      <formula>110%</formula>
    </cfRule>
    <cfRule type="cellIs" dxfId="5822" priority="198" operator="between">
      <formula>70.001%</formula>
      <formula>100%</formula>
    </cfRule>
    <cfRule type="cellIs" dxfId="5821" priority="199" operator="between">
      <formula>0.00001%</formula>
      <formula>70%</formula>
    </cfRule>
    <cfRule type="cellIs" dxfId="5820" priority="200" operator="equal">
      <formula>0</formula>
    </cfRule>
  </conditionalFormatting>
  <conditionalFormatting sqref="Q38">
    <cfRule type="cellIs" dxfId="5819" priority="191" operator="greaterThan">
      <formula>110%</formula>
    </cfRule>
    <cfRule type="cellIs" dxfId="5818" priority="192" operator="between">
      <formula>100.001%</formula>
      <formula>110%</formula>
    </cfRule>
    <cfRule type="cellIs" dxfId="5817" priority="193" operator="between">
      <formula>70.001%</formula>
      <formula>100%</formula>
    </cfRule>
    <cfRule type="cellIs" dxfId="5816" priority="194" operator="between">
      <formula>0.00001%</formula>
      <formula>70%</formula>
    </cfRule>
    <cfRule type="cellIs" dxfId="5815" priority="195" operator="equal">
      <formula>0</formula>
    </cfRule>
  </conditionalFormatting>
  <conditionalFormatting sqref="T38">
    <cfRule type="cellIs" dxfId="5814" priority="186" operator="greaterThan">
      <formula>110%</formula>
    </cfRule>
    <cfRule type="cellIs" dxfId="5813" priority="187" operator="between">
      <formula>100.001%</formula>
      <formula>110%</formula>
    </cfRule>
    <cfRule type="cellIs" dxfId="5812" priority="188" operator="between">
      <formula>70.001%</formula>
      <formula>100%</formula>
    </cfRule>
    <cfRule type="cellIs" dxfId="5811" priority="189" operator="between">
      <formula>0.00001%</formula>
      <formula>70%</formula>
    </cfRule>
    <cfRule type="cellIs" dxfId="5810" priority="190" operator="equal">
      <formula>0</formula>
    </cfRule>
  </conditionalFormatting>
  <conditionalFormatting sqref="W38">
    <cfRule type="cellIs" dxfId="5809" priority="181" operator="greaterThan">
      <formula>110%</formula>
    </cfRule>
    <cfRule type="cellIs" dxfId="5808" priority="182" operator="between">
      <formula>100.001%</formula>
      <formula>110%</formula>
    </cfRule>
    <cfRule type="cellIs" dxfId="5807" priority="183" operator="between">
      <formula>70.001%</formula>
      <formula>100%</formula>
    </cfRule>
    <cfRule type="cellIs" dxfId="5806" priority="184" operator="between">
      <formula>0.00001%</formula>
      <formula>70%</formula>
    </cfRule>
    <cfRule type="cellIs" dxfId="5805" priority="185" operator="equal">
      <formula>0</formula>
    </cfRule>
  </conditionalFormatting>
  <conditionalFormatting sqref="Z38">
    <cfRule type="cellIs" dxfId="5804" priority="176" operator="greaterThan">
      <formula>110%</formula>
    </cfRule>
    <cfRule type="cellIs" dxfId="5803" priority="177" operator="between">
      <formula>100.001%</formula>
      <formula>110%</formula>
    </cfRule>
    <cfRule type="cellIs" dxfId="5802" priority="178" operator="between">
      <formula>70.001%</formula>
      <formula>100%</formula>
    </cfRule>
    <cfRule type="cellIs" dxfId="5801" priority="179" operator="between">
      <formula>0.00001%</formula>
      <formula>70%</formula>
    </cfRule>
    <cfRule type="cellIs" dxfId="5800" priority="180" operator="equal">
      <formula>0</formula>
    </cfRule>
  </conditionalFormatting>
  <conditionalFormatting sqref="AC38">
    <cfRule type="cellIs" dxfId="5799" priority="171" operator="greaterThan">
      <formula>110%</formula>
    </cfRule>
    <cfRule type="cellIs" dxfId="5798" priority="172" operator="between">
      <formula>100.001%</formula>
      <formula>110%</formula>
    </cfRule>
    <cfRule type="cellIs" dxfId="5797" priority="173" operator="between">
      <formula>70.001%</formula>
      <formula>100%</formula>
    </cfRule>
    <cfRule type="cellIs" dxfId="5796" priority="174" operator="between">
      <formula>0.00001%</formula>
      <formula>70%</formula>
    </cfRule>
    <cfRule type="cellIs" dxfId="5795" priority="175" operator="equal">
      <formula>0</formula>
    </cfRule>
  </conditionalFormatting>
  <conditionalFormatting sqref="AH38">
    <cfRule type="cellIs" dxfId="5794" priority="166" operator="greaterThan">
      <formula>110%</formula>
    </cfRule>
    <cfRule type="cellIs" dxfId="5793" priority="167" operator="between">
      <formula>100.001%</formula>
      <formula>110%</formula>
    </cfRule>
    <cfRule type="cellIs" dxfId="5792" priority="168" operator="between">
      <formula>70.001%</formula>
      <formula>100%</formula>
    </cfRule>
    <cfRule type="cellIs" dxfId="5791" priority="169" operator="between">
      <formula>0.00001%</formula>
      <formula>70%</formula>
    </cfRule>
    <cfRule type="cellIs" dxfId="5790" priority="170" operator="equal">
      <formula>0</formula>
    </cfRule>
  </conditionalFormatting>
  <conditionalFormatting sqref="AK38">
    <cfRule type="cellIs" dxfId="5789" priority="161" operator="greaterThan">
      <formula>110%</formula>
    </cfRule>
    <cfRule type="cellIs" dxfId="5788" priority="162" operator="between">
      <formula>100.001%</formula>
      <formula>110%</formula>
    </cfRule>
    <cfRule type="cellIs" dxfId="5787" priority="163" operator="between">
      <formula>70.001%</formula>
      <formula>100%</formula>
    </cfRule>
    <cfRule type="cellIs" dxfId="5786" priority="164" operator="between">
      <formula>0.00001%</formula>
      <formula>70%</formula>
    </cfRule>
    <cfRule type="cellIs" dxfId="5785" priority="165" operator="equal">
      <formula>0</formula>
    </cfRule>
  </conditionalFormatting>
  <conditionalFormatting sqref="AN38">
    <cfRule type="cellIs" dxfId="5784" priority="156" operator="greaterThan">
      <formula>110%</formula>
    </cfRule>
    <cfRule type="cellIs" dxfId="5783" priority="157" operator="between">
      <formula>100.001%</formula>
      <formula>110%</formula>
    </cfRule>
    <cfRule type="cellIs" dxfId="5782" priority="158" operator="between">
      <formula>70.001%</formula>
      <formula>100%</formula>
    </cfRule>
    <cfRule type="cellIs" dxfId="5781" priority="159" operator="between">
      <formula>0.00001%</formula>
      <formula>70%</formula>
    </cfRule>
    <cfRule type="cellIs" dxfId="5780" priority="160" operator="equal">
      <formula>0</formula>
    </cfRule>
  </conditionalFormatting>
  <conditionalFormatting sqref="AQ38">
    <cfRule type="cellIs" dxfId="5779" priority="151" operator="greaterThan">
      <formula>110%</formula>
    </cfRule>
    <cfRule type="cellIs" dxfId="5778" priority="152" operator="between">
      <formula>100.001%</formula>
      <formula>110%</formula>
    </cfRule>
    <cfRule type="cellIs" dxfId="5777" priority="153" operator="between">
      <formula>70.001%</formula>
      <formula>100%</formula>
    </cfRule>
    <cfRule type="cellIs" dxfId="5776" priority="154" operator="between">
      <formula>0.00001%</formula>
      <formula>70%</formula>
    </cfRule>
    <cfRule type="cellIs" dxfId="5775" priority="155" operator="equal">
      <formula>0</formula>
    </cfRule>
  </conditionalFormatting>
  <conditionalFormatting sqref="AT38">
    <cfRule type="cellIs" dxfId="5774" priority="146" operator="greaterThan">
      <formula>110%</formula>
    </cfRule>
    <cfRule type="cellIs" dxfId="5773" priority="147" operator="between">
      <formula>100.001%</formula>
      <formula>110%</formula>
    </cfRule>
    <cfRule type="cellIs" dxfId="5772" priority="148" operator="between">
      <formula>70.001%</formula>
      <formula>100%</formula>
    </cfRule>
    <cfRule type="cellIs" dxfId="5771" priority="149" operator="between">
      <formula>0.00001%</formula>
      <formula>70%</formula>
    </cfRule>
    <cfRule type="cellIs" dxfId="5770" priority="150" operator="equal">
      <formula>0</formula>
    </cfRule>
  </conditionalFormatting>
  <conditionalFormatting sqref="AW38">
    <cfRule type="cellIs" dxfId="5769" priority="141" operator="greaterThan">
      <formula>110%</formula>
    </cfRule>
    <cfRule type="cellIs" dxfId="5768" priority="142" operator="between">
      <formula>100.001%</formula>
      <formula>110%</formula>
    </cfRule>
    <cfRule type="cellIs" dxfId="5767" priority="143" operator="between">
      <formula>70.001%</formula>
      <formula>100%</formula>
    </cfRule>
    <cfRule type="cellIs" dxfId="5766" priority="144" operator="between">
      <formula>0.00001%</formula>
      <formula>70%</formula>
    </cfRule>
    <cfRule type="cellIs" dxfId="5765" priority="145" operator="equal">
      <formula>0</formula>
    </cfRule>
  </conditionalFormatting>
  <conditionalFormatting sqref="N29">
    <cfRule type="cellIs" dxfId="5764" priority="136" operator="greaterThan">
      <formula>110%</formula>
    </cfRule>
    <cfRule type="cellIs" dxfId="5763" priority="137" operator="between">
      <formula>100.001%</formula>
      <formula>110%</formula>
    </cfRule>
    <cfRule type="cellIs" dxfId="5762" priority="138" operator="between">
      <formula>70.001%</formula>
      <formula>100%</formula>
    </cfRule>
    <cfRule type="cellIs" dxfId="5761" priority="139" operator="between">
      <formula>0.00001%</formula>
      <formula>70%</formula>
    </cfRule>
    <cfRule type="cellIs" dxfId="5760" priority="140" operator="equal">
      <formula>0%</formula>
    </cfRule>
  </conditionalFormatting>
  <conditionalFormatting sqref="Q29">
    <cfRule type="cellIs" dxfId="5759" priority="131" operator="greaterThan">
      <formula>110%</formula>
    </cfRule>
    <cfRule type="cellIs" dxfId="5758" priority="132" operator="between">
      <formula>100.001%</formula>
      <formula>110%</formula>
    </cfRule>
    <cfRule type="cellIs" dxfId="5757" priority="133" operator="between">
      <formula>70.001%</formula>
      <formula>100%</formula>
    </cfRule>
    <cfRule type="cellIs" dxfId="5756" priority="134" operator="between">
      <formula>0.00001%</formula>
      <formula>70%</formula>
    </cfRule>
    <cfRule type="cellIs" dxfId="5755" priority="135" operator="equal">
      <formula>0%</formula>
    </cfRule>
  </conditionalFormatting>
  <conditionalFormatting sqref="T29">
    <cfRule type="cellIs" dxfId="5754" priority="126" operator="greaterThan">
      <formula>110%</formula>
    </cfRule>
    <cfRule type="cellIs" dxfId="5753" priority="127" operator="between">
      <formula>100.001%</formula>
      <formula>110%</formula>
    </cfRule>
    <cfRule type="cellIs" dxfId="5752" priority="128" operator="between">
      <formula>70.001%</formula>
      <formula>100%</formula>
    </cfRule>
    <cfRule type="cellIs" dxfId="5751" priority="129" operator="between">
      <formula>0.00001%</formula>
      <formula>70%</formula>
    </cfRule>
    <cfRule type="cellIs" dxfId="5750" priority="130" operator="equal">
      <formula>0%</formula>
    </cfRule>
  </conditionalFormatting>
  <conditionalFormatting sqref="W29">
    <cfRule type="cellIs" dxfId="5749" priority="121" operator="greaterThan">
      <formula>110%</formula>
    </cfRule>
    <cfRule type="cellIs" dxfId="5748" priority="122" operator="between">
      <formula>100.001%</formula>
      <formula>110%</formula>
    </cfRule>
    <cfRule type="cellIs" dxfId="5747" priority="123" operator="between">
      <formula>70.001%</formula>
      <formula>100%</formula>
    </cfRule>
    <cfRule type="cellIs" dxfId="5746" priority="124" operator="between">
      <formula>0.00001%</formula>
      <formula>70%</formula>
    </cfRule>
    <cfRule type="cellIs" dxfId="5745" priority="125" operator="equal">
      <formula>0%</formula>
    </cfRule>
  </conditionalFormatting>
  <conditionalFormatting sqref="Z29">
    <cfRule type="cellIs" dxfId="5744" priority="116" operator="greaterThan">
      <formula>110%</formula>
    </cfRule>
    <cfRule type="cellIs" dxfId="5743" priority="117" operator="between">
      <formula>100.001%</formula>
      <formula>110%</formula>
    </cfRule>
    <cfRule type="cellIs" dxfId="5742" priority="118" operator="between">
      <formula>70.001%</formula>
      <formula>100%</formula>
    </cfRule>
    <cfRule type="cellIs" dxfId="5741" priority="119" operator="between">
      <formula>0.00001%</formula>
      <formula>70%</formula>
    </cfRule>
    <cfRule type="cellIs" dxfId="5740" priority="120" operator="equal">
      <formula>0%</formula>
    </cfRule>
  </conditionalFormatting>
  <conditionalFormatting sqref="AC29">
    <cfRule type="cellIs" dxfId="5739" priority="111" operator="greaterThan">
      <formula>110%</formula>
    </cfRule>
    <cfRule type="cellIs" dxfId="5738" priority="112" operator="between">
      <formula>100.001%</formula>
      <formula>110%</formula>
    </cfRule>
    <cfRule type="cellIs" dxfId="5737" priority="113" operator="between">
      <formula>70.001%</formula>
      <formula>100%</formula>
    </cfRule>
    <cfRule type="cellIs" dxfId="5736" priority="114" operator="between">
      <formula>0.00001%</formula>
      <formula>70%</formula>
    </cfRule>
    <cfRule type="cellIs" dxfId="5735" priority="115" operator="equal">
      <formula>0%</formula>
    </cfRule>
  </conditionalFormatting>
  <conditionalFormatting sqref="AE29">
    <cfRule type="cellIs" dxfId="5734" priority="106" operator="greaterThan">
      <formula>110%</formula>
    </cfRule>
    <cfRule type="cellIs" dxfId="5733" priority="107" operator="between">
      <formula>100.001%</formula>
      <formula>110%</formula>
    </cfRule>
    <cfRule type="cellIs" dxfId="5732" priority="108" operator="between">
      <formula>70.001%</formula>
      <formula>100%</formula>
    </cfRule>
    <cfRule type="cellIs" dxfId="5731" priority="109" operator="between">
      <formula>0.00001%</formula>
      <formula>70%</formula>
    </cfRule>
    <cfRule type="cellIs" dxfId="5730" priority="110" operator="equal">
      <formula>0%</formula>
    </cfRule>
  </conditionalFormatting>
  <conditionalFormatting sqref="AH29">
    <cfRule type="cellIs" dxfId="5729" priority="101" operator="greaterThan">
      <formula>110%</formula>
    </cfRule>
    <cfRule type="cellIs" dxfId="5728" priority="102" operator="between">
      <formula>100.001%</formula>
      <formula>110%</formula>
    </cfRule>
    <cfRule type="cellIs" dxfId="5727" priority="103" operator="between">
      <formula>70.001%</formula>
      <formula>100%</formula>
    </cfRule>
    <cfRule type="cellIs" dxfId="5726" priority="104" operator="between">
      <formula>0.00001%</formula>
      <formula>70%</formula>
    </cfRule>
    <cfRule type="cellIs" dxfId="5725" priority="105" operator="equal">
      <formula>0%</formula>
    </cfRule>
  </conditionalFormatting>
  <conditionalFormatting sqref="AK29">
    <cfRule type="cellIs" dxfId="5724" priority="96" operator="greaterThan">
      <formula>110%</formula>
    </cfRule>
    <cfRule type="cellIs" dxfId="5723" priority="97" operator="between">
      <formula>100.001%</formula>
      <formula>110%</formula>
    </cfRule>
    <cfRule type="cellIs" dxfId="5722" priority="98" operator="between">
      <formula>70.001%</formula>
      <formula>100%</formula>
    </cfRule>
    <cfRule type="cellIs" dxfId="5721" priority="99" operator="between">
      <formula>0.00001%</formula>
      <formula>70%</formula>
    </cfRule>
    <cfRule type="cellIs" dxfId="5720" priority="100" operator="equal">
      <formula>0%</formula>
    </cfRule>
  </conditionalFormatting>
  <conditionalFormatting sqref="AN29">
    <cfRule type="cellIs" dxfId="5719" priority="91" operator="greaterThan">
      <formula>110%</formula>
    </cfRule>
    <cfRule type="cellIs" dxfId="5718" priority="92" operator="between">
      <formula>100.001%</formula>
      <formula>110%</formula>
    </cfRule>
    <cfRule type="cellIs" dxfId="5717" priority="93" operator="between">
      <formula>70.001%</formula>
      <formula>100%</formula>
    </cfRule>
    <cfRule type="cellIs" dxfId="5716" priority="94" operator="between">
      <formula>0.00001%</formula>
      <formula>70%</formula>
    </cfRule>
    <cfRule type="cellIs" dxfId="5715" priority="95" operator="equal">
      <formula>0%</formula>
    </cfRule>
  </conditionalFormatting>
  <conditionalFormatting sqref="AQ29">
    <cfRule type="cellIs" dxfId="5714" priority="86" operator="greaterThan">
      <formula>110%</formula>
    </cfRule>
    <cfRule type="cellIs" dxfId="5713" priority="87" operator="between">
      <formula>100.001%</formula>
      <formula>110%</formula>
    </cfRule>
    <cfRule type="cellIs" dxfId="5712" priority="88" operator="between">
      <formula>70.001%</formula>
      <formula>100%</formula>
    </cfRule>
    <cfRule type="cellIs" dxfId="5711" priority="89" operator="between">
      <formula>0.00001%</formula>
      <formula>70%</formula>
    </cfRule>
    <cfRule type="cellIs" dxfId="5710" priority="90" operator="equal">
      <formula>0%</formula>
    </cfRule>
  </conditionalFormatting>
  <conditionalFormatting sqref="AT29">
    <cfRule type="cellIs" dxfId="5709" priority="81" operator="greaterThan">
      <formula>110%</formula>
    </cfRule>
    <cfRule type="cellIs" dxfId="5708" priority="82" operator="between">
      <formula>100.001%</formula>
      <formula>110%</formula>
    </cfRule>
    <cfRule type="cellIs" dxfId="5707" priority="83" operator="between">
      <formula>70.001%</formula>
      <formula>100%</formula>
    </cfRule>
    <cfRule type="cellIs" dxfId="5706" priority="84" operator="between">
      <formula>0.00001%</formula>
      <formula>70%</formula>
    </cfRule>
    <cfRule type="cellIs" dxfId="5705" priority="85" operator="equal">
      <formula>0%</formula>
    </cfRule>
  </conditionalFormatting>
  <conditionalFormatting sqref="AW29">
    <cfRule type="cellIs" dxfId="5704" priority="76" operator="greaterThan">
      <formula>110%</formula>
    </cfRule>
    <cfRule type="cellIs" dxfId="5703" priority="77" operator="between">
      <formula>100.001%</formula>
      <formula>110%</formula>
    </cfRule>
    <cfRule type="cellIs" dxfId="5702" priority="78" operator="between">
      <formula>70.001%</formula>
      <formula>100%</formula>
    </cfRule>
    <cfRule type="cellIs" dxfId="5701" priority="79" operator="between">
      <formula>0.00001%</formula>
      <formula>70%</formula>
    </cfRule>
    <cfRule type="cellIs" dxfId="5700" priority="80" operator="equal">
      <formula>0%</formula>
    </cfRule>
  </conditionalFormatting>
  <conditionalFormatting sqref="AY29">
    <cfRule type="cellIs" dxfId="5699" priority="71" operator="greaterThan">
      <formula>110%</formula>
    </cfRule>
    <cfRule type="cellIs" dxfId="5698" priority="72" operator="between">
      <formula>100.001%</formula>
      <formula>110%</formula>
    </cfRule>
    <cfRule type="cellIs" dxfId="5697" priority="73" operator="between">
      <formula>70.001%</formula>
      <formula>100%</formula>
    </cfRule>
    <cfRule type="cellIs" dxfId="5696" priority="74" operator="between">
      <formula>0.00001%</formula>
      <formula>70%</formula>
    </cfRule>
    <cfRule type="cellIs" dxfId="5695" priority="75" operator="equal">
      <formula>0%</formula>
    </cfRule>
  </conditionalFormatting>
  <conditionalFormatting sqref="N30">
    <cfRule type="cellIs" dxfId="5694" priority="66" operator="greaterThan">
      <formula>110%</formula>
    </cfRule>
    <cfRule type="cellIs" dxfId="5693" priority="67" operator="between">
      <formula>100.001%</formula>
      <formula>110%</formula>
    </cfRule>
    <cfRule type="cellIs" dxfId="5692" priority="68" operator="between">
      <formula>70.001%</formula>
      <formula>100%</formula>
    </cfRule>
    <cfRule type="cellIs" dxfId="5691" priority="69" operator="between">
      <formula>0.00001%</formula>
      <formula>70%</formula>
    </cfRule>
    <cfRule type="cellIs" dxfId="5690" priority="70" operator="equal">
      <formula>0%</formula>
    </cfRule>
  </conditionalFormatting>
  <conditionalFormatting sqref="Q30">
    <cfRule type="cellIs" dxfId="5689" priority="61" operator="greaterThan">
      <formula>110%</formula>
    </cfRule>
    <cfRule type="cellIs" dxfId="5688" priority="62" operator="between">
      <formula>100.001%</formula>
      <formula>110%</formula>
    </cfRule>
    <cfRule type="cellIs" dxfId="5687" priority="63" operator="between">
      <formula>70.001%</formula>
      <formula>100%</formula>
    </cfRule>
    <cfRule type="cellIs" dxfId="5686" priority="64" operator="between">
      <formula>0.00001%</formula>
      <formula>70%</formula>
    </cfRule>
    <cfRule type="cellIs" dxfId="5685" priority="65" operator="equal">
      <formula>0%</formula>
    </cfRule>
  </conditionalFormatting>
  <conditionalFormatting sqref="T30">
    <cfRule type="cellIs" dxfId="5684" priority="56" operator="greaterThan">
      <formula>110%</formula>
    </cfRule>
    <cfRule type="cellIs" dxfId="5683" priority="57" operator="between">
      <formula>100.001%</formula>
      <formula>110%</formula>
    </cfRule>
    <cfRule type="cellIs" dxfId="5682" priority="58" operator="between">
      <formula>70.001%</formula>
      <formula>100%</formula>
    </cfRule>
    <cfRule type="cellIs" dxfId="5681" priority="59" operator="between">
      <formula>0.00001%</formula>
      <formula>70%</formula>
    </cfRule>
    <cfRule type="cellIs" dxfId="5680" priority="60" operator="equal">
      <formula>0%</formula>
    </cfRule>
  </conditionalFormatting>
  <conditionalFormatting sqref="W30">
    <cfRule type="cellIs" dxfId="5679" priority="51" operator="greaterThan">
      <formula>110%</formula>
    </cfRule>
    <cfRule type="cellIs" dxfId="5678" priority="52" operator="between">
      <formula>100.001%</formula>
      <formula>110%</formula>
    </cfRule>
    <cfRule type="cellIs" dxfId="5677" priority="53" operator="between">
      <formula>70.001%</formula>
      <formula>100%</formula>
    </cfRule>
    <cfRule type="cellIs" dxfId="5676" priority="54" operator="between">
      <formula>0.00001%</formula>
      <formula>70%</formula>
    </cfRule>
    <cfRule type="cellIs" dxfId="5675" priority="55" operator="equal">
      <formula>0%</formula>
    </cfRule>
  </conditionalFormatting>
  <conditionalFormatting sqref="Z30">
    <cfRule type="cellIs" dxfId="5674" priority="46" operator="greaterThan">
      <formula>110%</formula>
    </cfRule>
    <cfRule type="cellIs" dxfId="5673" priority="47" operator="between">
      <formula>100.001%</formula>
      <formula>110%</formula>
    </cfRule>
    <cfRule type="cellIs" dxfId="5672" priority="48" operator="between">
      <formula>70.001%</formula>
      <formula>100%</formula>
    </cfRule>
    <cfRule type="cellIs" dxfId="5671" priority="49" operator="between">
      <formula>0.00001%</formula>
      <formula>70%</formula>
    </cfRule>
    <cfRule type="cellIs" dxfId="5670" priority="50" operator="equal">
      <formula>0%</formula>
    </cfRule>
  </conditionalFormatting>
  <conditionalFormatting sqref="AC30">
    <cfRule type="cellIs" dxfId="5669" priority="41" operator="greaterThan">
      <formula>110%</formula>
    </cfRule>
    <cfRule type="cellIs" dxfId="5668" priority="42" operator="between">
      <formula>100.001%</formula>
      <formula>110%</formula>
    </cfRule>
    <cfRule type="cellIs" dxfId="5667" priority="43" operator="between">
      <formula>70.001%</formula>
      <formula>100%</formula>
    </cfRule>
    <cfRule type="cellIs" dxfId="5666" priority="44" operator="between">
      <formula>0.00001%</formula>
      <formula>70%</formula>
    </cfRule>
    <cfRule type="cellIs" dxfId="5665" priority="45" operator="equal">
      <formula>0%</formula>
    </cfRule>
  </conditionalFormatting>
  <conditionalFormatting sqref="AE30">
    <cfRule type="cellIs" dxfId="5664" priority="36" operator="greaterThan">
      <formula>110%</formula>
    </cfRule>
    <cfRule type="cellIs" dxfId="5663" priority="37" operator="between">
      <formula>100.001%</formula>
      <formula>110%</formula>
    </cfRule>
    <cfRule type="cellIs" dxfId="5662" priority="38" operator="between">
      <formula>70.001%</formula>
      <formula>100%</formula>
    </cfRule>
    <cfRule type="cellIs" dxfId="5661" priority="39" operator="between">
      <formula>0.00001%</formula>
      <formula>70%</formula>
    </cfRule>
    <cfRule type="cellIs" dxfId="5660" priority="40" operator="equal">
      <formula>0%</formula>
    </cfRule>
  </conditionalFormatting>
  <conditionalFormatting sqref="AH30">
    <cfRule type="cellIs" dxfId="5659" priority="31" operator="greaterThan">
      <formula>110%</formula>
    </cfRule>
    <cfRule type="cellIs" dxfId="5658" priority="32" operator="between">
      <formula>100.001%</formula>
      <formula>110%</formula>
    </cfRule>
    <cfRule type="cellIs" dxfId="5657" priority="33" operator="between">
      <formula>70.001%</formula>
      <formula>100%</formula>
    </cfRule>
    <cfRule type="cellIs" dxfId="5656" priority="34" operator="between">
      <formula>0.00001%</formula>
      <formula>70%</formula>
    </cfRule>
    <cfRule type="cellIs" dxfId="5655" priority="35" operator="equal">
      <formula>0%</formula>
    </cfRule>
  </conditionalFormatting>
  <conditionalFormatting sqref="AK30">
    <cfRule type="cellIs" dxfId="5654" priority="26" operator="greaterThan">
      <formula>110%</formula>
    </cfRule>
    <cfRule type="cellIs" dxfId="5653" priority="27" operator="between">
      <formula>100.001%</formula>
      <formula>110%</formula>
    </cfRule>
    <cfRule type="cellIs" dxfId="5652" priority="28" operator="between">
      <formula>70.001%</formula>
      <formula>100%</formula>
    </cfRule>
    <cfRule type="cellIs" dxfId="5651" priority="29" operator="between">
      <formula>0.00001%</formula>
      <formula>70%</formula>
    </cfRule>
    <cfRule type="cellIs" dxfId="5650" priority="30" operator="equal">
      <formula>0%</formula>
    </cfRule>
  </conditionalFormatting>
  <conditionalFormatting sqref="AN30">
    <cfRule type="cellIs" dxfId="5649" priority="21" operator="greaterThan">
      <formula>110%</formula>
    </cfRule>
    <cfRule type="cellIs" dxfId="5648" priority="22" operator="between">
      <formula>100.001%</formula>
      <formula>110%</formula>
    </cfRule>
    <cfRule type="cellIs" dxfId="5647" priority="23" operator="between">
      <formula>70.001%</formula>
      <formula>100%</formula>
    </cfRule>
    <cfRule type="cellIs" dxfId="5646" priority="24" operator="between">
      <formula>0.00001%</formula>
      <formula>70%</formula>
    </cfRule>
    <cfRule type="cellIs" dxfId="5645" priority="25" operator="equal">
      <formula>0%</formula>
    </cfRule>
  </conditionalFormatting>
  <conditionalFormatting sqref="AQ30">
    <cfRule type="cellIs" dxfId="5644" priority="16" operator="greaterThan">
      <formula>110%</formula>
    </cfRule>
    <cfRule type="cellIs" dxfId="5643" priority="17" operator="between">
      <formula>100.001%</formula>
      <formula>110%</formula>
    </cfRule>
    <cfRule type="cellIs" dxfId="5642" priority="18" operator="between">
      <formula>70.001%</formula>
      <formula>100%</formula>
    </cfRule>
    <cfRule type="cellIs" dxfId="5641" priority="19" operator="between">
      <formula>0.00001%</formula>
      <formula>70%</formula>
    </cfRule>
    <cfRule type="cellIs" dxfId="5640" priority="20" operator="equal">
      <formula>0%</formula>
    </cfRule>
  </conditionalFormatting>
  <conditionalFormatting sqref="AT30">
    <cfRule type="cellIs" dxfId="5639" priority="11" operator="greaterThan">
      <formula>110%</formula>
    </cfRule>
    <cfRule type="cellIs" dxfId="5638" priority="12" operator="between">
      <formula>100.001%</formula>
      <formula>110%</formula>
    </cfRule>
    <cfRule type="cellIs" dxfId="5637" priority="13" operator="between">
      <formula>70.001%</formula>
      <formula>100%</formula>
    </cfRule>
    <cfRule type="cellIs" dxfId="5636" priority="14" operator="between">
      <formula>0.00001%</formula>
      <formula>70%</formula>
    </cfRule>
    <cfRule type="cellIs" dxfId="5635" priority="15" operator="equal">
      <formula>0%</formula>
    </cfRule>
  </conditionalFormatting>
  <conditionalFormatting sqref="AW30">
    <cfRule type="cellIs" dxfId="5634" priority="6" operator="greaterThan">
      <formula>110%</formula>
    </cfRule>
    <cfRule type="cellIs" dxfId="5633" priority="7" operator="between">
      <formula>100.001%</formula>
      <formula>110%</formula>
    </cfRule>
    <cfRule type="cellIs" dxfId="5632" priority="8" operator="between">
      <formula>70.001%</formula>
      <formula>100%</formula>
    </cfRule>
    <cfRule type="cellIs" dxfId="5631" priority="9" operator="between">
      <formula>0.00001%</formula>
      <formula>70%</formula>
    </cfRule>
    <cfRule type="cellIs" dxfId="5630" priority="10" operator="equal">
      <formula>0%</formula>
    </cfRule>
  </conditionalFormatting>
  <conditionalFormatting sqref="AY30">
    <cfRule type="cellIs" dxfId="5629" priority="1" operator="greaterThan">
      <formula>110%</formula>
    </cfRule>
    <cfRule type="cellIs" dxfId="5628" priority="2" operator="between">
      <formula>100.001%</formula>
      <formula>110%</formula>
    </cfRule>
    <cfRule type="cellIs" dxfId="5627" priority="3" operator="between">
      <formula>70.001%</formula>
      <formula>100%</formula>
    </cfRule>
    <cfRule type="cellIs" dxfId="5626" priority="4" operator="between">
      <formula>0.00001%</formula>
      <formula>70%</formula>
    </cfRule>
    <cfRule type="cellIs" dxfId="5625" priority="5" operator="equal">
      <formula>0%</formula>
    </cfRule>
  </conditionalFormatting>
  <hyperlinks>
    <hyperlink ref="D11" location="'IN1-3'!A1" display="IN1-3  Recaudo Bruto" xr:uid="{00000000-0004-0000-1600-000000000000}"/>
    <hyperlink ref="D12" location="'FIS-5'!A1" display="FIS-5  Gestión efectiva de Fiscalización Aduanera" xr:uid="{00000000-0004-0000-1600-000001000000}"/>
    <hyperlink ref="D13" location="'FIS-7'!A1" display="FIS-7 Gestión efectiva de Control Cambiario" xr:uid="{00000000-0004-0000-1600-000002000000}"/>
    <hyperlink ref="D14" location="'FIS-8'!A1" display="FIS-8 Gestión aceptada de Fiscalización Aduanera (Recaudo)" xr:uid="{00000000-0004-0000-1600-000003000000}"/>
    <hyperlink ref="D15" location="'FIS-9'!A1" display="FIS-9 Gestión aceptada de Fiscalización Aduanera (Resoluciones en firme)" xr:uid="{00000000-0004-0000-1600-000004000000}"/>
    <hyperlink ref="D16" location="'FIS-11'!A1" display="FIS-11  Gestión aceptada cambiaria (Recaudo)" xr:uid="{00000000-0004-0000-1600-000005000000}"/>
    <hyperlink ref="D17" location="'FIS-12'!A1" display="FIS-12  Gestión aceptada cambiaria (Resoluciones en firme)" xr:uid="{00000000-0004-0000-1600-000006000000}"/>
    <hyperlink ref="D18" location="'IN1-6.1'!A1" display="INI-6.1 Grado de cumplimiento del cronograma de campañas del RST" xr:uid="{00000000-0004-0000-1600-000007000000}"/>
    <hyperlink ref="D19" location="'FIS-16'!A1" display="FIS-16 Visitas de control a personas que hacen la venta y compra de divisas sin estar autorizados" xr:uid="{00000000-0004-0000-1600-000008000000}"/>
    <hyperlink ref="D20" location="'FIS-15'!A1" display="FIS-15  Visitas de control a profesionales de cambio" xr:uid="{00000000-0004-0000-1600-000009000000}"/>
    <hyperlink ref="D21" location="'FIS-18'!A1" display="FIS-18 Evacuación de expedientes en fiscalización cambiaria" xr:uid="{00000000-0004-0000-1600-00000A000000}"/>
    <hyperlink ref="D22" location="'FIS-21'!A1" display="FIS-21  Propuestas de Programas de control posterior de fiscalización  aduanera (Sanciones, LOC, LOR, Origen)" xr:uid="{00000000-0004-0000-1600-00000B000000}"/>
    <hyperlink ref="D23" location="'FIS-14'!A1" display="FIS-14 Propuestas acciones aduaneras de control posterior contra el contrabando técnico(Sanciones, LOC, LOR, Origen)" xr:uid="{00000000-0004-0000-1600-00000C000000}"/>
    <hyperlink ref="D24" location="'ADU-3'!A1" display="ADU-3  Monto de la recaudación total de Aduanas" xr:uid="{00000000-0004-0000-1600-00000D000000}"/>
    <hyperlink ref="D25" location="'JUR-3.5'!A1" display="JUR-3.5  Porcentaje de requerimientos atendidos en oportunidad " xr:uid="{00000000-0004-0000-1600-00000E000000}"/>
    <hyperlink ref="D26" location="'FIS-24'!A1" display="FIS-24  Valor Decomisos de mercancías en firme" xr:uid="{00000000-0004-0000-1600-00000F000000}"/>
    <hyperlink ref="D27" location="'FIS-33'!A1" display="FIS-33  Cantidad Aprehensiones sectores de Licores, Cigarrillos, Hidrocarburos y Agropecuario" xr:uid="{00000000-0004-0000-1600-000010000000}"/>
    <hyperlink ref="D28" location="'ADU-8'!A1" display="ADU-8  Efectividad en los controles previos - Lucha contra el Contrabando" xr:uid="{00000000-0004-0000-1600-000011000000}"/>
    <hyperlink ref="D31" location="'ADU-10.1'!A1" display="ADU-10.1 Efectividad en el control de pasajeros" xr:uid="{00000000-0004-0000-1600-000012000000}"/>
    <hyperlink ref="D32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1600-000013000000}"/>
    <hyperlink ref="D33" location="'POLFA-3'!A1" display="POLFA-3 Acciones de control de fiscalización contra el contrabando" xr:uid="{00000000-0004-0000-1600-000014000000}"/>
    <hyperlink ref="D34" location="'ADU-13'!A1" display="ADU-13 Efectividad en los Controles a los  usuarios de comercio - Hallazgos en visitas de usuarios no visitados anteriormente" xr:uid="{00000000-0004-0000-1600-000015000000}"/>
    <hyperlink ref="D35" location="'POLFA-7'!A1" display="POLFA-7 Implementación programa zonas de comercio legal (Formalización)" xr:uid="{00000000-0004-0000-1600-000016000000}"/>
    <hyperlink ref="D36" location="'POLFA-8'!A1" display="POLFA-8 Porcentaje de cumplimiento programa semilleros de la legalidad" xr:uid="{00000000-0004-0000-1600-000017000000}"/>
    <hyperlink ref="D41" location="'POLFA-7'!A1" display="POLFA-7 Implementación programa zonas de comercio legal (Formalización)" xr:uid="{00000000-0004-0000-1600-000018000000}"/>
    <hyperlink ref="D42" location="'POLFA-8'!A1" display="POLFA-8 Porcentaje de cumplimiento programa Semilleros de la legalidad" xr:uid="{00000000-0004-0000-1600-000019000000}"/>
    <hyperlink ref="D9" location="'DGRAE-1'!A1" display="DGRAE-1 Nivel de Ejecución del presupuesto " xr:uid="{00000000-0004-0000-1600-00001A000000}"/>
    <hyperlink ref="D10" location="'DGRAE-2'!A1" display="DGRAE-2 Nivel de ejecución del PAA de la Dirección" xr:uid="{00000000-0004-0000-1600-00001B000000}"/>
    <hyperlink ref="D39" location="'ADU-31'!A1" display="ADU-31 Eficacia en la revisión de criterios de origen de los productos colombianos" xr:uid="{00000000-0004-0000-1600-00001C000000}"/>
    <hyperlink ref="D38" location="'DGRAE-25'!A1" display="DGRAE-25 Actividades que componen el  PIC para la Dirección de Gestión" xr:uid="{00000000-0004-0000-1600-00001D000000}"/>
    <hyperlink ref="D29" location="'ADU-9'!A1" display="ADU-9 Efectividad en el control simultaneo - Lucha contra el Contrabando" xr:uid="{00000000-0004-0000-1600-00001E000000}"/>
    <hyperlink ref="D30" location="'ADU-9.1'!A1" display="ADU-9.1 Efectividad en el control simultaneo - Lucha contra el Contrabando - Documental" xr:uid="{00000000-0004-0000-1600-00001F000000}"/>
    <hyperlink ref="AZ3" location="'Consolidado '!A1" display="VOLVER" xr:uid="{00000000-0004-0000-1600-000020000000}"/>
  </hyperlink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Z32"/>
  <sheetViews>
    <sheetView topLeftCell="D1" zoomScale="60" zoomScaleNormal="60" workbookViewId="0">
      <selection activeCell="AZ5" sqref="AZ5"/>
    </sheetView>
  </sheetViews>
  <sheetFormatPr baseColWidth="10" defaultColWidth="11.42578125" defaultRowHeight="16.5"/>
  <cols>
    <col min="1" max="1" width="33.14062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12" width="18.28515625" style="8" hidden="1" customWidth="1"/>
    <col min="13" max="13" width="14.28515625" style="8" hidden="1" customWidth="1"/>
    <col min="14" max="14" width="0" style="444" hidden="1" customWidth="1"/>
    <col min="15" max="15" width="17.5703125" style="8" hidden="1" customWidth="1"/>
    <col min="16" max="16" width="15.28515625" style="8" hidden="1" customWidth="1"/>
    <col min="17" max="17" width="0" style="8" hidden="1" customWidth="1"/>
    <col min="18" max="18" width="17.140625" style="8" hidden="1" customWidth="1"/>
    <col min="19" max="19" width="14.28515625" style="8" hidden="1" customWidth="1"/>
    <col min="20" max="20" width="0" style="8" hidden="1" customWidth="1"/>
    <col min="21" max="21" width="17" style="8" hidden="1" customWidth="1"/>
    <col min="22" max="22" width="15.28515625" style="8" hidden="1" customWidth="1"/>
    <col min="23" max="23" width="0" style="8" hidden="1" customWidth="1"/>
    <col min="24" max="24" width="17.5703125" style="8" hidden="1" customWidth="1"/>
    <col min="25" max="25" width="15.28515625" style="8" hidden="1" customWidth="1"/>
    <col min="26" max="26" width="0" style="8" hidden="1" customWidth="1"/>
    <col min="27" max="27" width="18" style="8" hidden="1" customWidth="1"/>
    <col min="28" max="28" width="14.28515625" style="8" hidden="1" customWidth="1"/>
    <col min="29" max="29" width="0" style="8" hidden="1" customWidth="1"/>
    <col min="30" max="30" width="15.140625" style="8" hidden="1" customWidth="1"/>
    <col min="31" max="31" width="0" style="8" hidden="1" customWidth="1"/>
    <col min="32" max="32" width="18" style="8" hidden="1" customWidth="1"/>
    <col min="33" max="33" width="15.28515625" style="8" hidden="1" customWidth="1"/>
    <col min="34" max="34" width="0" style="8" hidden="1" customWidth="1"/>
    <col min="35" max="35" width="17.85546875" style="8" hidden="1" customWidth="1"/>
    <col min="36" max="36" width="15.28515625" style="8" hidden="1" customWidth="1"/>
    <col min="37" max="37" width="0" style="8" hidden="1" customWidth="1"/>
    <col min="38" max="38" width="17.85546875" style="8" hidden="1" customWidth="1"/>
    <col min="39" max="39" width="15.28515625" style="8" hidden="1" customWidth="1"/>
    <col min="40" max="40" width="0" style="8" hidden="1" customWidth="1"/>
    <col min="41" max="41" width="20" style="8" hidden="1" customWidth="1"/>
    <col min="42" max="42" width="16.85546875" style="8" hidden="1" customWidth="1"/>
    <col min="43" max="43" width="0" style="8" hidden="1" customWidth="1"/>
    <col min="44" max="44" width="17.42578125" style="8" hidden="1" customWidth="1"/>
    <col min="45" max="45" width="16.28515625" style="8" hidden="1" customWidth="1"/>
    <col min="46" max="46" width="0" style="8" hidden="1" customWidth="1"/>
    <col min="47" max="47" width="18.5703125" style="8" hidden="1" customWidth="1"/>
    <col min="48" max="48" width="21.140625" style="8" hidden="1" customWidth="1"/>
    <col min="49" max="49" width="0" style="8" hidden="1" customWidth="1"/>
    <col min="50" max="50" width="23.85546875" style="8" customWidth="1"/>
    <col min="51" max="16384" width="11.42578125" style="8"/>
  </cols>
  <sheetData>
    <row r="1" spans="1:52" ht="26.25">
      <c r="A1" s="101"/>
      <c r="B1" s="101"/>
      <c r="C1" s="2885" t="s">
        <v>683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L2" s="1598"/>
      <c r="AZ2" s="670" t="s">
        <v>185</v>
      </c>
    </row>
    <row r="3" spans="1:52">
      <c r="A3" s="108"/>
      <c r="B3" s="108"/>
      <c r="C3" s="2867" t="s">
        <v>684</v>
      </c>
      <c r="D3" s="2867"/>
      <c r="E3" s="2867"/>
      <c r="F3" s="2867"/>
      <c r="G3" s="2867"/>
      <c r="H3" s="2867"/>
      <c r="I3" s="2867"/>
      <c r="J3" s="2867"/>
      <c r="K3" s="2867"/>
      <c r="L3" s="1598"/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L4" s="1598"/>
      <c r="AZ4" s="66">
        <f>+(AY9+AY10+AY11+AY12+AY13+AY14+AY15+AY16+AY17+AY18+AY19+AY21+AY22+AY23+AY26+AY28+AY29+AY31)/18</f>
        <v>2.8121975235845129</v>
      </c>
    </row>
    <row r="5" spans="1:52" ht="18" thickTop="1" thickBot="1">
      <c r="A5" s="2823" t="s">
        <v>0</v>
      </c>
      <c r="B5" s="2823" t="s">
        <v>15</v>
      </c>
      <c r="C5" s="2868" t="s">
        <v>1</v>
      </c>
      <c r="D5" s="2823" t="s">
        <v>2</v>
      </c>
      <c r="E5" s="3146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23"/>
      <c r="C6" s="2868"/>
      <c r="D6" s="2823"/>
      <c r="E6" s="3146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68"/>
      <c r="D7" s="2823"/>
      <c r="E7" s="3146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31.5" thickTop="1" thickBot="1">
      <c r="A8" s="2907" t="s">
        <v>83</v>
      </c>
      <c r="B8" s="2907"/>
      <c r="C8" s="2907"/>
      <c r="D8" s="2979"/>
      <c r="E8" s="2907"/>
      <c r="F8" s="2907"/>
      <c r="G8" s="2907"/>
      <c r="H8" s="2907"/>
      <c r="I8" s="2907"/>
      <c r="J8" s="2907"/>
      <c r="K8" s="2907"/>
      <c r="L8" s="14" t="s">
        <v>84</v>
      </c>
      <c r="M8" s="14" t="s">
        <v>85</v>
      </c>
      <c r="N8" s="71" t="s">
        <v>86</v>
      </c>
      <c r="O8" s="14" t="s">
        <v>84</v>
      </c>
      <c r="P8" s="14" t="s">
        <v>85</v>
      </c>
      <c r="Q8" s="71" t="s">
        <v>86</v>
      </c>
      <c r="R8" s="14" t="s">
        <v>84</v>
      </c>
      <c r="S8" s="14" t="s">
        <v>85</v>
      </c>
      <c r="T8" s="71" t="s">
        <v>86</v>
      </c>
      <c r="U8" s="14" t="s">
        <v>84</v>
      </c>
      <c r="V8" s="14" t="s">
        <v>85</v>
      </c>
      <c r="W8" s="71" t="s">
        <v>86</v>
      </c>
      <c r="X8" s="14" t="s">
        <v>84</v>
      </c>
      <c r="Y8" s="14" t="s">
        <v>85</v>
      </c>
      <c r="Z8" s="71" t="s">
        <v>86</v>
      </c>
      <c r="AA8" s="14" t="s">
        <v>84</v>
      </c>
      <c r="AB8" s="14" t="s">
        <v>85</v>
      </c>
      <c r="AC8" s="71" t="s">
        <v>86</v>
      </c>
      <c r="AD8" s="16" t="s">
        <v>87</v>
      </c>
      <c r="AE8" s="71" t="s">
        <v>6</v>
      </c>
      <c r="AF8" s="14" t="s">
        <v>84</v>
      </c>
      <c r="AG8" s="14" t="s">
        <v>85</v>
      </c>
      <c r="AH8" s="71" t="s">
        <v>86</v>
      </c>
      <c r="AI8" s="14" t="s">
        <v>84</v>
      </c>
      <c r="AJ8" s="14" t="s">
        <v>85</v>
      </c>
      <c r="AK8" s="71" t="s">
        <v>86</v>
      </c>
      <c r="AL8" s="14" t="s">
        <v>84</v>
      </c>
      <c r="AM8" s="14" t="s">
        <v>85</v>
      </c>
      <c r="AN8" s="71" t="s">
        <v>86</v>
      </c>
      <c r="AO8" s="14" t="s">
        <v>84</v>
      </c>
      <c r="AP8" s="14" t="s">
        <v>85</v>
      </c>
      <c r="AQ8" s="71" t="s">
        <v>86</v>
      </c>
      <c r="AR8" s="14" t="s">
        <v>84</v>
      </c>
      <c r="AS8" s="14" t="s">
        <v>85</v>
      </c>
      <c r="AT8" s="71" t="s">
        <v>86</v>
      </c>
      <c r="AU8" s="14" t="s">
        <v>84</v>
      </c>
      <c r="AV8" s="14" t="s">
        <v>85</v>
      </c>
      <c r="AW8" s="71" t="s">
        <v>86</v>
      </c>
      <c r="AX8" s="14" t="s">
        <v>87</v>
      </c>
      <c r="AY8" s="14" t="s">
        <v>6</v>
      </c>
    </row>
    <row r="9" spans="1:52" customFormat="1" ht="106.5" thickTop="1" thickBot="1">
      <c r="A9" s="2943" t="s">
        <v>88</v>
      </c>
      <c r="B9" s="2848" t="s">
        <v>89</v>
      </c>
      <c r="C9" s="448" t="s">
        <v>167</v>
      </c>
      <c r="D9" s="111" t="s">
        <v>90</v>
      </c>
      <c r="E9" s="74" t="s">
        <v>189</v>
      </c>
      <c r="F9" s="74" t="s">
        <v>168</v>
      </c>
      <c r="G9" s="764">
        <f>+(192482273)/1000000</f>
        <v>192.48227299999999</v>
      </c>
      <c r="H9" s="74" t="s">
        <v>25</v>
      </c>
      <c r="I9" s="79"/>
      <c r="J9" s="78"/>
      <c r="K9" s="76" t="s">
        <v>25</v>
      </c>
      <c r="L9" s="765">
        <v>54.67</v>
      </c>
      <c r="M9" s="567">
        <v>54.17</v>
      </c>
      <c r="N9" s="19">
        <f>+M9/L9</f>
        <v>0.99085421620632885</v>
      </c>
      <c r="O9" s="765">
        <v>8.6</v>
      </c>
      <c r="P9" s="567">
        <v>7.4</v>
      </c>
      <c r="Q9" s="19">
        <f>+P9/O9</f>
        <v>0.86046511627906985</v>
      </c>
      <c r="R9" s="765">
        <v>9.8000000000000007</v>
      </c>
      <c r="S9" s="567">
        <v>7.42</v>
      </c>
      <c r="T9" s="19">
        <f>+S9/R9</f>
        <v>0.75714285714285712</v>
      </c>
      <c r="U9" s="765">
        <v>10.6</v>
      </c>
      <c r="V9" s="567">
        <v>5.52</v>
      </c>
      <c r="W9" s="19">
        <f>+V9/U9</f>
        <v>0.52075471698113207</v>
      </c>
      <c r="X9" s="765">
        <v>10.8</v>
      </c>
      <c r="Y9" s="567">
        <v>3.31</v>
      </c>
      <c r="Z9" s="19">
        <f>+Y9/X9</f>
        <v>0.30648148148148147</v>
      </c>
      <c r="AA9" s="765">
        <v>15.1</v>
      </c>
      <c r="AB9" s="567">
        <v>4.3899999999999997</v>
      </c>
      <c r="AC9" s="19">
        <f>+AB9/AA9</f>
        <v>0.29072847682119202</v>
      </c>
      <c r="AD9" s="566">
        <f>+AB9+Y9+V9+S9+P9+M9</f>
        <v>82.210000000000008</v>
      </c>
      <c r="AE9" s="1599">
        <f>+AD9/G9</f>
        <v>0.42710426637574056</v>
      </c>
      <c r="AF9" s="765">
        <v>7.3</v>
      </c>
      <c r="AG9" s="567">
        <v>4.05</v>
      </c>
      <c r="AH9" s="19">
        <f>+AG9/AF9</f>
        <v>0.5547945205479452</v>
      </c>
      <c r="AI9" s="765">
        <v>8.1999999999999993</v>
      </c>
      <c r="AJ9" s="567">
        <v>6.97</v>
      </c>
      <c r="AK9" s="19">
        <f>+AJ9/AI9</f>
        <v>0.85000000000000009</v>
      </c>
      <c r="AL9" s="765">
        <v>7.3</v>
      </c>
      <c r="AM9" s="567">
        <v>47.71</v>
      </c>
      <c r="AN9" s="19">
        <f>+AM9/AL9</f>
        <v>6.5356164383561648</v>
      </c>
      <c r="AO9" s="765">
        <v>8.1</v>
      </c>
      <c r="AP9" s="567">
        <v>2.06</v>
      </c>
      <c r="AQ9" s="19">
        <f>+AP9/AO9</f>
        <v>0.25432098765432098</v>
      </c>
      <c r="AR9" s="765">
        <v>7.9</v>
      </c>
      <c r="AS9" s="567">
        <v>8.19</v>
      </c>
      <c r="AT9" s="19">
        <f>+AS9/AR9</f>
        <v>1.0367088607594936</v>
      </c>
      <c r="AU9" s="765">
        <v>6.4</v>
      </c>
      <c r="AV9" s="567">
        <v>33.47</v>
      </c>
      <c r="AW9" s="19">
        <f>+AV9/AU9</f>
        <v>5.2296874999999998</v>
      </c>
      <c r="AX9" s="747">
        <f t="shared" ref="AX9:AX17" si="0">+M9+P9+S9+V9+Y9+AB9+AG9+AJ9+AM9+AP9+AS9+AV9</f>
        <v>184.66</v>
      </c>
      <c r="AY9" s="19">
        <f t="shared" ref="AY9:AY26" si="1">+AX9/G9</f>
        <v>0.95936107321425912</v>
      </c>
    </row>
    <row r="10" spans="1:52" customFormat="1" ht="91.5" thickTop="1" thickBot="1">
      <c r="A10" s="2944"/>
      <c r="B10" s="2850"/>
      <c r="C10" s="489" t="s">
        <v>169</v>
      </c>
      <c r="D10" s="111" t="s">
        <v>92</v>
      </c>
      <c r="E10" s="74" t="s">
        <v>170</v>
      </c>
      <c r="F10" s="74" t="s">
        <v>17</v>
      </c>
      <c r="G10" s="203">
        <v>5</v>
      </c>
      <c r="H10" s="118" t="s">
        <v>26</v>
      </c>
      <c r="I10" s="79"/>
      <c r="J10" s="78"/>
      <c r="K10" s="76" t="s">
        <v>26</v>
      </c>
      <c r="L10" s="119">
        <v>0</v>
      </c>
      <c r="M10" s="120">
        <v>1</v>
      </c>
      <c r="N10" s="19" t="e">
        <f>+M10/L10</f>
        <v>#DIV/0!</v>
      </c>
      <c r="O10" s="119">
        <v>0</v>
      </c>
      <c r="P10" s="120"/>
      <c r="Q10" s="19" t="e">
        <f>+P10/O10</f>
        <v>#DIV/0!</v>
      </c>
      <c r="R10" s="119">
        <v>0</v>
      </c>
      <c r="S10" s="120"/>
      <c r="T10" s="19" t="e">
        <f>+S10/R10</f>
        <v>#DIV/0!</v>
      </c>
      <c r="U10" s="119">
        <v>0</v>
      </c>
      <c r="V10" s="120"/>
      <c r="W10" s="19" t="e">
        <f>+V10/U10</f>
        <v>#DIV/0!</v>
      </c>
      <c r="X10" s="119">
        <v>0</v>
      </c>
      <c r="Y10" s="120"/>
      <c r="Z10" s="121" t="e">
        <f>+Y10/X10</f>
        <v>#DIV/0!</v>
      </c>
      <c r="AA10" s="119">
        <v>0</v>
      </c>
      <c r="AB10" s="120"/>
      <c r="AC10" s="19" t="e">
        <f>+AB10/AA10</f>
        <v>#DIV/0!</v>
      </c>
      <c r="AD10" s="122">
        <f>+AB10+Y10+V10+S10+P10+M10</f>
        <v>1</v>
      </c>
      <c r="AE10" s="19">
        <f t="shared" ref="AE10" si="2">+AD10/G10</f>
        <v>0.2</v>
      </c>
      <c r="AF10" s="119">
        <v>0</v>
      </c>
      <c r="AG10" s="120"/>
      <c r="AH10" s="19" t="e">
        <f>+AG10/AF10</f>
        <v>#DIV/0!</v>
      </c>
      <c r="AI10" s="119">
        <v>0</v>
      </c>
      <c r="AJ10" s="120"/>
      <c r="AK10" s="19" t="e">
        <f>+AJ10/AI10</f>
        <v>#DIV/0!</v>
      </c>
      <c r="AL10" s="119">
        <v>0</v>
      </c>
      <c r="AM10" s="120">
        <v>1</v>
      </c>
      <c r="AN10" s="19" t="e">
        <f>+AM10/AL10</f>
        <v>#DIV/0!</v>
      </c>
      <c r="AO10" s="119">
        <v>0</v>
      </c>
      <c r="AP10" s="120"/>
      <c r="AQ10" s="121" t="e">
        <f>+AP10/AO10</f>
        <v>#DIV/0!</v>
      </c>
      <c r="AR10" s="119">
        <v>0</v>
      </c>
      <c r="AS10" s="120">
        <v>2</v>
      </c>
      <c r="AT10" s="19" t="e">
        <f>+AS10/AR10</f>
        <v>#DIV/0!</v>
      </c>
      <c r="AU10" s="119">
        <v>0</v>
      </c>
      <c r="AV10" s="120">
        <v>1</v>
      </c>
      <c r="AW10" s="19" t="e">
        <f>+AV10/AU10</f>
        <v>#DIV/0!</v>
      </c>
      <c r="AX10" s="123">
        <f t="shared" si="0"/>
        <v>5</v>
      </c>
      <c r="AY10" s="19">
        <f t="shared" si="1"/>
        <v>1</v>
      </c>
    </row>
    <row r="11" spans="1:52" s="128" customFormat="1" ht="31.5" thickTop="1" thickBot="1">
      <c r="A11" s="2944"/>
      <c r="B11" s="2956" t="s">
        <v>94</v>
      </c>
      <c r="C11" s="1600" t="s">
        <v>685</v>
      </c>
      <c r="D11" s="124" t="s">
        <v>96</v>
      </c>
      <c r="E11" s="74" t="s">
        <v>97</v>
      </c>
      <c r="F11" s="1601" t="s">
        <v>168</v>
      </c>
      <c r="G11" s="1602">
        <v>13903</v>
      </c>
      <c r="H11" s="1603"/>
      <c r="I11" s="1604"/>
      <c r="J11" s="1603"/>
      <c r="K11" s="1605" t="s">
        <v>20</v>
      </c>
      <c r="L11" s="750">
        <v>0</v>
      </c>
      <c r="M11" s="750"/>
      <c r="N11" s="73" t="e">
        <f>+M11/L11</f>
        <v>#DIV/0!</v>
      </c>
      <c r="O11" s="750">
        <v>0</v>
      </c>
      <c r="P11" s="750"/>
      <c r="Q11" s="73" t="e">
        <f>+P11/O11</f>
        <v>#DIV/0!</v>
      </c>
      <c r="R11" s="750">
        <v>0</v>
      </c>
      <c r="S11" s="750"/>
      <c r="T11" s="73" t="e">
        <f>+S11/R11</f>
        <v>#DIV/0!</v>
      </c>
      <c r="U11" s="750">
        <v>0</v>
      </c>
      <c r="V11" s="750"/>
      <c r="W11" s="73" t="e">
        <f>+V11/U11</f>
        <v>#DIV/0!</v>
      </c>
      <c r="X11" s="750">
        <v>0</v>
      </c>
      <c r="Y11" s="750"/>
      <c r="Z11" s="73" t="e">
        <f>+Y11/X11</f>
        <v>#DIV/0!</v>
      </c>
      <c r="AA11" s="750">
        <v>0</v>
      </c>
      <c r="AB11" s="750"/>
      <c r="AC11" s="73" t="e">
        <f>+AB11/AA11</f>
        <v>#DIV/0!</v>
      </c>
      <c r="AD11" s="750">
        <f>+M11+P11+S11+V11+Y11+AB11</f>
        <v>0</v>
      </c>
      <c r="AE11" s="1606">
        <f>+AD11/G11</f>
        <v>0</v>
      </c>
      <c r="AF11" s="750">
        <v>0</v>
      </c>
      <c r="AG11" s="750"/>
      <c r="AH11" s="73" t="e">
        <f>+AG11/AF11</f>
        <v>#DIV/0!</v>
      </c>
      <c r="AI11" s="750">
        <v>0</v>
      </c>
      <c r="AJ11" s="750"/>
      <c r="AK11" s="73" t="e">
        <f>+AJ11/AI11</f>
        <v>#DIV/0!</v>
      </c>
      <c r="AL11" s="750">
        <v>0</v>
      </c>
      <c r="AM11" s="750"/>
      <c r="AN11" s="73" t="e">
        <f>+AM11/AL11</f>
        <v>#DIV/0!</v>
      </c>
      <c r="AO11" s="750">
        <v>0</v>
      </c>
      <c r="AP11" s="750"/>
      <c r="AQ11" s="73" t="e">
        <f>+AP11/AO11</f>
        <v>#DIV/0!</v>
      </c>
      <c r="AR11" s="750">
        <v>0</v>
      </c>
      <c r="AS11" s="750">
        <v>0</v>
      </c>
      <c r="AT11" s="73" t="e">
        <f>+AS11/AR11</f>
        <v>#DIV/0!</v>
      </c>
      <c r="AU11" s="750">
        <v>13903000000</v>
      </c>
      <c r="AV11" s="750">
        <v>13903000000</v>
      </c>
      <c r="AW11" s="73">
        <f>+AV11/AU11</f>
        <v>1</v>
      </c>
      <c r="AX11" s="750">
        <v>13903</v>
      </c>
      <c r="AY11" s="73">
        <f t="shared" si="1"/>
        <v>1</v>
      </c>
    </row>
    <row r="12" spans="1:52" s="132" customFormat="1" ht="61.5" thickTop="1" thickBot="1">
      <c r="A12" s="2944"/>
      <c r="B12" s="2956"/>
      <c r="C12" s="3143" t="s">
        <v>686</v>
      </c>
      <c r="D12" s="129" t="s">
        <v>99</v>
      </c>
      <c r="E12" s="74" t="s">
        <v>100</v>
      </c>
      <c r="F12" s="1607" t="s">
        <v>101</v>
      </c>
      <c r="G12" s="1608">
        <v>4900000000</v>
      </c>
      <c r="H12" s="1609"/>
      <c r="I12" s="1610"/>
      <c r="J12" s="1609"/>
      <c r="K12" s="1611" t="s">
        <v>493</v>
      </c>
      <c r="L12" s="753">
        <v>392000000</v>
      </c>
      <c r="M12" s="753">
        <v>4491000</v>
      </c>
      <c r="N12" s="73">
        <f t="shared" ref="N12:N28" si="3">+M12/L12</f>
        <v>1.1456632653061224E-2</v>
      </c>
      <c r="O12" s="753">
        <v>392000000</v>
      </c>
      <c r="P12" s="753">
        <v>15608000</v>
      </c>
      <c r="Q12" s="73">
        <f t="shared" ref="Q12:Q28" si="4">+P12/O12</f>
        <v>3.9816326530612248E-2</v>
      </c>
      <c r="R12" s="753">
        <v>392000000</v>
      </c>
      <c r="S12" s="753"/>
      <c r="T12" s="73">
        <f t="shared" ref="T12:T28" si="5">+S12/R12</f>
        <v>0</v>
      </c>
      <c r="U12" s="753">
        <v>441000000</v>
      </c>
      <c r="V12" s="753"/>
      <c r="W12" s="73">
        <f t="shared" ref="W12:W28" si="6">+V12/U12</f>
        <v>0</v>
      </c>
      <c r="X12" s="753">
        <v>490000000</v>
      </c>
      <c r="Y12" s="753"/>
      <c r="Z12" s="73">
        <f t="shared" ref="Z12:Z28" si="7">+Y12/X12</f>
        <v>0</v>
      </c>
      <c r="AA12" s="753">
        <v>490000000</v>
      </c>
      <c r="AB12" s="753">
        <v>2000000</v>
      </c>
      <c r="AC12" s="73">
        <f t="shared" ref="AC12:AC28" si="8">+AB12/AA12</f>
        <v>4.0816326530612249E-3</v>
      </c>
      <c r="AD12" s="753">
        <f t="shared" ref="AD12:AD28" si="9">+M12+P12+S12+V12+Y12+AB12</f>
        <v>22099000</v>
      </c>
      <c r="AE12" s="73">
        <f t="shared" ref="AE12:AE28" si="10">+AD12/G12</f>
        <v>4.5100000000000001E-3</v>
      </c>
      <c r="AF12" s="753">
        <v>490000000</v>
      </c>
      <c r="AG12" s="753">
        <v>19498000</v>
      </c>
      <c r="AH12" s="73">
        <f t="shared" ref="AH12:AH28" si="11">+AG12/AF12</f>
        <v>3.9791836734693879E-2</v>
      </c>
      <c r="AI12" s="753">
        <v>490000000</v>
      </c>
      <c r="AJ12" s="753">
        <v>18410000</v>
      </c>
      <c r="AK12" s="73">
        <f t="shared" ref="AK12:AK28" si="12">+AJ12/AI12</f>
        <v>3.7571428571428568E-2</v>
      </c>
      <c r="AL12" s="753">
        <v>490000000</v>
      </c>
      <c r="AM12" s="753">
        <v>9743000</v>
      </c>
      <c r="AN12" s="73">
        <f t="shared" ref="AN12:AN28" si="13">+AM12/AL12</f>
        <v>1.9883673469387755E-2</v>
      </c>
      <c r="AO12" s="753">
        <v>490000000</v>
      </c>
      <c r="AP12" s="753">
        <v>8422000</v>
      </c>
      <c r="AQ12" s="73">
        <f t="shared" ref="AQ12:AQ28" si="14">+AP12/AO12</f>
        <v>1.7187755102040816E-2</v>
      </c>
      <c r="AR12" s="753">
        <v>196000000</v>
      </c>
      <c r="AS12" s="753">
        <v>14181000</v>
      </c>
      <c r="AT12" s="73">
        <f t="shared" ref="AT12:AT28" si="15">+AS12/AR12</f>
        <v>7.2352040816326527E-2</v>
      </c>
      <c r="AU12" s="753">
        <v>147000000</v>
      </c>
      <c r="AV12" s="753">
        <v>2865000</v>
      </c>
      <c r="AW12" s="73">
        <f t="shared" ref="AW12:AW28" si="16">+AV12/AU12</f>
        <v>1.9489795918367348E-2</v>
      </c>
      <c r="AX12" s="753">
        <f>+M12+P12+S12+V12+Y12+AB12+AG12+AJ12+AM12+AP12+AS12+AV12</f>
        <v>95218000</v>
      </c>
      <c r="AY12" s="73">
        <f t="shared" si="1"/>
        <v>1.9432244897959184E-2</v>
      </c>
    </row>
    <row r="13" spans="1:52" s="128" customFormat="1" ht="31.5" thickTop="1" thickBot="1">
      <c r="A13" s="2944"/>
      <c r="B13" s="2956"/>
      <c r="C13" s="3144"/>
      <c r="D13" s="124" t="s">
        <v>456</v>
      </c>
      <c r="E13" s="74" t="s">
        <v>687</v>
      </c>
      <c r="F13" s="1603" t="s">
        <v>101</v>
      </c>
      <c r="G13" s="1613">
        <v>21567857</v>
      </c>
      <c r="H13" s="1614"/>
      <c r="I13" s="1604"/>
      <c r="J13" s="1614"/>
      <c r="K13" s="1605" t="s">
        <v>196</v>
      </c>
      <c r="L13" s="750">
        <v>718928</v>
      </c>
      <c r="M13" s="750">
        <v>0</v>
      </c>
      <c r="N13" s="73">
        <f t="shared" si="3"/>
        <v>0</v>
      </c>
      <c r="O13" s="750">
        <v>718929</v>
      </c>
      <c r="P13" s="750">
        <v>0</v>
      </c>
      <c r="Q13" s="73">
        <f t="shared" si="4"/>
        <v>0</v>
      </c>
      <c r="R13" s="750">
        <v>718929</v>
      </c>
      <c r="S13" s="750">
        <v>0</v>
      </c>
      <c r="T13" s="73">
        <f t="shared" si="5"/>
        <v>0</v>
      </c>
      <c r="U13" s="750">
        <v>2875714</v>
      </c>
      <c r="V13" s="750">
        <v>0</v>
      </c>
      <c r="W13" s="73">
        <f t="shared" si="6"/>
        <v>0</v>
      </c>
      <c r="X13" s="750">
        <v>2875714</v>
      </c>
      <c r="Y13" s="750">
        <v>0</v>
      </c>
      <c r="Z13" s="73">
        <f t="shared" si="7"/>
        <v>0</v>
      </c>
      <c r="AA13" s="750">
        <v>2875714</v>
      </c>
      <c r="AB13" s="750">
        <v>0</v>
      </c>
      <c r="AC13" s="73">
        <f t="shared" si="8"/>
        <v>0</v>
      </c>
      <c r="AD13" s="750">
        <f t="shared" si="9"/>
        <v>0</v>
      </c>
      <c r="AE13" s="73">
        <f t="shared" si="10"/>
        <v>0</v>
      </c>
      <c r="AF13" s="750">
        <v>2875714</v>
      </c>
      <c r="AG13" s="750">
        <v>0</v>
      </c>
      <c r="AH13" s="73">
        <f t="shared" si="11"/>
        <v>0</v>
      </c>
      <c r="AI13" s="750">
        <v>2875714</v>
      </c>
      <c r="AJ13" s="750">
        <v>0</v>
      </c>
      <c r="AK13" s="73">
        <f t="shared" si="12"/>
        <v>0</v>
      </c>
      <c r="AL13" s="750">
        <v>2875714</v>
      </c>
      <c r="AM13" s="750">
        <v>0</v>
      </c>
      <c r="AN13" s="73">
        <f t="shared" si="13"/>
        <v>0</v>
      </c>
      <c r="AO13" s="750">
        <v>718929</v>
      </c>
      <c r="AP13" s="750">
        <v>40669583</v>
      </c>
      <c r="AQ13" s="73">
        <f t="shared" si="14"/>
        <v>56.569679342466365</v>
      </c>
      <c r="AR13" s="750">
        <v>718929</v>
      </c>
      <c r="AS13" s="750">
        <v>12415699</v>
      </c>
      <c r="AT13" s="73">
        <f t="shared" si="15"/>
        <v>17.269715090085391</v>
      </c>
      <c r="AU13" s="750">
        <v>718929</v>
      </c>
      <c r="AV13" s="750">
        <v>5449000</v>
      </c>
      <c r="AW13" s="73">
        <f t="shared" si="16"/>
        <v>7.579329808645916</v>
      </c>
      <c r="AX13" s="750">
        <f t="shared" si="0"/>
        <v>58534282</v>
      </c>
      <c r="AY13" s="73">
        <f t="shared" si="1"/>
        <v>2.7139591105412095</v>
      </c>
    </row>
    <row r="14" spans="1:52" s="132" customFormat="1" ht="61.5" thickTop="1" thickBot="1">
      <c r="A14" s="2944"/>
      <c r="B14" s="2956"/>
      <c r="C14" s="3144"/>
      <c r="D14" s="129" t="s">
        <v>102</v>
      </c>
      <c r="E14" s="74" t="s">
        <v>688</v>
      </c>
      <c r="F14" s="1607" t="s">
        <v>101</v>
      </c>
      <c r="G14" s="1608">
        <v>3700000000</v>
      </c>
      <c r="H14" s="1607"/>
      <c r="I14" s="1615"/>
      <c r="J14" s="1607"/>
      <c r="K14" s="1611" t="s">
        <v>493</v>
      </c>
      <c r="L14" s="753">
        <v>296000000</v>
      </c>
      <c r="M14" s="753">
        <v>4491000</v>
      </c>
      <c r="N14" s="73">
        <f t="shared" si="3"/>
        <v>1.5172297297297297E-2</v>
      </c>
      <c r="O14" s="753">
        <v>296000000</v>
      </c>
      <c r="P14" s="753">
        <v>15608000</v>
      </c>
      <c r="Q14" s="73">
        <f t="shared" si="4"/>
        <v>5.2729729729729731E-2</v>
      </c>
      <c r="R14" s="753">
        <v>296000000</v>
      </c>
      <c r="S14" s="753">
        <v>0</v>
      </c>
      <c r="T14" s="73">
        <f t="shared" si="5"/>
        <v>0</v>
      </c>
      <c r="U14" s="753">
        <v>333000000</v>
      </c>
      <c r="V14" s="753">
        <v>0</v>
      </c>
      <c r="W14" s="73">
        <f t="shared" si="6"/>
        <v>0</v>
      </c>
      <c r="X14" s="753">
        <v>370000000</v>
      </c>
      <c r="Y14" s="753">
        <v>0</v>
      </c>
      <c r="Z14" s="73">
        <f t="shared" si="7"/>
        <v>0</v>
      </c>
      <c r="AA14" s="753">
        <v>370000000</v>
      </c>
      <c r="AB14" s="753">
        <v>0</v>
      </c>
      <c r="AC14" s="73">
        <f t="shared" si="8"/>
        <v>0</v>
      </c>
      <c r="AD14" s="753">
        <f t="shared" si="9"/>
        <v>20099000</v>
      </c>
      <c r="AE14" s="73">
        <f t="shared" si="10"/>
        <v>5.4321621621621621E-3</v>
      </c>
      <c r="AF14" s="753">
        <v>370000000</v>
      </c>
      <c r="AG14" s="753">
        <v>18498000</v>
      </c>
      <c r="AH14" s="73">
        <f t="shared" si="11"/>
        <v>4.9994594594594592E-2</v>
      </c>
      <c r="AI14" s="753">
        <v>370000000</v>
      </c>
      <c r="AJ14" s="753">
        <v>4941000</v>
      </c>
      <c r="AK14" s="73">
        <f t="shared" si="12"/>
        <v>1.3354054054054054E-2</v>
      </c>
      <c r="AL14" s="753">
        <v>370000000</v>
      </c>
      <c r="AM14" s="753">
        <v>10843000</v>
      </c>
      <c r="AN14" s="73">
        <f t="shared" si="13"/>
        <v>2.9305405405405407E-2</v>
      </c>
      <c r="AO14" s="753">
        <v>370000000</v>
      </c>
      <c r="AP14" s="753">
        <v>8422000</v>
      </c>
      <c r="AQ14" s="73">
        <f t="shared" si="14"/>
        <v>2.2762162162162161E-2</v>
      </c>
      <c r="AR14" s="753">
        <v>148000000</v>
      </c>
      <c r="AS14" s="753">
        <v>0</v>
      </c>
      <c r="AT14" s="73">
        <f t="shared" si="15"/>
        <v>0</v>
      </c>
      <c r="AU14" s="753">
        <v>111000000</v>
      </c>
      <c r="AV14" s="753">
        <v>65764000</v>
      </c>
      <c r="AW14" s="73">
        <f t="shared" si="16"/>
        <v>0.59246846846846846</v>
      </c>
      <c r="AX14" s="753">
        <f t="shared" si="0"/>
        <v>128567000</v>
      </c>
      <c r="AY14" s="73">
        <f t="shared" si="1"/>
        <v>3.4747837837837837E-2</v>
      </c>
    </row>
    <row r="15" spans="1:52" s="128" customFormat="1" ht="31.5" thickTop="1" thickBot="1">
      <c r="A15" s="2944"/>
      <c r="B15" s="2956"/>
      <c r="C15" s="3144"/>
      <c r="D15" s="124" t="s">
        <v>403</v>
      </c>
      <c r="E15" s="1612" t="s">
        <v>689</v>
      </c>
      <c r="F15" s="1603" t="s">
        <v>101</v>
      </c>
      <c r="G15" s="1613">
        <v>600000</v>
      </c>
      <c r="H15" s="1603"/>
      <c r="I15" s="1604"/>
      <c r="J15" s="1603"/>
      <c r="K15" s="1605" t="s">
        <v>196</v>
      </c>
      <c r="L15" s="750">
        <v>20000</v>
      </c>
      <c r="M15" s="750">
        <v>0</v>
      </c>
      <c r="N15" s="73">
        <f t="shared" si="3"/>
        <v>0</v>
      </c>
      <c r="O15" s="750">
        <v>20000</v>
      </c>
      <c r="P15" s="750">
        <v>0</v>
      </c>
      <c r="Q15" s="73">
        <f t="shared" si="4"/>
        <v>0</v>
      </c>
      <c r="R15" s="750">
        <v>20000</v>
      </c>
      <c r="S15" s="750">
        <v>0</v>
      </c>
      <c r="T15" s="73">
        <f t="shared" si="5"/>
        <v>0</v>
      </c>
      <c r="U15" s="750">
        <v>80000</v>
      </c>
      <c r="V15" s="750">
        <v>0</v>
      </c>
      <c r="W15" s="73">
        <f t="shared" si="6"/>
        <v>0</v>
      </c>
      <c r="X15" s="750">
        <v>80000</v>
      </c>
      <c r="Y15" s="750">
        <v>0</v>
      </c>
      <c r="Z15" s="73">
        <f t="shared" si="7"/>
        <v>0</v>
      </c>
      <c r="AA15" s="750">
        <v>80000</v>
      </c>
      <c r="AB15" s="750">
        <v>0</v>
      </c>
      <c r="AC15" s="73">
        <f t="shared" si="8"/>
        <v>0</v>
      </c>
      <c r="AD15" s="750">
        <f t="shared" si="9"/>
        <v>0</v>
      </c>
      <c r="AE15" s="73">
        <f t="shared" si="10"/>
        <v>0</v>
      </c>
      <c r="AF15" s="750">
        <v>80000</v>
      </c>
      <c r="AG15" s="750">
        <v>0</v>
      </c>
      <c r="AH15" s="73">
        <f t="shared" si="11"/>
        <v>0</v>
      </c>
      <c r="AI15" s="750">
        <v>80000</v>
      </c>
      <c r="AJ15" s="750">
        <v>0</v>
      </c>
      <c r="AK15" s="73">
        <f t="shared" si="12"/>
        <v>0</v>
      </c>
      <c r="AL15" s="750">
        <v>80000</v>
      </c>
      <c r="AM15" s="750">
        <v>0</v>
      </c>
      <c r="AN15" s="73">
        <f t="shared" si="13"/>
        <v>0</v>
      </c>
      <c r="AO15" s="750">
        <v>20000</v>
      </c>
      <c r="AP15" s="750">
        <v>6579000</v>
      </c>
      <c r="AQ15" s="73">
        <f t="shared" si="14"/>
        <v>328.95</v>
      </c>
      <c r="AR15" s="750">
        <v>20000</v>
      </c>
      <c r="AS15" s="750">
        <v>0</v>
      </c>
      <c r="AT15" s="73">
        <f t="shared" si="15"/>
        <v>0</v>
      </c>
      <c r="AU15" s="750">
        <v>20000</v>
      </c>
      <c r="AV15" s="750">
        <v>5449000</v>
      </c>
      <c r="AW15" s="73">
        <f t="shared" si="16"/>
        <v>272.45</v>
      </c>
      <c r="AX15" s="750">
        <f t="shared" si="0"/>
        <v>12028000</v>
      </c>
      <c r="AY15" s="73">
        <f t="shared" si="1"/>
        <v>20.046666666666667</v>
      </c>
    </row>
    <row r="16" spans="1:52" s="132" customFormat="1" ht="46.5" thickTop="1" thickBot="1">
      <c r="A16" s="2944"/>
      <c r="B16" s="2956"/>
      <c r="C16" s="3144"/>
      <c r="D16" s="129" t="s">
        <v>203</v>
      </c>
      <c r="E16" s="1612" t="s">
        <v>690</v>
      </c>
      <c r="F16" s="1607" t="s">
        <v>101</v>
      </c>
      <c r="G16" s="1608">
        <v>2760000</v>
      </c>
      <c r="H16" s="1607"/>
      <c r="I16" s="1615"/>
      <c r="J16" s="1607"/>
      <c r="K16" s="1611" t="s">
        <v>196</v>
      </c>
      <c r="L16" s="753">
        <v>92000</v>
      </c>
      <c r="M16" s="753">
        <f>-P16-P160</f>
        <v>0</v>
      </c>
      <c r="N16" s="73">
        <f t="shared" si="3"/>
        <v>0</v>
      </c>
      <c r="O16" s="753">
        <v>92000</v>
      </c>
      <c r="P16" s="753">
        <v>0</v>
      </c>
      <c r="Q16" s="73">
        <f t="shared" si="4"/>
        <v>0</v>
      </c>
      <c r="R16" s="753">
        <v>92000</v>
      </c>
      <c r="S16" s="753">
        <v>0</v>
      </c>
      <c r="T16" s="73">
        <f t="shared" si="5"/>
        <v>0</v>
      </c>
      <c r="U16" s="753">
        <v>368000</v>
      </c>
      <c r="V16" s="753">
        <v>0</v>
      </c>
      <c r="W16" s="73">
        <f t="shared" si="6"/>
        <v>0</v>
      </c>
      <c r="X16" s="753">
        <v>368000</v>
      </c>
      <c r="Y16" s="753">
        <v>0</v>
      </c>
      <c r="Z16" s="73">
        <f t="shared" si="7"/>
        <v>0</v>
      </c>
      <c r="AA16" s="753">
        <v>368000</v>
      </c>
      <c r="AB16" s="753">
        <v>0</v>
      </c>
      <c r="AC16" s="73">
        <f t="shared" si="8"/>
        <v>0</v>
      </c>
      <c r="AD16" s="753">
        <f t="shared" si="9"/>
        <v>0</v>
      </c>
      <c r="AE16" s="73">
        <f t="shared" si="10"/>
        <v>0</v>
      </c>
      <c r="AF16" s="753">
        <v>368000</v>
      </c>
      <c r="AG16" s="753"/>
      <c r="AH16" s="73">
        <f t="shared" si="11"/>
        <v>0</v>
      </c>
      <c r="AI16" s="753">
        <v>368000</v>
      </c>
      <c r="AJ16" s="753">
        <v>0</v>
      </c>
      <c r="AK16" s="73">
        <f t="shared" si="12"/>
        <v>0</v>
      </c>
      <c r="AL16" s="753">
        <v>368000</v>
      </c>
      <c r="AM16" s="753">
        <v>0</v>
      </c>
      <c r="AN16" s="73">
        <f t="shared" si="13"/>
        <v>0</v>
      </c>
      <c r="AO16" s="753">
        <v>92000</v>
      </c>
      <c r="AP16" s="753">
        <v>0</v>
      </c>
      <c r="AQ16" s="73">
        <f t="shared" si="14"/>
        <v>0</v>
      </c>
      <c r="AR16" s="753">
        <v>92000</v>
      </c>
      <c r="AS16" s="753">
        <v>0</v>
      </c>
      <c r="AT16" s="73">
        <f t="shared" si="15"/>
        <v>0</v>
      </c>
      <c r="AU16" s="753">
        <v>92000</v>
      </c>
      <c r="AV16" s="753">
        <v>34976566</v>
      </c>
      <c r="AW16" s="73">
        <f t="shared" si="16"/>
        <v>380.1800652173913</v>
      </c>
      <c r="AX16" s="753">
        <f t="shared" si="0"/>
        <v>34976566</v>
      </c>
      <c r="AY16" s="73">
        <f t="shared" si="1"/>
        <v>12.672668840579711</v>
      </c>
    </row>
    <row r="17" spans="1:51" s="128" customFormat="1" ht="61.5" thickTop="1" thickBot="1">
      <c r="A17" s="2944"/>
      <c r="B17" s="2956"/>
      <c r="C17" s="3145"/>
      <c r="D17" s="124" t="s">
        <v>691</v>
      </c>
      <c r="E17" s="1612" t="s">
        <v>173</v>
      </c>
      <c r="F17" s="1616" t="s">
        <v>24</v>
      </c>
      <c r="G17" s="1617">
        <v>4</v>
      </c>
      <c r="H17" s="1603"/>
      <c r="I17" s="1604"/>
      <c r="J17" s="1603"/>
      <c r="K17" s="1605" t="s">
        <v>493</v>
      </c>
      <c r="L17" s="142">
        <v>0</v>
      </c>
      <c r="M17" s="142">
        <v>0</v>
      </c>
      <c r="N17" s="73" t="e">
        <f t="shared" si="3"/>
        <v>#DIV/0!</v>
      </c>
      <c r="O17" s="142">
        <v>0</v>
      </c>
      <c r="P17" s="142"/>
      <c r="Q17" s="73" t="e">
        <f t="shared" si="4"/>
        <v>#DIV/0!</v>
      </c>
      <c r="R17" s="142">
        <v>0</v>
      </c>
      <c r="S17" s="142">
        <v>1</v>
      </c>
      <c r="T17" s="73" t="e">
        <f t="shared" si="5"/>
        <v>#DIV/0!</v>
      </c>
      <c r="U17" s="142">
        <v>0</v>
      </c>
      <c r="V17" s="142">
        <v>0</v>
      </c>
      <c r="W17" s="73" t="e">
        <f t="shared" si="6"/>
        <v>#DIV/0!</v>
      </c>
      <c r="X17" s="142">
        <v>0</v>
      </c>
      <c r="Y17" s="142">
        <v>0</v>
      </c>
      <c r="Z17" s="73" t="e">
        <f t="shared" si="7"/>
        <v>#DIV/0!</v>
      </c>
      <c r="AA17" s="142">
        <v>0</v>
      </c>
      <c r="AB17" s="142">
        <v>0</v>
      </c>
      <c r="AC17" s="73" t="e">
        <f t="shared" si="8"/>
        <v>#DIV/0!</v>
      </c>
      <c r="AD17" s="142">
        <f t="shared" si="9"/>
        <v>1</v>
      </c>
      <c r="AE17" s="73">
        <f t="shared" si="10"/>
        <v>0.25</v>
      </c>
      <c r="AF17" s="142">
        <v>2</v>
      </c>
      <c r="AG17" s="142">
        <v>0</v>
      </c>
      <c r="AH17" s="73">
        <f t="shared" si="11"/>
        <v>0</v>
      </c>
      <c r="AI17" s="142">
        <v>0</v>
      </c>
      <c r="AJ17" s="142">
        <v>0</v>
      </c>
      <c r="AK17" s="73" t="e">
        <f t="shared" si="12"/>
        <v>#DIV/0!</v>
      </c>
      <c r="AL17" s="142">
        <v>0</v>
      </c>
      <c r="AM17" s="142">
        <v>2</v>
      </c>
      <c r="AN17" s="73" t="e">
        <f t="shared" si="13"/>
        <v>#DIV/0!</v>
      </c>
      <c r="AO17" s="142">
        <v>0</v>
      </c>
      <c r="AP17" s="142">
        <v>0</v>
      </c>
      <c r="AQ17" s="73" t="e">
        <f t="shared" si="14"/>
        <v>#DIV/0!</v>
      </c>
      <c r="AR17" s="142">
        <v>0</v>
      </c>
      <c r="AS17" s="142">
        <v>1</v>
      </c>
      <c r="AT17" s="73" t="e">
        <f t="shared" si="15"/>
        <v>#DIV/0!</v>
      </c>
      <c r="AU17" s="142">
        <v>2</v>
      </c>
      <c r="AV17" s="142">
        <v>8</v>
      </c>
      <c r="AW17" s="73">
        <f t="shared" si="16"/>
        <v>4</v>
      </c>
      <c r="AX17" s="753">
        <f t="shared" si="0"/>
        <v>12</v>
      </c>
      <c r="AY17" s="73">
        <f t="shared" si="1"/>
        <v>3</v>
      </c>
    </row>
    <row r="18" spans="1:51" s="132" customFormat="1" ht="46.5" thickTop="1" thickBot="1">
      <c r="A18" s="2944"/>
      <c r="B18" s="2956"/>
      <c r="C18" s="1612" t="s">
        <v>692</v>
      </c>
      <c r="D18" s="129" t="s">
        <v>109</v>
      </c>
      <c r="E18" s="1612" t="s">
        <v>373</v>
      </c>
      <c r="F18" s="1618" t="s">
        <v>18</v>
      </c>
      <c r="G18" s="1619">
        <v>5002</v>
      </c>
      <c r="H18" s="1607"/>
      <c r="I18" s="1615"/>
      <c r="J18" s="1607"/>
      <c r="K18" s="1611" t="s">
        <v>21</v>
      </c>
      <c r="L18" s="753">
        <v>0</v>
      </c>
      <c r="M18" s="753">
        <v>0</v>
      </c>
      <c r="N18" s="73" t="e">
        <f t="shared" si="3"/>
        <v>#DIV/0!</v>
      </c>
      <c r="O18" s="753">
        <v>0</v>
      </c>
      <c r="P18" s="753">
        <v>0</v>
      </c>
      <c r="Q18" s="73" t="e">
        <f t="shared" si="4"/>
        <v>#DIV/0!</v>
      </c>
      <c r="R18" s="753">
        <v>866.3632901832209</v>
      </c>
      <c r="S18" s="753">
        <v>1192.3900000000001</v>
      </c>
      <c r="T18" s="73">
        <f t="shared" si="5"/>
        <v>1.3763163946475967</v>
      </c>
      <c r="U18" s="753">
        <v>278.38250901031319</v>
      </c>
      <c r="V18" s="753">
        <v>121.1</v>
      </c>
      <c r="W18" s="73">
        <f t="shared" si="6"/>
        <v>0.43501296266969713</v>
      </c>
      <c r="X18" s="753">
        <v>629.80493616078286</v>
      </c>
      <c r="Y18" s="753">
        <v>86.8</v>
      </c>
      <c r="Z18" s="73">
        <f t="shared" si="7"/>
        <v>0.13782045045426705</v>
      </c>
      <c r="AA18" s="753">
        <v>316.4045641685052</v>
      </c>
      <c r="AB18" s="753">
        <v>196.4</v>
      </c>
      <c r="AC18" s="73">
        <f t="shared" si="8"/>
        <v>0.62072429491062819</v>
      </c>
      <c r="AD18" s="753">
        <f t="shared" si="9"/>
        <v>1596.69</v>
      </c>
      <c r="AE18" s="73">
        <f t="shared" si="10"/>
        <v>0.31921031587365056</v>
      </c>
      <c r="AF18" s="753">
        <v>417.70970937367525</v>
      </c>
      <c r="AG18" s="753">
        <v>120</v>
      </c>
      <c r="AH18" s="73">
        <f t="shared" si="11"/>
        <v>0.28728084913307644</v>
      </c>
      <c r="AI18" s="753">
        <v>681.78574014838534</v>
      </c>
      <c r="AJ18" s="753">
        <v>173.4</v>
      </c>
      <c r="AK18" s="73">
        <f t="shared" si="12"/>
        <v>0.25433210140514356</v>
      </c>
      <c r="AL18" s="753">
        <v>414.44245401974985</v>
      </c>
      <c r="AM18" s="753">
        <v>300</v>
      </c>
      <c r="AN18" s="73">
        <f t="shared" si="13"/>
        <v>0.72386406626600996</v>
      </c>
      <c r="AO18" s="753">
        <v>800.16834103415238</v>
      </c>
      <c r="AP18" s="753">
        <v>442.7</v>
      </c>
      <c r="AQ18" s="73">
        <f t="shared" si="14"/>
        <v>0.55325857984814331</v>
      </c>
      <c r="AR18" s="753">
        <v>349.87386136776041</v>
      </c>
      <c r="AS18" s="753">
        <v>617.79999999999995</v>
      </c>
      <c r="AT18" s="73">
        <v>0</v>
      </c>
      <c r="AU18" s="753">
        <v>247.25450084272805</v>
      </c>
      <c r="AV18" s="753">
        <v>285.5</v>
      </c>
      <c r="AW18" s="73">
        <f t="shared" si="16"/>
        <v>1.1546806995501322</v>
      </c>
      <c r="AX18" s="753">
        <f>+M18+P18+S18+V18+Y18+AB18+AG18+AJ18+AM18+AP18+AS18+AV18</f>
        <v>3536.09</v>
      </c>
      <c r="AY18" s="73">
        <f t="shared" si="1"/>
        <v>0.7069352259096362</v>
      </c>
    </row>
    <row r="19" spans="1:51" s="128" customFormat="1" ht="46.5" thickTop="1" thickBot="1">
      <c r="A19" s="2944"/>
      <c r="B19" s="2956"/>
      <c r="C19" s="1612" t="s">
        <v>693</v>
      </c>
      <c r="D19" s="124" t="s">
        <v>111</v>
      </c>
      <c r="E19" s="1612" t="s">
        <v>112</v>
      </c>
      <c r="F19" s="1620" t="s">
        <v>17</v>
      </c>
      <c r="G19" s="1621">
        <v>28</v>
      </c>
      <c r="H19" s="1603"/>
      <c r="I19" s="1604"/>
      <c r="J19" s="1603"/>
      <c r="K19" s="1605" t="s">
        <v>20</v>
      </c>
      <c r="L19" s="142">
        <v>0</v>
      </c>
      <c r="M19" s="142">
        <v>1</v>
      </c>
      <c r="N19" s="73" t="e">
        <f t="shared" si="3"/>
        <v>#DIV/0!</v>
      </c>
      <c r="O19" s="142">
        <v>0</v>
      </c>
      <c r="P19" s="142"/>
      <c r="Q19" s="73" t="e">
        <f t="shared" si="4"/>
        <v>#DIV/0!</v>
      </c>
      <c r="R19" s="142">
        <v>0</v>
      </c>
      <c r="S19" s="142"/>
      <c r="T19" s="73" t="e">
        <f t="shared" si="5"/>
        <v>#DIV/0!</v>
      </c>
      <c r="U19" s="142">
        <v>0</v>
      </c>
      <c r="V19" s="142"/>
      <c r="W19" s="73" t="e">
        <f t="shared" si="6"/>
        <v>#DIV/0!</v>
      </c>
      <c r="X19" s="142">
        <v>0</v>
      </c>
      <c r="Y19" s="142"/>
      <c r="Z19" s="73" t="e">
        <f t="shared" si="7"/>
        <v>#DIV/0!</v>
      </c>
      <c r="AA19" s="142">
        <v>0</v>
      </c>
      <c r="AB19" s="142">
        <v>1</v>
      </c>
      <c r="AC19" s="73" t="e">
        <f t="shared" si="8"/>
        <v>#DIV/0!</v>
      </c>
      <c r="AD19" s="142">
        <f t="shared" si="9"/>
        <v>2</v>
      </c>
      <c r="AE19" s="73">
        <f t="shared" si="10"/>
        <v>7.1428571428571425E-2</v>
      </c>
      <c r="AF19" s="142">
        <v>0</v>
      </c>
      <c r="AG19" s="142">
        <v>8</v>
      </c>
      <c r="AH19" s="73" t="e">
        <f t="shared" si="11"/>
        <v>#DIV/0!</v>
      </c>
      <c r="AI19" s="142">
        <v>0</v>
      </c>
      <c r="AJ19" s="142"/>
      <c r="AK19" s="73" t="e">
        <f t="shared" si="12"/>
        <v>#DIV/0!</v>
      </c>
      <c r="AL19" s="142">
        <v>0</v>
      </c>
      <c r="AM19" s="142">
        <v>2</v>
      </c>
      <c r="AN19" s="73" t="e">
        <f t="shared" si="13"/>
        <v>#DIV/0!</v>
      </c>
      <c r="AO19" s="142">
        <v>28</v>
      </c>
      <c r="AP19" s="142">
        <v>0</v>
      </c>
      <c r="AQ19" s="73">
        <f t="shared" si="14"/>
        <v>0</v>
      </c>
      <c r="AR19" s="142">
        <v>13</v>
      </c>
      <c r="AS19" s="142">
        <v>1</v>
      </c>
      <c r="AT19" s="73">
        <f t="shared" si="15"/>
        <v>7.6923076923076927E-2</v>
      </c>
      <c r="AU19" s="142">
        <v>6</v>
      </c>
      <c r="AV19" s="142"/>
      <c r="AW19" s="73">
        <f t="shared" si="16"/>
        <v>0</v>
      </c>
      <c r="AX19" s="142">
        <f>+M19+P19+S19+V19+Y19+AB19+AG19+AJ19+AM19+AP19+AS19+AV19</f>
        <v>13</v>
      </c>
      <c r="AY19" s="73">
        <f t="shared" si="1"/>
        <v>0.4642857142857143</v>
      </c>
    </row>
    <row r="20" spans="1:51" s="132" customFormat="1" ht="61.5" thickTop="1" thickBot="1">
      <c r="A20" s="2944"/>
      <c r="B20" s="2956"/>
      <c r="C20" s="3143" t="s">
        <v>694</v>
      </c>
      <c r="D20" s="129" t="s">
        <v>205</v>
      </c>
      <c r="E20" s="1612" t="s">
        <v>206</v>
      </c>
      <c r="F20" s="1607" t="s">
        <v>24</v>
      </c>
      <c r="G20" s="1622">
        <v>4</v>
      </c>
      <c r="H20" s="1607"/>
      <c r="I20" s="1615"/>
      <c r="J20" s="1607"/>
      <c r="K20" s="1611" t="s">
        <v>196</v>
      </c>
      <c r="L20" s="120">
        <v>0</v>
      </c>
      <c r="M20" s="120"/>
      <c r="N20" s="73" t="e">
        <f t="shared" si="3"/>
        <v>#DIV/0!</v>
      </c>
      <c r="O20" s="120">
        <v>0</v>
      </c>
      <c r="P20" s="120"/>
      <c r="Q20" s="73" t="e">
        <f t="shared" si="4"/>
        <v>#DIV/0!</v>
      </c>
      <c r="R20" s="120">
        <v>0</v>
      </c>
      <c r="S20" s="120"/>
      <c r="T20" s="73" t="e">
        <f t="shared" si="5"/>
        <v>#DIV/0!</v>
      </c>
      <c r="U20" s="120">
        <v>0</v>
      </c>
      <c r="V20" s="120"/>
      <c r="W20" s="73" t="e">
        <f t="shared" si="6"/>
        <v>#DIV/0!</v>
      </c>
      <c r="X20" s="120">
        <v>2</v>
      </c>
      <c r="Y20" s="120">
        <v>0</v>
      </c>
      <c r="Z20" s="73">
        <f t="shared" si="7"/>
        <v>0</v>
      </c>
      <c r="AA20" s="120">
        <v>0</v>
      </c>
      <c r="AB20" s="120"/>
      <c r="AC20" s="73" t="e">
        <f t="shared" si="8"/>
        <v>#DIV/0!</v>
      </c>
      <c r="AD20" s="120">
        <f>+Y20</f>
        <v>0</v>
      </c>
      <c r="AE20" s="73">
        <f t="shared" si="10"/>
        <v>0</v>
      </c>
      <c r="AF20" s="120">
        <v>0</v>
      </c>
      <c r="AG20" s="120"/>
      <c r="AH20" s="73" t="e">
        <f t="shared" si="11"/>
        <v>#DIV/0!</v>
      </c>
      <c r="AI20" s="120">
        <v>0</v>
      </c>
      <c r="AJ20" s="120"/>
      <c r="AK20" s="73" t="e">
        <f t="shared" si="12"/>
        <v>#DIV/0!</v>
      </c>
      <c r="AL20" s="120">
        <v>2</v>
      </c>
      <c r="AM20" s="120">
        <v>0</v>
      </c>
      <c r="AN20" s="73">
        <f t="shared" si="13"/>
        <v>0</v>
      </c>
      <c r="AO20" s="120">
        <v>0</v>
      </c>
      <c r="AP20" s="120"/>
      <c r="AQ20" s="73" t="e">
        <f t="shared" si="14"/>
        <v>#DIV/0!</v>
      </c>
      <c r="AR20" s="120">
        <v>0</v>
      </c>
      <c r="AS20" s="120"/>
      <c r="AT20" s="73" t="e">
        <f t="shared" si="15"/>
        <v>#DIV/0!</v>
      </c>
      <c r="AU20" s="120">
        <v>0</v>
      </c>
      <c r="AV20" s="120"/>
      <c r="AW20" s="73" t="e">
        <f t="shared" si="16"/>
        <v>#DIV/0!</v>
      </c>
      <c r="AX20" s="120">
        <f>+AM20+Y20</f>
        <v>0</v>
      </c>
      <c r="AY20" s="73"/>
    </row>
    <row r="21" spans="1:51" s="128" customFormat="1" ht="31.5" thickTop="1" thickBot="1">
      <c r="A21" s="2944"/>
      <c r="B21" s="2956"/>
      <c r="C21" s="3144"/>
      <c r="D21" s="124" t="s">
        <v>207</v>
      </c>
      <c r="E21" s="1612" t="s">
        <v>206</v>
      </c>
      <c r="F21" s="1603" t="s">
        <v>24</v>
      </c>
      <c r="G21" s="1623">
        <v>5</v>
      </c>
      <c r="H21" s="1603"/>
      <c r="I21" s="1604"/>
      <c r="J21" s="1603"/>
      <c r="K21" s="1605" t="s">
        <v>695</v>
      </c>
      <c r="L21" s="142">
        <v>0</v>
      </c>
      <c r="M21" s="142"/>
      <c r="N21" s="73" t="e">
        <f t="shared" si="3"/>
        <v>#DIV/0!</v>
      </c>
      <c r="O21" s="142">
        <v>0</v>
      </c>
      <c r="P21" s="142"/>
      <c r="Q21" s="73" t="e">
        <f t="shared" si="4"/>
        <v>#DIV/0!</v>
      </c>
      <c r="R21" s="142">
        <v>0</v>
      </c>
      <c r="S21" s="142"/>
      <c r="T21" s="73" t="e">
        <f t="shared" si="5"/>
        <v>#DIV/0!</v>
      </c>
      <c r="U21" s="142">
        <v>0</v>
      </c>
      <c r="V21" s="142"/>
      <c r="W21" s="73" t="e">
        <f t="shared" si="6"/>
        <v>#DIV/0!</v>
      </c>
      <c r="X21" s="142">
        <v>3</v>
      </c>
      <c r="Y21" s="142">
        <v>0</v>
      </c>
      <c r="Z21" s="73">
        <f t="shared" si="7"/>
        <v>0</v>
      </c>
      <c r="AA21" s="142">
        <v>0</v>
      </c>
      <c r="AB21" s="142">
        <v>0</v>
      </c>
      <c r="AC21" s="73" t="e">
        <f t="shared" si="8"/>
        <v>#DIV/0!</v>
      </c>
      <c r="AD21" s="142">
        <f>+Y21</f>
        <v>0</v>
      </c>
      <c r="AE21" s="73">
        <f t="shared" si="10"/>
        <v>0</v>
      </c>
      <c r="AF21" s="142">
        <v>0</v>
      </c>
      <c r="AG21" s="142"/>
      <c r="AH21" s="73" t="e">
        <f t="shared" si="11"/>
        <v>#DIV/0!</v>
      </c>
      <c r="AI21" s="142">
        <v>0</v>
      </c>
      <c r="AJ21" s="142"/>
      <c r="AK21" s="73" t="e">
        <f t="shared" si="12"/>
        <v>#DIV/0!</v>
      </c>
      <c r="AL21" s="142">
        <v>0</v>
      </c>
      <c r="AM21" s="142"/>
      <c r="AN21" s="73" t="e">
        <f t="shared" si="13"/>
        <v>#DIV/0!</v>
      </c>
      <c r="AO21" s="142">
        <v>2</v>
      </c>
      <c r="AP21" s="142">
        <v>8</v>
      </c>
      <c r="AQ21" s="73">
        <f t="shared" si="14"/>
        <v>4</v>
      </c>
      <c r="AR21" s="142">
        <v>0</v>
      </c>
      <c r="AS21" s="142"/>
      <c r="AT21" s="73" t="e">
        <f t="shared" si="15"/>
        <v>#DIV/0!</v>
      </c>
      <c r="AU21" s="142">
        <v>0</v>
      </c>
      <c r="AV21" s="142"/>
      <c r="AW21" s="73" t="e">
        <f t="shared" si="16"/>
        <v>#DIV/0!</v>
      </c>
      <c r="AX21" s="142">
        <f>+AP21+Y21</f>
        <v>8</v>
      </c>
      <c r="AY21" s="73">
        <f t="shared" si="1"/>
        <v>1.6</v>
      </c>
    </row>
    <row r="22" spans="1:51" s="132" customFormat="1" ht="46.5" thickTop="1" thickBot="1">
      <c r="A22" s="2944"/>
      <c r="B22" s="2956"/>
      <c r="C22" s="3145"/>
      <c r="D22" s="129" t="s">
        <v>696</v>
      </c>
      <c r="E22" s="1612" t="s">
        <v>480</v>
      </c>
      <c r="F22" s="1607" t="s">
        <v>10</v>
      </c>
      <c r="G22" s="1624">
        <v>1</v>
      </c>
      <c r="H22" s="1607"/>
      <c r="I22" s="1615"/>
      <c r="J22" s="1607"/>
      <c r="K22" s="1611" t="s">
        <v>695</v>
      </c>
      <c r="L22" s="145">
        <v>1</v>
      </c>
      <c r="M22" s="145">
        <v>0</v>
      </c>
      <c r="N22" s="73">
        <f t="shared" si="3"/>
        <v>0</v>
      </c>
      <c r="O22" s="145">
        <v>1</v>
      </c>
      <c r="P22" s="145">
        <v>0</v>
      </c>
      <c r="Q22" s="73">
        <f t="shared" si="4"/>
        <v>0</v>
      </c>
      <c r="R22" s="145">
        <v>1</v>
      </c>
      <c r="S22" s="145">
        <v>0</v>
      </c>
      <c r="T22" s="73">
        <f t="shared" si="5"/>
        <v>0</v>
      </c>
      <c r="U22" s="145">
        <v>1</v>
      </c>
      <c r="V22" s="145">
        <v>0</v>
      </c>
      <c r="W22" s="73">
        <f t="shared" si="6"/>
        <v>0</v>
      </c>
      <c r="X22" s="145">
        <v>1</v>
      </c>
      <c r="Y22" s="145">
        <v>0</v>
      </c>
      <c r="Z22" s="73">
        <f t="shared" si="7"/>
        <v>0</v>
      </c>
      <c r="AA22" s="145">
        <v>1</v>
      </c>
      <c r="AB22" s="145">
        <v>0</v>
      </c>
      <c r="AC22" s="73">
        <f t="shared" si="8"/>
        <v>0</v>
      </c>
      <c r="AD22" s="145">
        <f>(M22+P22+S22+V22+Y22+AB22)/6</f>
        <v>0</v>
      </c>
      <c r="AE22" s="73">
        <f t="shared" si="10"/>
        <v>0</v>
      </c>
      <c r="AF22" s="145">
        <v>1</v>
      </c>
      <c r="AG22" s="145">
        <v>0</v>
      </c>
      <c r="AH22" s="73">
        <f t="shared" si="11"/>
        <v>0</v>
      </c>
      <c r="AI22" s="145">
        <v>1</v>
      </c>
      <c r="AJ22" s="145">
        <v>0</v>
      </c>
      <c r="AK22" s="73">
        <f t="shared" si="12"/>
        <v>0</v>
      </c>
      <c r="AL22" s="145">
        <v>1</v>
      </c>
      <c r="AM22" s="145">
        <v>0.01</v>
      </c>
      <c r="AN22" s="73">
        <f t="shared" si="13"/>
        <v>0.01</v>
      </c>
      <c r="AO22" s="145">
        <v>1</v>
      </c>
      <c r="AP22" s="145">
        <v>0.05</v>
      </c>
      <c r="AQ22" s="73">
        <f t="shared" si="14"/>
        <v>0.05</v>
      </c>
      <c r="AR22" s="145">
        <v>1</v>
      </c>
      <c r="AS22" s="145">
        <v>0.05</v>
      </c>
      <c r="AT22" s="73">
        <f t="shared" si="15"/>
        <v>0.05</v>
      </c>
      <c r="AU22" s="145">
        <v>1</v>
      </c>
      <c r="AV22" s="145">
        <v>0.01</v>
      </c>
      <c r="AW22" s="73">
        <f t="shared" si="16"/>
        <v>0.01</v>
      </c>
      <c r="AX22" s="145">
        <f>(M22+P22+S22+V22+Y22+AB22+AG22+AJ22+AM22+AP22+AS22+AV22)/12</f>
        <v>0.01</v>
      </c>
      <c r="AY22" s="73">
        <f t="shared" si="1"/>
        <v>0.01</v>
      </c>
    </row>
    <row r="23" spans="1:51" s="128" customFormat="1" ht="46.5" thickTop="1" thickBot="1">
      <c r="A23" s="2944"/>
      <c r="B23" s="2956"/>
      <c r="C23" s="1612" t="s">
        <v>697</v>
      </c>
      <c r="D23" s="124" t="s">
        <v>116</v>
      </c>
      <c r="E23" s="1612" t="s">
        <v>117</v>
      </c>
      <c r="F23" s="1603" t="s">
        <v>17</v>
      </c>
      <c r="G23" s="1621">
        <v>238</v>
      </c>
      <c r="H23" s="1603"/>
      <c r="I23" s="1604"/>
      <c r="J23" s="1603"/>
      <c r="K23" s="1625" t="s">
        <v>118</v>
      </c>
      <c r="L23" s="1626">
        <v>0</v>
      </c>
      <c r="M23" s="1626">
        <v>0</v>
      </c>
      <c r="N23" s="73" t="e">
        <f t="shared" si="3"/>
        <v>#DIV/0!</v>
      </c>
      <c r="O23" s="1626">
        <v>0</v>
      </c>
      <c r="P23" s="1626">
        <v>0</v>
      </c>
      <c r="Q23" s="73" t="e">
        <f t="shared" si="4"/>
        <v>#DIV/0!</v>
      </c>
      <c r="R23" s="1626">
        <v>45</v>
      </c>
      <c r="S23" s="1626">
        <v>45</v>
      </c>
      <c r="T23" s="73">
        <f t="shared" si="5"/>
        <v>1</v>
      </c>
      <c r="U23" s="1626">
        <v>37</v>
      </c>
      <c r="V23" s="1626">
        <v>37</v>
      </c>
      <c r="W23" s="73">
        <f t="shared" si="6"/>
        <v>1</v>
      </c>
      <c r="X23" s="1626">
        <v>11</v>
      </c>
      <c r="Y23" s="1626">
        <v>11</v>
      </c>
      <c r="Z23" s="73">
        <f t="shared" si="7"/>
        <v>1</v>
      </c>
      <c r="AA23" s="1626">
        <v>12</v>
      </c>
      <c r="AB23" s="1626">
        <v>12</v>
      </c>
      <c r="AC23" s="73">
        <f t="shared" si="8"/>
        <v>1</v>
      </c>
      <c r="AD23" s="1626">
        <f t="shared" si="9"/>
        <v>105</v>
      </c>
      <c r="AE23" s="73">
        <f t="shared" si="10"/>
        <v>0.44117647058823528</v>
      </c>
      <c r="AF23" s="1626">
        <v>22</v>
      </c>
      <c r="AG23" s="1626">
        <v>22</v>
      </c>
      <c r="AH23" s="73">
        <f t="shared" si="11"/>
        <v>1</v>
      </c>
      <c r="AI23" s="1626">
        <v>34</v>
      </c>
      <c r="AJ23" s="1626">
        <v>34</v>
      </c>
      <c r="AK23" s="73">
        <f t="shared" si="12"/>
        <v>1</v>
      </c>
      <c r="AL23" s="1626">
        <v>46</v>
      </c>
      <c r="AM23" s="1626">
        <v>46</v>
      </c>
      <c r="AN23" s="73">
        <f t="shared" si="13"/>
        <v>1</v>
      </c>
      <c r="AO23" s="1626">
        <v>18</v>
      </c>
      <c r="AP23" s="1626">
        <v>273</v>
      </c>
      <c r="AQ23" s="73">
        <f t="shared" si="14"/>
        <v>15.166666666666666</v>
      </c>
      <c r="AR23" s="1626">
        <v>12</v>
      </c>
      <c r="AS23" s="1626">
        <v>12</v>
      </c>
      <c r="AT23" s="73">
        <f t="shared" si="15"/>
        <v>1</v>
      </c>
      <c r="AU23" s="1626">
        <v>1</v>
      </c>
      <c r="AV23" s="1626">
        <v>89</v>
      </c>
      <c r="AW23" s="73">
        <f t="shared" si="16"/>
        <v>89</v>
      </c>
      <c r="AX23" s="1626">
        <f>+M23+P23+S23+V23+Y23+AB23+AG23+AJ23+AM23+AP23+AS23+AV23</f>
        <v>581</v>
      </c>
      <c r="AY23" s="73">
        <f t="shared" si="1"/>
        <v>2.4411764705882355</v>
      </c>
    </row>
    <row r="24" spans="1:51" s="132" customFormat="1" ht="61.5" thickTop="1" thickBot="1">
      <c r="A24" s="2944"/>
      <c r="B24" s="2956"/>
      <c r="C24" s="1627" t="s">
        <v>698</v>
      </c>
      <c r="D24" s="129" t="s">
        <v>128</v>
      </c>
      <c r="E24" s="1618" t="s">
        <v>220</v>
      </c>
      <c r="F24" s="1607" t="s">
        <v>10</v>
      </c>
      <c r="G24" s="1628">
        <v>1</v>
      </c>
      <c r="H24" s="1607"/>
      <c r="I24" s="1615"/>
      <c r="J24" s="1607"/>
      <c r="K24" s="1618" t="s">
        <v>7</v>
      </c>
      <c r="L24" s="144">
        <v>1</v>
      </c>
      <c r="M24" s="144">
        <v>0</v>
      </c>
      <c r="N24" s="73">
        <f t="shared" si="3"/>
        <v>0</v>
      </c>
      <c r="O24" s="144">
        <v>1</v>
      </c>
      <c r="P24" s="144">
        <v>0</v>
      </c>
      <c r="Q24" s="73">
        <f t="shared" si="4"/>
        <v>0</v>
      </c>
      <c r="R24" s="144">
        <v>1</v>
      </c>
      <c r="S24" s="144">
        <v>0</v>
      </c>
      <c r="T24" s="73">
        <f t="shared" si="5"/>
        <v>0</v>
      </c>
      <c r="U24" s="144">
        <v>1</v>
      </c>
      <c r="V24" s="144">
        <v>0</v>
      </c>
      <c r="W24" s="73">
        <f t="shared" si="6"/>
        <v>0</v>
      </c>
      <c r="X24" s="144">
        <v>1</v>
      </c>
      <c r="Y24" s="144">
        <v>0</v>
      </c>
      <c r="Z24" s="73">
        <f t="shared" si="7"/>
        <v>0</v>
      </c>
      <c r="AA24" s="144">
        <v>1</v>
      </c>
      <c r="AB24" s="144">
        <v>0</v>
      </c>
      <c r="AC24" s="73">
        <f t="shared" si="8"/>
        <v>0</v>
      </c>
      <c r="AD24" s="144">
        <f>(M24+P24+S24+V24+Y24+AB24)/6</f>
        <v>0</v>
      </c>
      <c r="AE24" s="73">
        <f t="shared" si="10"/>
        <v>0</v>
      </c>
      <c r="AF24" s="144">
        <v>1</v>
      </c>
      <c r="AG24" s="144">
        <v>0</v>
      </c>
      <c r="AH24" s="73">
        <f t="shared" si="11"/>
        <v>0</v>
      </c>
      <c r="AI24" s="144">
        <v>1</v>
      </c>
      <c r="AJ24" s="144">
        <v>0</v>
      </c>
      <c r="AK24" s="73">
        <f t="shared" si="12"/>
        <v>0</v>
      </c>
      <c r="AL24" s="144">
        <v>1</v>
      </c>
      <c r="AM24" s="144">
        <v>0</v>
      </c>
      <c r="AN24" s="73">
        <f t="shared" si="13"/>
        <v>0</v>
      </c>
      <c r="AO24" s="144">
        <v>1</v>
      </c>
      <c r="AP24" s="144">
        <v>0</v>
      </c>
      <c r="AQ24" s="73">
        <f t="shared" si="14"/>
        <v>0</v>
      </c>
      <c r="AR24" s="144">
        <v>1</v>
      </c>
      <c r="AS24" s="144">
        <v>0</v>
      </c>
      <c r="AT24" s="73">
        <f t="shared" si="15"/>
        <v>0</v>
      </c>
      <c r="AU24" s="144">
        <v>1</v>
      </c>
      <c r="AV24" s="144">
        <v>0</v>
      </c>
      <c r="AW24" s="73">
        <f t="shared" si="16"/>
        <v>0</v>
      </c>
      <c r="AX24" s="144">
        <f>(M24+P24+S24+V24+Y24+AB24+AG24+AJ24+AM24+AP24+AS24+AV24)/12</f>
        <v>0</v>
      </c>
      <c r="AY24" s="73"/>
    </row>
    <row r="25" spans="1:51" s="128" customFormat="1" ht="46.5" thickTop="1" thickBot="1">
      <c r="A25" s="2944"/>
      <c r="B25" s="2956"/>
      <c r="C25" s="1618" t="s">
        <v>699</v>
      </c>
      <c r="D25" s="124" t="s">
        <v>539</v>
      </c>
      <c r="E25" s="1629" t="s">
        <v>22</v>
      </c>
      <c r="F25" s="1629" t="s">
        <v>300</v>
      </c>
      <c r="G25" s="1604" t="s">
        <v>136</v>
      </c>
      <c r="H25" s="1603"/>
      <c r="I25" s="1604"/>
      <c r="J25" s="1603"/>
      <c r="K25" s="1630" t="s">
        <v>23</v>
      </c>
      <c r="L25" s="749">
        <v>0</v>
      </c>
      <c r="M25" s="749"/>
      <c r="N25" s="73" t="e">
        <f t="shared" si="3"/>
        <v>#DIV/0!</v>
      </c>
      <c r="O25" s="749">
        <v>0</v>
      </c>
      <c r="P25" s="749"/>
      <c r="Q25" s="73" t="e">
        <f t="shared" si="4"/>
        <v>#DIV/0!</v>
      </c>
      <c r="R25" s="749">
        <v>0</v>
      </c>
      <c r="S25" s="749"/>
      <c r="T25" s="73" t="e">
        <f t="shared" si="5"/>
        <v>#DIV/0!</v>
      </c>
      <c r="U25" s="749">
        <v>0</v>
      </c>
      <c r="V25" s="749"/>
      <c r="W25" s="73" t="e">
        <f t="shared" si="6"/>
        <v>#DIV/0!</v>
      </c>
      <c r="X25" s="749">
        <v>0</v>
      </c>
      <c r="Y25" s="749"/>
      <c r="Z25" s="73" t="e">
        <f t="shared" si="7"/>
        <v>#DIV/0!</v>
      </c>
      <c r="AA25" s="749">
        <v>0</v>
      </c>
      <c r="AB25" s="749"/>
      <c r="AC25" s="73" t="e">
        <f t="shared" si="8"/>
        <v>#DIV/0!</v>
      </c>
      <c r="AD25" s="749">
        <f t="shared" si="9"/>
        <v>0</v>
      </c>
      <c r="AE25" s="73" t="e">
        <f t="shared" si="10"/>
        <v>#VALUE!</v>
      </c>
      <c r="AF25" s="749">
        <v>0</v>
      </c>
      <c r="AG25" s="749">
        <v>3</v>
      </c>
      <c r="AH25" s="73" t="e">
        <f t="shared" si="11"/>
        <v>#DIV/0!</v>
      </c>
      <c r="AI25" s="749">
        <v>0</v>
      </c>
      <c r="AJ25" s="749"/>
      <c r="AK25" s="73" t="e">
        <f t="shared" si="12"/>
        <v>#DIV/0!</v>
      </c>
      <c r="AL25" s="749">
        <v>2</v>
      </c>
      <c r="AM25" s="749"/>
      <c r="AN25" s="73">
        <f t="shared" si="13"/>
        <v>0</v>
      </c>
      <c r="AO25" s="749">
        <v>0</v>
      </c>
      <c r="AP25" s="749"/>
      <c r="AQ25" s="73" t="e">
        <f t="shared" si="14"/>
        <v>#DIV/0!</v>
      </c>
      <c r="AR25" s="749">
        <v>0</v>
      </c>
      <c r="AS25" s="749"/>
      <c r="AT25" s="73" t="e">
        <f t="shared" si="15"/>
        <v>#DIV/0!</v>
      </c>
      <c r="AU25" s="749">
        <v>0</v>
      </c>
      <c r="AV25" s="749"/>
      <c r="AW25" s="73" t="e">
        <f t="shared" si="16"/>
        <v>#DIV/0!</v>
      </c>
      <c r="AX25" s="749">
        <f>+M25+P25+S25+V25+Y25+AB25+AG25+AJ25+AM25+AP25+AS25+AV25</f>
        <v>3</v>
      </c>
      <c r="AY25" s="73"/>
    </row>
    <row r="26" spans="1:51" s="132" customFormat="1" ht="114" thickTop="1" thickBot="1">
      <c r="A26" s="2945"/>
      <c r="B26" s="1631" t="s">
        <v>508</v>
      </c>
      <c r="C26" s="1612" t="s">
        <v>700</v>
      </c>
      <c r="D26" s="129" t="s">
        <v>227</v>
      </c>
      <c r="E26" s="1618" t="s">
        <v>228</v>
      </c>
      <c r="F26" s="1607" t="s">
        <v>101</v>
      </c>
      <c r="G26" s="1632">
        <f>+'[4]FIS-24'!$DB$16</f>
        <v>150000000</v>
      </c>
      <c r="H26" s="1609"/>
      <c r="I26" s="1610"/>
      <c r="J26" s="1609"/>
      <c r="K26" s="1633" t="s">
        <v>140</v>
      </c>
      <c r="L26" s="753">
        <v>9999999.9999999981</v>
      </c>
      <c r="M26" s="753">
        <v>9735392</v>
      </c>
      <c r="N26" s="73">
        <f t="shared" si="3"/>
        <v>0.97353920000000016</v>
      </c>
      <c r="O26" s="753">
        <v>9999999.9999999981</v>
      </c>
      <c r="P26" s="753">
        <v>15417779</v>
      </c>
      <c r="Q26" s="73">
        <f t="shared" si="4"/>
        <v>1.5417779000000003</v>
      </c>
      <c r="R26" s="753">
        <v>9999999.9999999981</v>
      </c>
      <c r="S26" s="753">
        <v>4285112</v>
      </c>
      <c r="T26" s="73">
        <f t="shared" si="5"/>
        <v>0.42851120000000009</v>
      </c>
      <c r="U26" s="753">
        <v>19833333.333333332</v>
      </c>
      <c r="V26" s="753">
        <v>14108121</v>
      </c>
      <c r="W26" s="73">
        <f t="shared" si="6"/>
        <v>0.71133383193277311</v>
      </c>
      <c r="X26" s="753">
        <v>19833333.333333332</v>
      </c>
      <c r="Y26" s="753">
        <v>15374899</v>
      </c>
      <c r="Z26" s="73">
        <f t="shared" si="7"/>
        <v>0.77520499159663869</v>
      </c>
      <c r="AA26" s="753">
        <v>19833333.333333332</v>
      </c>
      <c r="AB26" s="753">
        <v>1781525</v>
      </c>
      <c r="AC26" s="73">
        <f t="shared" si="8"/>
        <v>8.9824789915966388E-2</v>
      </c>
      <c r="AD26" s="753">
        <f t="shared" si="9"/>
        <v>60702828</v>
      </c>
      <c r="AE26" s="73">
        <f t="shared" si="10"/>
        <v>0.40468552000000002</v>
      </c>
      <c r="AF26" s="753">
        <v>19833333.333333332</v>
      </c>
      <c r="AG26" s="753">
        <v>12741042</v>
      </c>
      <c r="AH26" s="73">
        <f t="shared" si="11"/>
        <v>0.64240547899159672</v>
      </c>
      <c r="AI26" s="753">
        <v>9353333.6400000006</v>
      </c>
      <c r="AJ26" s="753">
        <v>885311</v>
      </c>
      <c r="AK26" s="73">
        <f t="shared" si="12"/>
        <v>9.465192134427057E-2</v>
      </c>
      <c r="AL26" s="753">
        <v>9353333.6400000006</v>
      </c>
      <c r="AM26" s="753">
        <v>17388868</v>
      </c>
      <c r="AN26" s="73">
        <f t="shared" si="13"/>
        <v>1.8591091336286385</v>
      </c>
      <c r="AO26" s="753">
        <v>9353333.6400000006</v>
      </c>
      <c r="AP26" s="753">
        <v>15200652</v>
      </c>
      <c r="AQ26" s="73">
        <f t="shared" si="14"/>
        <v>1.6251587492820365</v>
      </c>
      <c r="AR26" s="753">
        <v>6303333.54</v>
      </c>
      <c r="AS26" s="753">
        <v>15527112</v>
      </c>
      <c r="AT26" s="73">
        <f t="shared" si="15"/>
        <v>2.4633175289657925</v>
      </c>
      <c r="AU26" s="753">
        <v>6303333.54</v>
      </c>
      <c r="AV26" s="753">
        <v>20102523</v>
      </c>
      <c r="AW26" s="73">
        <f t="shared" si="16"/>
        <v>3.1891891603756064</v>
      </c>
      <c r="AX26" s="753">
        <f>+M26+P26+S26+V26+Y26+AB26+AG26+AJ26+AM26+AP26+AS26+AV26</f>
        <v>142548336</v>
      </c>
      <c r="AY26" s="73">
        <f t="shared" si="1"/>
        <v>0.95032223999999998</v>
      </c>
    </row>
    <row r="27" spans="1:51" s="22" customFormat="1" ht="22.5" thickTop="1" thickBot="1">
      <c r="A27" s="2857" t="s">
        <v>141</v>
      </c>
      <c r="B27" s="2858"/>
      <c r="C27" s="2858"/>
      <c r="D27" s="2858"/>
      <c r="E27" s="2858"/>
      <c r="F27" s="2858"/>
      <c r="G27" s="2858"/>
      <c r="H27" s="2858"/>
      <c r="I27" s="2858"/>
      <c r="J27" s="2858"/>
      <c r="K27" s="2859"/>
      <c r="L27" s="1634"/>
      <c r="M27" s="1634"/>
      <c r="N27" s="1635"/>
      <c r="O27" s="1634"/>
      <c r="P27" s="1634"/>
      <c r="Q27" s="1635"/>
      <c r="R27" s="1634"/>
      <c r="S27" s="1634"/>
      <c r="T27" s="1635"/>
      <c r="U27" s="1634"/>
      <c r="V27" s="1634"/>
      <c r="W27" s="1635"/>
      <c r="X27" s="1634"/>
      <c r="Y27" s="1634"/>
      <c r="Z27" s="1635"/>
      <c r="AA27" s="1634"/>
      <c r="AB27" s="1634"/>
      <c r="AC27" s="1635"/>
      <c r="AD27" s="1634"/>
      <c r="AE27" s="1634"/>
      <c r="AF27" s="1634"/>
      <c r="AG27" s="1634"/>
      <c r="AH27" s="1635"/>
      <c r="AI27" s="1634"/>
      <c r="AJ27" s="1634"/>
      <c r="AK27" s="1635"/>
      <c r="AL27" s="1634"/>
      <c r="AM27" s="1634"/>
      <c r="AN27" s="1635"/>
      <c r="AO27" s="1634"/>
      <c r="AP27" s="1634"/>
      <c r="AQ27" s="1635"/>
      <c r="AR27" s="1634"/>
      <c r="AS27" s="1634"/>
      <c r="AT27" s="1635"/>
      <c r="AU27" s="1634"/>
      <c r="AV27" s="1634"/>
      <c r="AW27" s="1635"/>
      <c r="AX27" s="1634"/>
      <c r="AY27" s="1634"/>
    </row>
    <row r="28" spans="1:51" s="128" customFormat="1" ht="106.5" thickTop="1" thickBot="1">
      <c r="A28" s="2904" t="s">
        <v>181</v>
      </c>
      <c r="B28" s="2971" t="s">
        <v>143</v>
      </c>
      <c r="C28" s="1636" t="s">
        <v>701</v>
      </c>
      <c r="D28" s="124" t="s">
        <v>144</v>
      </c>
      <c r="E28" s="190" t="s">
        <v>145</v>
      </c>
      <c r="F28" s="1574" t="s">
        <v>17</v>
      </c>
      <c r="G28" s="1637">
        <v>10</v>
      </c>
      <c r="H28" s="795"/>
      <c r="I28" s="796"/>
      <c r="J28" s="795"/>
      <c r="K28" s="1638" t="s">
        <v>146</v>
      </c>
      <c r="L28" s="142" t="s">
        <v>98</v>
      </c>
      <c r="M28" s="142"/>
      <c r="N28" s="73" t="e">
        <f t="shared" si="3"/>
        <v>#VALUE!</v>
      </c>
      <c r="O28" s="142">
        <v>0</v>
      </c>
      <c r="P28" s="142"/>
      <c r="Q28" s="73" t="e">
        <f t="shared" si="4"/>
        <v>#DIV/0!</v>
      </c>
      <c r="R28" s="142">
        <v>0</v>
      </c>
      <c r="S28" s="142"/>
      <c r="T28" s="73" t="e">
        <f t="shared" si="5"/>
        <v>#DIV/0!</v>
      </c>
      <c r="U28" s="142">
        <v>0</v>
      </c>
      <c r="V28" s="142"/>
      <c r="W28" s="73" t="e">
        <f t="shared" si="6"/>
        <v>#DIV/0!</v>
      </c>
      <c r="X28" s="142">
        <v>0</v>
      </c>
      <c r="Y28" s="142"/>
      <c r="Z28" s="73" t="e">
        <f t="shared" si="7"/>
        <v>#DIV/0!</v>
      </c>
      <c r="AA28" s="142">
        <v>0</v>
      </c>
      <c r="AB28" s="142"/>
      <c r="AC28" s="73" t="e">
        <f t="shared" si="8"/>
        <v>#DIV/0!</v>
      </c>
      <c r="AD28" s="142">
        <f t="shared" si="9"/>
        <v>0</v>
      </c>
      <c r="AE28" s="73">
        <f t="shared" si="10"/>
        <v>0</v>
      </c>
      <c r="AF28" s="142">
        <v>0</v>
      </c>
      <c r="AG28" s="142"/>
      <c r="AH28" s="73" t="e">
        <f t="shared" si="11"/>
        <v>#DIV/0!</v>
      </c>
      <c r="AI28" s="142">
        <v>10</v>
      </c>
      <c r="AJ28" s="142">
        <v>10</v>
      </c>
      <c r="AK28" s="73">
        <f t="shared" si="12"/>
        <v>1</v>
      </c>
      <c r="AL28" s="142">
        <v>0</v>
      </c>
      <c r="AM28" s="142"/>
      <c r="AN28" s="73" t="e">
        <f t="shared" si="13"/>
        <v>#DIV/0!</v>
      </c>
      <c r="AO28" s="142">
        <v>0</v>
      </c>
      <c r="AP28" s="142"/>
      <c r="AQ28" s="73" t="e">
        <f t="shared" si="14"/>
        <v>#DIV/0!</v>
      </c>
      <c r="AR28" s="142">
        <v>0</v>
      </c>
      <c r="AS28" s="142"/>
      <c r="AT28" s="73" t="e">
        <f t="shared" si="15"/>
        <v>#DIV/0!</v>
      </c>
      <c r="AU28" s="142">
        <v>10</v>
      </c>
      <c r="AV28" s="142"/>
      <c r="AW28" s="73">
        <f t="shared" si="16"/>
        <v>0</v>
      </c>
      <c r="AX28" s="142">
        <f>+M28+P28+S28+V28+Y28+AB28+AG28+AJ28+AM28+AP28+AS28+AV28</f>
        <v>10</v>
      </c>
      <c r="AY28" s="73">
        <f>+AX28/G28</f>
        <v>1</v>
      </c>
    </row>
    <row r="29" spans="1:51" s="22" customFormat="1" ht="31.5" thickTop="1" thickBot="1">
      <c r="A29" s="2904"/>
      <c r="B29" s="2971"/>
      <c r="C29" s="448" t="s">
        <v>151</v>
      </c>
      <c r="D29" s="129" t="s">
        <v>319</v>
      </c>
      <c r="E29" s="72" t="s">
        <v>339</v>
      </c>
      <c r="F29" s="1580" t="s">
        <v>17</v>
      </c>
      <c r="G29" s="1639">
        <v>37</v>
      </c>
      <c r="H29" s="1640"/>
      <c r="I29" s="1641"/>
      <c r="J29" s="1640"/>
      <c r="K29" s="260" t="s">
        <v>21</v>
      </c>
      <c r="L29" s="120">
        <v>0</v>
      </c>
      <c r="M29" s="120"/>
      <c r="N29" s="1606" t="e">
        <f>+L29/M29</f>
        <v>#DIV/0!</v>
      </c>
      <c r="O29" s="120">
        <v>0</v>
      </c>
      <c r="P29" s="120"/>
      <c r="Q29" s="1606" t="e">
        <f>+O29/P29</f>
        <v>#DIV/0!</v>
      </c>
      <c r="R29" s="120">
        <v>37</v>
      </c>
      <c r="S29" s="120"/>
      <c r="T29" s="1606" t="e">
        <f>+R29/S29</f>
        <v>#DIV/0!</v>
      </c>
      <c r="U29" s="120">
        <v>37</v>
      </c>
      <c r="V29" s="120">
        <v>8</v>
      </c>
      <c r="W29" s="1606">
        <f>+U29/V29</f>
        <v>4.625</v>
      </c>
      <c r="X29" s="120">
        <v>37</v>
      </c>
      <c r="Y29" s="120">
        <v>10</v>
      </c>
      <c r="Z29" s="1606">
        <f>+X29/Y29</f>
        <v>3.7</v>
      </c>
      <c r="AA29" s="120">
        <v>37</v>
      </c>
      <c r="AB29" s="120">
        <v>8</v>
      </c>
      <c r="AC29" s="1606">
        <f>+AA29/AB29</f>
        <v>4.625</v>
      </c>
      <c r="AD29" s="120">
        <f>(V29+Y29+AB29+S29)/4</f>
        <v>6.5</v>
      </c>
      <c r="AE29" s="1606">
        <f>+G29/AD29</f>
        <v>5.6923076923076925</v>
      </c>
      <c r="AF29" s="120">
        <v>37</v>
      </c>
      <c r="AG29" s="120"/>
      <c r="AH29" s="1606" t="e">
        <f>+AF29/AG29</f>
        <v>#DIV/0!</v>
      </c>
      <c r="AI29" s="120">
        <v>37</v>
      </c>
      <c r="AJ29" s="120"/>
      <c r="AK29" s="1606" t="e">
        <f>+AI29/AJ29</f>
        <v>#DIV/0!</v>
      </c>
      <c r="AL29" s="120">
        <v>37</v>
      </c>
      <c r="AM29" s="120"/>
      <c r="AN29" s="1606" t="e">
        <f>+AL29/AM29</f>
        <v>#DIV/0!</v>
      </c>
      <c r="AO29" s="120">
        <v>37</v>
      </c>
      <c r="AP29" s="120"/>
      <c r="AQ29" s="1606" t="e">
        <f>+AO29/AP29</f>
        <v>#DIV/0!</v>
      </c>
      <c r="AR29" s="120">
        <v>37</v>
      </c>
      <c r="AS29" s="120"/>
      <c r="AT29" s="1606" t="e">
        <f>+AR29/AS29</f>
        <v>#DIV/0!</v>
      </c>
      <c r="AU29" s="120">
        <v>37</v>
      </c>
      <c r="AV29" s="120">
        <v>11</v>
      </c>
      <c r="AW29" s="1606">
        <f>+AU29/AV29</f>
        <v>3.3636363636363638</v>
      </c>
      <c r="AX29" s="120">
        <f>+G29</f>
        <v>37</v>
      </c>
      <c r="AY29" s="73">
        <f>+G29/AX29</f>
        <v>1</v>
      </c>
    </row>
    <row r="30" spans="1:51" ht="22.5" thickTop="1" thickBot="1">
      <c r="A30" s="3142" t="s">
        <v>154</v>
      </c>
      <c r="B30" s="3142"/>
      <c r="C30" s="3142"/>
      <c r="D30" s="3142"/>
      <c r="E30" s="3142"/>
      <c r="F30" s="3142"/>
      <c r="G30" s="3142"/>
      <c r="H30" s="3142"/>
      <c r="I30" s="3142"/>
      <c r="J30" s="3142"/>
      <c r="K30" s="3142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1"/>
      <c r="AY30" s="201"/>
    </row>
    <row r="31" spans="1:51" ht="46.5" thickTop="1" thickBot="1">
      <c r="A31" s="202" t="s">
        <v>155</v>
      </c>
      <c r="B31" s="97" t="s">
        <v>156</v>
      </c>
      <c r="C31" s="489" t="s">
        <v>157</v>
      </c>
      <c r="D31" s="111" t="s">
        <v>158</v>
      </c>
      <c r="E31" s="74" t="s">
        <v>159</v>
      </c>
      <c r="F31" s="74" t="s">
        <v>265</v>
      </c>
      <c r="G31" s="1642">
        <v>10</v>
      </c>
      <c r="H31" s="99">
        <v>10</v>
      </c>
      <c r="I31" s="204"/>
      <c r="J31" s="204"/>
      <c r="K31" s="25" t="s">
        <v>27</v>
      </c>
      <c r="L31" s="205">
        <v>0</v>
      </c>
      <c r="M31" s="206"/>
      <c r="N31" s="19" t="e">
        <f t="shared" ref="N31" si="17">+M31/L31</f>
        <v>#DIV/0!</v>
      </c>
      <c r="O31" s="205">
        <v>0</v>
      </c>
      <c r="P31" s="206"/>
      <c r="Q31" s="19" t="e">
        <f t="shared" ref="Q31" si="18">+P31/O31</f>
        <v>#DIV/0!</v>
      </c>
      <c r="R31" s="205">
        <v>0</v>
      </c>
      <c r="S31" s="206"/>
      <c r="T31" s="19" t="e">
        <f t="shared" ref="T31" si="19">+S31/R31</f>
        <v>#DIV/0!</v>
      </c>
      <c r="U31" s="205">
        <v>0</v>
      </c>
      <c r="V31" s="206"/>
      <c r="W31" s="19" t="e">
        <f t="shared" ref="W31" si="20">+V31/U31</f>
        <v>#DIV/0!</v>
      </c>
      <c r="X31" s="205">
        <v>2</v>
      </c>
      <c r="Y31" s="206">
        <v>2</v>
      </c>
      <c r="Z31" s="19">
        <f t="shared" ref="Z31" si="21">+Y31/X31</f>
        <v>1</v>
      </c>
      <c r="AA31" s="205">
        <v>0</v>
      </c>
      <c r="AB31" s="206"/>
      <c r="AC31" s="19" t="e">
        <f t="shared" ref="AC31" si="22">+AB31/AA31</f>
        <v>#DIV/0!</v>
      </c>
      <c r="AD31" s="207">
        <f t="shared" ref="AD31" si="23">+AB31+Y31+V31+S31+P31+M31</f>
        <v>2</v>
      </c>
      <c r="AE31" s="19">
        <f t="shared" ref="AE31" si="24">+AD31/G31</f>
        <v>0.2</v>
      </c>
      <c r="AF31" s="205">
        <v>1</v>
      </c>
      <c r="AG31" s="206">
        <v>1</v>
      </c>
      <c r="AH31" s="208">
        <f t="shared" ref="AH31" si="25">+AG31/AF31</f>
        <v>1</v>
      </c>
      <c r="AI31" s="205">
        <v>3</v>
      </c>
      <c r="AJ31" s="206">
        <v>3</v>
      </c>
      <c r="AK31" s="208">
        <f t="shared" ref="AK31" si="26">+AJ31/AI31</f>
        <v>1</v>
      </c>
      <c r="AL31" s="205">
        <v>1</v>
      </c>
      <c r="AM31" s="206">
        <v>1</v>
      </c>
      <c r="AN31" s="208">
        <f t="shared" ref="AN31" si="27">+AM31/AL31</f>
        <v>1</v>
      </c>
      <c r="AO31" s="205">
        <v>3</v>
      </c>
      <c r="AP31" s="206">
        <v>3</v>
      </c>
      <c r="AQ31" s="19">
        <f t="shared" ref="AQ31" si="28">+AP31/AO31</f>
        <v>1</v>
      </c>
      <c r="AR31" s="205">
        <v>0</v>
      </c>
      <c r="AS31" s="206"/>
      <c r="AT31" s="19" t="e">
        <f t="shared" ref="AT31" si="29">+AS31/AR31</f>
        <v>#DIV/0!</v>
      </c>
      <c r="AU31" s="205">
        <v>0</v>
      </c>
      <c r="AV31" s="206"/>
      <c r="AW31" s="19" t="e">
        <f t="shared" ref="AW31" si="30">+AV31/AU31</f>
        <v>#DIV/0!</v>
      </c>
      <c r="AX31" s="209">
        <f t="shared" ref="AX31" si="31">+M31+P31+S31+V31+Y31+AB31+AG31+AJ31+AM31+AP31+AS31+AV31</f>
        <v>10</v>
      </c>
      <c r="AY31" s="19">
        <f>+AX31/G31</f>
        <v>1</v>
      </c>
    </row>
    <row r="32" spans="1:51" ht="17.25" thickTop="1"/>
  </sheetData>
  <sheetProtection algorithmName="SHA-512" hashValue="LUXGkSvuP9/skeSbl0fZKJj0dJ8baLlUXNtdSkUGXCjCcAoXaExXI2GlpZemBS4IQCMnjjY1KtT3cmHyc2k5hw==" saltValue="KROrkfNY+RuEUSCAw/rokQ==" spinCount="100000" sheet="1" objects="1" scenarios="1"/>
  <mergeCells count="37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28:A29"/>
    <mergeCell ref="B28:B29"/>
    <mergeCell ref="A30:K30"/>
    <mergeCell ref="A9:A26"/>
    <mergeCell ref="B9:B10"/>
    <mergeCell ref="B11:B25"/>
    <mergeCell ref="C12:C17"/>
    <mergeCell ref="C20:C22"/>
    <mergeCell ref="A27:K27"/>
  </mergeCells>
  <conditionalFormatting sqref="AE11:AE26 AE28:AE29">
    <cfRule type="cellIs" dxfId="5624" priority="206" operator="greaterThan">
      <formula>110%</formula>
    </cfRule>
    <cfRule type="cellIs" dxfId="5623" priority="207" operator="between">
      <formula>100.001%</formula>
      <formula>110%</formula>
    </cfRule>
    <cfRule type="cellIs" dxfId="5622" priority="208" operator="between">
      <formula>70.001%</formula>
      <formula>100%</formula>
    </cfRule>
    <cfRule type="cellIs" dxfId="5621" priority="209" operator="between">
      <formula>0.00001%</formula>
      <formula>70%</formula>
    </cfRule>
    <cfRule type="cellIs" dxfId="5620" priority="210" operator="equal">
      <formula>0</formula>
    </cfRule>
  </conditionalFormatting>
  <conditionalFormatting sqref="AY28:AY29 AY11:AY26">
    <cfRule type="cellIs" dxfId="5619" priority="201" operator="greaterThan">
      <formula>110%</formula>
    </cfRule>
    <cfRule type="cellIs" dxfId="5618" priority="202" operator="between">
      <formula>100.001%</formula>
      <formula>110%</formula>
    </cfRule>
    <cfRule type="cellIs" dxfId="5617" priority="203" operator="between">
      <formula>70.001%</formula>
      <formula>100%</formula>
    </cfRule>
    <cfRule type="cellIs" dxfId="5616" priority="204" operator="between">
      <formula>0.00001%</formula>
      <formula>70%</formula>
    </cfRule>
    <cfRule type="cellIs" dxfId="5615" priority="205" operator="equal">
      <formula>0</formula>
    </cfRule>
  </conditionalFormatting>
  <conditionalFormatting sqref="N11:N26 N28:N29">
    <cfRule type="cellIs" dxfId="5614" priority="196" operator="greaterThan">
      <formula>110%</formula>
    </cfRule>
    <cfRule type="cellIs" dxfId="5613" priority="197" operator="between">
      <formula>100.001%</formula>
      <formula>110%</formula>
    </cfRule>
    <cfRule type="cellIs" dxfId="5612" priority="198" operator="between">
      <formula>70.001%</formula>
      <formula>100%</formula>
    </cfRule>
    <cfRule type="cellIs" dxfId="5611" priority="199" operator="between">
      <formula>0.00001%</formula>
      <formula>70%</formula>
    </cfRule>
    <cfRule type="cellIs" dxfId="5610" priority="200" operator="equal">
      <formula>0</formula>
    </cfRule>
  </conditionalFormatting>
  <conditionalFormatting sqref="Q11:Q26 Q28:Q29">
    <cfRule type="cellIs" dxfId="5609" priority="191" operator="greaterThan">
      <formula>110%</formula>
    </cfRule>
    <cfRule type="cellIs" dxfId="5608" priority="192" operator="between">
      <formula>100.001%</formula>
      <formula>110%</formula>
    </cfRule>
    <cfRule type="cellIs" dxfId="5607" priority="193" operator="between">
      <formula>70.001%</formula>
      <formula>100%</formula>
    </cfRule>
    <cfRule type="cellIs" dxfId="5606" priority="194" operator="between">
      <formula>0.00001%</formula>
      <formula>70%</formula>
    </cfRule>
    <cfRule type="cellIs" dxfId="5605" priority="195" operator="equal">
      <formula>0</formula>
    </cfRule>
  </conditionalFormatting>
  <conditionalFormatting sqref="T11:T26 T28:T29">
    <cfRule type="cellIs" dxfId="5604" priority="186" operator="greaterThan">
      <formula>110%</formula>
    </cfRule>
    <cfRule type="cellIs" dxfId="5603" priority="187" operator="between">
      <formula>100.001%</formula>
      <formula>110%</formula>
    </cfRule>
    <cfRule type="cellIs" dxfId="5602" priority="188" operator="between">
      <formula>70.001%</formula>
      <formula>100%</formula>
    </cfRule>
    <cfRule type="cellIs" dxfId="5601" priority="189" operator="between">
      <formula>0.00001%</formula>
      <formula>70%</formula>
    </cfRule>
    <cfRule type="cellIs" dxfId="5600" priority="190" operator="equal">
      <formula>0</formula>
    </cfRule>
  </conditionalFormatting>
  <conditionalFormatting sqref="W11:W26 W28:W29">
    <cfRule type="cellIs" dxfId="5599" priority="181" operator="greaterThan">
      <formula>110%</formula>
    </cfRule>
    <cfRule type="cellIs" dxfId="5598" priority="182" operator="between">
      <formula>100.001%</formula>
      <formula>110%</formula>
    </cfRule>
    <cfRule type="cellIs" dxfId="5597" priority="183" operator="between">
      <formula>70.001%</formula>
      <formula>100%</formula>
    </cfRule>
    <cfRule type="cellIs" dxfId="5596" priority="184" operator="between">
      <formula>0.00001%</formula>
      <formula>70%</formula>
    </cfRule>
    <cfRule type="cellIs" dxfId="5595" priority="185" operator="equal">
      <formula>0</formula>
    </cfRule>
  </conditionalFormatting>
  <conditionalFormatting sqref="Z11:Z26 Z28:Z29">
    <cfRule type="cellIs" dxfId="5594" priority="176" operator="greaterThan">
      <formula>110%</formula>
    </cfRule>
    <cfRule type="cellIs" dxfId="5593" priority="177" operator="between">
      <formula>100.001%</formula>
      <formula>110%</formula>
    </cfRule>
    <cfRule type="cellIs" dxfId="5592" priority="178" operator="between">
      <formula>70.001%</formula>
      <formula>100%</formula>
    </cfRule>
    <cfRule type="cellIs" dxfId="5591" priority="179" operator="between">
      <formula>0.00001%</formula>
      <formula>70%</formula>
    </cfRule>
    <cfRule type="cellIs" dxfId="5590" priority="180" operator="equal">
      <formula>0</formula>
    </cfRule>
  </conditionalFormatting>
  <conditionalFormatting sqref="AC11:AC26 AC28:AC29">
    <cfRule type="cellIs" dxfId="5589" priority="171" operator="greaterThan">
      <formula>110%</formula>
    </cfRule>
    <cfRule type="cellIs" dxfId="5588" priority="172" operator="between">
      <formula>100.001%</formula>
      <formula>110%</formula>
    </cfRule>
    <cfRule type="cellIs" dxfId="5587" priority="173" operator="between">
      <formula>70.001%</formula>
      <formula>100%</formula>
    </cfRule>
    <cfRule type="cellIs" dxfId="5586" priority="174" operator="between">
      <formula>0.00001%</formula>
      <formula>70%</formula>
    </cfRule>
    <cfRule type="cellIs" dxfId="5585" priority="175" operator="equal">
      <formula>0</formula>
    </cfRule>
  </conditionalFormatting>
  <conditionalFormatting sqref="AH11:AH26 AH28:AH29">
    <cfRule type="cellIs" dxfId="5584" priority="166" operator="greaterThan">
      <formula>110%</formula>
    </cfRule>
    <cfRule type="cellIs" dxfId="5583" priority="167" operator="between">
      <formula>100.001%</formula>
      <formula>110%</formula>
    </cfRule>
    <cfRule type="cellIs" dxfId="5582" priority="168" operator="between">
      <formula>70.001%</formula>
      <formula>100%</formula>
    </cfRule>
    <cfRule type="cellIs" dxfId="5581" priority="169" operator="between">
      <formula>0.00001%</formula>
      <formula>70%</formula>
    </cfRule>
    <cfRule type="cellIs" dxfId="5580" priority="170" operator="equal">
      <formula>0</formula>
    </cfRule>
  </conditionalFormatting>
  <conditionalFormatting sqref="AK11:AK26 AK28:AK29">
    <cfRule type="cellIs" dxfId="5579" priority="161" operator="greaterThan">
      <formula>110%</formula>
    </cfRule>
    <cfRule type="cellIs" dxfId="5578" priority="162" operator="between">
      <formula>100.001%</formula>
      <formula>110%</formula>
    </cfRule>
    <cfRule type="cellIs" dxfId="5577" priority="163" operator="between">
      <formula>70.001%</formula>
      <formula>100%</formula>
    </cfRule>
    <cfRule type="cellIs" dxfId="5576" priority="164" operator="between">
      <formula>0.00001%</formula>
      <formula>70%</formula>
    </cfRule>
    <cfRule type="cellIs" dxfId="5575" priority="165" operator="equal">
      <formula>0</formula>
    </cfRule>
  </conditionalFormatting>
  <conditionalFormatting sqref="AN11:AN26 AN28:AN29">
    <cfRule type="cellIs" dxfId="5574" priority="156" operator="greaterThan">
      <formula>110%</formula>
    </cfRule>
    <cfRule type="cellIs" dxfId="5573" priority="157" operator="between">
      <formula>100.001%</formula>
      <formula>110%</formula>
    </cfRule>
    <cfRule type="cellIs" dxfId="5572" priority="158" operator="between">
      <formula>70.001%</formula>
      <formula>100%</formula>
    </cfRule>
    <cfRule type="cellIs" dxfId="5571" priority="159" operator="between">
      <formula>0.00001%</formula>
      <formula>70%</formula>
    </cfRule>
    <cfRule type="cellIs" dxfId="5570" priority="160" operator="equal">
      <formula>0</formula>
    </cfRule>
  </conditionalFormatting>
  <conditionalFormatting sqref="AQ11:AQ26 AQ28:AQ29">
    <cfRule type="cellIs" dxfId="5569" priority="151" operator="greaterThan">
      <formula>110%</formula>
    </cfRule>
    <cfRule type="cellIs" dxfId="5568" priority="152" operator="between">
      <formula>100.001%</formula>
      <formula>110%</formula>
    </cfRule>
    <cfRule type="cellIs" dxfId="5567" priority="153" operator="between">
      <formula>70.001%</formula>
      <formula>100%</formula>
    </cfRule>
    <cfRule type="cellIs" dxfId="5566" priority="154" operator="between">
      <formula>0.00001%</formula>
      <formula>70%</formula>
    </cfRule>
    <cfRule type="cellIs" dxfId="5565" priority="155" operator="equal">
      <formula>0</formula>
    </cfRule>
  </conditionalFormatting>
  <conditionalFormatting sqref="AT11:AT26 AT28:AT29">
    <cfRule type="cellIs" dxfId="5564" priority="146" operator="greaterThan">
      <formula>110%</formula>
    </cfRule>
    <cfRule type="cellIs" dxfId="5563" priority="147" operator="between">
      <formula>100.001%</formula>
      <formula>110%</formula>
    </cfRule>
    <cfRule type="cellIs" dxfId="5562" priority="148" operator="between">
      <formula>70.001%</formula>
      <formula>100%</formula>
    </cfRule>
    <cfRule type="cellIs" dxfId="5561" priority="149" operator="between">
      <formula>0.00001%</formula>
      <formula>70%</formula>
    </cfRule>
    <cfRule type="cellIs" dxfId="5560" priority="150" operator="equal">
      <formula>0</formula>
    </cfRule>
  </conditionalFormatting>
  <conditionalFormatting sqref="AW11:AW26 AW28:AW29">
    <cfRule type="cellIs" dxfId="5559" priority="141" operator="greaterThan">
      <formula>110%</formula>
    </cfRule>
    <cfRule type="cellIs" dxfId="5558" priority="142" operator="between">
      <formula>100.001%</formula>
      <formula>110%</formula>
    </cfRule>
    <cfRule type="cellIs" dxfId="5557" priority="143" operator="between">
      <formula>70.001%</formula>
      <formula>100%</formula>
    </cfRule>
    <cfRule type="cellIs" dxfId="5556" priority="144" operator="between">
      <formula>0.00001%</formula>
      <formula>70%</formula>
    </cfRule>
    <cfRule type="cellIs" dxfId="5555" priority="145" operator="equal">
      <formula>0</formula>
    </cfRule>
  </conditionalFormatting>
  <conditionalFormatting sqref="AE9:AE10">
    <cfRule type="cellIs" dxfId="5554" priority="136" operator="greaterThan">
      <formula>110%</formula>
    </cfRule>
    <cfRule type="cellIs" dxfId="5553" priority="137" operator="between">
      <formula>100.001%</formula>
      <formula>110%</formula>
    </cfRule>
    <cfRule type="cellIs" dxfId="5552" priority="138" operator="between">
      <formula>70.001%</formula>
      <formula>100%</formula>
    </cfRule>
    <cfRule type="cellIs" dxfId="5551" priority="139" operator="between">
      <formula>0.00001%</formula>
      <formula>70%</formula>
    </cfRule>
    <cfRule type="cellIs" dxfId="5550" priority="140" operator="equal">
      <formula>0</formula>
    </cfRule>
  </conditionalFormatting>
  <conditionalFormatting sqref="AY9:AY10">
    <cfRule type="cellIs" dxfId="5549" priority="131" operator="greaterThan">
      <formula>110%</formula>
    </cfRule>
    <cfRule type="cellIs" dxfId="5548" priority="132" operator="between">
      <formula>100.001%</formula>
      <formula>110%</formula>
    </cfRule>
    <cfRule type="cellIs" dxfId="5547" priority="133" operator="between">
      <formula>70.001%</formula>
      <formula>100%</formula>
    </cfRule>
    <cfRule type="cellIs" dxfId="5546" priority="134" operator="between">
      <formula>0.00001%</formula>
      <formula>70%</formula>
    </cfRule>
    <cfRule type="cellIs" dxfId="5545" priority="135" operator="equal">
      <formula>0</formula>
    </cfRule>
  </conditionalFormatting>
  <conditionalFormatting sqref="N9:N10">
    <cfRule type="cellIs" dxfId="5544" priority="126" operator="greaterThan">
      <formula>110%</formula>
    </cfRule>
    <cfRule type="cellIs" dxfId="5543" priority="127" operator="between">
      <formula>100.001%</formula>
      <formula>110%</formula>
    </cfRule>
    <cfRule type="cellIs" dxfId="5542" priority="128" operator="between">
      <formula>70.001%</formula>
      <formula>100%</formula>
    </cfRule>
    <cfRule type="cellIs" dxfId="5541" priority="129" operator="between">
      <formula>0.00001%</formula>
      <formula>70%</formula>
    </cfRule>
    <cfRule type="cellIs" dxfId="5540" priority="130" operator="equal">
      <formula>0</formula>
    </cfRule>
  </conditionalFormatting>
  <conditionalFormatting sqref="Q9:Q10">
    <cfRule type="cellIs" dxfId="5539" priority="121" operator="greaterThan">
      <formula>110%</formula>
    </cfRule>
    <cfRule type="cellIs" dxfId="5538" priority="122" operator="between">
      <formula>100.001%</formula>
      <formula>110%</formula>
    </cfRule>
    <cfRule type="cellIs" dxfId="5537" priority="123" operator="between">
      <formula>70.001%</formula>
      <formula>100%</formula>
    </cfRule>
    <cfRule type="cellIs" dxfId="5536" priority="124" operator="between">
      <formula>0.00001%</formula>
      <formula>70%</formula>
    </cfRule>
    <cfRule type="cellIs" dxfId="5535" priority="125" operator="equal">
      <formula>0</formula>
    </cfRule>
  </conditionalFormatting>
  <conditionalFormatting sqref="T9:T10">
    <cfRule type="cellIs" dxfId="5534" priority="116" operator="greaterThan">
      <formula>110%</formula>
    </cfRule>
    <cfRule type="cellIs" dxfId="5533" priority="117" operator="between">
      <formula>100.001%</formula>
      <formula>110%</formula>
    </cfRule>
    <cfRule type="cellIs" dxfId="5532" priority="118" operator="between">
      <formula>70.001%</formula>
      <formula>100%</formula>
    </cfRule>
    <cfRule type="cellIs" dxfId="5531" priority="119" operator="between">
      <formula>0.00001%</formula>
      <formula>70%</formula>
    </cfRule>
    <cfRule type="cellIs" dxfId="5530" priority="120" operator="equal">
      <formula>0</formula>
    </cfRule>
  </conditionalFormatting>
  <conditionalFormatting sqref="W9:W10">
    <cfRule type="cellIs" dxfId="5529" priority="111" operator="greaterThan">
      <formula>110%</formula>
    </cfRule>
    <cfRule type="cellIs" dxfId="5528" priority="112" operator="between">
      <formula>100.001%</formula>
      <formula>110%</formula>
    </cfRule>
    <cfRule type="cellIs" dxfId="5527" priority="113" operator="between">
      <formula>70.001%</formula>
      <formula>100%</formula>
    </cfRule>
    <cfRule type="cellIs" dxfId="5526" priority="114" operator="between">
      <formula>0.00001%</formula>
      <formula>70%</formula>
    </cfRule>
    <cfRule type="cellIs" dxfId="5525" priority="115" operator="equal">
      <formula>0</formula>
    </cfRule>
  </conditionalFormatting>
  <conditionalFormatting sqref="Z9:Z10">
    <cfRule type="cellIs" dxfId="5524" priority="106" operator="greaterThan">
      <formula>110%</formula>
    </cfRule>
    <cfRule type="cellIs" dxfId="5523" priority="107" operator="between">
      <formula>100.001%</formula>
      <formula>110%</formula>
    </cfRule>
    <cfRule type="cellIs" dxfId="5522" priority="108" operator="between">
      <formula>70.001%</formula>
      <formula>100%</formula>
    </cfRule>
    <cfRule type="cellIs" dxfId="5521" priority="109" operator="between">
      <formula>0.00001%</formula>
      <formula>70%</formula>
    </cfRule>
    <cfRule type="cellIs" dxfId="5520" priority="110" operator="equal">
      <formula>0</formula>
    </cfRule>
  </conditionalFormatting>
  <conditionalFormatting sqref="AC9:AC10">
    <cfRule type="cellIs" dxfId="5519" priority="101" operator="greaterThan">
      <formula>110%</formula>
    </cfRule>
    <cfRule type="cellIs" dxfId="5518" priority="102" operator="between">
      <formula>100.001%</formula>
      <formula>110%</formula>
    </cfRule>
    <cfRule type="cellIs" dxfId="5517" priority="103" operator="between">
      <formula>70.001%</formula>
      <formula>100%</formula>
    </cfRule>
    <cfRule type="cellIs" dxfId="5516" priority="104" operator="between">
      <formula>0.00001%</formula>
      <formula>70%</formula>
    </cfRule>
    <cfRule type="cellIs" dxfId="5515" priority="105" operator="equal">
      <formula>0</formula>
    </cfRule>
  </conditionalFormatting>
  <conditionalFormatting sqref="AH9:AH10">
    <cfRule type="cellIs" dxfId="5514" priority="96" operator="greaterThan">
      <formula>110%</formula>
    </cfRule>
    <cfRule type="cellIs" dxfId="5513" priority="97" operator="between">
      <formula>100.001%</formula>
      <formula>110%</formula>
    </cfRule>
    <cfRule type="cellIs" dxfId="5512" priority="98" operator="between">
      <formula>70.001%</formula>
      <formula>100%</formula>
    </cfRule>
    <cfRule type="cellIs" dxfId="5511" priority="99" operator="between">
      <formula>0.00001%</formula>
      <formula>70%</formula>
    </cfRule>
    <cfRule type="cellIs" dxfId="5510" priority="100" operator="equal">
      <formula>0</formula>
    </cfRule>
  </conditionalFormatting>
  <conditionalFormatting sqref="AK9:AK10">
    <cfRule type="cellIs" dxfId="5509" priority="91" operator="greaterThan">
      <formula>110%</formula>
    </cfRule>
    <cfRule type="cellIs" dxfId="5508" priority="92" operator="between">
      <formula>100.001%</formula>
      <formula>110%</formula>
    </cfRule>
    <cfRule type="cellIs" dxfId="5507" priority="93" operator="between">
      <formula>70.001%</formula>
      <formula>100%</formula>
    </cfRule>
    <cfRule type="cellIs" dxfId="5506" priority="94" operator="between">
      <formula>0.00001%</formula>
      <formula>70%</formula>
    </cfRule>
    <cfRule type="cellIs" dxfId="5505" priority="95" operator="equal">
      <formula>0</formula>
    </cfRule>
  </conditionalFormatting>
  <conditionalFormatting sqref="AN9:AN10">
    <cfRule type="cellIs" dxfId="5504" priority="86" operator="greaterThan">
      <formula>110%</formula>
    </cfRule>
    <cfRule type="cellIs" dxfId="5503" priority="87" operator="between">
      <formula>100.001%</formula>
      <formula>110%</formula>
    </cfRule>
    <cfRule type="cellIs" dxfId="5502" priority="88" operator="between">
      <formula>70.001%</formula>
      <formula>100%</formula>
    </cfRule>
    <cfRule type="cellIs" dxfId="5501" priority="89" operator="between">
      <formula>0.00001%</formula>
      <formula>70%</formula>
    </cfRule>
    <cfRule type="cellIs" dxfId="5500" priority="90" operator="equal">
      <formula>0</formula>
    </cfRule>
  </conditionalFormatting>
  <conditionalFormatting sqref="AQ9:AQ10">
    <cfRule type="cellIs" dxfId="5499" priority="81" operator="greaterThan">
      <formula>110%</formula>
    </cfRule>
    <cfRule type="cellIs" dxfId="5498" priority="82" operator="between">
      <formula>100.001%</formula>
      <formula>110%</formula>
    </cfRule>
    <cfRule type="cellIs" dxfId="5497" priority="83" operator="between">
      <formula>70.001%</formula>
      <formula>100%</formula>
    </cfRule>
    <cfRule type="cellIs" dxfId="5496" priority="84" operator="between">
      <formula>0.00001%</formula>
      <formula>70%</formula>
    </cfRule>
    <cfRule type="cellIs" dxfId="5495" priority="85" operator="equal">
      <formula>0</formula>
    </cfRule>
  </conditionalFormatting>
  <conditionalFormatting sqref="AT9:AT10">
    <cfRule type="cellIs" dxfId="5494" priority="76" operator="greaterThan">
      <formula>110%</formula>
    </cfRule>
    <cfRule type="cellIs" dxfId="5493" priority="77" operator="between">
      <formula>100.001%</formula>
      <formula>110%</formula>
    </cfRule>
    <cfRule type="cellIs" dxfId="5492" priority="78" operator="between">
      <formula>70.001%</formula>
      <formula>100%</formula>
    </cfRule>
    <cfRule type="cellIs" dxfId="5491" priority="79" operator="between">
      <formula>0.00001%</formula>
      <formula>70%</formula>
    </cfRule>
    <cfRule type="cellIs" dxfId="5490" priority="80" operator="equal">
      <formula>0</formula>
    </cfRule>
  </conditionalFormatting>
  <conditionalFormatting sqref="AW9:AW10">
    <cfRule type="cellIs" dxfId="5489" priority="71" operator="greaterThan">
      <formula>110%</formula>
    </cfRule>
    <cfRule type="cellIs" dxfId="5488" priority="72" operator="between">
      <formula>100.001%</formula>
      <formula>110%</formula>
    </cfRule>
    <cfRule type="cellIs" dxfId="5487" priority="73" operator="between">
      <formula>70.001%</formula>
      <formula>100%</formula>
    </cfRule>
    <cfRule type="cellIs" dxfId="5486" priority="74" operator="between">
      <formula>0.00001%</formula>
      <formula>70%</formula>
    </cfRule>
    <cfRule type="cellIs" dxfId="5485" priority="75" operator="equal">
      <formula>0</formula>
    </cfRule>
  </conditionalFormatting>
  <conditionalFormatting sqref="AE31">
    <cfRule type="cellIs" dxfId="5484" priority="66" operator="greaterThan">
      <formula>110%</formula>
    </cfRule>
    <cfRule type="cellIs" dxfId="5483" priority="67" operator="between">
      <formula>100.001%</formula>
      <formula>110%</formula>
    </cfRule>
    <cfRule type="cellIs" dxfId="5482" priority="68" operator="between">
      <formula>70.001%</formula>
      <formula>100%</formula>
    </cfRule>
    <cfRule type="cellIs" dxfId="5481" priority="69" operator="between">
      <formula>0.00001%</formula>
      <formula>70%</formula>
    </cfRule>
    <cfRule type="cellIs" dxfId="5480" priority="70" operator="equal">
      <formula>0</formula>
    </cfRule>
  </conditionalFormatting>
  <conditionalFormatting sqref="AY31">
    <cfRule type="cellIs" dxfId="5479" priority="61" operator="greaterThan">
      <formula>110%</formula>
    </cfRule>
    <cfRule type="cellIs" dxfId="5478" priority="62" operator="between">
      <formula>100.001%</formula>
      <formula>110%</formula>
    </cfRule>
    <cfRule type="cellIs" dxfId="5477" priority="63" operator="between">
      <formula>70.001%</formula>
      <formula>100%</formula>
    </cfRule>
    <cfRule type="cellIs" dxfId="5476" priority="64" operator="between">
      <formula>0.00001%</formula>
      <formula>70%</formula>
    </cfRule>
    <cfRule type="cellIs" dxfId="5475" priority="65" operator="equal">
      <formula>0</formula>
    </cfRule>
  </conditionalFormatting>
  <conditionalFormatting sqref="N31">
    <cfRule type="cellIs" dxfId="5474" priority="56" operator="greaterThan">
      <formula>110%</formula>
    </cfRule>
    <cfRule type="cellIs" dxfId="5473" priority="57" operator="between">
      <formula>100.001%</formula>
      <formula>110%</formula>
    </cfRule>
    <cfRule type="cellIs" dxfId="5472" priority="58" operator="between">
      <formula>70.001%</formula>
      <formula>100%</formula>
    </cfRule>
    <cfRule type="cellIs" dxfId="5471" priority="59" operator="between">
      <formula>0.00001%</formula>
      <formula>70%</formula>
    </cfRule>
    <cfRule type="cellIs" dxfId="5470" priority="60" operator="equal">
      <formula>0</formula>
    </cfRule>
  </conditionalFormatting>
  <conditionalFormatting sqref="Q31">
    <cfRule type="cellIs" dxfId="5469" priority="51" operator="greaterThan">
      <formula>110%</formula>
    </cfRule>
    <cfRule type="cellIs" dxfId="5468" priority="52" operator="between">
      <formula>100.001%</formula>
      <formula>110%</formula>
    </cfRule>
    <cfRule type="cellIs" dxfId="5467" priority="53" operator="between">
      <formula>70.001%</formula>
      <formula>100%</formula>
    </cfRule>
    <cfRule type="cellIs" dxfId="5466" priority="54" operator="between">
      <formula>0.00001%</formula>
      <formula>70%</formula>
    </cfRule>
    <cfRule type="cellIs" dxfId="5465" priority="55" operator="equal">
      <formula>0</formula>
    </cfRule>
  </conditionalFormatting>
  <conditionalFormatting sqref="T31">
    <cfRule type="cellIs" dxfId="5464" priority="46" operator="greaterThan">
      <formula>110%</formula>
    </cfRule>
    <cfRule type="cellIs" dxfId="5463" priority="47" operator="between">
      <formula>100.001%</formula>
      <formula>110%</formula>
    </cfRule>
    <cfRule type="cellIs" dxfId="5462" priority="48" operator="between">
      <formula>70.001%</formula>
      <formula>100%</formula>
    </cfRule>
    <cfRule type="cellIs" dxfId="5461" priority="49" operator="between">
      <formula>0.00001%</formula>
      <formula>70%</formula>
    </cfRule>
    <cfRule type="cellIs" dxfId="5460" priority="50" operator="equal">
      <formula>0</formula>
    </cfRule>
  </conditionalFormatting>
  <conditionalFormatting sqref="W31">
    <cfRule type="cellIs" dxfId="5459" priority="41" operator="greaterThan">
      <formula>110%</formula>
    </cfRule>
    <cfRule type="cellIs" dxfId="5458" priority="42" operator="between">
      <formula>100.001%</formula>
      <formula>110%</formula>
    </cfRule>
    <cfRule type="cellIs" dxfId="5457" priority="43" operator="between">
      <formula>70.001%</formula>
      <formula>100%</formula>
    </cfRule>
    <cfRule type="cellIs" dxfId="5456" priority="44" operator="between">
      <formula>0.00001%</formula>
      <formula>70%</formula>
    </cfRule>
    <cfRule type="cellIs" dxfId="5455" priority="45" operator="equal">
      <formula>0</formula>
    </cfRule>
  </conditionalFormatting>
  <conditionalFormatting sqref="Z31">
    <cfRule type="cellIs" dxfId="5454" priority="36" operator="greaterThan">
      <formula>110%</formula>
    </cfRule>
    <cfRule type="cellIs" dxfId="5453" priority="37" operator="between">
      <formula>100.001%</formula>
      <formula>110%</formula>
    </cfRule>
    <cfRule type="cellIs" dxfId="5452" priority="38" operator="between">
      <formula>70.001%</formula>
      <formula>100%</formula>
    </cfRule>
    <cfRule type="cellIs" dxfId="5451" priority="39" operator="between">
      <formula>0.00001%</formula>
      <formula>70%</formula>
    </cfRule>
    <cfRule type="cellIs" dxfId="5450" priority="40" operator="equal">
      <formula>0</formula>
    </cfRule>
  </conditionalFormatting>
  <conditionalFormatting sqref="AC31">
    <cfRule type="cellIs" dxfId="5449" priority="31" operator="greaterThan">
      <formula>110%</formula>
    </cfRule>
    <cfRule type="cellIs" dxfId="5448" priority="32" operator="between">
      <formula>100.001%</formula>
      <formula>110%</formula>
    </cfRule>
    <cfRule type="cellIs" dxfId="5447" priority="33" operator="between">
      <formula>70.001%</formula>
      <formula>100%</formula>
    </cfRule>
    <cfRule type="cellIs" dxfId="5446" priority="34" operator="between">
      <formula>0.00001%</formula>
      <formula>70%</formula>
    </cfRule>
    <cfRule type="cellIs" dxfId="5445" priority="35" operator="equal">
      <formula>0</formula>
    </cfRule>
  </conditionalFormatting>
  <conditionalFormatting sqref="AH31">
    <cfRule type="cellIs" dxfId="5444" priority="26" operator="greaterThan">
      <formula>110%</formula>
    </cfRule>
    <cfRule type="cellIs" dxfId="5443" priority="27" operator="between">
      <formula>100.001%</formula>
      <formula>110%</formula>
    </cfRule>
    <cfRule type="cellIs" dxfId="5442" priority="28" operator="between">
      <formula>70.001%</formula>
      <formula>100%</formula>
    </cfRule>
    <cfRule type="cellIs" dxfId="5441" priority="29" operator="between">
      <formula>0.00001%</formula>
      <formula>70%</formula>
    </cfRule>
    <cfRule type="cellIs" dxfId="5440" priority="30" operator="equal">
      <formula>0</formula>
    </cfRule>
  </conditionalFormatting>
  <conditionalFormatting sqref="AK31">
    <cfRule type="cellIs" dxfId="5439" priority="21" operator="greaterThan">
      <formula>110%</formula>
    </cfRule>
    <cfRule type="cellIs" dxfId="5438" priority="22" operator="between">
      <formula>100.001%</formula>
      <formula>110%</formula>
    </cfRule>
    <cfRule type="cellIs" dxfId="5437" priority="23" operator="between">
      <formula>70.001%</formula>
      <formula>100%</formula>
    </cfRule>
    <cfRule type="cellIs" dxfId="5436" priority="24" operator="between">
      <formula>0.00001%</formula>
      <formula>70%</formula>
    </cfRule>
    <cfRule type="cellIs" dxfId="5435" priority="25" operator="equal">
      <formula>0</formula>
    </cfRule>
  </conditionalFormatting>
  <conditionalFormatting sqref="AN31">
    <cfRule type="cellIs" dxfId="5434" priority="16" operator="greaterThan">
      <formula>110%</formula>
    </cfRule>
    <cfRule type="cellIs" dxfId="5433" priority="17" operator="between">
      <formula>100.001%</formula>
      <formula>110%</formula>
    </cfRule>
    <cfRule type="cellIs" dxfId="5432" priority="18" operator="between">
      <formula>70.001%</formula>
      <formula>100%</formula>
    </cfRule>
    <cfRule type="cellIs" dxfId="5431" priority="19" operator="between">
      <formula>0.00001%</formula>
      <formula>70%</formula>
    </cfRule>
    <cfRule type="cellIs" dxfId="5430" priority="20" operator="equal">
      <formula>0</formula>
    </cfRule>
  </conditionalFormatting>
  <conditionalFormatting sqref="AQ31">
    <cfRule type="cellIs" dxfId="5429" priority="11" operator="greaterThan">
      <formula>110%</formula>
    </cfRule>
    <cfRule type="cellIs" dxfId="5428" priority="12" operator="between">
      <formula>100.001%</formula>
      <formula>110%</formula>
    </cfRule>
    <cfRule type="cellIs" dxfId="5427" priority="13" operator="between">
      <formula>70.001%</formula>
      <formula>100%</formula>
    </cfRule>
    <cfRule type="cellIs" dxfId="5426" priority="14" operator="between">
      <formula>0.00001%</formula>
      <formula>70%</formula>
    </cfRule>
    <cfRule type="cellIs" dxfId="5425" priority="15" operator="equal">
      <formula>0</formula>
    </cfRule>
  </conditionalFormatting>
  <conditionalFormatting sqref="AT31">
    <cfRule type="cellIs" dxfId="5424" priority="6" operator="greaterThan">
      <formula>110%</formula>
    </cfRule>
    <cfRule type="cellIs" dxfId="5423" priority="7" operator="between">
      <formula>100.001%</formula>
      <formula>110%</formula>
    </cfRule>
    <cfRule type="cellIs" dxfId="5422" priority="8" operator="between">
      <formula>70.001%</formula>
      <formula>100%</formula>
    </cfRule>
    <cfRule type="cellIs" dxfId="5421" priority="9" operator="between">
      <formula>0.00001%</formula>
      <formula>70%</formula>
    </cfRule>
    <cfRule type="cellIs" dxfId="5420" priority="10" operator="equal">
      <formula>0</formula>
    </cfRule>
  </conditionalFormatting>
  <conditionalFormatting sqref="AW31">
    <cfRule type="cellIs" dxfId="5419" priority="1" operator="greaterThan">
      <formula>110%</formula>
    </cfRule>
    <cfRule type="cellIs" dxfId="5418" priority="2" operator="between">
      <formula>100.001%</formula>
      <formula>110%</formula>
    </cfRule>
    <cfRule type="cellIs" dxfId="5417" priority="3" operator="between">
      <formula>70.001%</formula>
      <formula>100%</formula>
    </cfRule>
    <cfRule type="cellIs" dxfId="5416" priority="4" operator="between">
      <formula>0.00001%</formula>
      <formula>70%</formula>
    </cfRule>
    <cfRule type="cellIs" dxfId="5415" priority="5" operator="equal">
      <formula>0</formula>
    </cfRule>
  </conditionalFormatting>
  <hyperlinks>
    <hyperlink ref="D11" location="'IN1-3'!A1" display="IN1-3 Recaudo Bruto" xr:uid="{00000000-0004-0000-1700-000000000000}"/>
    <hyperlink ref="D12" location="'FIS-4'!A1" display="FIS-4 Gestión efectiva en fiscalización tributaria" xr:uid="{00000000-0004-0000-1700-000001000000}"/>
    <hyperlink ref="D13" location="'FIS-7'!A1" display="FIS-7 Gestión efectiva de Control Cambiario" xr:uid="{00000000-0004-0000-1700-000002000000}"/>
    <hyperlink ref="D14" location="'FIS-10'!A1" display="FIS-10 Gestión aceptada en fiscalización tributaria" xr:uid="{00000000-0004-0000-1700-000003000000}"/>
    <hyperlink ref="D15" location="'FIS-11'!A1" display="FIS-11  Gestión aceptada cambiaria (Recaudo)" xr:uid="{00000000-0004-0000-1700-000004000000}"/>
    <hyperlink ref="D16" location="'FIS-12'!A1" display="FIS-12 Gestión aceptada cambiaria (Resoluciones en firme)" xr:uid="{00000000-0004-0000-1700-000005000000}"/>
    <hyperlink ref="D17" location="'FIS-17'!A1" display="FIS-17 Evacuación de expedientes en Fiscalización tributaria" xr:uid="{00000000-0004-0000-1700-000006000000}"/>
    <hyperlink ref="D18" location="'IN1-4'!A1" display="IN1-4 Recaudo por gestión de cartera" xr:uid="{00000000-0004-0000-1700-000007000000}"/>
    <hyperlink ref="D19" location="'IN1-5'!A1" display="IN1-5 Inscritos en el Régimen Simple de Tributación - RST" xr:uid="{00000000-0004-0000-1700-000008000000}"/>
    <hyperlink ref="D20" location="'FIS-16'!A1" display="FIS-16 Visitas de control a personas que hacen la venta y compra de divisas sin estar autorizados" xr:uid="{00000000-0004-0000-1700-000009000000}"/>
    <hyperlink ref="D21" location="'FIS-15'!A1" display="FIS-15 Visitas de control a profesionales de cambio" xr:uid="{00000000-0004-0000-1700-00000A000000}"/>
    <hyperlink ref="D22" location="'FIS-18'!A1" display="FIS-18 Evacuación de expedientes en fiscalización Cambiara" xr:uid="{00000000-0004-0000-1700-00000B000000}"/>
    <hyperlink ref="D23" location="'IN1-8'!A1" display="IN1-8 Contribuyentes habilitados como facturadores electrónicos" xr:uid="{00000000-0004-0000-1700-00000C000000}"/>
    <hyperlink ref="D24" location="'JUR-3.5'!A1" display="JUR-3.5 Porcentaje de requerimientos atendidos en oportunidad" xr:uid="{00000000-0004-0000-1700-00000D000000}"/>
    <hyperlink ref="D25" location="'ADU-3'!A1" display="ADU-3 Monto de la recaudación total de Aduanas" xr:uid="{00000000-0004-0000-1700-00000E000000}"/>
    <hyperlink ref="D26" location="'FIS-24'!A1" display="FIS-24 Valor Decomisos de mercancías en firme" xr:uid="{00000000-0004-0000-1700-00000F000000}"/>
    <hyperlink ref="D27" location="'JUR-3.6'!Área_de_impresión" display="JUR-3.6 Porcentaje funcionarios capacitaciones en cursos virtuales de la ANDJE" xr:uid="{00000000-0004-0000-1700-000010000000}"/>
    <hyperlink ref="D28" location="'IN1-11'!A1" display="IN1-11  Nivel de cobertura de personas sensibilizadas por el plan de cultura. ACTUALMENTE. Cumplimiento al Plan de Acción de Cultura de la Contribución" xr:uid="{00000000-0004-0000-1700-000011000000}"/>
    <hyperlink ref="D29" location="'IN1-15'!A1" display="IN1-15 Días en devoluciones ordinarias" xr:uid="{00000000-0004-0000-1700-000012000000}"/>
    <hyperlink ref="D9" location="'DGRAE-1'!A1" display="DGRAE-1 Nivel de Ejecución del presupuesto " xr:uid="{00000000-0004-0000-1700-000013000000}"/>
    <hyperlink ref="D10" location="'DGRAE-2'!A1" display="DGRAE-2 Nivel de ejecución del PAA de la Dirección" xr:uid="{00000000-0004-0000-1700-000014000000}"/>
    <hyperlink ref="D31" location="'DGRAE-25'!A1" display="DGRAE-25 Actividades que componen el  PIC para la Dirección de Gestión" xr:uid="{00000000-0004-0000-1700-000015000000}"/>
    <hyperlink ref="AZ2" location="'Consolidado '!A1" display="VOLVER" xr:uid="{00000000-0004-0000-1700-000016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30"/>
  <sheetViews>
    <sheetView topLeftCell="F1" zoomScale="70" zoomScaleNormal="70" workbookViewId="0">
      <selection activeCell="BB11" sqref="BB11"/>
    </sheetView>
  </sheetViews>
  <sheetFormatPr baseColWidth="10" defaultColWidth="11.42578125" defaultRowHeight="16.5"/>
  <cols>
    <col min="1" max="1" width="23.14062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customWidth="1"/>
    <col min="8" max="10" width="10.7109375" style="8" hidden="1" customWidth="1"/>
    <col min="11" max="11" width="30.42578125" style="8" customWidth="1"/>
    <col min="12" max="12" width="20.28515625" style="8" hidden="1" customWidth="1"/>
    <col min="13" max="13" width="16.28515625" style="8" hidden="1" customWidth="1"/>
    <col min="14" max="14" width="15.28515625" style="444" hidden="1" customWidth="1"/>
    <col min="15" max="16" width="16.28515625" style="8" hidden="1" customWidth="1"/>
    <col min="17" max="17" width="12.85546875" style="444" hidden="1" customWidth="1"/>
    <col min="18" max="18" width="16.28515625" style="8" hidden="1" customWidth="1"/>
    <col min="19" max="19" width="18.140625" style="8" hidden="1" customWidth="1"/>
    <col min="20" max="20" width="12.85546875" style="444" hidden="1" customWidth="1"/>
    <col min="21" max="21" width="16.28515625" style="8" hidden="1" customWidth="1"/>
    <col min="22" max="22" width="15" style="8" hidden="1" customWidth="1"/>
    <col min="23" max="23" width="12.85546875" style="444" hidden="1" customWidth="1"/>
    <col min="24" max="24" width="16.28515625" style="8" hidden="1" customWidth="1"/>
    <col min="25" max="25" width="16" style="8" hidden="1" customWidth="1"/>
    <col min="26" max="26" width="12.85546875" style="444" hidden="1" customWidth="1"/>
    <col min="27" max="28" width="16.28515625" style="8" hidden="1" customWidth="1"/>
    <col min="29" max="29" width="12.85546875" style="444" hidden="1" customWidth="1"/>
    <col min="30" max="30" width="18.140625" style="8" hidden="1" customWidth="1"/>
    <col min="31" max="31" width="11.7109375" style="444" hidden="1" customWidth="1"/>
    <col min="32" max="33" width="16.28515625" style="8" hidden="1" customWidth="1"/>
    <col min="34" max="34" width="12.85546875" style="444" hidden="1" customWidth="1"/>
    <col min="35" max="36" width="16.28515625" style="8" hidden="1" customWidth="1"/>
    <col min="37" max="37" width="12.85546875" style="444" hidden="1" customWidth="1"/>
    <col min="38" max="38" width="16.7109375" style="8" hidden="1" customWidth="1"/>
    <col min="39" max="39" width="16.28515625" style="8" hidden="1" customWidth="1"/>
    <col min="40" max="40" width="12.85546875" style="444" hidden="1" customWidth="1"/>
    <col min="41" max="41" width="16.7109375" style="8" hidden="1" customWidth="1"/>
    <col min="42" max="42" width="16.28515625" style="8" hidden="1" customWidth="1"/>
    <col min="43" max="43" width="12.85546875" style="444" hidden="1" customWidth="1"/>
    <col min="44" max="44" width="16.7109375" style="8" hidden="1" customWidth="1"/>
    <col min="45" max="45" width="16" style="8" hidden="1" customWidth="1"/>
    <col min="46" max="46" width="12.85546875" style="444" hidden="1" customWidth="1"/>
    <col min="47" max="48" width="16.7109375" style="8" hidden="1" customWidth="1"/>
    <col min="49" max="49" width="12.85546875" style="444" hidden="1" customWidth="1"/>
    <col min="50" max="50" width="18.140625" style="8" bestFit="1" customWidth="1"/>
    <col min="51" max="51" width="11.7109375" style="444" bestFit="1" customWidth="1"/>
    <col min="52" max="16384" width="11.42578125" style="8"/>
  </cols>
  <sheetData>
    <row r="1" spans="1:52" ht="29.25" customHeight="1">
      <c r="A1" s="101"/>
      <c r="B1" s="101"/>
      <c r="C1" s="2885" t="s">
        <v>704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Z2" s="670" t="s">
        <v>185</v>
      </c>
    </row>
    <row r="3" spans="1:52">
      <c r="A3" s="107"/>
      <c r="B3" s="108"/>
      <c r="C3" s="2866" t="s">
        <v>705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2867"/>
      <c r="D4" s="2867"/>
      <c r="E4" s="2867"/>
      <c r="F4" s="2867"/>
      <c r="G4" s="2867"/>
      <c r="H4" s="2867"/>
      <c r="I4" s="2867"/>
      <c r="J4" s="2867"/>
      <c r="K4" s="2867"/>
      <c r="AZ4" s="444">
        <f>+(AY9+AY10+AY11+AY12+AY13+AY14+AY15+AY16+AY17+AY19+AY20+AY22+AY23+AY24+AY26+AY27+AY29)/17</f>
        <v>0.71410962517048615</v>
      </c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23" t="s">
        <v>4</v>
      </c>
      <c r="H5" s="2823" t="s">
        <v>161</v>
      </c>
      <c r="I5" s="2823"/>
      <c r="J5" s="2823"/>
      <c r="K5" s="2823" t="s">
        <v>5</v>
      </c>
      <c r="L5" s="2823" t="s">
        <v>70</v>
      </c>
      <c r="M5" s="2823"/>
      <c r="N5" s="2823"/>
      <c r="O5" s="2823" t="s">
        <v>71</v>
      </c>
      <c r="P5" s="2823"/>
      <c r="Q5" s="2823"/>
      <c r="R5" s="2823" t="s">
        <v>72</v>
      </c>
      <c r="S5" s="2823"/>
      <c r="T5" s="2823"/>
      <c r="U5" s="2823" t="s">
        <v>73</v>
      </c>
      <c r="V5" s="2823"/>
      <c r="W5" s="2823"/>
      <c r="X5" s="2823" t="s">
        <v>74</v>
      </c>
      <c r="Y5" s="2823"/>
      <c r="Z5" s="2823"/>
      <c r="AA5" s="2823" t="s">
        <v>75</v>
      </c>
      <c r="AB5" s="2823"/>
      <c r="AC5" s="2823"/>
      <c r="AD5" s="2823" t="s">
        <v>188</v>
      </c>
      <c r="AE5" s="2823"/>
      <c r="AF5" s="2823" t="s">
        <v>76</v>
      </c>
      <c r="AG5" s="2823"/>
      <c r="AH5" s="2823"/>
      <c r="AI5" s="2823" t="s">
        <v>77</v>
      </c>
      <c r="AJ5" s="2823"/>
      <c r="AK5" s="2823"/>
      <c r="AL5" s="2823" t="s">
        <v>78</v>
      </c>
      <c r="AM5" s="2823"/>
      <c r="AN5" s="2823"/>
      <c r="AO5" s="2823" t="s">
        <v>79</v>
      </c>
      <c r="AP5" s="2823"/>
      <c r="AQ5" s="2823"/>
      <c r="AR5" s="2823" t="s">
        <v>80</v>
      </c>
      <c r="AS5" s="2823"/>
      <c r="AT5" s="2823"/>
      <c r="AU5" s="2823" t="s">
        <v>81</v>
      </c>
      <c r="AV5" s="2823"/>
      <c r="AW5" s="2823"/>
      <c r="AX5" s="2823" t="s">
        <v>397</v>
      </c>
      <c r="AY5" s="2823"/>
    </row>
    <row r="6" spans="1:52" ht="18" thickTop="1" thickBot="1">
      <c r="A6" s="2823"/>
      <c r="B6" s="2823"/>
      <c r="C6" s="2823"/>
      <c r="D6" s="2823"/>
      <c r="E6" s="2823"/>
      <c r="F6" s="2823"/>
      <c r="G6" s="2823"/>
      <c r="H6" s="2823"/>
      <c r="I6" s="2823"/>
      <c r="J6" s="2823"/>
      <c r="K6" s="2823"/>
      <c r="L6" s="2823"/>
      <c r="M6" s="2823"/>
      <c r="N6" s="2823"/>
      <c r="O6" s="2823"/>
      <c r="P6" s="2823"/>
      <c r="Q6" s="2823"/>
      <c r="R6" s="2823"/>
      <c r="S6" s="2823"/>
      <c r="T6" s="2823"/>
      <c r="U6" s="2823"/>
      <c r="V6" s="2823"/>
      <c r="W6" s="2823"/>
      <c r="X6" s="2823"/>
      <c r="Y6" s="2823"/>
      <c r="Z6" s="2823"/>
      <c r="AA6" s="2823"/>
      <c r="AB6" s="2823"/>
      <c r="AC6" s="2823"/>
      <c r="AD6" s="2823"/>
      <c r="AE6" s="2823"/>
      <c r="AF6" s="2823"/>
      <c r="AG6" s="2823"/>
      <c r="AH6" s="2823"/>
      <c r="AI6" s="2823"/>
      <c r="AJ6" s="2823"/>
      <c r="AK6" s="2823"/>
      <c r="AL6" s="2823"/>
      <c r="AM6" s="2823"/>
      <c r="AN6" s="2823"/>
      <c r="AO6" s="2823"/>
      <c r="AP6" s="2823"/>
      <c r="AQ6" s="2823"/>
      <c r="AR6" s="2823"/>
      <c r="AS6" s="2823"/>
      <c r="AT6" s="2823"/>
      <c r="AU6" s="2823"/>
      <c r="AV6" s="2823"/>
      <c r="AW6" s="2823"/>
      <c r="AX6" s="2823"/>
      <c r="AY6" s="2823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23"/>
      <c r="H7" s="68" t="s">
        <v>162</v>
      </c>
      <c r="I7" s="68" t="s">
        <v>163</v>
      </c>
      <c r="J7" s="68" t="s">
        <v>164</v>
      </c>
      <c r="K7" s="2823"/>
      <c r="L7" s="2823"/>
      <c r="M7" s="2823"/>
      <c r="N7" s="2823"/>
      <c r="O7" s="2823"/>
      <c r="P7" s="2823"/>
      <c r="Q7" s="2823"/>
      <c r="R7" s="2823"/>
      <c r="S7" s="2823"/>
      <c r="T7" s="2823"/>
      <c r="U7" s="2823"/>
      <c r="V7" s="2823"/>
      <c r="W7" s="2823"/>
      <c r="X7" s="2823"/>
      <c r="Y7" s="2823"/>
      <c r="Z7" s="2823"/>
      <c r="AA7" s="2823"/>
      <c r="AB7" s="2823"/>
      <c r="AC7" s="2823"/>
      <c r="AD7" s="2823"/>
      <c r="AE7" s="2823"/>
      <c r="AF7" s="2823"/>
      <c r="AG7" s="2823"/>
      <c r="AH7" s="2823"/>
      <c r="AI7" s="2823"/>
      <c r="AJ7" s="2823"/>
      <c r="AK7" s="2823"/>
      <c r="AL7" s="2823"/>
      <c r="AM7" s="2823"/>
      <c r="AN7" s="2823"/>
      <c r="AO7" s="2823"/>
      <c r="AP7" s="2823"/>
      <c r="AQ7" s="2823"/>
      <c r="AR7" s="2823"/>
      <c r="AS7" s="2823"/>
      <c r="AT7" s="2823"/>
      <c r="AU7" s="2823"/>
      <c r="AV7" s="2823"/>
      <c r="AW7" s="2823"/>
      <c r="AX7" s="2823"/>
      <c r="AY7" s="2823"/>
    </row>
    <row r="8" spans="1:52" customFormat="1" ht="29.25" customHeight="1" thickTop="1" thickBot="1">
      <c r="A8" s="2870" t="s">
        <v>83</v>
      </c>
      <c r="B8" s="2870"/>
      <c r="C8" s="2870"/>
      <c r="D8" s="2870"/>
      <c r="E8" s="2870"/>
      <c r="F8" s="2870"/>
      <c r="G8" s="2870"/>
      <c r="H8" s="2870"/>
      <c r="I8" s="2870"/>
      <c r="J8" s="2870"/>
      <c r="K8" s="2870"/>
      <c r="L8" s="13" t="s">
        <v>84</v>
      </c>
      <c r="M8" s="13" t="s">
        <v>85</v>
      </c>
      <c r="N8" s="15" t="s">
        <v>86</v>
      </c>
      <c r="O8" s="13" t="s">
        <v>84</v>
      </c>
      <c r="P8" s="13" t="s">
        <v>85</v>
      </c>
      <c r="Q8" s="15" t="s">
        <v>86</v>
      </c>
      <c r="R8" s="13" t="s">
        <v>84</v>
      </c>
      <c r="S8" s="13" t="s">
        <v>85</v>
      </c>
      <c r="T8" s="15" t="s">
        <v>86</v>
      </c>
      <c r="U8" s="13" t="s">
        <v>84</v>
      </c>
      <c r="V8" s="13" t="s">
        <v>85</v>
      </c>
      <c r="W8" s="15" t="s">
        <v>86</v>
      </c>
      <c r="X8" s="13" t="s">
        <v>84</v>
      </c>
      <c r="Y8" s="13" t="s">
        <v>85</v>
      </c>
      <c r="Z8" s="15" t="s">
        <v>86</v>
      </c>
      <c r="AA8" s="13" t="s">
        <v>84</v>
      </c>
      <c r="AB8" s="13" t="s">
        <v>85</v>
      </c>
      <c r="AC8" s="15" t="s">
        <v>86</v>
      </c>
      <c r="AD8" s="13" t="s">
        <v>87</v>
      </c>
      <c r="AE8" s="15" t="s">
        <v>6</v>
      </c>
      <c r="AF8" s="13" t="s">
        <v>84</v>
      </c>
      <c r="AG8" s="13" t="s">
        <v>85</v>
      </c>
      <c r="AH8" s="15" t="s">
        <v>86</v>
      </c>
      <c r="AI8" s="13" t="s">
        <v>84</v>
      </c>
      <c r="AJ8" s="13" t="s">
        <v>85</v>
      </c>
      <c r="AK8" s="15" t="s">
        <v>86</v>
      </c>
      <c r="AL8" s="13" t="s">
        <v>84</v>
      </c>
      <c r="AM8" s="13" t="s">
        <v>85</v>
      </c>
      <c r="AN8" s="15" t="s">
        <v>86</v>
      </c>
      <c r="AO8" s="13" t="s">
        <v>84</v>
      </c>
      <c r="AP8" s="13" t="s">
        <v>85</v>
      </c>
      <c r="AQ8" s="15" t="s">
        <v>86</v>
      </c>
      <c r="AR8" s="13" t="s">
        <v>84</v>
      </c>
      <c r="AS8" s="13" t="s">
        <v>85</v>
      </c>
      <c r="AT8" s="15" t="s">
        <v>86</v>
      </c>
      <c r="AU8" s="13" t="s">
        <v>84</v>
      </c>
      <c r="AV8" s="13" t="s">
        <v>85</v>
      </c>
      <c r="AW8" s="15" t="s">
        <v>86</v>
      </c>
      <c r="AX8" s="13" t="s">
        <v>87</v>
      </c>
      <c r="AY8" s="446" t="s">
        <v>6</v>
      </c>
    </row>
    <row r="9" spans="1:52" customFormat="1" ht="39.75" customHeight="1" thickTop="1" thickBot="1">
      <c r="A9" s="2845" t="s">
        <v>88</v>
      </c>
      <c r="B9" s="2848" t="s">
        <v>89</v>
      </c>
      <c r="C9" s="72" t="s">
        <v>167</v>
      </c>
      <c r="D9" s="111" t="s">
        <v>90</v>
      </c>
      <c r="E9" s="1643" t="s">
        <v>189</v>
      </c>
      <c r="F9" s="74" t="s">
        <v>168</v>
      </c>
      <c r="G9" s="764">
        <f>660491675.86/1000000</f>
        <v>660.49167585999999</v>
      </c>
      <c r="H9" s="74" t="s">
        <v>25</v>
      </c>
      <c r="I9" s="79"/>
      <c r="J9" s="78"/>
      <c r="K9" s="76" t="s">
        <v>25</v>
      </c>
      <c r="L9" s="765">
        <v>100600014</v>
      </c>
      <c r="M9" s="567">
        <v>19437267</v>
      </c>
      <c r="N9" s="19">
        <f>+M9/L9</f>
        <v>0.19321336277348827</v>
      </c>
      <c r="O9" s="765">
        <v>16350000</v>
      </c>
      <c r="P9" s="567">
        <v>9454350</v>
      </c>
      <c r="Q9" s="19">
        <f>+P9/O9</f>
        <v>0.57824770642201839</v>
      </c>
      <c r="R9" s="765">
        <v>25053169</v>
      </c>
      <c r="S9" s="567">
        <v>11665995</v>
      </c>
      <c r="T9" s="19">
        <f>+S9/R9</f>
        <v>0.46564947532186446</v>
      </c>
      <c r="U9" s="765">
        <v>326353698</v>
      </c>
      <c r="V9" s="567">
        <v>13419432</v>
      </c>
      <c r="W9" s="19">
        <f>+V9/U9</f>
        <v>4.1119288925599976E-2</v>
      </c>
      <c r="X9" s="765">
        <v>16353698</v>
      </c>
      <c r="Y9" s="567">
        <v>10211084</v>
      </c>
      <c r="Z9" s="19">
        <f>+Y9/X9</f>
        <v>0.62438990863106314</v>
      </c>
      <c r="AA9" s="765">
        <v>16353698</v>
      </c>
      <c r="AB9" s="567">
        <v>304600112.97000003</v>
      </c>
      <c r="AC9" s="19">
        <f>+AB9/AA9</f>
        <v>18.625763602214008</v>
      </c>
      <c r="AD9" s="566">
        <f>+AB9+Y9+V9+S9+P9+M9</f>
        <v>368788240.97000003</v>
      </c>
      <c r="AE9" s="121">
        <f>+AD9/G9</f>
        <v>558354.10868701036</v>
      </c>
      <c r="AF9" s="765">
        <v>16353698</v>
      </c>
      <c r="AG9" s="567">
        <v>10535364</v>
      </c>
      <c r="AH9" s="19">
        <f>+AG9/AF9</f>
        <v>0.64421906286883857</v>
      </c>
      <c r="AI9" s="765">
        <v>16353698</v>
      </c>
      <c r="AJ9" s="567">
        <v>24235063</v>
      </c>
      <c r="AK9" s="19">
        <f>+AJ9/AI9</f>
        <v>1.4819316707450512</v>
      </c>
      <c r="AL9" s="765">
        <v>16353698</v>
      </c>
      <c r="AM9" s="567">
        <v>85083227.900000006</v>
      </c>
      <c r="AN9" s="19">
        <f>+AM9/AL9</f>
        <v>5.2026904190110397</v>
      </c>
      <c r="AO9" s="765">
        <v>16353698</v>
      </c>
      <c r="AP9" s="567">
        <v>8969657</v>
      </c>
      <c r="AQ9" s="19">
        <f>+AP9/AO9</f>
        <v>0.54847882112045854</v>
      </c>
      <c r="AR9" s="765">
        <v>16353702</v>
      </c>
      <c r="AS9" s="567">
        <v>12056958</v>
      </c>
      <c r="AT9" s="19">
        <f>+AS9/AR9</f>
        <v>0.73726169157295396</v>
      </c>
      <c r="AU9" s="765">
        <v>15663703</v>
      </c>
      <c r="AV9" s="1644">
        <v>21677079.030000001</v>
      </c>
      <c r="AW9" s="19">
        <f>+AV9/AU9</f>
        <v>1.3839051359694448</v>
      </c>
      <c r="AX9" s="747">
        <f>613677431.9/1000000</f>
        <v>613.67743189999999</v>
      </c>
      <c r="AY9" s="19">
        <f>+AX9/G9</f>
        <v>0.929122128754999</v>
      </c>
    </row>
    <row r="10" spans="1:52" customFormat="1" ht="47.25" customHeight="1" thickTop="1" thickBot="1">
      <c r="A10" s="2846"/>
      <c r="B10" s="2850"/>
      <c r="C10" s="74" t="s">
        <v>169</v>
      </c>
      <c r="D10" s="111" t="s">
        <v>92</v>
      </c>
      <c r="E10" s="1643" t="s">
        <v>170</v>
      </c>
      <c r="F10" s="74" t="s">
        <v>17</v>
      </c>
      <c r="G10" s="1123">
        <v>4</v>
      </c>
      <c r="H10" s="118" t="s">
        <v>26</v>
      </c>
      <c r="I10" s="79"/>
      <c r="J10" s="78"/>
      <c r="K10" s="76" t="s">
        <v>26</v>
      </c>
      <c r="L10" s="119">
        <v>0</v>
      </c>
      <c r="M10" s="120"/>
      <c r="N10" s="19" t="e">
        <f>+M10/L10</f>
        <v>#DIV/0!</v>
      </c>
      <c r="O10" s="119">
        <v>0</v>
      </c>
      <c r="P10" s="120"/>
      <c r="Q10" s="19" t="e">
        <f>+P10/O10</f>
        <v>#DIV/0!</v>
      </c>
      <c r="R10" s="119">
        <v>4</v>
      </c>
      <c r="S10" s="120">
        <v>4</v>
      </c>
      <c r="T10" s="19">
        <f>+S10/R10</f>
        <v>1</v>
      </c>
      <c r="U10" s="119">
        <v>0</v>
      </c>
      <c r="V10" s="120"/>
      <c r="W10" s="19" t="e">
        <f>+V10/U10</f>
        <v>#DIV/0!</v>
      </c>
      <c r="X10" s="119">
        <v>0</v>
      </c>
      <c r="Y10" s="120"/>
      <c r="Z10" s="121" t="e">
        <f>+Y10/X10</f>
        <v>#DIV/0!</v>
      </c>
      <c r="AA10" s="119">
        <v>0</v>
      </c>
      <c r="AB10" s="120"/>
      <c r="AC10" s="19" t="e">
        <f>+AB10/AA10</f>
        <v>#DIV/0!</v>
      </c>
      <c r="AD10" s="122">
        <f>+AB10+Y10+V10+S10+P10+M10</f>
        <v>4</v>
      </c>
      <c r="AE10" s="19">
        <f t="shared" ref="AE10" si="0">+AD10/G10</f>
        <v>1</v>
      </c>
      <c r="AF10" s="119">
        <v>0</v>
      </c>
      <c r="AG10" s="120"/>
      <c r="AH10" s="19" t="e">
        <f>+AG10/AF10</f>
        <v>#DIV/0!</v>
      </c>
      <c r="AI10" s="119">
        <v>0</v>
      </c>
      <c r="AJ10" s="120"/>
      <c r="AK10" s="19" t="e">
        <f>+AJ10/AI10</f>
        <v>#DIV/0!</v>
      </c>
      <c r="AL10" s="119">
        <v>0</v>
      </c>
      <c r="AM10" s="120"/>
      <c r="AN10" s="19" t="e">
        <f>+AM10/AL10</f>
        <v>#DIV/0!</v>
      </c>
      <c r="AO10" s="119">
        <v>2</v>
      </c>
      <c r="AP10" s="120">
        <v>2</v>
      </c>
      <c r="AQ10" s="19">
        <f>+AP10/AO10</f>
        <v>1</v>
      </c>
      <c r="AR10" s="119">
        <f>+[16]DGRAE2!$DE$14</f>
        <v>0</v>
      </c>
      <c r="AS10" s="120"/>
      <c r="AT10" s="19" t="e">
        <f>+AS10/AR10</f>
        <v>#DIV/0!</v>
      </c>
      <c r="AU10" s="119">
        <v>0</v>
      </c>
      <c r="AV10" s="1645">
        <v>0</v>
      </c>
      <c r="AW10" s="19" t="e">
        <f>+AV10/AU10</f>
        <v>#DIV/0!</v>
      </c>
      <c r="AX10" s="123">
        <f t="shared" ref="AX10" si="1">+M10+P10+S10+V10+Y10+AB10+AG10+AJ10+AM10+AP10+AS10+AV10</f>
        <v>6</v>
      </c>
      <c r="AY10" s="19">
        <f t="shared" ref="AY10" si="2">+AX10/G10</f>
        <v>1.5</v>
      </c>
    </row>
    <row r="11" spans="1:52" s="128" customFormat="1" ht="59.45" customHeight="1" thickTop="1" thickBot="1">
      <c r="A11" s="2846"/>
      <c r="B11" s="2948" t="s">
        <v>94</v>
      </c>
      <c r="C11" s="1646" t="s">
        <v>706</v>
      </c>
      <c r="D11" s="124" t="s">
        <v>96</v>
      </c>
      <c r="E11" s="125" t="s">
        <v>97</v>
      </c>
      <c r="F11" s="125" t="s">
        <v>168</v>
      </c>
      <c r="G11" s="1647">
        <v>10980000000</v>
      </c>
      <c r="H11" s="125"/>
      <c r="I11" s="125"/>
      <c r="J11" s="125"/>
      <c r="K11" s="125" t="s">
        <v>20</v>
      </c>
      <c r="L11" s="1647" t="s">
        <v>707</v>
      </c>
      <c r="M11" s="1425"/>
      <c r="N11" s="73" t="e">
        <f>+M11/L11</f>
        <v>#VALUE!</v>
      </c>
      <c r="O11" s="1647" t="s">
        <v>707</v>
      </c>
      <c r="P11" s="1425"/>
      <c r="Q11" s="73" t="e">
        <f>+P11/O11</f>
        <v>#VALUE!</v>
      </c>
      <c r="R11" s="1647" t="s">
        <v>707</v>
      </c>
      <c r="S11" s="1425"/>
      <c r="T11" s="73" t="e">
        <f>+S11/R11</f>
        <v>#VALUE!</v>
      </c>
      <c r="U11" s="1647" t="s">
        <v>707</v>
      </c>
      <c r="V11" s="1425"/>
      <c r="W11" s="73" t="e">
        <f>+V11/U11</f>
        <v>#VALUE!</v>
      </c>
      <c r="X11" s="1647" t="s">
        <v>707</v>
      </c>
      <c r="Y11" s="1425"/>
      <c r="Z11" s="73" t="e">
        <f>+Y11/X11</f>
        <v>#VALUE!</v>
      </c>
      <c r="AA11" s="1647" t="s">
        <v>707</v>
      </c>
      <c r="AB11" s="1425"/>
      <c r="AC11" s="73" t="e">
        <f>+AB11/AA11</f>
        <v>#VALUE!</v>
      </c>
      <c r="AD11" s="1648">
        <f>+M11+P11+S11+V11+Y11+AB11</f>
        <v>0</v>
      </c>
      <c r="AE11" s="73">
        <f>+AD11/G11</f>
        <v>0</v>
      </c>
      <c r="AF11" s="1647" t="s">
        <v>707</v>
      </c>
      <c r="AG11" s="1425"/>
      <c r="AH11" s="73" t="e">
        <f>+AG11/AF11</f>
        <v>#VALUE!</v>
      </c>
      <c r="AI11" s="1647" t="s">
        <v>707</v>
      </c>
      <c r="AJ11" s="1425"/>
      <c r="AK11" s="73" t="e">
        <f>+AJ11/AI11</f>
        <v>#VALUE!</v>
      </c>
      <c r="AL11" s="1647" t="s">
        <v>707</v>
      </c>
      <c r="AM11" s="1425"/>
      <c r="AN11" s="73" t="e">
        <f>+AM11/AL11</f>
        <v>#VALUE!</v>
      </c>
      <c r="AO11" s="1647" t="s">
        <v>707</v>
      </c>
      <c r="AP11" s="1425"/>
      <c r="AQ11" s="73" t="e">
        <f>+AP11/AO11</f>
        <v>#VALUE!</v>
      </c>
      <c r="AR11" s="1647" t="str">
        <f>+'[8]IN1-3'!$DE$14</f>
        <v xml:space="preserve">PENDIENTE </v>
      </c>
      <c r="AS11" s="1425"/>
      <c r="AT11" s="73" t="e">
        <f>+AS11/AR11</f>
        <v>#VALUE!</v>
      </c>
      <c r="AU11" s="1647">
        <v>10980000000</v>
      </c>
      <c r="AV11" s="1649">
        <v>10980000000</v>
      </c>
      <c r="AW11" s="73">
        <f>+AV11/AU11</f>
        <v>1</v>
      </c>
      <c r="AX11" s="1648">
        <f>+M11+P11+S11+V11+Y11+AB11+AG11+AJ11+AM11+AP11+AS11+AV11</f>
        <v>10980000000</v>
      </c>
      <c r="AY11" s="73">
        <f>+AX11/G11</f>
        <v>1</v>
      </c>
    </row>
    <row r="12" spans="1:52" s="132" customFormat="1" ht="51.75" customHeight="1" thickTop="1" thickBot="1">
      <c r="A12" s="2846"/>
      <c r="B12" s="2949"/>
      <c r="C12" s="3150" t="s">
        <v>383</v>
      </c>
      <c r="D12" s="129" t="s">
        <v>430</v>
      </c>
      <c r="E12" s="1650" t="s">
        <v>192</v>
      </c>
      <c r="F12" s="137" t="s">
        <v>101</v>
      </c>
      <c r="G12" s="1651">
        <v>2000000000</v>
      </c>
      <c r="H12" s="1083"/>
      <c r="I12" s="1652"/>
      <c r="J12" s="1083"/>
      <c r="K12" s="137" t="s">
        <v>140</v>
      </c>
      <c r="L12" s="755">
        <v>133333333.33333333</v>
      </c>
      <c r="M12" s="1653">
        <v>68933086</v>
      </c>
      <c r="N12" s="73">
        <f t="shared" ref="N12:N27" si="3">+M12/L12</f>
        <v>0.51699814499999996</v>
      </c>
      <c r="O12" s="755">
        <v>133333333.33333333</v>
      </c>
      <c r="P12" s="1653">
        <v>0</v>
      </c>
      <c r="Q12" s="73">
        <f t="shared" ref="Q12:Q27" si="4">+P12/O12</f>
        <v>0</v>
      </c>
      <c r="R12" s="755">
        <v>133333333.33333333</v>
      </c>
      <c r="S12" s="1653">
        <v>0</v>
      </c>
      <c r="T12" s="73">
        <f t="shared" ref="T12:T27" si="5">+S12/R12</f>
        <v>0</v>
      </c>
      <c r="U12" s="755">
        <v>200000000</v>
      </c>
      <c r="V12" s="1653">
        <v>0</v>
      </c>
      <c r="W12" s="73">
        <f t="shared" ref="W12:W27" si="6">+V12/U12</f>
        <v>0</v>
      </c>
      <c r="X12" s="755">
        <v>200000000</v>
      </c>
      <c r="Y12" s="1653">
        <v>0</v>
      </c>
      <c r="Z12" s="73">
        <f t="shared" ref="Z12:Z27" si="7">+Y12/X12</f>
        <v>0</v>
      </c>
      <c r="AA12" s="755">
        <v>200000000</v>
      </c>
      <c r="AB12" s="1653">
        <v>5925528</v>
      </c>
      <c r="AC12" s="73">
        <f t="shared" ref="AC12:AC27" si="8">+AB12/AA12</f>
        <v>2.962764E-2</v>
      </c>
      <c r="AD12" s="1654">
        <f t="shared" ref="AD12:AD24" si="9">+M12+P12+S12+V12+Y12+AB12</f>
        <v>74858614</v>
      </c>
      <c r="AE12" s="73">
        <f t="shared" ref="AE12:AE24" si="10">+AD12/G12</f>
        <v>3.7429307000000002E-2</v>
      </c>
      <c r="AF12" s="755">
        <v>200000000</v>
      </c>
      <c r="AG12" s="1653">
        <v>0</v>
      </c>
      <c r="AH12" s="73">
        <f t="shared" ref="AH12:AH27" si="11">+AG12/AF12</f>
        <v>0</v>
      </c>
      <c r="AI12" s="755">
        <v>200000000</v>
      </c>
      <c r="AJ12" s="1653">
        <v>39207386</v>
      </c>
      <c r="AK12" s="73">
        <f t="shared" ref="AK12:AK27" si="12">+AJ12/AI12</f>
        <v>0.19603693</v>
      </c>
      <c r="AL12" s="755">
        <v>200000000</v>
      </c>
      <c r="AM12" s="1653">
        <v>51630150</v>
      </c>
      <c r="AN12" s="73">
        <f t="shared" ref="AN12:AN27" si="13">+AM12/AL12</f>
        <v>0.25815074999999998</v>
      </c>
      <c r="AO12" s="755">
        <v>133333333.33333333</v>
      </c>
      <c r="AP12" s="1653">
        <v>0</v>
      </c>
      <c r="AQ12" s="73">
        <f t="shared" ref="AQ12:AQ27" si="14">+AP12/AO12</f>
        <v>0</v>
      </c>
      <c r="AR12" s="755">
        <f>+'[9]FIS-5'!$DE$14</f>
        <v>133333333.33333333</v>
      </c>
      <c r="AS12" s="1653">
        <v>55546920</v>
      </c>
      <c r="AT12" s="73">
        <f t="shared" ref="AT12:AT27" si="15">+AS12/AR12</f>
        <v>0.41660190000000002</v>
      </c>
      <c r="AU12" s="755">
        <v>133333333.33333333</v>
      </c>
      <c r="AV12" s="1653">
        <v>0</v>
      </c>
      <c r="AW12" s="73">
        <f t="shared" ref="AW12:AW27" si="16">+AV12/AU12</f>
        <v>0</v>
      </c>
      <c r="AX12" s="1654">
        <f t="shared" ref="AX12:AX24" si="17">+M12+P12+S12+V12+Y12+AB12+AG12+AJ12+AM12+AP12+AS12+AV12</f>
        <v>221243070</v>
      </c>
      <c r="AY12" s="73">
        <f t="shared" ref="AY12:AY27" si="18">+AX12/G12</f>
        <v>0.11062153499999999</v>
      </c>
    </row>
    <row r="13" spans="1:52" s="128" customFormat="1" ht="60" customHeight="1" thickTop="1" thickBot="1">
      <c r="A13" s="2846"/>
      <c r="B13" s="2949"/>
      <c r="C13" s="3151"/>
      <c r="D13" s="124" t="s">
        <v>456</v>
      </c>
      <c r="E13" s="1655" t="s">
        <v>708</v>
      </c>
      <c r="F13" s="125" t="s">
        <v>101</v>
      </c>
      <c r="G13" s="1656">
        <v>218442857</v>
      </c>
      <c r="H13" s="1657"/>
      <c r="I13" s="1658"/>
      <c r="J13" s="1657"/>
      <c r="K13" s="125" t="s">
        <v>196</v>
      </c>
      <c r="L13" s="754">
        <v>7281429</v>
      </c>
      <c r="M13" s="1659">
        <v>24865000</v>
      </c>
      <c r="N13" s="73">
        <f t="shared" si="3"/>
        <v>3.4148516726593092</v>
      </c>
      <c r="O13" s="754">
        <v>7281429</v>
      </c>
      <c r="P13" s="1659"/>
      <c r="Q13" s="73">
        <f t="shared" si="4"/>
        <v>0</v>
      </c>
      <c r="R13" s="754">
        <v>7281429</v>
      </c>
      <c r="S13" s="1659">
        <v>0</v>
      </c>
      <c r="T13" s="73">
        <f t="shared" si="5"/>
        <v>0</v>
      </c>
      <c r="U13" s="754">
        <v>29125714</v>
      </c>
      <c r="V13" s="1659"/>
      <c r="W13" s="73">
        <f t="shared" si="6"/>
        <v>0</v>
      </c>
      <c r="X13" s="754">
        <v>29125714</v>
      </c>
      <c r="Y13" s="1659">
        <v>0</v>
      </c>
      <c r="Z13" s="73">
        <f t="shared" si="7"/>
        <v>0</v>
      </c>
      <c r="AA13" s="754">
        <v>29125714</v>
      </c>
      <c r="AB13" s="1659">
        <v>0</v>
      </c>
      <c r="AC13" s="73">
        <f t="shared" si="8"/>
        <v>0</v>
      </c>
      <c r="AD13" s="1660">
        <f t="shared" si="9"/>
        <v>24865000</v>
      </c>
      <c r="AE13" s="73">
        <f t="shared" si="10"/>
        <v>0.11382839586281368</v>
      </c>
      <c r="AF13" s="754">
        <v>29125714</v>
      </c>
      <c r="AG13" s="1659">
        <v>1657800</v>
      </c>
      <c r="AH13" s="73">
        <f t="shared" si="11"/>
        <v>5.6918776308797096E-2</v>
      </c>
      <c r="AI13" s="754">
        <v>29125714</v>
      </c>
      <c r="AJ13" s="1659">
        <v>0</v>
      </c>
      <c r="AK13" s="73">
        <f t="shared" si="12"/>
        <v>0</v>
      </c>
      <c r="AL13" s="754">
        <v>29125714</v>
      </c>
      <c r="AM13" s="1659">
        <v>1657800</v>
      </c>
      <c r="AN13" s="73">
        <f t="shared" si="13"/>
        <v>5.6918776308797096E-2</v>
      </c>
      <c r="AO13" s="754">
        <v>7281429</v>
      </c>
      <c r="AP13" s="1659">
        <v>42270824.549999997</v>
      </c>
      <c r="AQ13" s="73">
        <f t="shared" si="14"/>
        <v>5.8052924158156314</v>
      </c>
      <c r="AR13" s="754">
        <f>+'[9]FIS-7'!$DE$14</f>
        <v>7281429</v>
      </c>
      <c r="AS13" s="1659"/>
      <c r="AT13" s="73">
        <f t="shared" si="15"/>
        <v>0</v>
      </c>
      <c r="AU13" s="754">
        <v>7281428</v>
      </c>
      <c r="AV13" s="1659">
        <v>9791925</v>
      </c>
      <c r="AW13" s="73">
        <f t="shared" si="16"/>
        <v>1.3447808589194317</v>
      </c>
      <c r="AX13" s="1660">
        <f t="shared" si="17"/>
        <v>80243349.549999997</v>
      </c>
      <c r="AY13" s="73">
        <f t="shared" si="18"/>
        <v>0.36734251992501638</v>
      </c>
    </row>
    <row r="14" spans="1:52" s="132" customFormat="1" ht="135" customHeight="1" thickTop="1" thickBot="1">
      <c r="A14" s="2846"/>
      <c r="B14" s="2949"/>
      <c r="C14" s="3151"/>
      <c r="D14" s="129" t="s">
        <v>525</v>
      </c>
      <c r="E14" s="137" t="s">
        <v>198</v>
      </c>
      <c r="F14" s="137" t="s">
        <v>101</v>
      </c>
      <c r="G14" s="1651">
        <v>215002388.91543201</v>
      </c>
      <c r="H14" s="1083"/>
      <c r="I14" s="1652"/>
      <c r="J14" s="1083"/>
      <c r="K14" s="137" t="s">
        <v>140</v>
      </c>
      <c r="L14" s="755">
        <v>14333492.59436216</v>
      </c>
      <c r="M14" s="1653">
        <v>1361000</v>
      </c>
      <c r="N14" s="73">
        <f t="shared" si="3"/>
        <v>9.4952433333333336E-2</v>
      </c>
      <c r="O14" s="755">
        <v>14333492.59436216</v>
      </c>
      <c r="P14" s="1653">
        <v>0</v>
      </c>
      <c r="Q14" s="73">
        <f t="shared" si="4"/>
        <v>0</v>
      </c>
      <c r="R14" s="755">
        <v>14333492.59436216</v>
      </c>
      <c r="S14" s="1653">
        <v>686000</v>
      </c>
      <c r="T14" s="73">
        <f t="shared" si="5"/>
        <v>4.7859933333333333E-2</v>
      </c>
      <c r="U14" s="755">
        <v>21500238.891543239</v>
      </c>
      <c r="V14" s="1653">
        <v>0</v>
      </c>
      <c r="W14" s="73">
        <f t="shared" si="6"/>
        <v>0</v>
      </c>
      <c r="X14" s="755">
        <v>21500238.891543239</v>
      </c>
      <c r="Y14" s="1653">
        <v>0</v>
      </c>
      <c r="Z14" s="73">
        <f t="shared" si="7"/>
        <v>0</v>
      </c>
      <c r="AA14" s="755">
        <v>21500238.891543239</v>
      </c>
      <c r="AB14" s="1653">
        <v>0</v>
      </c>
      <c r="AC14" s="73">
        <f t="shared" si="8"/>
        <v>0</v>
      </c>
      <c r="AD14" s="1654">
        <f t="shared" si="9"/>
        <v>2047000</v>
      </c>
      <c r="AE14" s="73">
        <f t="shared" si="10"/>
        <v>9.520824444444461E-3</v>
      </c>
      <c r="AF14" s="755">
        <v>21500238.891543239</v>
      </c>
      <c r="AG14" s="1653">
        <v>0</v>
      </c>
      <c r="AH14" s="73">
        <f t="shared" si="11"/>
        <v>0</v>
      </c>
      <c r="AI14" s="755">
        <v>21500238.891543239</v>
      </c>
      <c r="AJ14" s="1653">
        <v>0</v>
      </c>
      <c r="AK14" s="73">
        <f t="shared" si="12"/>
        <v>0</v>
      </c>
      <c r="AL14" s="755">
        <v>21500238.891543239</v>
      </c>
      <c r="AM14" s="1653">
        <v>0</v>
      </c>
      <c r="AN14" s="73">
        <f t="shared" si="13"/>
        <v>0</v>
      </c>
      <c r="AO14" s="755">
        <v>14333492.59436216</v>
      </c>
      <c r="AP14" s="1653">
        <v>30615000</v>
      </c>
      <c r="AQ14" s="73">
        <f t="shared" si="14"/>
        <v>2.1359064999999999</v>
      </c>
      <c r="AR14" s="755">
        <f>+'[9]FIS-8'!$DE$14</f>
        <v>14333492.59436216</v>
      </c>
      <c r="AS14" s="1653">
        <v>0</v>
      </c>
      <c r="AT14" s="73">
        <f t="shared" si="15"/>
        <v>0</v>
      </c>
      <c r="AU14" s="755">
        <v>14333492.59436216</v>
      </c>
      <c r="AV14" s="1653">
        <v>0</v>
      </c>
      <c r="AW14" s="73">
        <f t="shared" si="16"/>
        <v>0</v>
      </c>
      <c r="AX14" s="1654">
        <f t="shared" si="17"/>
        <v>32662000</v>
      </c>
      <c r="AY14" s="73">
        <f t="shared" si="18"/>
        <v>0.15191459111111139</v>
      </c>
    </row>
    <row r="15" spans="1:52" s="128" customFormat="1" ht="80.25" customHeight="1" thickTop="1" thickBot="1">
      <c r="A15" s="2846"/>
      <c r="B15" s="2949"/>
      <c r="C15" s="3151"/>
      <c r="D15" s="124" t="s">
        <v>709</v>
      </c>
      <c r="E15" s="125" t="s">
        <v>200</v>
      </c>
      <c r="F15" s="125" t="s">
        <v>101</v>
      </c>
      <c r="G15" s="1656">
        <v>1200000000</v>
      </c>
      <c r="H15" s="1657"/>
      <c r="I15" s="1661"/>
      <c r="J15" s="1657"/>
      <c r="K15" s="125" t="s">
        <v>140</v>
      </c>
      <c r="L15" s="754">
        <v>80000000</v>
      </c>
      <c r="M15" s="1659"/>
      <c r="N15" s="73">
        <f t="shared" si="3"/>
        <v>0</v>
      </c>
      <c r="O15" s="754">
        <v>80000000</v>
      </c>
      <c r="P15" s="1659">
        <v>0</v>
      </c>
      <c r="Q15" s="73">
        <f t="shared" si="4"/>
        <v>0</v>
      </c>
      <c r="R15" s="754">
        <v>80000000</v>
      </c>
      <c r="S15" s="1659">
        <v>0</v>
      </c>
      <c r="T15" s="73">
        <f t="shared" si="5"/>
        <v>0</v>
      </c>
      <c r="U15" s="754">
        <v>120000000</v>
      </c>
      <c r="V15" s="1659">
        <v>0</v>
      </c>
      <c r="W15" s="73">
        <f t="shared" si="6"/>
        <v>0</v>
      </c>
      <c r="X15" s="754">
        <v>120000000</v>
      </c>
      <c r="Y15" s="1659">
        <v>0</v>
      </c>
      <c r="Z15" s="73">
        <f t="shared" si="7"/>
        <v>0</v>
      </c>
      <c r="AA15" s="754">
        <v>120000000</v>
      </c>
      <c r="AB15" s="1659">
        <v>0</v>
      </c>
      <c r="AC15" s="73">
        <f t="shared" si="8"/>
        <v>0</v>
      </c>
      <c r="AD15" s="1660">
        <f t="shared" si="9"/>
        <v>0</v>
      </c>
      <c r="AE15" s="73">
        <f t="shared" si="10"/>
        <v>0</v>
      </c>
      <c r="AF15" s="754">
        <v>120000000</v>
      </c>
      <c r="AG15" s="1659">
        <v>68933086</v>
      </c>
      <c r="AH15" s="73">
        <f t="shared" si="11"/>
        <v>0.57444238333333331</v>
      </c>
      <c r="AI15" s="754">
        <v>120000000</v>
      </c>
      <c r="AJ15" s="1659">
        <v>0</v>
      </c>
      <c r="AK15" s="73">
        <f t="shared" si="12"/>
        <v>0</v>
      </c>
      <c r="AL15" s="754">
        <v>120000000</v>
      </c>
      <c r="AM15" s="1659">
        <v>5925528</v>
      </c>
      <c r="AN15" s="73">
        <f t="shared" si="13"/>
        <v>4.9379399999999997E-2</v>
      </c>
      <c r="AO15" s="754">
        <v>80000000</v>
      </c>
      <c r="AP15" s="1659"/>
      <c r="AQ15" s="73">
        <f t="shared" si="14"/>
        <v>0</v>
      </c>
      <c r="AR15" s="754">
        <f>+'[9]FIS-9'!$DE$14</f>
        <v>80000000</v>
      </c>
      <c r="AS15" s="1659">
        <v>51815075</v>
      </c>
      <c r="AT15" s="73">
        <f t="shared" si="15"/>
        <v>0.64768843750000005</v>
      </c>
      <c r="AU15" s="754">
        <v>80000000</v>
      </c>
      <c r="AV15" s="1659">
        <v>0</v>
      </c>
      <c r="AW15" s="73">
        <f t="shared" si="16"/>
        <v>0</v>
      </c>
      <c r="AX15" s="1660">
        <f t="shared" si="17"/>
        <v>126673689</v>
      </c>
      <c r="AY15" s="73">
        <f t="shared" si="18"/>
        <v>0.1055614075</v>
      </c>
    </row>
    <row r="16" spans="1:52" s="132" customFormat="1" ht="60" customHeight="1" thickTop="1" thickBot="1">
      <c r="A16" s="2846"/>
      <c r="B16" s="2949"/>
      <c r="C16" s="3151"/>
      <c r="D16" s="129" t="s">
        <v>459</v>
      </c>
      <c r="E16" s="137" t="s">
        <v>274</v>
      </c>
      <c r="F16" s="137" t="s">
        <v>101</v>
      </c>
      <c r="G16" s="1651">
        <v>30000000</v>
      </c>
      <c r="H16" s="1083"/>
      <c r="I16" s="1652"/>
      <c r="J16" s="1083"/>
      <c r="K16" s="137" t="s">
        <v>196</v>
      </c>
      <c r="L16" s="755">
        <v>1000000</v>
      </c>
      <c r="M16" s="1653">
        <v>0</v>
      </c>
      <c r="N16" s="73">
        <f t="shared" si="3"/>
        <v>0</v>
      </c>
      <c r="O16" s="755">
        <v>1000000</v>
      </c>
      <c r="P16" s="1653">
        <v>0</v>
      </c>
      <c r="Q16" s="73">
        <f t="shared" si="4"/>
        <v>0</v>
      </c>
      <c r="R16" s="755">
        <v>1000000</v>
      </c>
      <c r="S16" s="1653">
        <v>0</v>
      </c>
      <c r="T16" s="73">
        <f t="shared" si="5"/>
        <v>0</v>
      </c>
      <c r="U16" s="755">
        <v>4000000</v>
      </c>
      <c r="V16" s="1653">
        <v>0</v>
      </c>
      <c r="W16" s="73">
        <f t="shared" si="6"/>
        <v>0</v>
      </c>
      <c r="X16" s="755">
        <v>4000000</v>
      </c>
      <c r="Y16" s="1653">
        <v>0</v>
      </c>
      <c r="Z16" s="73">
        <f t="shared" si="7"/>
        <v>0</v>
      </c>
      <c r="AA16" s="755">
        <v>4000000</v>
      </c>
      <c r="AB16" s="1653">
        <v>0</v>
      </c>
      <c r="AC16" s="73">
        <f t="shared" si="8"/>
        <v>0</v>
      </c>
      <c r="AD16" s="1654">
        <f t="shared" si="9"/>
        <v>0</v>
      </c>
      <c r="AE16" s="73">
        <f t="shared" si="10"/>
        <v>0</v>
      </c>
      <c r="AF16" s="755">
        <v>4000000</v>
      </c>
      <c r="AG16" s="1653">
        <v>5304960</v>
      </c>
      <c r="AH16" s="73">
        <f t="shared" si="11"/>
        <v>1.3262400000000001</v>
      </c>
      <c r="AI16" s="755">
        <v>4000000</v>
      </c>
      <c r="AJ16" s="1653">
        <v>0</v>
      </c>
      <c r="AK16" s="73">
        <f t="shared" si="12"/>
        <v>0</v>
      </c>
      <c r="AL16" s="755">
        <v>4000000</v>
      </c>
      <c r="AM16" s="1653">
        <v>0</v>
      </c>
      <c r="AN16" s="73">
        <f t="shared" si="13"/>
        <v>0</v>
      </c>
      <c r="AO16" s="755">
        <v>1000000</v>
      </c>
      <c r="AP16" s="1653">
        <v>4273000</v>
      </c>
      <c r="AQ16" s="73">
        <f t="shared" si="14"/>
        <v>4.2729999999999997</v>
      </c>
      <c r="AR16" s="755">
        <f>+'[9]FIS-11'!$DE$14</f>
        <v>1000000</v>
      </c>
      <c r="AS16" s="1653">
        <v>0</v>
      </c>
      <c r="AT16" s="73">
        <f t="shared" si="15"/>
        <v>0</v>
      </c>
      <c r="AU16" s="755">
        <v>1000000</v>
      </c>
      <c r="AV16" s="1653">
        <v>0</v>
      </c>
      <c r="AW16" s="73">
        <f t="shared" si="16"/>
        <v>0</v>
      </c>
      <c r="AX16" s="1654">
        <f t="shared" si="17"/>
        <v>9577960</v>
      </c>
      <c r="AY16" s="73">
        <f t="shared" si="18"/>
        <v>0.31926533333333335</v>
      </c>
    </row>
    <row r="17" spans="1:51" s="128" customFormat="1" ht="60" customHeight="1" thickTop="1" thickBot="1">
      <c r="A17" s="2846"/>
      <c r="B17" s="2949"/>
      <c r="C17" s="3152"/>
      <c r="D17" s="124" t="s">
        <v>203</v>
      </c>
      <c r="E17" s="125" t="s">
        <v>274</v>
      </c>
      <c r="F17" s="125" t="s">
        <v>101</v>
      </c>
      <c r="G17" s="1656">
        <v>138000000</v>
      </c>
      <c r="H17" s="1657"/>
      <c r="I17" s="1661"/>
      <c r="J17" s="1657"/>
      <c r="K17" s="125" t="s">
        <v>196</v>
      </c>
      <c r="L17" s="754">
        <v>4600000</v>
      </c>
      <c r="M17" s="1659"/>
      <c r="N17" s="73">
        <f t="shared" si="3"/>
        <v>0</v>
      </c>
      <c r="O17" s="754">
        <v>4600000</v>
      </c>
      <c r="P17" s="1659"/>
      <c r="Q17" s="73">
        <f t="shared" si="4"/>
        <v>0</v>
      </c>
      <c r="R17" s="754">
        <v>4600000</v>
      </c>
      <c r="S17" s="1659"/>
      <c r="T17" s="73">
        <f t="shared" si="5"/>
        <v>0</v>
      </c>
      <c r="U17" s="754">
        <v>18400000</v>
      </c>
      <c r="V17" s="1659"/>
      <c r="W17" s="73">
        <f t="shared" si="6"/>
        <v>0</v>
      </c>
      <c r="X17" s="754">
        <v>18400000</v>
      </c>
      <c r="Y17" s="1659"/>
      <c r="Z17" s="73">
        <f t="shared" si="7"/>
        <v>0</v>
      </c>
      <c r="AA17" s="754">
        <v>18400000</v>
      </c>
      <c r="AB17" s="1659"/>
      <c r="AC17" s="73">
        <f t="shared" si="8"/>
        <v>0</v>
      </c>
      <c r="AD17" s="1660">
        <f t="shared" si="9"/>
        <v>0</v>
      </c>
      <c r="AE17" s="73">
        <f t="shared" si="10"/>
        <v>0</v>
      </c>
      <c r="AF17" s="754">
        <v>18400000</v>
      </c>
      <c r="AG17" s="1659">
        <v>1657800</v>
      </c>
      <c r="AH17" s="73">
        <f t="shared" si="11"/>
        <v>9.0097826086956517E-2</v>
      </c>
      <c r="AI17" s="754">
        <v>18400000</v>
      </c>
      <c r="AJ17" s="1659"/>
      <c r="AK17" s="73">
        <f t="shared" si="12"/>
        <v>0</v>
      </c>
      <c r="AL17" s="754">
        <v>18400000</v>
      </c>
      <c r="AM17" s="1659">
        <v>1657800</v>
      </c>
      <c r="AN17" s="73">
        <f t="shared" si="13"/>
        <v>9.0097826086956517E-2</v>
      </c>
      <c r="AO17" s="754">
        <v>4600000</v>
      </c>
      <c r="AP17" s="1659">
        <v>42270824.549999997</v>
      </c>
      <c r="AQ17" s="73">
        <f t="shared" si="14"/>
        <v>9.1893096847826072</v>
      </c>
      <c r="AR17" s="754">
        <f>+'[9]FIS-12'!$DE$14</f>
        <v>4600000</v>
      </c>
      <c r="AS17" s="1659"/>
      <c r="AT17" s="73">
        <f t="shared" si="15"/>
        <v>0</v>
      </c>
      <c r="AU17" s="754">
        <v>4600000</v>
      </c>
      <c r="AV17" s="1659"/>
      <c r="AW17" s="73">
        <f t="shared" si="16"/>
        <v>0</v>
      </c>
      <c r="AX17" s="1660">
        <f t="shared" si="17"/>
        <v>45586424.549999997</v>
      </c>
      <c r="AY17" s="73">
        <f t="shared" si="18"/>
        <v>0.3303364097826087</v>
      </c>
    </row>
    <row r="18" spans="1:51" s="128" customFormat="1" ht="77.25" customHeight="1" thickTop="1" thickBot="1">
      <c r="A18" s="2846"/>
      <c r="B18" s="2949"/>
      <c r="C18" s="3153" t="s">
        <v>710</v>
      </c>
      <c r="D18" s="124" t="s">
        <v>205</v>
      </c>
      <c r="E18" s="125" t="s">
        <v>531</v>
      </c>
      <c r="F18" s="125" t="s">
        <v>24</v>
      </c>
      <c r="G18" s="125">
        <v>6</v>
      </c>
      <c r="H18" s="125"/>
      <c r="I18" s="125"/>
      <c r="J18" s="125"/>
      <c r="K18" s="125" t="s">
        <v>196</v>
      </c>
      <c r="L18" s="1662">
        <v>0</v>
      </c>
      <c r="M18" s="1663">
        <v>0</v>
      </c>
      <c r="N18" s="73" t="e">
        <f t="shared" si="3"/>
        <v>#DIV/0!</v>
      </c>
      <c r="O18" s="1662">
        <v>0</v>
      </c>
      <c r="P18" s="1663"/>
      <c r="Q18" s="73" t="e">
        <f t="shared" si="4"/>
        <v>#DIV/0!</v>
      </c>
      <c r="R18" s="1662">
        <v>3</v>
      </c>
      <c r="S18" s="1663">
        <v>0</v>
      </c>
      <c r="T18" s="73">
        <f t="shared" si="5"/>
        <v>0</v>
      </c>
      <c r="U18" s="1662">
        <v>0</v>
      </c>
      <c r="V18" s="1663">
        <v>0</v>
      </c>
      <c r="W18" s="73" t="e">
        <f t="shared" si="6"/>
        <v>#DIV/0!</v>
      </c>
      <c r="X18" s="1662">
        <v>0</v>
      </c>
      <c r="Y18" s="1663">
        <v>0</v>
      </c>
      <c r="Z18" s="73" t="e">
        <f t="shared" si="7"/>
        <v>#DIV/0!</v>
      </c>
      <c r="AA18" s="1662">
        <v>0</v>
      </c>
      <c r="AB18" s="1663">
        <v>0</v>
      </c>
      <c r="AC18" s="73" t="e">
        <f t="shared" si="8"/>
        <v>#DIV/0!</v>
      </c>
      <c r="AD18" s="1664">
        <f>+Y18</f>
        <v>0</v>
      </c>
      <c r="AE18" s="73">
        <f t="shared" si="10"/>
        <v>0</v>
      </c>
      <c r="AF18" s="1662">
        <v>0</v>
      </c>
      <c r="AG18" s="1663">
        <v>0</v>
      </c>
      <c r="AH18" s="73" t="e">
        <f t="shared" si="11"/>
        <v>#DIV/0!</v>
      </c>
      <c r="AI18" s="1662">
        <v>0</v>
      </c>
      <c r="AJ18" s="1663">
        <v>0</v>
      </c>
      <c r="AK18" s="73" t="e">
        <f t="shared" si="12"/>
        <v>#DIV/0!</v>
      </c>
      <c r="AL18" s="1662">
        <v>3</v>
      </c>
      <c r="AM18" s="1663">
        <v>0</v>
      </c>
      <c r="AN18" s="73">
        <f t="shared" si="13"/>
        <v>0</v>
      </c>
      <c r="AO18" s="1662">
        <v>0</v>
      </c>
      <c r="AP18" s="1663">
        <v>0</v>
      </c>
      <c r="AQ18" s="73" t="e">
        <f t="shared" si="14"/>
        <v>#DIV/0!</v>
      </c>
      <c r="AR18" s="1662">
        <f>+'[9]FIS-16'!$DE$14</f>
        <v>0</v>
      </c>
      <c r="AS18" s="1663">
        <v>0</v>
      </c>
      <c r="AT18" s="73" t="e">
        <f t="shared" si="15"/>
        <v>#DIV/0!</v>
      </c>
      <c r="AU18" s="1662">
        <v>0</v>
      </c>
      <c r="AV18" s="1663">
        <v>0</v>
      </c>
      <c r="AW18" s="73" t="e">
        <f t="shared" si="16"/>
        <v>#DIV/0!</v>
      </c>
      <c r="AX18" s="1664">
        <f>+AM18+Y18</f>
        <v>0</v>
      </c>
      <c r="AY18" s="73"/>
    </row>
    <row r="19" spans="1:51" s="132" customFormat="1" ht="77.25" customHeight="1" thickTop="1" thickBot="1">
      <c r="A19" s="2846"/>
      <c r="B19" s="2949"/>
      <c r="C19" s="3154"/>
      <c r="D19" s="129" t="s">
        <v>207</v>
      </c>
      <c r="E19" s="137" t="s">
        <v>206</v>
      </c>
      <c r="F19" s="137" t="s">
        <v>24</v>
      </c>
      <c r="G19" s="1665">
        <v>12</v>
      </c>
      <c r="H19" s="1083"/>
      <c r="I19" s="1029"/>
      <c r="J19" s="1083"/>
      <c r="K19" s="137" t="s">
        <v>196</v>
      </c>
      <c r="L19" s="1666">
        <v>0</v>
      </c>
      <c r="M19" s="1667"/>
      <c r="N19" s="73" t="e">
        <f t="shared" si="3"/>
        <v>#DIV/0!</v>
      </c>
      <c r="O19" s="1666">
        <v>0</v>
      </c>
      <c r="P19" s="1667"/>
      <c r="Q19" s="73" t="e">
        <f t="shared" si="4"/>
        <v>#DIV/0!</v>
      </c>
      <c r="R19" s="1666">
        <v>0</v>
      </c>
      <c r="S19" s="1667"/>
      <c r="T19" s="73" t="e">
        <f t="shared" si="5"/>
        <v>#DIV/0!</v>
      </c>
      <c r="U19" s="1666">
        <v>0</v>
      </c>
      <c r="V19" s="1667"/>
      <c r="W19" s="73" t="e">
        <f t="shared" si="6"/>
        <v>#DIV/0!</v>
      </c>
      <c r="X19" s="1666">
        <v>6</v>
      </c>
      <c r="Y19" s="1667">
        <v>6</v>
      </c>
      <c r="Z19" s="73">
        <f t="shared" si="7"/>
        <v>1</v>
      </c>
      <c r="AA19" s="1666">
        <v>0</v>
      </c>
      <c r="AB19" s="1667"/>
      <c r="AC19" s="73" t="e">
        <f t="shared" si="8"/>
        <v>#DIV/0!</v>
      </c>
      <c r="AD19" s="1668">
        <f>+Y19</f>
        <v>6</v>
      </c>
      <c r="AE19" s="73">
        <f t="shared" si="10"/>
        <v>0.5</v>
      </c>
      <c r="AF19" s="1666">
        <v>0</v>
      </c>
      <c r="AG19" s="1667">
        <v>0</v>
      </c>
      <c r="AH19" s="73" t="e">
        <f t="shared" si="11"/>
        <v>#DIV/0!</v>
      </c>
      <c r="AI19" s="1666">
        <v>0</v>
      </c>
      <c r="AJ19" s="1667"/>
      <c r="AK19" s="73" t="e">
        <f t="shared" si="12"/>
        <v>#DIV/0!</v>
      </c>
      <c r="AL19" s="1666">
        <v>0</v>
      </c>
      <c r="AM19" s="1667"/>
      <c r="AN19" s="73" t="e">
        <f t="shared" si="13"/>
        <v>#DIV/0!</v>
      </c>
      <c r="AO19" s="1666">
        <v>6</v>
      </c>
      <c r="AP19" s="1667">
        <v>6</v>
      </c>
      <c r="AQ19" s="73">
        <f t="shared" si="14"/>
        <v>1</v>
      </c>
      <c r="AR19" s="1666">
        <f>+'[9]FIS-15'!$DE$14</f>
        <v>0</v>
      </c>
      <c r="AS19" s="1667"/>
      <c r="AT19" s="73" t="e">
        <f t="shared" si="15"/>
        <v>#DIV/0!</v>
      </c>
      <c r="AU19" s="1666">
        <v>0</v>
      </c>
      <c r="AV19" s="1667"/>
      <c r="AW19" s="73" t="e">
        <f t="shared" si="16"/>
        <v>#DIV/0!</v>
      </c>
      <c r="AX19" s="1668">
        <f>+AP19+Y19</f>
        <v>12</v>
      </c>
      <c r="AY19" s="73">
        <f t="shared" si="18"/>
        <v>1</v>
      </c>
    </row>
    <row r="20" spans="1:51" s="128" customFormat="1" ht="77.25" customHeight="1" thickTop="1" thickBot="1">
      <c r="A20" s="2846"/>
      <c r="B20" s="2949"/>
      <c r="C20" s="3155"/>
      <c r="D20" s="124" t="s">
        <v>505</v>
      </c>
      <c r="E20" s="125" t="s">
        <v>209</v>
      </c>
      <c r="F20" s="125" t="s">
        <v>10</v>
      </c>
      <c r="G20" s="1427">
        <v>1</v>
      </c>
      <c r="H20" s="125"/>
      <c r="I20" s="125"/>
      <c r="J20" s="125"/>
      <c r="K20" s="125" t="s">
        <v>196</v>
      </c>
      <c r="L20" s="151">
        <v>1</v>
      </c>
      <c r="M20" s="1669">
        <v>0</v>
      </c>
      <c r="N20" s="73">
        <f t="shared" si="3"/>
        <v>0</v>
      </c>
      <c r="O20" s="151">
        <v>1</v>
      </c>
      <c r="P20" s="1669">
        <v>0</v>
      </c>
      <c r="Q20" s="73">
        <f t="shared" si="4"/>
        <v>0</v>
      </c>
      <c r="R20" s="151">
        <v>1</v>
      </c>
      <c r="S20" s="1669">
        <v>0</v>
      </c>
      <c r="T20" s="73">
        <f t="shared" si="5"/>
        <v>0</v>
      </c>
      <c r="U20" s="151">
        <v>1</v>
      </c>
      <c r="V20" s="1669">
        <v>0</v>
      </c>
      <c r="W20" s="73">
        <f t="shared" si="6"/>
        <v>0</v>
      </c>
      <c r="X20" s="151">
        <v>1</v>
      </c>
      <c r="Y20" s="1669">
        <v>0</v>
      </c>
      <c r="Z20" s="73">
        <f t="shared" si="7"/>
        <v>0</v>
      </c>
      <c r="AA20" s="151">
        <v>1</v>
      </c>
      <c r="AB20" s="1669">
        <v>0</v>
      </c>
      <c r="AC20" s="73">
        <f t="shared" si="8"/>
        <v>0</v>
      </c>
      <c r="AD20" s="151">
        <f>(M20+P20+S20+V20+Y20+AB20)/6</f>
        <v>0</v>
      </c>
      <c r="AE20" s="73">
        <f t="shared" si="10"/>
        <v>0</v>
      </c>
      <c r="AF20" s="151">
        <v>1</v>
      </c>
      <c r="AG20" s="1669">
        <v>1</v>
      </c>
      <c r="AH20" s="73">
        <f t="shared" si="11"/>
        <v>1</v>
      </c>
      <c r="AI20" s="151">
        <v>1</v>
      </c>
      <c r="AJ20" s="1669">
        <v>1</v>
      </c>
      <c r="AK20" s="73">
        <f t="shared" si="12"/>
        <v>1</v>
      </c>
      <c r="AL20" s="151">
        <v>1</v>
      </c>
      <c r="AM20" s="1669">
        <v>1</v>
      </c>
      <c r="AN20" s="73">
        <f t="shared" si="13"/>
        <v>1</v>
      </c>
      <c r="AO20" s="151">
        <v>1</v>
      </c>
      <c r="AP20" s="1669">
        <v>1</v>
      </c>
      <c r="AQ20" s="73">
        <f t="shared" si="14"/>
        <v>1</v>
      </c>
      <c r="AR20" s="151">
        <f>+'[9]FIS-18'!$DE$14</f>
        <v>1</v>
      </c>
      <c r="AS20" s="1669">
        <v>1</v>
      </c>
      <c r="AT20" s="73">
        <f t="shared" si="15"/>
        <v>1</v>
      </c>
      <c r="AU20" s="151">
        <v>1</v>
      </c>
      <c r="AV20" s="1669">
        <v>1</v>
      </c>
      <c r="AW20" s="73">
        <f t="shared" si="16"/>
        <v>1</v>
      </c>
      <c r="AX20" s="1670">
        <f>(M20+P20+S20+V20+Y20+AB20+AG20+AJ20+AM20+AP20+AS20+AV20)/12</f>
        <v>0.5</v>
      </c>
      <c r="AY20" s="73">
        <f>+AX20/G20</f>
        <v>0.5</v>
      </c>
    </row>
    <row r="21" spans="1:51" s="132" customFormat="1" ht="64.5" customHeight="1" thickTop="1" thickBot="1">
      <c r="A21" s="2846"/>
      <c r="B21" s="2950"/>
      <c r="C21" s="1671" t="s">
        <v>711</v>
      </c>
      <c r="D21" s="1107" t="s">
        <v>539</v>
      </c>
      <c r="E21" s="1672" t="s">
        <v>22</v>
      </c>
      <c r="F21" s="137" t="s">
        <v>300</v>
      </c>
      <c r="G21" s="1029" t="s">
        <v>136</v>
      </c>
      <c r="H21" s="137"/>
      <c r="I21" s="1029"/>
      <c r="J21" s="137"/>
      <c r="K21" s="137" t="s">
        <v>23</v>
      </c>
      <c r="L21" s="755">
        <v>0</v>
      </c>
      <c r="M21" s="1653"/>
      <c r="N21" s="73" t="e">
        <f t="shared" si="3"/>
        <v>#DIV/0!</v>
      </c>
      <c r="O21" s="755">
        <v>0</v>
      </c>
      <c r="P21" s="1653"/>
      <c r="Q21" s="73" t="e">
        <f t="shared" si="4"/>
        <v>#DIV/0!</v>
      </c>
      <c r="R21" s="755">
        <v>0</v>
      </c>
      <c r="S21" s="1653"/>
      <c r="T21" s="73" t="e">
        <f t="shared" si="5"/>
        <v>#DIV/0!</v>
      </c>
      <c r="U21" s="755">
        <v>0</v>
      </c>
      <c r="V21" s="1653"/>
      <c r="W21" s="73" t="e">
        <f t="shared" si="6"/>
        <v>#DIV/0!</v>
      </c>
      <c r="X21" s="755">
        <v>0</v>
      </c>
      <c r="Y21" s="1653"/>
      <c r="Z21" s="73" t="e">
        <f t="shared" si="7"/>
        <v>#DIV/0!</v>
      </c>
      <c r="AA21" s="755">
        <v>0</v>
      </c>
      <c r="AB21" s="1653"/>
      <c r="AC21" s="73" t="e">
        <f t="shared" si="8"/>
        <v>#DIV/0!</v>
      </c>
      <c r="AD21" s="1654">
        <f t="shared" si="9"/>
        <v>0</v>
      </c>
      <c r="AE21" s="73" t="e">
        <f t="shared" si="10"/>
        <v>#VALUE!</v>
      </c>
      <c r="AF21" s="755">
        <v>0</v>
      </c>
      <c r="AG21" s="1653">
        <v>20209000</v>
      </c>
      <c r="AH21" s="73" t="e">
        <f t="shared" si="11"/>
        <v>#DIV/0!</v>
      </c>
      <c r="AI21" s="755">
        <v>0</v>
      </c>
      <c r="AJ21" s="1653"/>
      <c r="AK21" s="73" t="e">
        <f t="shared" si="12"/>
        <v>#DIV/0!</v>
      </c>
      <c r="AL21" s="755">
        <v>0</v>
      </c>
      <c r="AM21" s="1653"/>
      <c r="AN21" s="73" t="e">
        <f t="shared" si="13"/>
        <v>#DIV/0!</v>
      </c>
      <c r="AO21" s="755">
        <v>0</v>
      </c>
      <c r="AP21" s="1653"/>
      <c r="AQ21" s="73" t="e">
        <f t="shared" si="14"/>
        <v>#DIV/0!</v>
      </c>
      <c r="AR21" s="755">
        <f>+'[10]ADU-3'!$DE$14</f>
        <v>0</v>
      </c>
      <c r="AS21" s="1653"/>
      <c r="AT21" s="73" t="e">
        <f t="shared" si="15"/>
        <v>#DIV/0!</v>
      </c>
      <c r="AU21" s="755">
        <v>0</v>
      </c>
      <c r="AV21" s="1653"/>
      <c r="AW21" s="73" t="e">
        <f t="shared" si="16"/>
        <v>#DIV/0!</v>
      </c>
      <c r="AX21" s="1654">
        <f t="shared" si="17"/>
        <v>20209000</v>
      </c>
      <c r="AY21" s="73"/>
    </row>
    <row r="22" spans="1:51" s="128" customFormat="1" ht="95.25" customHeight="1" thickTop="1" thickBot="1">
      <c r="A22" s="2846"/>
      <c r="B22" s="2948" t="s">
        <v>508</v>
      </c>
      <c r="C22" s="1673" t="s">
        <v>712</v>
      </c>
      <c r="D22" s="124" t="s">
        <v>467</v>
      </c>
      <c r="E22" s="125" t="s">
        <v>228</v>
      </c>
      <c r="F22" s="125" t="s">
        <v>101</v>
      </c>
      <c r="G22" s="1656">
        <f>+'[4]FIS-24'!$DE$16</f>
        <v>8500000000.0000019</v>
      </c>
      <c r="H22" s="125"/>
      <c r="I22" s="125"/>
      <c r="J22" s="125"/>
      <c r="K22" s="125" t="s">
        <v>140</v>
      </c>
      <c r="L22" s="1674">
        <v>433333333.33333331</v>
      </c>
      <c r="M22" s="1675">
        <v>937143506</v>
      </c>
      <c r="N22" s="73">
        <f t="shared" si="3"/>
        <v>2.1626388599999999</v>
      </c>
      <c r="O22" s="1674">
        <v>433333333.33333331</v>
      </c>
      <c r="P22" s="1675">
        <v>253362446</v>
      </c>
      <c r="Q22" s="73">
        <f t="shared" si="4"/>
        <v>0.58468256769230775</v>
      </c>
      <c r="R22" s="1674">
        <v>433333333.33333308</v>
      </c>
      <c r="S22" s="1675">
        <v>1021248128</v>
      </c>
      <c r="T22" s="73">
        <f t="shared" si="5"/>
        <v>2.3567264492307705</v>
      </c>
      <c r="U22" s="1674">
        <v>859444444.44444406</v>
      </c>
      <c r="V22" s="1675">
        <v>0</v>
      </c>
      <c r="W22" s="73">
        <f t="shared" si="6"/>
        <v>0</v>
      </c>
      <c r="X22" s="1674">
        <v>859444444.44444406</v>
      </c>
      <c r="Y22" s="1675">
        <v>27359014</v>
      </c>
      <c r="Z22" s="73">
        <f t="shared" si="7"/>
        <v>3.183337117000648E-2</v>
      </c>
      <c r="AA22" s="1674">
        <v>859444444.44444406</v>
      </c>
      <c r="AB22" s="1675">
        <v>173833992</v>
      </c>
      <c r="AC22" s="73">
        <f t="shared" si="8"/>
        <v>0.20226320982546875</v>
      </c>
      <c r="AD22" s="1676">
        <f t="shared" si="9"/>
        <v>2412947086</v>
      </c>
      <c r="AE22" s="73">
        <f t="shared" si="10"/>
        <v>0.28387612776470583</v>
      </c>
      <c r="AF22" s="1674">
        <v>859444444.44444406</v>
      </c>
      <c r="AG22" s="1675">
        <v>221570715</v>
      </c>
      <c r="AH22" s="73">
        <f t="shared" si="11"/>
        <v>0.25780690820943775</v>
      </c>
      <c r="AI22" s="1674">
        <v>865311111.52000046</v>
      </c>
      <c r="AJ22" s="1675">
        <v>522201784</v>
      </c>
      <c r="AK22" s="73">
        <f t="shared" si="12"/>
        <v>0.60348443126161111</v>
      </c>
      <c r="AL22" s="1674">
        <v>865311111.52000046</v>
      </c>
      <c r="AM22" s="1675">
        <v>381978389</v>
      </c>
      <c r="AN22" s="73">
        <f t="shared" si="13"/>
        <v>0.44143474400671801</v>
      </c>
      <c r="AO22" s="1674">
        <v>865311111.52000046</v>
      </c>
      <c r="AP22" s="1675">
        <v>206626432</v>
      </c>
      <c r="AQ22" s="73">
        <f t="shared" si="14"/>
        <v>0.23878860360066476</v>
      </c>
      <c r="AR22" s="1674">
        <f>+'[9]FIS-24'!$DE$14</f>
        <v>583144444.72000027</v>
      </c>
      <c r="AS22" s="1675">
        <v>463283391</v>
      </c>
      <c r="AT22" s="73">
        <f t="shared" si="15"/>
        <v>0.79445735133847983</v>
      </c>
      <c r="AU22" s="1674">
        <v>583144444.72000027</v>
      </c>
      <c r="AV22" s="1675">
        <v>304821426</v>
      </c>
      <c r="AW22" s="73">
        <f t="shared" si="16"/>
        <v>0.52272027755723804</v>
      </c>
      <c r="AX22" s="1676">
        <f t="shared" si="17"/>
        <v>4513429223</v>
      </c>
      <c r="AY22" s="73">
        <f t="shared" si="18"/>
        <v>0.53099167329411756</v>
      </c>
    </row>
    <row r="23" spans="1:51" s="128" customFormat="1" ht="95.25" customHeight="1" thickTop="1" thickBot="1">
      <c r="A23" s="2846"/>
      <c r="B23" s="2949"/>
      <c r="C23" s="137" t="s">
        <v>510</v>
      </c>
      <c r="D23" s="129" t="s">
        <v>468</v>
      </c>
      <c r="E23" s="137" t="s">
        <v>469</v>
      </c>
      <c r="F23" s="137" t="s">
        <v>24</v>
      </c>
      <c r="G23" s="1677">
        <v>137</v>
      </c>
      <c r="H23" s="1083"/>
      <c r="I23" s="1652"/>
      <c r="J23" s="1083"/>
      <c r="K23" s="137" t="s">
        <v>140</v>
      </c>
      <c r="L23" s="1678">
        <v>9.1333333333333311</v>
      </c>
      <c r="M23" s="1679">
        <v>18</v>
      </c>
      <c r="N23" s="73">
        <f t="shared" si="3"/>
        <v>1.9708029197080297</v>
      </c>
      <c r="O23" s="1678">
        <v>9.1333333333333311</v>
      </c>
      <c r="P23" s="1679">
        <v>17</v>
      </c>
      <c r="Q23" s="73">
        <f t="shared" si="4"/>
        <v>1.8613138686131392</v>
      </c>
      <c r="R23" s="1678">
        <v>9.1333333333333311</v>
      </c>
      <c r="S23" s="1679">
        <v>8</v>
      </c>
      <c r="T23" s="73">
        <f t="shared" si="5"/>
        <v>0.87591240875912435</v>
      </c>
      <c r="U23" s="1678">
        <v>13.700000000000001</v>
      </c>
      <c r="V23" s="1679">
        <v>5</v>
      </c>
      <c r="W23" s="73">
        <f t="shared" si="6"/>
        <v>0.36496350364963503</v>
      </c>
      <c r="X23" s="1678">
        <v>13.700000000000001</v>
      </c>
      <c r="Y23" s="1679">
        <v>12</v>
      </c>
      <c r="Z23" s="73">
        <f t="shared" si="7"/>
        <v>0.87591240875912402</v>
      </c>
      <c r="AA23" s="1678">
        <v>13.700000000000001</v>
      </c>
      <c r="AB23" s="1679">
        <v>9</v>
      </c>
      <c r="AC23" s="73">
        <f t="shared" si="8"/>
        <v>0.65693430656934304</v>
      </c>
      <c r="AD23" s="1680">
        <f t="shared" si="9"/>
        <v>69</v>
      </c>
      <c r="AE23" s="73">
        <f t="shared" si="10"/>
        <v>0.5036496350364964</v>
      </c>
      <c r="AF23" s="1678">
        <v>13.700000000000001</v>
      </c>
      <c r="AG23" s="1679">
        <v>16</v>
      </c>
      <c r="AH23" s="73">
        <f t="shared" si="11"/>
        <v>1.167883211678832</v>
      </c>
      <c r="AI23" s="1678">
        <v>13.700000000000001</v>
      </c>
      <c r="AJ23" s="1679">
        <v>9</v>
      </c>
      <c r="AK23" s="73">
        <f t="shared" si="12"/>
        <v>0.65693430656934304</v>
      </c>
      <c r="AL23" s="1678">
        <v>13.700000000000001</v>
      </c>
      <c r="AM23" s="1679">
        <v>14</v>
      </c>
      <c r="AN23" s="73">
        <f t="shared" si="13"/>
        <v>1.021897810218978</v>
      </c>
      <c r="AO23" s="1678">
        <v>9.1333333333333311</v>
      </c>
      <c r="AP23" s="1679">
        <v>10</v>
      </c>
      <c r="AQ23" s="73">
        <f t="shared" si="14"/>
        <v>1.0948905109489053</v>
      </c>
      <c r="AR23" s="1678">
        <f>+'[9]FIS-33'!$DE$14</f>
        <v>9.1333333333333311</v>
      </c>
      <c r="AS23" s="1679">
        <v>4</v>
      </c>
      <c r="AT23" s="73">
        <f t="shared" si="15"/>
        <v>0.43795620437956218</v>
      </c>
      <c r="AU23" s="1678">
        <v>9.1333333333333311</v>
      </c>
      <c r="AV23" s="1679">
        <v>4</v>
      </c>
      <c r="AW23" s="73">
        <f t="shared" si="16"/>
        <v>0.43795620437956218</v>
      </c>
      <c r="AX23" s="1680">
        <f t="shared" si="17"/>
        <v>126</v>
      </c>
      <c r="AY23" s="73">
        <f t="shared" si="18"/>
        <v>0.91970802919708028</v>
      </c>
    </row>
    <row r="24" spans="1:51" s="132" customFormat="1" ht="151.5" thickTop="1" thickBot="1">
      <c r="A24" s="2847"/>
      <c r="B24" s="2950"/>
      <c r="C24" s="81" t="s">
        <v>713</v>
      </c>
      <c r="D24" s="627" t="s">
        <v>446</v>
      </c>
      <c r="E24" s="81" t="s">
        <v>447</v>
      </c>
      <c r="F24" s="81" t="s">
        <v>24</v>
      </c>
      <c r="G24" s="1681">
        <v>16</v>
      </c>
      <c r="H24" s="82"/>
      <c r="I24" s="642"/>
      <c r="J24" s="82"/>
      <c r="K24" s="81" t="s">
        <v>249</v>
      </c>
      <c r="L24" s="1682">
        <v>0</v>
      </c>
      <c r="M24" s="1683">
        <v>0</v>
      </c>
      <c r="N24" s="73" t="e">
        <f t="shared" si="3"/>
        <v>#DIV/0!</v>
      </c>
      <c r="O24" s="1682">
        <v>0</v>
      </c>
      <c r="P24" s="1683">
        <v>0</v>
      </c>
      <c r="Q24" s="73" t="e">
        <f t="shared" si="4"/>
        <v>#DIV/0!</v>
      </c>
      <c r="R24" s="1682">
        <v>0</v>
      </c>
      <c r="S24" s="1683">
        <v>0</v>
      </c>
      <c r="T24" s="73" t="e">
        <f t="shared" si="5"/>
        <v>#DIV/0!</v>
      </c>
      <c r="U24" s="1682">
        <v>0</v>
      </c>
      <c r="V24" s="1683">
        <v>0</v>
      </c>
      <c r="W24" s="73" t="e">
        <f t="shared" si="6"/>
        <v>#DIV/0!</v>
      </c>
      <c r="X24" s="1682">
        <v>2</v>
      </c>
      <c r="Y24" s="1683">
        <v>16</v>
      </c>
      <c r="Z24" s="73">
        <f t="shared" si="7"/>
        <v>8</v>
      </c>
      <c r="AA24" s="1682">
        <v>2</v>
      </c>
      <c r="AB24" s="1683">
        <v>0</v>
      </c>
      <c r="AC24" s="73">
        <f t="shared" si="8"/>
        <v>0</v>
      </c>
      <c r="AD24" s="1684">
        <f t="shared" si="9"/>
        <v>16</v>
      </c>
      <c r="AE24" s="73">
        <f t="shared" si="10"/>
        <v>1</v>
      </c>
      <c r="AF24" s="1682">
        <v>2</v>
      </c>
      <c r="AG24" s="1683">
        <v>5</v>
      </c>
      <c r="AH24" s="73">
        <f t="shared" si="11"/>
        <v>2.5</v>
      </c>
      <c r="AI24" s="1682">
        <v>2</v>
      </c>
      <c r="AJ24" s="1683">
        <v>1</v>
      </c>
      <c r="AK24" s="73">
        <f t="shared" si="12"/>
        <v>0.5</v>
      </c>
      <c r="AL24" s="1682">
        <v>2</v>
      </c>
      <c r="AM24" s="1683">
        <v>8</v>
      </c>
      <c r="AN24" s="73">
        <f t="shared" si="13"/>
        <v>4</v>
      </c>
      <c r="AO24" s="1682">
        <v>2</v>
      </c>
      <c r="AP24" s="1683"/>
      <c r="AQ24" s="73">
        <f t="shared" si="14"/>
        <v>0</v>
      </c>
      <c r="AR24" s="1682">
        <f>+'[10]ADU-29'!$DE$14</f>
        <v>2</v>
      </c>
      <c r="AS24" s="1683"/>
      <c r="AT24" s="73">
        <f t="shared" si="15"/>
        <v>0</v>
      </c>
      <c r="AU24" s="1682">
        <v>2</v>
      </c>
      <c r="AV24" s="1683"/>
      <c r="AW24" s="73">
        <f t="shared" si="16"/>
        <v>0</v>
      </c>
      <c r="AX24" s="1684">
        <f t="shared" si="17"/>
        <v>30</v>
      </c>
      <c r="AY24" s="73">
        <f t="shared" si="18"/>
        <v>1.875</v>
      </c>
    </row>
    <row r="25" spans="1:51" s="22" customFormat="1" ht="22.5" customHeight="1" thickTop="1" thickBot="1">
      <c r="A25" s="2857" t="s">
        <v>141</v>
      </c>
      <c r="B25" s="2858"/>
      <c r="C25" s="2858"/>
      <c r="D25" s="2858"/>
      <c r="E25" s="2858"/>
      <c r="F25" s="2858"/>
      <c r="G25" s="2858"/>
      <c r="H25" s="2858"/>
      <c r="I25" s="2858"/>
      <c r="J25" s="2858"/>
      <c r="K25" s="2859"/>
      <c r="L25" s="897"/>
      <c r="M25" s="1685"/>
      <c r="N25" s="1685"/>
      <c r="O25" s="897"/>
      <c r="P25" s="1685"/>
      <c r="Q25" s="1685"/>
      <c r="R25" s="897"/>
      <c r="S25" s="1685"/>
      <c r="T25" s="1685"/>
      <c r="U25" s="897"/>
      <c r="V25" s="1685"/>
      <c r="W25" s="1685"/>
      <c r="X25" s="897"/>
      <c r="Y25" s="1685"/>
      <c r="Z25" s="1685"/>
      <c r="AA25" s="897"/>
      <c r="AB25" s="1685"/>
      <c r="AC25" s="1685"/>
      <c r="AD25" s="897"/>
      <c r="AE25" s="897"/>
      <c r="AF25" s="897"/>
      <c r="AG25" s="1685"/>
      <c r="AH25" s="1685"/>
      <c r="AI25" s="897"/>
      <c r="AJ25" s="1685"/>
      <c r="AK25" s="1685"/>
      <c r="AL25" s="897"/>
      <c r="AM25" s="1685"/>
      <c r="AN25" s="1685"/>
      <c r="AO25" s="897"/>
      <c r="AP25" s="1685"/>
      <c r="AQ25" s="1685"/>
      <c r="AR25" s="897"/>
      <c r="AS25" s="1685"/>
      <c r="AT25" s="1685"/>
      <c r="AU25" s="897"/>
      <c r="AV25" s="1685"/>
      <c r="AW25" s="1685"/>
      <c r="AX25" s="897"/>
      <c r="AY25" s="897"/>
    </row>
    <row r="26" spans="1:51" s="1453" customFormat="1" ht="106.5" thickTop="1" thickBot="1">
      <c r="A26" s="2970" t="s">
        <v>181</v>
      </c>
      <c r="B26" s="3148" t="s">
        <v>143</v>
      </c>
      <c r="C26" s="1410" t="s">
        <v>632</v>
      </c>
      <c r="D26" s="1034" t="s">
        <v>144</v>
      </c>
      <c r="E26" s="1404" t="s">
        <v>633</v>
      </c>
      <c r="F26" s="1405" t="s">
        <v>17</v>
      </c>
      <c r="G26" s="1400">
        <v>10</v>
      </c>
      <c r="H26" s="1686"/>
      <c r="I26" s="1687"/>
      <c r="J26" s="1688"/>
      <c r="K26" s="1400" t="s">
        <v>146</v>
      </c>
      <c r="L26" s="141">
        <v>0</v>
      </c>
      <c r="M26" s="142">
        <v>0</v>
      </c>
      <c r="N26" s="19" t="e">
        <f t="shared" ref="N26" si="19">+M26/L26</f>
        <v>#DIV/0!</v>
      </c>
      <c r="O26" s="209">
        <v>0</v>
      </c>
      <c r="P26" s="142">
        <v>0</v>
      </c>
      <c r="Q26" s="19" t="e">
        <f t="shared" ref="Q26" si="20">+P26/O26</f>
        <v>#DIV/0!</v>
      </c>
      <c r="R26" s="209">
        <v>0</v>
      </c>
      <c r="S26" s="142">
        <v>0</v>
      </c>
      <c r="T26" s="19" t="e">
        <f t="shared" ref="T26" si="21">+S26/R26</f>
        <v>#DIV/0!</v>
      </c>
      <c r="U26" s="209">
        <v>0</v>
      </c>
      <c r="V26" s="142">
        <v>0</v>
      </c>
      <c r="W26" s="19" t="e">
        <f t="shared" ref="W26" si="22">+V26/U26</f>
        <v>#DIV/0!</v>
      </c>
      <c r="X26" s="209">
        <v>0</v>
      </c>
      <c r="Y26" s="142">
        <v>0</v>
      </c>
      <c r="Z26" s="19" t="e">
        <f t="shared" ref="Z26" si="23">+Y26/X26</f>
        <v>#DIV/0!</v>
      </c>
      <c r="AA26" s="209">
        <v>0</v>
      </c>
      <c r="AB26" s="142">
        <v>0</v>
      </c>
      <c r="AC26" s="19" t="e">
        <f t="shared" ref="AC26" si="24">+AB26/AA26</f>
        <v>#DIV/0!</v>
      </c>
      <c r="AD26" s="1398">
        <f t="shared" ref="AD26" si="25">+AB26+Y26+V26+S26+P26+M26</f>
        <v>0</v>
      </c>
      <c r="AE26" s="19">
        <f t="shared" ref="AE26" si="26">+AD26/G26</f>
        <v>0</v>
      </c>
      <c r="AF26" s="209">
        <v>0</v>
      </c>
      <c r="AG26" s="142">
        <v>0</v>
      </c>
      <c r="AH26" s="19" t="e">
        <f t="shared" ref="AH26" si="27">+AG26/AF26</f>
        <v>#DIV/0!</v>
      </c>
      <c r="AI26" s="209">
        <v>0</v>
      </c>
      <c r="AJ26" s="142">
        <v>0</v>
      </c>
      <c r="AK26" s="19" t="e">
        <f t="shared" ref="AK26" si="28">+AJ26/AI26</f>
        <v>#DIV/0!</v>
      </c>
      <c r="AL26" s="209">
        <v>0</v>
      </c>
      <c r="AM26" s="142">
        <v>0</v>
      </c>
      <c r="AN26" s="19" t="e">
        <f t="shared" ref="AN26" si="29">+AM26/AL26</f>
        <v>#DIV/0!</v>
      </c>
      <c r="AO26" s="209">
        <v>0</v>
      </c>
      <c r="AP26" s="142">
        <v>0</v>
      </c>
      <c r="AQ26" s="19" t="e">
        <f t="shared" ref="AQ26" si="30">+AP26/AO26</f>
        <v>#DIV/0!</v>
      </c>
      <c r="AR26" s="209">
        <f>+'[8]IN1-11'!$CV$14</f>
        <v>0</v>
      </c>
      <c r="AS26" s="142">
        <v>0</v>
      </c>
      <c r="AT26" s="19" t="e">
        <f t="shared" ref="AT26" si="31">+AS26/AR26</f>
        <v>#DIV/0!</v>
      </c>
      <c r="AU26" s="209">
        <v>10</v>
      </c>
      <c r="AV26" s="142">
        <v>5</v>
      </c>
      <c r="AW26" s="19">
        <f t="shared" ref="AW26" si="32">+AV26/AU26</f>
        <v>0.5</v>
      </c>
      <c r="AX26" s="209">
        <f t="shared" ref="AX26" si="33">+M26+P26+S26+V26+Y26+AB26+AG26+AJ26+AM26+AP26+AS26+AV26</f>
        <v>5</v>
      </c>
      <c r="AY26" s="73">
        <f>+AX26/G26</f>
        <v>0.5</v>
      </c>
    </row>
    <row r="27" spans="1:51" s="128" customFormat="1" ht="76.5" thickTop="1" thickBot="1">
      <c r="A27" s="3147"/>
      <c r="B27" s="3149"/>
      <c r="C27" s="1575" t="s">
        <v>714</v>
      </c>
      <c r="D27" s="1689" t="s">
        <v>257</v>
      </c>
      <c r="E27" s="1690" t="s">
        <v>258</v>
      </c>
      <c r="F27" s="1690" t="s">
        <v>10</v>
      </c>
      <c r="G27" s="1691">
        <v>1</v>
      </c>
      <c r="H27" s="1690"/>
      <c r="I27" s="1690"/>
      <c r="J27" s="1690"/>
      <c r="K27" s="1690" t="s">
        <v>259</v>
      </c>
      <c r="L27" s="148">
        <v>0</v>
      </c>
      <c r="M27" s="199"/>
      <c r="N27" s="73" t="e">
        <f t="shared" si="3"/>
        <v>#DIV/0!</v>
      </c>
      <c r="O27" s="148">
        <v>0</v>
      </c>
      <c r="P27" s="199"/>
      <c r="Q27" s="73" t="e">
        <f t="shared" si="4"/>
        <v>#DIV/0!</v>
      </c>
      <c r="R27" s="148">
        <v>0</v>
      </c>
      <c r="S27" s="199"/>
      <c r="T27" s="73" t="e">
        <f t="shared" si="5"/>
        <v>#DIV/0!</v>
      </c>
      <c r="U27" s="148">
        <v>0</v>
      </c>
      <c r="V27" s="199"/>
      <c r="W27" s="73" t="e">
        <f t="shared" si="6"/>
        <v>#DIV/0!</v>
      </c>
      <c r="X27" s="148">
        <v>0</v>
      </c>
      <c r="Y27" s="199"/>
      <c r="Z27" s="73" t="e">
        <f t="shared" si="7"/>
        <v>#DIV/0!</v>
      </c>
      <c r="AA27" s="148">
        <v>0</v>
      </c>
      <c r="AB27" s="199"/>
      <c r="AC27" s="73" t="e">
        <f t="shared" si="8"/>
        <v>#DIV/0!</v>
      </c>
      <c r="AD27" s="1670">
        <f>+M27+P27+S27+V27+Y27+AB27</f>
        <v>0</v>
      </c>
      <c r="AE27" s="73">
        <f>+AD27/G27</f>
        <v>0</v>
      </c>
      <c r="AF27" s="148">
        <v>0</v>
      </c>
      <c r="AG27" s="199"/>
      <c r="AH27" s="73" t="e">
        <f t="shared" si="11"/>
        <v>#DIV/0!</v>
      </c>
      <c r="AI27" s="148">
        <v>0</v>
      </c>
      <c r="AJ27" s="199"/>
      <c r="AK27" s="73" t="e">
        <f t="shared" si="12"/>
        <v>#DIV/0!</v>
      </c>
      <c r="AL27" s="148">
        <v>0</v>
      </c>
      <c r="AM27" s="199"/>
      <c r="AN27" s="73" t="e">
        <f t="shared" si="13"/>
        <v>#DIV/0!</v>
      </c>
      <c r="AO27" s="148">
        <v>0</v>
      </c>
      <c r="AP27" s="199"/>
      <c r="AQ27" s="73" t="e">
        <f t="shared" si="14"/>
        <v>#DIV/0!</v>
      </c>
      <c r="AR27" s="148">
        <f>+'[10]ADU-17'!$DE$14</f>
        <v>1</v>
      </c>
      <c r="AS27" s="199">
        <v>1</v>
      </c>
      <c r="AT27" s="73">
        <f t="shared" si="15"/>
        <v>1</v>
      </c>
      <c r="AU27" s="148">
        <v>0</v>
      </c>
      <c r="AV27" s="199">
        <v>0</v>
      </c>
      <c r="AW27" s="73" t="e">
        <f t="shared" si="16"/>
        <v>#DIV/0!</v>
      </c>
      <c r="AX27" s="1670">
        <f>+AS27</f>
        <v>1</v>
      </c>
      <c r="AY27" s="73">
        <f t="shared" si="18"/>
        <v>1</v>
      </c>
    </row>
    <row r="28" spans="1:51" ht="22.5" customHeight="1" thickTop="1" thickBot="1">
      <c r="A28" s="2843" t="s">
        <v>154</v>
      </c>
      <c r="B28" s="2843"/>
      <c r="C28" s="2843"/>
      <c r="D28" s="2843"/>
      <c r="E28" s="2843"/>
      <c r="F28" s="2843"/>
      <c r="G28" s="2843"/>
      <c r="H28" s="2843"/>
      <c r="I28" s="2843"/>
      <c r="J28" s="2843"/>
      <c r="K28" s="2843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1"/>
      <c r="AY28" s="201"/>
    </row>
    <row r="29" spans="1:51" ht="64.5" thickTop="1" thickBot="1">
      <c r="A29" s="202" t="s">
        <v>155</v>
      </c>
      <c r="B29" s="97" t="s">
        <v>156</v>
      </c>
      <c r="C29" s="74" t="s">
        <v>157</v>
      </c>
      <c r="D29" s="111" t="s">
        <v>158</v>
      </c>
      <c r="E29" s="74" t="s">
        <v>159</v>
      </c>
      <c r="F29" s="74" t="s">
        <v>265</v>
      </c>
      <c r="G29" s="203">
        <v>10</v>
      </c>
      <c r="H29" s="99">
        <v>10</v>
      </c>
      <c r="I29" s="204"/>
      <c r="J29" s="204"/>
      <c r="K29" s="25" t="s">
        <v>27</v>
      </c>
      <c r="L29" s="205">
        <v>0</v>
      </c>
      <c r="M29" s="206"/>
      <c r="N29" s="19" t="e">
        <f t="shared" ref="N29" si="34">+M29/L29</f>
        <v>#DIV/0!</v>
      </c>
      <c r="O29" s="205">
        <v>0</v>
      </c>
      <c r="P29" s="206"/>
      <c r="Q29" s="19" t="e">
        <f t="shared" ref="Q29" si="35">+P29/O29</f>
        <v>#DIV/0!</v>
      </c>
      <c r="R29" s="205">
        <v>0</v>
      </c>
      <c r="S29" s="206"/>
      <c r="T29" s="19" t="e">
        <f t="shared" ref="T29" si="36">+S29/R29</f>
        <v>#DIV/0!</v>
      </c>
      <c r="U29" s="205">
        <v>0</v>
      </c>
      <c r="V29" s="206"/>
      <c r="W29" s="19" t="e">
        <f t="shared" ref="W29" si="37">+V29/U29</f>
        <v>#DIV/0!</v>
      </c>
      <c r="X29" s="205">
        <v>2</v>
      </c>
      <c r="Y29" s="206">
        <v>2</v>
      </c>
      <c r="Z29" s="19">
        <f t="shared" ref="Z29" si="38">+Y29/X29</f>
        <v>1</v>
      </c>
      <c r="AA29" s="205">
        <v>0</v>
      </c>
      <c r="AB29" s="206"/>
      <c r="AC29" s="19" t="e">
        <f t="shared" ref="AC29" si="39">+AB29/AA29</f>
        <v>#DIV/0!</v>
      </c>
      <c r="AD29" s="207">
        <f>+AB29+Y29+V29+S29+P29+M29</f>
        <v>2</v>
      </c>
      <c r="AE29" s="19">
        <f t="shared" ref="AE29" si="40">+AD29/G29</f>
        <v>0.2</v>
      </c>
      <c r="AF29" s="205">
        <v>1</v>
      </c>
      <c r="AG29" s="206">
        <v>1</v>
      </c>
      <c r="AH29" s="208">
        <f t="shared" ref="AH29" si="41">+AG29/AF29</f>
        <v>1</v>
      </c>
      <c r="AI29" s="205">
        <v>3</v>
      </c>
      <c r="AJ29" s="206">
        <v>3</v>
      </c>
      <c r="AK29" s="208">
        <f t="shared" ref="AK29" si="42">+AJ29/AI29</f>
        <v>1</v>
      </c>
      <c r="AL29" s="205">
        <v>1</v>
      </c>
      <c r="AM29" s="206">
        <v>1</v>
      </c>
      <c r="AN29" s="208">
        <f t="shared" ref="AN29" si="43">+AM29/AL29</f>
        <v>1</v>
      </c>
      <c r="AO29" s="205">
        <v>3</v>
      </c>
      <c r="AP29" s="206">
        <v>3</v>
      </c>
      <c r="AQ29" s="19">
        <f t="shared" ref="AQ29" si="44">+AP29/AO29</f>
        <v>1</v>
      </c>
      <c r="AR29" s="205">
        <f>+[16]DGRAE25!$DE$14</f>
        <v>0</v>
      </c>
      <c r="AS29" s="206"/>
      <c r="AT29" s="19" t="e">
        <f t="shared" ref="AT29" si="45">+AS29/AR29</f>
        <v>#DIV/0!</v>
      </c>
      <c r="AU29" s="205">
        <v>0</v>
      </c>
      <c r="AV29" s="206"/>
      <c r="AW29" s="19" t="e">
        <f t="shared" ref="AW29" si="46">+AV29/AU29</f>
        <v>#DIV/0!</v>
      </c>
      <c r="AX29" s="209">
        <f t="shared" ref="AX29" si="47">+M29+P29+S29+V29+Y29+AB29+AG29+AJ29+AM29+AP29+AS29+AV29</f>
        <v>10</v>
      </c>
      <c r="AY29" s="19">
        <f>+AX29/G29</f>
        <v>1</v>
      </c>
    </row>
    <row r="30" spans="1:51" ht="17.25" thickTop="1"/>
  </sheetData>
  <sheetProtection algorithmName="SHA-512" hashValue="C0o1ls5cbVZfdY/BKkGJsq6Cc/tAVlcM+r9Ump+Bcfr/OmpVXDgCasTXsimD4lbj1CgL7dILje3Ag0QIH2a/Pg==" saltValue="1nd3MRQgWbgtBFKvJAxw5g==" spinCount="100000" sheet="1" objects="1" scenarios="1"/>
  <mergeCells count="38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25:K25"/>
    <mergeCell ref="A26:A27"/>
    <mergeCell ref="B26:B27"/>
    <mergeCell ref="A28:K28"/>
    <mergeCell ref="A9:A24"/>
    <mergeCell ref="B9:B10"/>
    <mergeCell ref="B11:B21"/>
    <mergeCell ref="C12:C17"/>
    <mergeCell ref="C18:C20"/>
    <mergeCell ref="B22:B24"/>
  </mergeCells>
  <conditionalFormatting sqref="AE11">
    <cfRule type="cellIs" dxfId="5414" priority="356" operator="greaterThan">
      <formula>110%</formula>
    </cfRule>
    <cfRule type="cellIs" dxfId="5413" priority="357" operator="between">
      <formula>100.001%</formula>
      <formula>110%</formula>
    </cfRule>
    <cfRule type="cellIs" dxfId="5412" priority="358" operator="between">
      <formula>70.001%</formula>
      <formula>100%</formula>
    </cfRule>
    <cfRule type="cellIs" dxfId="5411" priority="359" operator="between">
      <formula>0.00001%</formula>
      <formula>70%</formula>
    </cfRule>
    <cfRule type="cellIs" dxfId="5410" priority="360" operator="equal">
      <formula>0</formula>
    </cfRule>
  </conditionalFormatting>
  <conditionalFormatting sqref="AE12:AE24 AE27">
    <cfRule type="cellIs" dxfId="5409" priority="351" operator="greaterThan">
      <formula>110%</formula>
    </cfRule>
    <cfRule type="cellIs" dxfId="5408" priority="352" operator="between">
      <formula>100.001%</formula>
      <formula>110%</formula>
    </cfRule>
    <cfRule type="cellIs" dxfId="5407" priority="353" operator="between">
      <formula>70.001%</formula>
      <formula>100%</formula>
    </cfRule>
    <cfRule type="cellIs" dxfId="5406" priority="354" operator="between">
      <formula>0.00001%</formula>
      <formula>70%</formula>
    </cfRule>
    <cfRule type="cellIs" dxfId="5405" priority="355" operator="equal">
      <formula>0</formula>
    </cfRule>
  </conditionalFormatting>
  <conditionalFormatting sqref="AY11">
    <cfRule type="cellIs" dxfId="5404" priority="346" operator="greaterThan">
      <formula>110%</formula>
    </cfRule>
    <cfRule type="cellIs" dxfId="5403" priority="347" operator="between">
      <formula>100.001%</formula>
      <formula>110%</formula>
    </cfRule>
    <cfRule type="cellIs" dxfId="5402" priority="348" operator="between">
      <formula>70.001%</formula>
      <formula>100%</formula>
    </cfRule>
    <cfRule type="cellIs" dxfId="5401" priority="349" operator="between">
      <formula>0.00001%</formula>
      <formula>70%</formula>
    </cfRule>
    <cfRule type="cellIs" dxfId="5400" priority="350" operator="equal">
      <formula>0</formula>
    </cfRule>
  </conditionalFormatting>
  <conditionalFormatting sqref="AY12:AY24 AY27">
    <cfRule type="cellIs" dxfId="5399" priority="341" operator="greaterThan">
      <formula>110%</formula>
    </cfRule>
    <cfRule type="cellIs" dxfId="5398" priority="342" operator="between">
      <formula>100.001%</formula>
      <formula>110%</formula>
    </cfRule>
    <cfRule type="cellIs" dxfId="5397" priority="343" operator="between">
      <formula>70.001%</formula>
      <formula>100%</formula>
    </cfRule>
    <cfRule type="cellIs" dxfId="5396" priority="344" operator="between">
      <formula>0.00001%</formula>
      <formula>70%</formula>
    </cfRule>
    <cfRule type="cellIs" dxfId="5395" priority="345" operator="equal">
      <formula>0</formula>
    </cfRule>
  </conditionalFormatting>
  <conditionalFormatting sqref="N11">
    <cfRule type="cellIs" dxfId="5394" priority="336" operator="greaterThan">
      <formula>110%</formula>
    </cfRule>
    <cfRule type="cellIs" dxfId="5393" priority="337" operator="between">
      <formula>100.001%</formula>
      <formula>110%</formula>
    </cfRule>
    <cfRule type="cellIs" dxfId="5392" priority="338" operator="between">
      <formula>70.001%</formula>
      <formula>100%</formula>
    </cfRule>
    <cfRule type="cellIs" dxfId="5391" priority="339" operator="between">
      <formula>0.00001%</formula>
      <formula>70%</formula>
    </cfRule>
    <cfRule type="cellIs" dxfId="5390" priority="340" operator="equal">
      <formula>0</formula>
    </cfRule>
  </conditionalFormatting>
  <conditionalFormatting sqref="N12:N24 N27">
    <cfRule type="cellIs" dxfId="5389" priority="331" operator="greaterThan">
      <formula>110%</formula>
    </cfRule>
    <cfRule type="cellIs" dxfId="5388" priority="332" operator="between">
      <formula>100.001%</formula>
      <formula>110%</formula>
    </cfRule>
    <cfRule type="cellIs" dxfId="5387" priority="333" operator="between">
      <formula>70.001%</formula>
      <formula>100%</formula>
    </cfRule>
    <cfRule type="cellIs" dxfId="5386" priority="334" operator="between">
      <formula>0.00001%</formula>
      <formula>70%</formula>
    </cfRule>
    <cfRule type="cellIs" dxfId="5385" priority="335" operator="equal">
      <formula>0</formula>
    </cfRule>
  </conditionalFormatting>
  <conditionalFormatting sqref="Q11">
    <cfRule type="cellIs" dxfId="5384" priority="326" operator="greaterThan">
      <formula>110%</formula>
    </cfRule>
    <cfRule type="cellIs" dxfId="5383" priority="327" operator="between">
      <formula>100.001%</formula>
      <formula>110%</formula>
    </cfRule>
    <cfRule type="cellIs" dxfId="5382" priority="328" operator="between">
      <formula>70.001%</formula>
      <formula>100%</formula>
    </cfRule>
    <cfRule type="cellIs" dxfId="5381" priority="329" operator="between">
      <formula>0.00001%</formula>
      <formula>70%</formula>
    </cfRule>
    <cfRule type="cellIs" dxfId="5380" priority="330" operator="equal">
      <formula>0</formula>
    </cfRule>
  </conditionalFormatting>
  <conditionalFormatting sqref="Q12:Q24 Q27">
    <cfRule type="cellIs" dxfId="5379" priority="321" operator="greaterThan">
      <formula>110%</formula>
    </cfRule>
    <cfRule type="cellIs" dxfId="5378" priority="322" operator="between">
      <formula>100.001%</formula>
      <formula>110%</formula>
    </cfRule>
    <cfRule type="cellIs" dxfId="5377" priority="323" operator="between">
      <formula>70.001%</formula>
      <formula>100%</formula>
    </cfRule>
    <cfRule type="cellIs" dxfId="5376" priority="324" operator="between">
      <formula>0.00001%</formula>
      <formula>70%</formula>
    </cfRule>
    <cfRule type="cellIs" dxfId="5375" priority="325" operator="equal">
      <formula>0</formula>
    </cfRule>
  </conditionalFormatting>
  <conditionalFormatting sqref="T11">
    <cfRule type="cellIs" dxfId="5374" priority="316" operator="greaterThan">
      <formula>110%</formula>
    </cfRule>
    <cfRule type="cellIs" dxfId="5373" priority="317" operator="between">
      <formula>100.001%</formula>
      <formula>110%</formula>
    </cfRule>
    <cfRule type="cellIs" dxfId="5372" priority="318" operator="between">
      <formula>70.001%</formula>
      <formula>100%</formula>
    </cfRule>
    <cfRule type="cellIs" dxfId="5371" priority="319" operator="between">
      <formula>0.00001%</formula>
      <formula>70%</formula>
    </cfRule>
    <cfRule type="cellIs" dxfId="5370" priority="320" operator="equal">
      <formula>0</formula>
    </cfRule>
  </conditionalFormatting>
  <conditionalFormatting sqref="T12:T24 T27">
    <cfRule type="cellIs" dxfId="5369" priority="311" operator="greaterThan">
      <formula>110%</formula>
    </cfRule>
    <cfRule type="cellIs" dxfId="5368" priority="312" operator="between">
      <formula>100.001%</formula>
      <formula>110%</formula>
    </cfRule>
    <cfRule type="cellIs" dxfId="5367" priority="313" operator="between">
      <formula>70.001%</formula>
      <formula>100%</formula>
    </cfRule>
    <cfRule type="cellIs" dxfId="5366" priority="314" operator="between">
      <formula>0.00001%</formula>
      <formula>70%</formula>
    </cfRule>
    <cfRule type="cellIs" dxfId="5365" priority="315" operator="equal">
      <formula>0</formula>
    </cfRule>
  </conditionalFormatting>
  <conditionalFormatting sqref="W11">
    <cfRule type="cellIs" dxfId="5364" priority="306" operator="greaterThan">
      <formula>110%</formula>
    </cfRule>
    <cfRule type="cellIs" dxfId="5363" priority="307" operator="between">
      <formula>100.001%</formula>
      <formula>110%</formula>
    </cfRule>
    <cfRule type="cellIs" dxfId="5362" priority="308" operator="between">
      <formula>70.001%</formula>
      <formula>100%</formula>
    </cfRule>
    <cfRule type="cellIs" dxfId="5361" priority="309" operator="between">
      <formula>0.00001%</formula>
      <formula>70%</formula>
    </cfRule>
    <cfRule type="cellIs" dxfId="5360" priority="310" operator="equal">
      <formula>0</formula>
    </cfRule>
  </conditionalFormatting>
  <conditionalFormatting sqref="W12:W24 W27">
    <cfRule type="cellIs" dxfId="5359" priority="301" operator="greaterThan">
      <formula>110%</formula>
    </cfRule>
    <cfRule type="cellIs" dxfId="5358" priority="302" operator="between">
      <formula>100.001%</formula>
      <formula>110%</formula>
    </cfRule>
    <cfRule type="cellIs" dxfId="5357" priority="303" operator="between">
      <formula>70.001%</formula>
      <formula>100%</formula>
    </cfRule>
    <cfRule type="cellIs" dxfId="5356" priority="304" operator="between">
      <formula>0.00001%</formula>
      <formula>70%</formula>
    </cfRule>
    <cfRule type="cellIs" dxfId="5355" priority="305" operator="equal">
      <formula>0</formula>
    </cfRule>
  </conditionalFormatting>
  <conditionalFormatting sqref="Z11">
    <cfRule type="cellIs" dxfId="5354" priority="296" operator="greaterThan">
      <formula>110%</formula>
    </cfRule>
    <cfRule type="cellIs" dxfId="5353" priority="297" operator="between">
      <formula>100.001%</formula>
      <formula>110%</formula>
    </cfRule>
    <cfRule type="cellIs" dxfId="5352" priority="298" operator="between">
      <formula>70.001%</formula>
      <formula>100%</formula>
    </cfRule>
    <cfRule type="cellIs" dxfId="5351" priority="299" operator="between">
      <formula>0.00001%</formula>
      <formula>70%</formula>
    </cfRule>
    <cfRule type="cellIs" dxfId="5350" priority="300" operator="equal">
      <formula>0</formula>
    </cfRule>
  </conditionalFormatting>
  <conditionalFormatting sqref="Z12:Z24 Z27">
    <cfRule type="cellIs" dxfId="5349" priority="291" operator="greaterThan">
      <formula>110%</formula>
    </cfRule>
    <cfRule type="cellIs" dxfId="5348" priority="292" operator="between">
      <formula>100.001%</formula>
      <formula>110%</formula>
    </cfRule>
    <cfRule type="cellIs" dxfId="5347" priority="293" operator="between">
      <formula>70.001%</formula>
      <formula>100%</formula>
    </cfRule>
    <cfRule type="cellIs" dxfId="5346" priority="294" operator="between">
      <formula>0.00001%</formula>
      <formula>70%</formula>
    </cfRule>
    <cfRule type="cellIs" dxfId="5345" priority="295" operator="equal">
      <formula>0</formula>
    </cfRule>
  </conditionalFormatting>
  <conditionalFormatting sqref="AC11">
    <cfRule type="cellIs" dxfId="5344" priority="286" operator="greaterThan">
      <formula>110%</formula>
    </cfRule>
    <cfRule type="cellIs" dxfId="5343" priority="287" operator="between">
      <formula>100.001%</formula>
      <formula>110%</formula>
    </cfRule>
    <cfRule type="cellIs" dxfId="5342" priority="288" operator="between">
      <formula>70.001%</formula>
      <formula>100%</formula>
    </cfRule>
    <cfRule type="cellIs" dxfId="5341" priority="289" operator="between">
      <formula>0.00001%</formula>
      <formula>70%</formula>
    </cfRule>
    <cfRule type="cellIs" dxfId="5340" priority="290" operator="equal">
      <formula>0</formula>
    </cfRule>
  </conditionalFormatting>
  <conditionalFormatting sqref="AC12:AC24 AC27">
    <cfRule type="cellIs" dxfId="5339" priority="281" operator="greaterThan">
      <formula>110%</formula>
    </cfRule>
    <cfRule type="cellIs" dxfId="5338" priority="282" operator="between">
      <formula>100.001%</formula>
      <formula>110%</formula>
    </cfRule>
    <cfRule type="cellIs" dxfId="5337" priority="283" operator="between">
      <formula>70.001%</formula>
      <formula>100%</formula>
    </cfRule>
    <cfRule type="cellIs" dxfId="5336" priority="284" operator="between">
      <formula>0.00001%</formula>
      <formula>70%</formula>
    </cfRule>
    <cfRule type="cellIs" dxfId="5335" priority="285" operator="equal">
      <formula>0</formula>
    </cfRule>
  </conditionalFormatting>
  <conditionalFormatting sqref="AH11">
    <cfRule type="cellIs" dxfId="5334" priority="276" operator="greaterThan">
      <formula>110%</formula>
    </cfRule>
    <cfRule type="cellIs" dxfId="5333" priority="277" operator="between">
      <formula>100.001%</formula>
      <formula>110%</formula>
    </cfRule>
    <cfRule type="cellIs" dxfId="5332" priority="278" operator="between">
      <formula>70.001%</formula>
      <formula>100%</formula>
    </cfRule>
    <cfRule type="cellIs" dxfId="5331" priority="279" operator="between">
      <formula>0.00001%</formula>
      <formula>70%</formula>
    </cfRule>
    <cfRule type="cellIs" dxfId="5330" priority="280" operator="equal">
      <formula>0</formula>
    </cfRule>
  </conditionalFormatting>
  <conditionalFormatting sqref="AH12:AH24 AH27">
    <cfRule type="cellIs" dxfId="5329" priority="271" operator="greaterThan">
      <formula>110%</formula>
    </cfRule>
    <cfRule type="cellIs" dxfId="5328" priority="272" operator="between">
      <formula>100.001%</formula>
      <formula>110%</formula>
    </cfRule>
    <cfRule type="cellIs" dxfId="5327" priority="273" operator="between">
      <formula>70.001%</formula>
      <formula>100%</formula>
    </cfRule>
    <cfRule type="cellIs" dxfId="5326" priority="274" operator="between">
      <formula>0.00001%</formula>
      <formula>70%</formula>
    </cfRule>
    <cfRule type="cellIs" dxfId="5325" priority="275" operator="equal">
      <formula>0</formula>
    </cfRule>
  </conditionalFormatting>
  <conditionalFormatting sqref="AK11">
    <cfRule type="cellIs" dxfId="5324" priority="266" operator="greaterThan">
      <formula>110%</formula>
    </cfRule>
    <cfRule type="cellIs" dxfId="5323" priority="267" operator="between">
      <formula>100.001%</formula>
      <formula>110%</formula>
    </cfRule>
    <cfRule type="cellIs" dxfId="5322" priority="268" operator="between">
      <formula>70.001%</formula>
      <formula>100%</formula>
    </cfRule>
    <cfRule type="cellIs" dxfId="5321" priority="269" operator="between">
      <formula>0.00001%</formula>
      <formula>70%</formula>
    </cfRule>
    <cfRule type="cellIs" dxfId="5320" priority="270" operator="equal">
      <formula>0</formula>
    </cfRule>
  </conditionalFormatting>
  <conditionalFormatting sqref="AK12:AK24 AK27">
    <cfRule type="cellIs" dxfId="5319" priority="261" operator="greaterThan">
      <formula>110%</formula>
    </cfRule>
    <cfRule type="cellIs" dxfId="5318" priority="262" operator="between">
      <formula>100.001%</formula>
      <formula>110%</formula>
    </cfRule>
    <cfRule type="cellIs" dxfId="5317" priority="263" operator="between">
      <formula>70.001%</formula>
      <formula>100%</formula>
    </cfRule>
    <cfRule type="cellIs" dxfId="5316" priority="264" operator="between">
      <formula>0.00001%</formula>
      <formula>70%</formula>
    </cfRule>
    <cfRule type="cellIs" dxfId="5315" priority="265" operator="equal">
      <formula>0</formula>
    </cfRule>
  </conditionalFormatting>
  <conditionalFormatting sqref="AN11">
    <cfRule type="cellIs" dxfId="5314" priority="256" operator="greaterThan">
      <formula>110%</formula>
    </cfRule>
    <cfRule type="cellIs" dxfId="5313" priority="257" operator="between">
      <formula>100.001%</formula>
      <formula>110%</formula>
    </cfRule>
    <cfRule type="cellIs" dxfId="5312" priority="258" operator="between">
      <formula>70.001%</formula>
      <formula>100%</formula>
    </cfRule>
    <cfRule type="cellIs" dxfId="5311" priority="259" operator="between">
      <formula>0.00001%</formula>
      <formula>70%</formula>
    </cfRule>
    <cfRule type="cellIs" dxfId="5310" priority="260" operator="equal">
      <formula>0</formula>
    </cfRule>
  </conditionalFormatting>
  <conditionalFormatting sqref="AN12:AN24 AN27">
    <cfRule type="cellIs" dxfId="5309" priority="251" operator="greaterThan">
      <formula>110%</formula>
    </cfRule>
    <cfRule type="cellIs" dxfId="5308" priority="252" operator="between">
      <formula>100.001%</formula>
      <formula>110%</formula>
    </cfRule>
    <cfRule type="cellIs" dxfId="5307" priority="253" operator="between">
      <formula>70.001%</formula>
      <formula>100%</formula>
    </cfRule>
    <cfRule type="cellIs" dxfId="5306" priority="254" operator="between">
      <formula>0.00001%</formula>
      <formula>70%</formula>
    </cfRule>
    <cfRule type="cellIs" dxfId="5305" priority="255" operator="equal">
      <formula>0</formula>
    </cfRule>
  </conditionalFormatting>
  <conditionalFormatting sqref="AQ11">
    <cfRule type="cellIs" dxfId="5304" priority="246" operator="greaterThan">
      <formula>110%</formula>
    </cfRule>
    <cfRule type="cellIs" dxfId="5303" priority="247" operator="between">
      <formula>100.001%</formula>
      <formula>110%</formula>
    </cfRule>
    <cfRule type="cellIs" dxfId="5302" priority="248" operator="between">
      <formula>70.001%</formula>
      <formula>100%</formula>
    </cfRule>
    <cfRule type="cellIs" dxfId="5301" priority="249" operator="between">
      <formula>0.00001%</formula>
      <formula>70%</formula>
    </cfRule>
    <cfRule type="cellIs" dxfId="5300" priority="250" operator="equal">
      <formula>0</formula>
    </cfRule>
  </conditionalFormatting>
  <conditionalFormatting sqref="AQ12:AQ24 AQ27">
    <cfRule type="cellIs" dxfId="5299" priority="241" operator="greaterThan">
      <formula>110%</formula>
    </cfRule>
    <cfRule type="cellIs" dxfId="5298" priority="242" operator="between">
      <formula>100.001%</formula>
      <formula>110%</formula>
    </cfRule>
    <cfRule type="cellIs" dxfId="5297" priority="243" operator="between">
      <formula>70.001%</formula>
      <formula>100%</formula>
    </cfRule>
    <cfRule type="cellIs" dxfId="5296" priority="244" operator="between">
      <formula>0.00001%</formula>
      <formula>70%</formula>
    </cfRule>
    <cfRule type="cellIs" dxfId="5295" priority="245" operator="equal">
      <formula>0</formula>
    </cfRule>
  </conditionalFormatting>
  <conditionalFormatting sqref="AT11">
    <cfRule type="cellIs" dxfId="5294" priority="236" operator="greaterThan">
      <formula>110%</formula>
    </cfRule>
    <cfRule type="cellIs" dxfId="5293" priority="237" operator="between">
      <formula>100.001%</formula>
      <formula>110%</formula>
    </cfRule>
    <cfRule type="cellIs" dxfId="5292" priority="238" operator="between">
      <formula>70.001%</formula>
      <formula>100%</formula>
    </cfRule>
    <cfRule type="cellIs" dxfId="5291" priority="239" operator="between">
      <formula>0.00001%</formula>
      <formula>70%</formula>
    </cfRule>
    <cfRule type="cellIs" dxfId="5290" priority="240" operator="equal">
      <formula>0</formula>
    </cfRule>
  </conditionalFormatting>
  <conditionalFormatting sqref="AT12:AT24 AT27">
    <cfRule type="cellIs" dxfId="5289" priority="231" operator="greaterThan">
      <formula>110%</formula>
    </cfRule>
    <cfRule type="cellIs" dxfId="5288" priority="232" operator="between">
      <formula>100.001%</formula>
      <formula>110%</formula>
    </cfRule>
    <cfRule type="cellIs" dxfId="5287" priority="233" operator="between">
      <formula>70.001%</formula>
      <formula>100%</formula>
    </cfRule>
    <cfRule type="cellIs" dxfId="5286" priority="234" operator="between">
      <formula>0.00001%</formula>
      <formula>70%</formula>
    </cfRule>
    <cfRule type="cellIs" dxfId="5285" priority="235" operator="equal">
      <formula>0</formula>
    </cfRule>
  </conditionalFormatting>
  <conditionalFormatting sqref="AW11">
    <cfRule type="cellIs" dxfId="5284" priority="226" operator="greaterThan">
      <formula>110%</formula>
    </cfRule>
    <cfRule type="cellIs" dxfId="5283" priority="227" operator="between">
      <formula>100.001%</formula>
      <formula>110%</formula>
    </cfRule>
    <cfRule type="cellIs" dxfId="5282" priority="228" operator="between">
      <formula>70.001%</formula>
      <formula>100%</formula>
    </cfRule>
    <cfRule type="cellIs" dxfId="5281" priority="229" operator="between">
      <formula>0.00001%</formula>
      <formula>70%</formula>
    </cfRule>
    <cfRule type="cellIs" dxfId="5280" priority="230" operator="equal">
      <formula>0</formula>
    </cfRule>
  </conditionalFormatting>
  <conditionalFormatting sqref="AW12:AW24 AW27">
    <cfRule type="cellIs" dxfId="5279" priority="221" operator="greaterThan">
      <formula>110%</formula>
    </cfRule>
    <cfRule type="cellIs" dxfId="5278" priority="222" operator="between">
      <formula>100.001%</formula>
      <formula>110%</formula>
    </cfRule>
    <cfRule type="cellIs" dxfId="5277" priority="223" operator="between">
      <formula>70.001%</formula>
      <formula>100%</formula>
    </cfRule>
    <cfRule type="cellIs" dxfId="5276" priority="224" operator="between">
      <formula>0.00001%</formula>
      <formula>70%</formula>
    </cfRule>
    <cfRule type="cellIs" dxfId="5275" priority="225" operator="equal">
      <formula>0</formula>
    </cfRule>
  </conditionalFormatting>
  <conditionalFormatting sqref="AE9:AE10">
    <cfRule type="cellIs" dxfId="5274" priority="216" operator="greaterThan">
      <formula>110%</formula>
    </cfRule>
    <cfRule type="cellIs" dxfId="5273" priority="217" operator="between">
      <formula>100.001%</formula>
      <formula>110%</formula>
    </cfRule>
    <cfRule type="cellIs" dxfId="5272" priority="218" operator="between">
      <formula>70.001%</formula>
      <formula>100%</formula>
    </cfRule>
    <cfRule type="cellIs" dxfId="5271" priority="219" operator="between">
      <formula>0.00001%</formula>
      <formula>70%</formula>
    </cfRule>
    <cfRule type="cellIs" dxfId="5270" priority="220" operator="equal">
      <formula>0</formula>
    </cfRule>
  </conditionalFormatting>
  <conditionalFormatting sqref="AY9">
    <cfRule type="cellIs" dxfId="5269" priority="211" operator="greaterThan">
      <formula>110%</formula>
    </cfRule>
    <cfRule type="cellIs" dxfId="5268" priority="212" operator="between">
      <formula>100.001%</formula>
      <formula>110%</formula>
    </cfRule>
    <cfRule type="cellIs" dxfId="5267" priority="213" operator="between">
      <formula>70.001%</formula>
      <formula>100%</formula>
    </cfRule>
    <cfRule type="cellIs" dxfId="5266" priority="214" operator="between">
      <formula>0.00001%</formula>
      <formula>70%</formula>
    </cfRule>
    <cfRule type="cellIs" dxfId="5265" priority="215" operator="equal">
      <formula>0</formula>
    </cfRule>
  </conditionalFormatting>
  <conditionalFormatting sqref="N9:N10">
    <cfRule type="cellIs" dxfId="5264" priority="206" operator="greaterThan">
      <formula>110%</formula>
    </cfRule>
    <cfRule type="cellIs" dxfId="5263" priority="207" operator="between">
      <formula>100.001%</formula>
      <formula>110%</formula>
    </cfRule>
    <cfRule type="cellIs" dxfId="5262" priority="208" operator="between">
      <formula>70.001%</formula>
      <formula>100%</formula>
    </cfRule>
    <cfRule type="cellIs" dxfId="5261" priority="209" operator="between">
      <formula>0.00001%</formula>
      <formula>70%</formula>
    </cfRule>
    <cfRule type="cellIs" dxfId="5260" priority="210" operator="equal">
      <formula>0</formula>
    </cfRule>
  </conditionalFormatting>
  <conditionalFormatting sqref="Q9:Q10">
    <cfRule type="cellIs" dxfId="5259" priority="201" operator="greaterThan">
      <formula>110%</formula>
    </cfRule>
    <cfRule type="cellIs" dxfId="5258" priority="202" operator="between">
      <formula>100.001%</formula>
      <formula>110%</formula>
    </cfRule>
    <cfRule type="cellIs" dxfId="5257" priority="203" operator="between">
      <formula>70.001%</formula>
      <formula>100%</formula>
    </cfRule>
    <cfRule type="cellIs" dxfId="5256" priority="204" operator="between">
      <formula>0.00001%</formula>
      <formula>70%</formula>
    </cfRule>
    <cfRule type="cellIs" dxfId="5255" priority="205" operator="equal">
      <formula>0</formula>
    </cfRule>
  </conditionalFormatting>
  <conditionalFormatting sqref="T9:T10">
    <cfRule type="cellIs" dxfId="5254" priority="196" operator="greaterThan">
      <formula>110%</formula>
    </cfRule>
    <cfRule type="cellIs" dxfId="5253" priority="197" operator="between">
      <formula>100.001%</formula>
      <formula>110%</formula>
    </cfRule>
    <cfRule type="cellIs" dxfId="5252" priority="198" operator="between">
      <formula>70.001%</formula>
      <formula>100%</formula>
    </cfRule>
    <cfRule type="cellIs" dxfId="5251" priority="199" operator="between">
      <formula>0.00001%</formula>
      <formula>70%</formula>
    </cfRule>
    <cfRule type="cellIs" dxfId="5250" priority="200" operator="equal">
      <formula>0</formula>
    </cfRule>
  </conditionalFormatting>
  <conditionalFormatting sqref="W9:W10">
    <cfRule type="cellIs" dxfId="5249" priority="191" operator="greaterThan">
      <formula>110%</formula>
    </cfRule>
    <cfRule type="cellIs" dxfId="5248" priority="192" operator="between">
      <formula>100.001%</formula>
      <formula>110%</formula>
    </cfRule>
    <cfRule type="cellIs" dxfId="5247" priority="193" operator="between">
      <formula>70.001%</formula>
      <formula>100%</formula>
    </cfRule>
    <cfRule type="cellIs" dxfId="5246" priority="194" operator="between">
      <formula>0.00001%</formula>
      <formula>70%</formula>
    </cfRule>
    <cfRule type="cellIs" dxfId="5245" priority="195" operator="equal">
      <formula>0</formula>
    </cfRule>
  </conditionalFormatting>
  <conditionalFormatting sqref="Z9:Z10">
    <cfRule type="cellIs" dxfId="5244" priority="186" operator="greaterThan">
      <formula>110%</formula>
    </cfRule>
    <cfRule type="cellIs" dxfId="5243" priority="187" operator="between">
      <formula>100.001%</formula>
      <formula>110%</formula>
    </cfRule>
    <cfRule type="cellIs" dxfId="5242" priority="188" operator="between">
      <formula>70.001%</formula>
      <formula>100%</formula>
    </cfRule>
    <cfRule type="cellIs" dxfId="5241" priority="189" operator="between">
      <formula>0.00001%</formula>
      <formula>70%</formula>
    </cfRule>
    <cfRule type="cellIs" dxfId="5240" priority="190" operator="equal">
      <formula>0</formula>
    </cfRule>
  </conditionalFormatting>
  <conditionalFormatting sqref="AC9:AC10">
    <cfRule type="cellIs" dxfId="5239" priority="181" operator="greaterThan">
      <formula>110%</formula>
    </cfRule>
    <cfRule type="cellIs" dxfId="5238" priority="182" operator="between">
      <formula>100.001%</formula>
      <formula>110%</formula>
    </cfRule>
    <cfRule type="cellIs" dxfId="5237" priority="183" operator="between">
      <formula>70.001%</formula>
      <formula>100%</formula>
    </cfRule>
    <cfRule type="cellIs" dxfId="5236" priority="184" operator="between">
      <formula>0.00001%</formula>
      <formula>70%</formula>
    </cfRule>
    <cfRule type="cellIs" dxfId="5235" priority="185" operator="equal">
      <formula>0</formula>
    </cfRule>
  </conditionalFormatting>
  <conditionalFormatting sqref="AH9:AH10">
    <cfRule type="cellIs" dxfId="5234" priority="176" operator="greaterThan">
      <formula>110%</formula>
    </cfRule>
    <cfRule type="cellIs" dxfId="5233" priority="177" operator="between">
      <formula>100.001%</formula>
      <formula>110%</formula>
    </cfRule>
    <cfRule type="cellIs" dxfId="5232" priority="178" operator="between">
      <formula>70.001%</formula>
      <formula>100%</formula>
    </cfRule>
    <cfRule type="cellIs" dxfId="5231" priority="179" operator="between">
      <formula>0.00001%</formula>
      <formula>70%</formula>
    </cfRule>
    <cfRule type="cellIs" dxfId="5230" priority="180" operator="equal">
      <formula>0</formula>
    </cfRule>
  </conditionalFormatting>
  <conditionalFormatting sqref="AK9:AK10">
    <cfRule type="cellIs" dxfId="5229" priority="171" operator="greaterThan">
      <formula>110%</formula>
    </cfRule>
    <cfRule type="cellIs" dxfId="5228" priority="172" operator="between">
      <formula>100.001%</formula>
      <formula>110%</formula>
    </cfRule>
    <cfRule type="cellIs" dxfId="5227" priority="173" operator="between">
      <formula>70.001%</formula>
      <formula>100%</formula>
    </cfRule>
    <cfRule type="cellIs" dxfId="5226" priority="174" operator="between">
      <formula>0.00001%</formula>
      <formula>70%</formula>
    </cfRule>
    <cfRule type="cellIs" dxfId="5225" priority="175" operator="equal">
      <formula>0</formula>
    </cfRule>
  </conditionalFormatting>
  <conditionalFormatting sqref="AN9:AN10">
    <cfRule type="cellIs" dxfId="5224" priority="166" operator="greaterThan">
      <formula>110%</formula>
    </cfRule>
    <cfRule type="cellIs" dxfId="5223" priority="167" operator="between">
      <formula>100.001%</formula>
      <formula>110%</formula>
    </cfRule>
    <cfRule type="cellIs" dxfId="5222" priority="168" operator="between">
      <formula>70.001%</formula>
      <formula>100%</formula>
    </cfRule>
    <cfRule type="cellIs" dxfId="5221" priority="169" operator="between">
      <formula>0.00001%</formula>
      <formula>70%</formula>
    </cfRule>
    <cfRule type="cellIs" dxfId="5220" priority="170" operator="equal">
      <formula>0</formula>
    </cfRule>
  </conditionalFormatting>
  <conditionalFormatting sqref="AQ9">
    <cfRule type="cellIs" dxfId="5219" priority="161" operator="greaterThan">
      <formula>110%</formula>
    </cfRule>
    <cfRule type="cellIs" dxfId="5218" priority="162" operator="between">
      <formula>100.001%</formula>
      <formula>110%</formula>
    </cfRule>
    <cfRule type="cellIs" dxfId="5217" priority="163" operator="between">
      <formula>70.001%</formula>
      <formula>100%</formula>
    </cfRule>
    <cfRule type="cellIs" dxfId="5216" priority="164" operator="between">
      <formula>0.00001%</formula>
      <formula>70%</formula>
    </cfRule>
    <cfRule type="cellIs" dxfId="5215" priority="165" operator="equal">
      <formula>0</formula>
    </cfRule>
  </conditionalFormatting>
  <conditionalFormatting sqref="AT9:AT10">
    <cfRule type="cellIs" dxfId="5214" priority="156" operator="greaterThan">
      <formula>110%</formula>
    </cfRule>
    <cfRule type="cellIs" dxfId="5213" priority="157" operator="between">
      <formula>100.001%</formula>
      <formula>110%</formula>
    </cfRule>
    <cfRule type="cellIs" dxfId="5212" priority="158" operator="between">
      <formula>70.001%</formula>
      <formula>100%</formula>
    </cfRule>
    <cfRule type="cellIs" dxfId="5211" priority="159" operator="between">
      <formula>0.00001%</formula>
      <formula>70%</formula>
    </cfRule>
    <cfRule type="cellIs" dxfId="5210" priority="160" operator="equal">
      <formula>0</formula>
    </cfRule>
  </conditionalFormatting>
  <conditionalFormatting sqref="AW9:AW10">
    <cfRule type="cellIs" dxfId="5209" priority="151" operator="greaterThan">
      <formula>110%</formula>
    </cfRule>
    <cfRule type="cellIs" dxfId="5208" priority="152" operator="between">
      <formula>100.001%</formula>
      <formula>110%</formula>
    </cfRule>
    <cfRule type="cellIs" dxfId="5207" priority="153" operator="between">
      <formula>70.001%</formula>
      <formula>100%</formula>
    </cfRule>
    <cfRule type="cellIs" dxfId="5206" priority="154" operator="between">
      <formula>0.00001%</formula>
      <formula>70%</formula>
    </cfRule>
    <cfRule type="cellIs" dxfId="5205" priority="155" operator="equal">
      <formula>0</formula>
    </cfRule>
  </conditionalFormatting>
  <conditionalFormatting sqref="AE29">
    <cfRule type="cellIs" dxfId="5204" priority="146" operator="greaterThan">
      <formula>110%</formula>
    </cfRule>
    <cfRule type="cellIs" dxfId="5203" priority="147" operator="between">
      <formula>100.001%</formula>
      <formula>110%</formula>
    </cfRule>
    <cfRule type="cellIs" dxfId="5202" priority="148" operator="between">
      <formula>70.001%</formula>
      <formula>100%</formula>
    </cfRule>
    <cfRule type="cellIs" dxfId="5201" priority="149" operator="between">
      <formula>0.00001%</formula>
      <formula>70%</formula>
    </cfRule>
    <cfRule type="cellIs" dxfId="5200" priority="150" operator="equal">
      <formula>0</formula>
    </cfRule>
  </conditionalFormatting>
  <conditionalFormatting sqref="AY29">
    <cfRule type="cellIs" dxfId="5199" priority="141" operator="greaterThan">
      <formula>110%</formula>
    </cfRule>
    <cfRule type="cellIs" dxfId="5198" priority="142" operator="between">
      <formula>100.001%</formula>
      <formula>110%</formula>
    </cfRule>
    <cfRule type="cellIs" dxfId="5197" priority="143" operator="between">
      <formula>70.001%</formula>
      <formula>100%</formula>
    </cfRule>
    <cfRule type="cellIs" dxfId="5196" priority="144" operator="between">
      <formula>0.00001%</formula>
      <formula>70%</formula>
    </cfRule>
    <cfRule type="cellIs" dxfId="5195" priority="145" operator="equal">
      <formula>0</formula>
    </cfRule>
  </conditionalFormatting>
  <conditionalFormatting sqref="N29">
    <cfRule type="cellIs" dxfId="5194" priority="136" operator="greaterThan">
      <formula>110%</formula>
    </cfRule>
    <cfRule type="cellIs" dxfId="5193" priority="137" operator="between">
      <formula>100.001%</formula>
      <formula>110%</formula>
    </cfRule>
    <cfRule type="cellIs" dxfId="5192" priority="138" operator="between">
      <formula>70.001%</formula>
      <formula>100%</formula>
    </cfRule>
    <cfRule type="cellIs" dxfId="5191" priority="139" operator="between">
      <formula>0.00001%</formula>
      <formula>70%</formula>
    </cfRule>
    <cfRule type="cellIs" dxfId="5190" priority="140" operator="equal">
      <formula>0</formula>
    </cfRule>
  </conditionalFormatting>
  <conditionalFormatting sqref="Q29">
    <cfRule type="cellIs" dxfId="5189" priority="131" operator="greaterThan">
      <formula>110%</formula>
    </cfRule>
    <cfRule type="cellIs" dxfId="5188" priority="132" operator="between">
      <formula>100.001%</formula>
      <formula>110%</formula>
    </cfRule>
    <cfRule type="cellIs" dxfId="5187" priority="133" operator="between">
      <formula>70.001%</formula>
      <formula>100%</formula>
    </cfRule>
    <cfRule type="cellIs" dxfId="5186" priority="134" operator="between">
      <formula>0.00001%</formula>
      <formula>70%</formula>
    </cfRule>
    <cfRule type="cellIs" dxfId="5185" priority="135" operator="equal">
      <formula>0</formula>
    </cfRule>
  </conditionalFormatting>
  <conditionalFormatting sqref="T29">
    <cfRule type="cellIs" dxfId="5184" priority="126" operator="greaterThan">
      <formula>110%</formula>
    </cfRule>
    <cfRule type="cellIs" dxfId="5183" priority="127" operator="between">
      <formula>100.001%</formula>
      <formula>110%</formula>
    </cfRule>
    <cfRule type="cellIs" dxfId="5182" priority="128" operator="between">
      <formula>70.001%</formula>
      <formula>100%</formula>
    </cfRule>
    <cfRule type="cellIs" dxfId="5181" priority="129" operator="between">
      <formula>0.00001%</formula>
      <formula>70%</formula>
    </cfRule>
    <cfRule type="cellIs" dxfId="5180" priority="130" operator="equal">
      <formula>0</formula>
    </cfRule>
  </conditionalFormatting>
  <conditionalFormatting sqref="W29">
    <cfRule type="cellIs" dxfId="5179" priority="121" operator="greaterThan">
      <formula>110%</formula>
    </cfRule>
    <cfRule type="cellIs" dxfId="5178" priority="122" operator="between">
      <formula>100.001%</formula>
      <formula>110%</formula>
    </cfRule>
    <cfRule type="cellIs" dxfId="5177" priority="123" operator="between">
      <formula>70.001%</formula>
      <formula>100%</formula>
    </cfRule>
    <cfRule type="cellIs" dxfId="5176" priority="124" operator="between">
      <formula>0.00001%</formula>
      <formula>70%</formula>
    </cfRule>
    <cfRule type="cellIs" dxfId="5175" priority="125" operator="equal">
      <formula>0</formula>
    </cfRule>
  </conditionalFormatting>
  <conditionalFormatting sqref="Z29">
    <cfRule type="cellIs" dxfId="5174" priority="116" operator="greaterThan">
      <formula>110%</formula>
    </cfRule>
    <cfRule type="cellIs" dxfId="5173" priority="117" operator="between">
      <formula>100.001%</formula>
      <formula>110%</formula>
    </cfRule>
    <cfRule type="cellIs" dxfId="5172" priority="118" operator="between">
      <formula>70.001%</formula>
      <formula>100%</formula>
    </cfRule>
    <cfRule type="cellIs" dxfId="5171" priority="119" operator="between">
      <formula>0.00001%</formula>
      <formula>70%</formula>
    </cfRule>
    <cfRule type="cellIs" dxfId="5170" priority="120" operator="equal">
      <formula>0</formula>
    </cfRule>
  </conditionalFormatting>
  <conditionalFormatting sqref="AC29">
    <cfRule type="cellIs" dxfId="5169" priority="111" operator="greaterThan">
      <formula>110%</formula>
    </cfRule>
    <cfRule type="cellIs" dxfId="5168" priority="112" operator="between">
      <formula>100.001%</formula>
      <formula>110%</formula>
    </cfRule>
    <cfRule type="cellIs" dxfId="5167" priority="113" operator="between">
      <formula>70.001%</formula>
      <formula>100%</formula>
    </cfRule>
    <cfRule type="cellIs" dxfId="5166" priority="114" operator="between">
      <formula>0.00001%</formula>
      <formula>70%</formula>
    </cfRule>
    <cfRule type="cellIs" dxfId="5165" priority="115" operator="equal">
      <formula>0</formula>
    </cfRule>
  </conditionalFormatting>
  <conditionalFormatting sqref="AH29">
    <cfRule type="cellIs" dxfId="5164" priority="106" operator="greaterThan">
      <formula>110%</formula>
    </cfRule>
    <cfRule type="cellIs" dxfId="5163" priority="107" operator="between">
      <formula>100.001%</formula>
      <formula>110%</formula>
    </cfRule>
    <cfRule type="cellIs" dxfId="5162" priority="108" operator="between">
      <formula>70.001%</formula>
      <formula>100%</formula>
    </cfRule>
    <cfRule type="cellIs" dxfId="5161" priority="109" operator="between">
      <formula>0.00001%</formula>
      <formula>70%</formula>
    </cfRule>
    <cfRule type="cellIs" dxfId="5160" priority="110" operator="equal">
      <formula>0</formula>
    </cfRule>
  </conditionalFormatting>
  <conditionalFormatting sqref="AK29">
    <cfRule type="cellIs" dxfId="5159" priority="101" operator="greaterThan">
      <formula>110%</formula>
    </cfRule>
    <cfRule type="cellIs" dxfId="5158" priority="102" operator="between">
      <formula>100.001%</formula>
      <formula>110%</formula>
    </cfRule>
    <cfRule type="cellIs" dxfId="5157" priority="103" operator="between">
      <formula>70.001%</formula>
      <formula>100%</formula>
    </cfRule>
    <cfRule type="cellIs" dxfId="5156" priority="104" operator="between">
      <formula>0.00001%</formula>
      <formula>70%</formula>
    </cfRule>
    <cfRule type="cellIs" dxfId="5155" priority="105" operator="equal">
      <formula>0</formula>
    </cfRule>
  </conditionalFormatting>
  <conditionalFormatting sqref="AN29">
    <cfRule type="cellIs" dxfId="5154" priority="96" operator="greaterThan">
      <formula>110%</formula>
    </cfRule>
    <cfRule type="cellIs" dxfId="5153" priority="97" operator="between">
      <formula>100.001%</formula>
      <formula>110%</formula>
    </cfRule>
    <cfRule type="cellIs" dxfId="5152" priority="98" operator="between">
      <formula>70.001%</formula>
      <formula>100%</formula>
    </cfRule>
    <cfRule type="cellIs" dxfId="5151" priority="99" operator="between">
      <formula>0.00001%</formula>
      <formula>70%</formula>
    </cfRule>
    <cfRule type="cellIs" dxfId="5150" priority="100" operator="equal">
      <formula>0</formula>
    </cfRule>
  </conditionalFormatting>
  <conditionalFormatting sqref="AQ29">
    <cfRule type="cellIs" dxfId="5149" priority="91" operator="greaterThan">
      <formula>110%</formula>
    </cfRule>
    <cfRule type="cellIs" dxfId="5148" priority="92" operator="between">
      <formula>100.001%</formula>
      <formula>110%</formula>
    </cfRule>
    <cfRule type="cellIs" dxfId="5147" priority="93" operator="between">
      <formula>70.001%</formula>
      <formula>100%</formula>
    </cfRule>
    <cfRule type="cellIs" dxfId="5146" priority="94" operator="between">
      <formula>0.00001%</formula>
      <formula>70%</formula>
    </cfRule>
    <cfRule type="cellIs" dxfId="5145" priority="95" operator="equal">
      <formula>0</formula>
    </cfRule>
  </conditionalFormatting>
  <conditionalFormatting sqref="AT29">
    <cfRule type="cellIs" dxfId="5144" priority="86" operator="greaterThan">
      <formula>110%</formula>
    </cfRule>
    <cfRule type="cellIs" dxfId="5143" priority="87" operator="between">
      <formula>100.001%</formula>
      <formula>110%</formula>
    </cfRule>
    <cfRule type="cellIs" dxfId="5142" priority="88" operator="between">
      <formula>70.001%</formula>
      <formula>100%</formula>
    </cfRule>
    <cfRule type="cellIs" dxfId="5141" priority="89" operator="between">
      <formula>0.00001%</formula>
      <formula>70%</formula>
    </cfRule>
    <cfRule type="cellIs" dxfId="5140" priority="90" operator="equal">
      <formula>0</formula>
    </cfRule>
  </conditionalFormatting>
  <conditionalFormatting sqref="AW29">
    <cfRule type="cellIs" dxfId="5139" priority="81" operator="greaterThan">
      <formula>110%</formula>
    </cfRule>
    <cfRule type="cellIs" dxfId="5138" priority="82" operator="between">
      <formula>100.001%</formula>
      <formula>110%</formula>
    </cfRule>
    <cfRule type="cellIs" dxfId="5137" priority="83" operator="between">
      <formula>70.001%</formula>
      <formula>100%</formula>
    </cfRule>
    <cfRule type="cellIs" dxfId="5136" priority="84" operator="between">
      <formula>0.00001%</formula>
      <formula>70%</formula>
    </cfRule>
    <cfRule type="cellIs" dxfId="5135" priority="85" operator="equal">
      <formula>0</formula>
    </cfRule>
  </conditionalFormatting>
  <conditionalFormatting sqref="N26">
    <cfRule type="cellIs" dxfId="5134" priority="71" operator="greaterThan">
      <formula>110%</formula>
    </cfRule>
    <cfRule type="cellIs" dxfId="5133" priority="72" operator="between">
      <formula>100.001%</formula>
      <formula>110%</formula>
    </cfRule>
    <cfRule type="cellIs" dxfId="5132" priority="73" operator="between">
      <formula>70.001%</formula>
      <formula>100%</formula>
    </cfRule>
    <cfRule type="cellIs" dxfId="5131" priority="74" operator="between">
      <formula>0.00001%</formula>
      <formula>70%</formula>
    </cfRule>
    <cfRule type="cellIs" dxfId="5130" priority="75" operator="equal">
      <formula>0</formula>
    </cfRule>
  </conditionalFormatting>
  <conditionalFormatting sqref="Q26">
    <cfRule type="cellIs" dxfId="5129" priority="66" operator="greaterThan">
      <formula>110%</formula>
    </cfRule>
    <cfRule type="cellIs" dxfId="5128" priority="67" operator="between">
      <formula>100.001%</formula>
      <formula>110%</formula>
    </cfRule>
    <cfRule type="cellIs" dxfId="5127" priority="68" operator="between">
      <formula>70.001%</formula>
      <formula>100%</formula>
    </cfRule>
    <cfRule type="cellIs" dxfId="5126" priority="69" operator="between">
      <formula>0.00001%</formula>
      <formula>70%</formula>
    </cfRule>
    <cfRule type="cellIs" dxfId="5125" priority="70" operator="equal">
      <formula>0</formula>
    </cfRule>
  </conditionalFormatting>
  <conditionalFormatting sqref="T26">
    <cfRule type="cellIs" dxfId="5124" priority="61" operator="greaterThan">
      <formula>110%</formula>
    </cfRule>
    <cfRule type="cellIs" dxfId="5123" priority="62" operator="between">
      <formula>100.001%</formula>
      <formula>110%</formula>
    </cfRule>
    <cfRule type="cellIs" dxfId="5122" priority="63" operator="between">
      <formula>70.001%</formula>
      <formula>100%</formula>
    </cfRule>
    <cfRule type="cellIs" dxfId="5121" priority="64" operator="between">
      <formula>0.00001%</formula>
      <formula>70%</formula>
    </cfRule>
    <cfRule type="cellIs" dxfId="5120" priority="65" operator="equal">
      <formula>0</formula>
    </cfRule>
  </conditionalFormatting>
  <conditionalFormatting sqref="W26">
    <cfRule type="cellIs" dxfId="5119" priority="56" operator="greaterThan">
      <formula>110%</formula>
    </cfRule>
    <cfRule type="cellIs" dxfId="5118" priority="57" operator="between">
      <formula>100.001%</formula>
      <formula>110%</formula>
    </cfRule>
    <cfRule type="cellIs" dxfId="5117" priority="58" operator="between">
      <formula>70.001%</formula>
      <formula>100%</formula>
    </cfRule>
    <cfRule type="cellIs" dxfId="5116" priority="59" operator="between">
      <formula>0.00001%</formula>
      <formula>70%</formula>
    </cfRule>
    <cfRule type="cellIs" dxfId="5115" priority="60" operator="equal">
      <formula>0</formula>
    </cfRule>
  </conditionalFormatting>
  <conditionalFormatting sqref="Z26">
    <cfRule type="cellIs" dxfId="5114" priority="51" operator="greaterThan">
      <formula>110%</formula>
    </cfRule>
    <cfRule type="cellIs" dxfId="5113" priority="52" operator="between">
      <formula>100.001%</formula>
      <formula>110%</formula>
    </cfRule>
    <cfRule type="cellIs" dxfId="5112" priority="53" operator="between">
      <formula>70.001%</formula>
      <formula>100%</formula>
    </cfRule>
    <cfRule type="cellIs" dxfId="5111" priority="54" operator="between">
      <formula>0.00001%</formula>
      <formula>70%</formula>
    </cfRule>
    <cfRule type="cellIs" dxfId="5110" priority="55" operator="equal">
      <formula>0</formula>
    </cfRule>
  </conditionalFormatting>
  <conditionalFormatting sqref="AC26">
    <cfRule type="cellIs" dxfId="5109" priority="46" operator="greaterThan">
      <formula>110%</formula>
    </cfRule>
    <cfRule type="cellIs" dxfId="5108" priority="47" operator="between">
      <formula>100.001%</formula>
      <formula>110%</formula>
    </cfRule>
    <cfRule type="cellIs" dxfId="5107" priority="48" operator="between">
      <formula>70.001%</formula>
      <formula>100%</formula>
    </cfRule>
    <cfRule type="cellIs" dxfId="5106" priority="49" operator="between">
      <formula>0.00001%</formula>
      <formula>70%</formula>
    </cfRule>
    <cfRule type="cellIs" dxfId="5105" priority="50" operator="equal">
      <formula>0</formula>
    </cfRule>
  </conditionalFormatting>
  <conditionalFormatting sqref="AH26">
    <cfRule type="cellIs" dxfId="5104" priority="41" operator="greaterThan">
      <formula>110%</formula>
    </cfRule>
    <cfRule type="cellIs" dxfId="5103" priority="42" operator="between">
      <formula>100.001%</formula>
      <formula>110%</formula>
    </cfRule>
    <cfRule type="cellIs" dxfId="5102" priority="43" operator="between">
      <formula>70.001%</formula>
      <formula>100%</formula>
    </cfRule>
    <cfRule type="cellIs" dxfId="5101" priority="44" operator="between">
      <formula>0.00001%</formula>
      <formula>70%</formula>
    </cfRule>
    <cfRule type="cellIs" dxfId="5100" priority="45" operator="equal">
      <formula>0</formula>
    </cfRule>
  </conditionalFormatting>
  <conditionalFormatting sqref="AK26">
    <cfRule type="cellIs" dxfId="5099" priority="36" operator="greaterThan">
      <formula>110%</formula>
    </cfRule>
    <cfRule type="cellIs" dxfId="5098" priority="37" operator="between">
      <formula>100.001%</formula>
      <formula>110%</formula>
    </cfRule>
    <cfRule type="cellIs" dxfId="5097" priority="38" operator="between">
      <formula>70.001%</formula>
      <formula>100%</formula>
    </cfRule>
    <cfRule type="cellIs" dxfId="5096" priority="39" operator="between">
      <formula>0.00001%</formula>
      <formula>70%</formula>
    </cfRule>
    <cfRule type="cellIs" dxfId="5095" priority="40" operator="equal">
      <formula>0</formula>
    </cfRule>
  </conditionalFormatting>
  <conditionalFormatting sqref="AN26">
    <cfRule type="cellIs" dxfId="5094" priority="31" operator="greaterThan">
      <formula>110%</formula>
    </cfRule>
    <cfRule type="cellIs" dxfId="5093" priority="32" operator="between">
      <formula>100.001%</formula>
      <formula>110%</formula>
    </cfRule>
    <cfRule type="cellIs" dxfId="5092" priority="33" operator="between">
      <formula>70.001%</formula>
      <formula>100%</formula>
    </cfRule>
    <cfRule type="cellIs" dxfId="5091" priority="34" operator="between">
      <formula>0.00001%</formula>
      <formula>70%</formula>
    </cfRule>
    <cfRule type="cellIs" dxfId="5090" priority="35" operator="equal">
      <formula>0</formula>
    </cfRule>
  </conditionalFormatting>
  <conditionalFormatting sqref="AQ26">
    <cfRule type="cellIs" dxfId="5089" priority="26" operator="greaterThan">
      <formula>110%</formula>
    </cfRule>
    <cfRule type="cellIs" dxfId="5088" priority="27" operator="between">
      <formula>100.001%</formula>
      <formula>110%</formula>
    </cfRule>
    <cfRule type="cellIs" dxfId="5087" priority="28" operator="between">
      <formula>70.001%</formula>
      <formula>100%</formula>
    </cfRule>
    <cfRule type="cellIs" dxfId="5086" priority="29" operator="between">
      <formula>0.00001%</formula>
      <formula>70%</formula>
    </cfRule>
    <cfRule type="cellIs" dxfId="5085" priority="30" operator="equal">
      <formula>0</formula>
    </cfRule>
  </conditionalFormatting>
  <conditionalFormatting sqref="AT26">
    <cfRule type="cellIs" dxfId="5084" priority="21" operator="greaterThan">
      <formula>110%</formula>
    </cfRule>
    <cfRule type="cellIs" dxfId="5083" priority="22" operator="between">
      <formula>100.001%</formula>
      <formula>110%</formula>
    </cfRule>
    <cfRule type="cellIs" dxfId="5082" priority="23" operator="between">
      <formula>70.001%</formula>
      <formula>100%</formula>
    </cfRule>
    <cfRule type="cellIs" dxfId="5081" priority="24" operator="between">
      <formula>0.00001%</formula>
      <formula>70%</formula>
    </cfRule>
    <cfRule type="cellIs" dxfId="5080" priority="25" operator="equal">
      <formula>0</formula>
    </cfRule>
  </conditionalFormatting>
  <conditionalFormatting sqref="AW26">
    <cfRule type="cellIs" dxfId="5079" priority="16" operator="greaterThan">
      <formula>110%</formula>
    </cfRule>
    <cfRule type="cellIs" dxfId="5078" priority="17" operator="between">
      <formula>100.001%</formula>
      <formula>110%</formula>
    </cfRule>
    <cfRule type="cellIs" dxfId="5077" priority="18" operator="between">
      <formula>70.001%</formula>
      <formula>100%</formula>
    </cfRule>
    <cfRule type="cellIs" dxfId="5076" priority="19" operator="between">
      <formula>0.00001%</formula>
      <formula>70%</formula>
    </cfRule>
    <cfRule type="cellIs" dxfId="5075" priority="20" operator="equal">
      <formula>0</formula>
    </cfRule>
  </conditionalFormatting>
  <conditionalFormatting sqref="AQ10">
    <cfRule type="cellIs" dxfId="5074" priority="11" operator="greaterThan">
      <formula>110%</formula>
    </cfRule>
    <cfRule type="cellIs" dxfId="5073" priority="12" operator="between">
      <formula>100.001%</formula>
      <formula>110%</formula>
    </cfRule>
    <cfRule type="cellIs" dxfId="5072" priority="13" operator="between">
      <formula>70.001%</formula>
      <formula>100%</formula>
    </cfRule>
    <cfRule type="cellIs" dxfId="5071" priority="14" operator="between">
      <formula>0.00001%</formula>
      <formula>70%</formula>
    </cfRule>
    <cfRule type="cellIs" dxfId="5070" priority="15" operator="equal">
      <formula>0</formula>
    </cfRule>
  </conditionalFormatting>
  <conditionalFormatting sqref="AY10">
    <cfRule type="cellIs" dxfId="5069" priority="6" operator="greaterThan">
      <formula>110%</formula>
    </cfRule>
    <cfRule type="cellIs" dxfId="5068" priority="7" operator="between">
      <formula>100.001%</formula>
      <formula>110%</formula>
    </cfRule>
    <cfRule type="cellIs" dxfId="5067" priority="8" operator="between">
      <formula>70.001%</formula>
      <formula>100%</formula>
    </cfRule>
    <cfRule type="cellIs" dxfId="5066" priority="9" operator="between">
      <formula>0.00001%</formula>
      <formula>70%</formula>
    </cfRule>
    <cfRule type="cellIs" dxfId="5065" priority="10" operator="equal">
      <formula>0</formula>
    </cfRule>
  </conditionalFormatting>
  <conditionalFormatting sqref="AY26">
    <cfRule type="cellIs" dxfId="5064" priority="1" operator="greaterThan">
      <formula>110%</formula>
    </cfRule>
    <cfRule type="cellIs" dxfId="5063" priority="2" operator="between">
      <formula>100.001%</formula>
      <formula>110%</formula>
    </cfRule>
    <cfRule type="cellIs" dxfId="5062" priority="3" operator="between">
      <formula>70.001%</formula>
      <formula>100%</formula>
    </cfRule>
    <cfRule type="cellIs" dxfId="5061" priority="4" operator="between">
      <formula>0.00001%</formula>
      <formula>70%</formula>
    </cfRule>
    <cfRule type="cellIs" dxfId="5060" priority="5" operator="equal">
      <formula>0</formula>
    </cfRule>
  </conditionalFormatting>
  <conditionalFormatting sqref="AE26">
    <cfRule type="cellIs" dxfId="5059" priority="76" operator="greaterThan">
      <formula>110%</formula>
    </cfRule>
    <cfRule type="cellIs" dxfId="5058" priority="77" operator="between">
      <formula>100.001%</formula>
      <formula>110%</formula>
    </cfRule>
    <cfRule type="cellIs" dxfId="5057" priority="78" operator="between">
      <formula>70.001%</formula>
      <formula>100%</formula>
    </cfRule>
    <cfRule type="cellIs" dxfId="5056" priority="79" operator="between">
      <formula>0.00001%</formula>
      <formula>70%</formula>
    </cfRule>
    <cfRule type="cellIs" dxfId="5055" priority="80" operator="equal">
      <formula>0</formula>
    </cfRule>
  </conditionalFormatting>
  <hyperlinks>
    <hyperlink ref="D11" location="'IN1-3'!A1" display="IN1-3 Recaudo Bruto" xr:uid="{00000000-0004-0000-1800-000000000000}"/>
    <hyperlink ref="D12" location="'FIS-5'!A1" display="FIS-5 Gestión efectiva de Fiscalización Aduanera" xr:uid="{00000000-0004-0000-1800-000001000000}"/>
    <hyperlink ref="D13" location="'FIS-7'!A1" display="FIS-7 Gestión efectiva de Control Cambiario" xr:uid="{00000000-0004-0000-1800-000002000000}"/>
    <hyperlink ref="D14" location="'FIS-8'!A1" display="FIS-8 Gestión aceptada de Fiscalización aduanera (Recaudo)" xr:uid="{00000000-0004-0000-1800-000003000000}"/>
    <hyperlink ref="D15" location="'FIS-9'!A1" display="FIS-9 Gestión aceptada de Fiscalización aduanera (Resoluciones en firme)" xr:uid="{00000000-0004-0000-1800-000004000000}"/>
    <hyperlink ref="D16" location="'FIS-11'!A1" display="FIS-11 Gestión aceptada cambiaria (Recaudo)" xr:uid="{00000000-0004-0000-1800-000005000000}"/>
    <hyperlink ref="D17" location="'FIS-12'!A1" display="FIS-12 Gestión aceptada cambiaria (Resoluciones en firme)" xr:uid="{00000000-0004-0000-1800-000006000000}"/>
    <hyperlink ref="D18" location="'FIS-16'!A1" display="FIS-16 Visitas de control a personas que hacen la venta y compra de divisas sin estar autorizados" xr:uid="{00000000-0004-0000-1800-000007000000}"/>
    <hyperlink ref="D19" location="'FIS-15'!A1" display="FIS-15 Visitas de control a profesionales de cambio" xr:uid="{00000000-0004-0000-1800-000008000000}"/>
    <hyperlink ref="D20" location="'FIS-18'!A1" display="FIS-18 Evacuación de expedientes en fiscalización Cambiaria" xr:uid="{00000000-0004-0000-1800-000009000000}"/>
    <hyperlink ref="D21" location="'ADU-3'!A1" display="ADU-3 Monto de la recaudación total de Aduanas" xr:uid="{00000000-0004-0000-1800-00000A000000}"/>
    <hyperlink ref="D22" location="'FIS-24'!A1" display="FIS-24 Valor decomisos de mercancías en firme" xr:uid="{00000000-0004-0000-1800-00000B000000}"/>
    <hyperlink ref="D23" location="'FIS-33'!A1" display="FIS-33 Cantidad aprehensiones sectores de licores, cigarrillos, hidrocarburos y agropecuario" xr:uid="{00000000-0004-0000-1800-00000C000000}"/>
    <hyperlink ref="D24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1800-00000D000000}"/>
    <hyperlink ref="D25" location="'JUR-3.4'!A1" display="JUR-3.4 Porcentaje de procesos revisados con VoBo del Jefe" xr:uid="{00000000-0004-0000-1800-00000E000000}"/>
    <hyperlink ref="D27" location="'ADU-17'!A1" display="ADU-17 Encuentros Aduana - Empresa" xr:uid="{00000000-0004-0000-1800-00000F000000}"/>
    <hyperlink ref="D9" location="'DGRAE-1'!A1" display="DGRAE-1 Nivel de Ejecución del presupuesto " xr:uid="{00000000-0004-0000-1800-000010000000}"/>
    <hyperlink ref="D10" location="'DGRAE-2'!A1" display="DGRAE-2 Nivel de ejecución del PAA de la Dirección" xr:uid="{00000000-0004-0000-1800-000011000000}"/>
    <hyperlink ref="D29" location="'DGRAE-25'!A1" display="DGRAE-25 Actividades que componen el  PIC para la Dirección de Gestión" xr:uid="{00000000-0004-0000-1800-000012000000}"/>
    <hyperlink ref="D26" location="'IN1-11'!A1" display="IN1-11  Nivel de cobertura de personas sensibilizadas por el plan de cultura. ACTUALMENTE. Cumplimiento al Plan de Acción de Cultura de la Contribución" xr:uid="{00000000-0004-0000-1800-000013000000}"/>
    <hyperlink ref="AZ2" location="'Consolidado '!A1" display="VOLVER" xr:uid="{00000000-0004-0000-1800-00001400000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46"/>
  <sheetViews>
    <sheetView topLeftCell="D4" zoomScale="70" zoomScaleNormal="70" workbookViewId="0">
      <selection activeCell="AY4" sqref="AY4"/>
    </sheetView>
  </sheetViews>
  <sheetFormatPr baseColWidth="10" defaultColWidth="11.42578125" defaultRowHeight="16.5"/>
  <cols>
    <col min="1" max="1" width="26" style="8" customWidth="1"/>
    <col min="2" max="2" width="37" style="8" customWidth="1"/>
    <col min="3" max="3" width="47.85546875" style="63" customWidth="1"/>
    <col min="4" max="4" width="28" style="63" customWidth="1"/>
    <col min="5" max="5" width="32.140625" style="8" customWidth="1"/>
    <col min="6" max="6" width="17.5703125" style="8" customWidth="1"/>
    <col min="7" max="7" width="17.28515625" style="8" customWidth="1"/>
    <col min="8" max="8" width="8.85546875" style="8" hidden="1" customWidth="1"/>
    <col min="9" max="9" width="9.140625" style="8" hidden="1" customWidth="1"/>
    <col min="10" max="10" width="17.42578125" style="8" hidden="1" customWidth="1"/>
    <col min="11" max="11" width="16.5703125" style="8" customWidth="1"/>
    <col min="12" max="12" width="15.85546875" style="8" hidden="1" customWidth="1"/>
    <col min="13" max="13" width="21.7109375" style="8" hidden="1" customWidth="1"/>
    <col min="14" max="14" width="21.7109375" style="622" hidden="1" customWidth="1"/>
    <col min="15" max="49" width="21.7109375" style="8" hidden="1" customWidth="1"/>
    <col min="50" max="50" width="21.7109375" style="8" customWidth="1"/>
    <col min="51" max="51" width="21.7109375" style="63" customWidth="1"/>
    <col min="52" max="16384" width="11.42578125" style="8"/>
  </cols>
  <sheetData>
    <row r="1" spans="1:52" ht="29.25" customHeight="1">
      <c r="A1" s="101"/>
      <c r="B1" s="101"/>
      <c r="C1" s="2885" t="s">
        <v>715</v>
      </c>
      <c r="D1" s="2885"/>
      <c r="E1" s="2885"/>
      <c r="F1" s="2885"/>
      <c r="G1" s="2885"/>
      <c r="H1" s="2885"/>
      <c r="I1" s="2885"/>
      <c r="J1" s="2885"/>
      <c r="K1" s="2885"/>
      <c r="AY1" s="1741" t="s">
        <v>185</v>
      </c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</row>
    <row r="3" spans="1:52">
      <c r="A3" s="107"/>
      <c r="B3" s="108"/>
      <c r="C3" s="2866" t="s">
        <v>716</v>
      </c>
      <c r="D3" s="2867"/>
      <c r="E3" s="2867"/>
      <c r="F3" s="2867"/>
      <c r="G3" s="2867"/>
      <c r="H3" s="2867"/>
      <c r="I3" s="2867"/>
      <c r="J3" s="2867"/>
      <c r="K3" s="2867"/>
      <c r="AY3" s="621">
        <f>+(AY9+AY10+AY11+AY12+AY13+AY14+AY15+AY16+AY17+AY18+AY19+AY20+AY21+AY22+AY23+AY24+AY25+AY26+AY27+AY28+AY29+AY30+AY31+AY32+AY33+AY35+AY36+AY37+AY38+AY39+AY41+AY42+AY43+AY45)/34</f>
        <v>12.732743513901532</v>
      </c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2" ht="27" customHeight="1" thickTop="1" thickBot="1">
      <c r="A5" s="2823" t="s">
        <v>0</v>
      </c>
      <c r="B5" s="2830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1.1" customHeight="1" thickTop="1" thickBot="1">
      <c r="A6" s="2823"/>
      <c r="B6" s="2831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1.1" customHeight="1" thickTop="1" thickBot="1">
      <c r="A7" s="2823"/>
      <c r="B7" s="2832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6" t="s">
        <v>84</v>
      </c>
      <c r="S8" s="16" t="s">
        <v>85</v>
      </c>
      <c r="T8" s="446" t="s">
        <v>86</v>
      </c>
      <c r="U8" s="16" t="s">
        <v>84</v>
      </c>
      <c r="V8" s="16" t="s">
        <v>85</v>
      </c>
      <c r="W8" s="446" t="s">
        <v>86</v>
      </c>
      <c r="X8" s="16" t="s">
        <v>84</v>
      </c>
      <c r="Y8" s="16" t="s">
        <v>85</v>
      </c>
      <c r="Z8" s="446" t="s">
        <v>86</v>
      </c>
      <c r="AA8" s="16" t="s">
        <v>84</v>
      </c>
      <c r="AB8" s="16" t="s">
        <v>85</v>
      </c>
      <c r="AC8" s="446" t="s">
        <v>86</v>
      </c>
      <c r="AD8" s="16" t="s">
        <v>87</v>
      </c>
      <c r="AE8" s="16" t="s">
        <v>6</v>
      </c>
      <c r="AF8" s="13" t="s">
        <v>84</v>
      </c>
      <c r="AG8" s="14" t="s">
        <v>85</v>
      </c>
      <c r="AH8" s="446" t="s">
        <v>86</v>
      </c>
      <c r="AI8" s="16" t="s">
        <v>84</v>
      </c>
      <c r="AJ8" s="13" t="s">
        <v>85</v>
      </c>
      <c r="AK8" s="446" t="s">
        <v>86</v>
      </c>
      <c r="AL8" s="14" t="s">
        <v>84</v>
      </c>
      <c r="AM8" s="16" t="s">
        <v>85</v>
      </c>
      <c r="AN8" s="446" t="s">
        <v>86</v>
      </c>
      <c r="AO8" s="16" t="s">
        <v>84</v>
      </c>
      <c r="AP8" s="16" t="s">
        <v>85</v>
      </c>
      <c r="AQ8" s="446" t="s">
        <v>86</v>
      </c>
      <c r="AR8" s="16" t="s">
        <v>84</v>
      </c>
      <c r="AS8" s="13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4" t="s">
        <v>6</v>
      </c>
    </row>
    <row r="9" spans="1:52" s="22" customFormat="1" ht="45" customHeight="1" thickTop="1" thickBot="1">
      <c r="A9" s="2943" t="s">
        <v>88</v>
      </c>
      <c r="B9" s="3158" t="s">
        <v>89</v>
      </c>
      <c r="C9" s="727" t="s">
        <v>717</v>
      </c>
      <c r="D9" s="623" t="s">
        <v>718</v>
      </c>
      <c r="E9" s="76" t="s">
        <v>91</v>
      </c>
      <c r="F9" s="76" t="s">
        <v>168</v>
      </c>
      <c r="G9" s="79">
        <v>3244</v>
      </c>
      <c r="H9" s="78"/>
      <c r="I9" s="79"/>
      <c r="J9" s="78"/>
      <c r="K9" s="76" t="s">
        <v>655</v>
      </c>
      <c r="L9" s="1692">
        <v>399.35205100000002</v>
      </c>
      <c r="M9" s="1693">
        <v>395.7</v>
      </c>
      <c r="N9" s="19">
        <f>+M9/L9</f>
        <v>0.99085505886133529</v>
      </c>
      <c r="O9" s="1692">
        <v>150.10219900000001</v>
      </c>
      <c r="P9" s="1693">
        <v>12.78</v>
      </c>
      <c r="Q9" s="19">
        <f>+P9/O9</f>
        <v>8.5141990491425096E-2</v>
      </c>
      <c r="R9" s="1692">
        <v>42.229762000000001</v>
      </c>
      <c r="S9" s="1693">
        <v>127.98</v>
      </c>
      <c r="T9" s="19">
        <f>+S9/R9</f>
        <v>3.0305640841641495</v>
      </c>
      <c r="U9" s="1692">
        <v>23.916198999999999</v>
      </c>
      <c r="V9" s="1693">
        <v>12.46</v>
      </c>
      <c r="W9" s="19">
        <f>+V9/U9</f>
        <v>0.52098579711600501</v>
      </c>
      <c r="X9" s="1692">
        <v>22.706199000000002</v>
      </c>
      <c r="Y9" s="1693">
        <v>11.88</v>
      </c>
      <c r="Z9" s="19">
        <f>+Y9/X9</f>
        <v>0.52320513882574538</v>
      </c>
      <c r="AA9" s="1692">
        <v>22.706199000000002</v>
      </c>
      <c r="AB9" s="1693">
        <v>10.86</v>
      </c>
      <c r="AC9" s="19">
        <f>+AB9/AA9</f>
        <v>0.47828348549222172</v>
      </c>
      <c r="AD9" s="1120">
        <f t="shared" ref="AD9:AD18" si="0">+M9+P9+S9+V9+Y9+AB9</f>
        <v>571.66</v>
      </c>
      <c r="AE9" s="19">
        <f t="shared" ref="AE9:AE34" si="1">AD9/G9</f>
        <v>0.17622071516646115</v>
      </c>
      <c r="AF9" s="1692">
        <v>22.706199000000002</v>
      </c>
      <c r="AG9" s="1693">
        <v>18.82</v>
      </c>
      <c r="AH9" s="19">
        <f>+AG9/AF9</f>
        <v>0.82884854484011172</v>
      </c>
      <c r="AI9" s="1692">
        <v>22.706199000000002</v>
      </c>
      <c r="AJ9" s="1693">
        <v>12.7</v>
      </c>
      <c r="AK9" s="19">
        <f>+AJ9/AI9</f>
        <v>0.5593186248389701</v>
      </c>
      <c r="AL9" s="1692">
        <v>22.706199000000002</v>
      </c>
      <c r="AM9" s="1693">
        <v>22.69</v>
      </c>
      <c r="AN9" s="19">
        <f>+AM9/AL9</f>
        <v>0.99928658248789237</v>
      </c>
      <c r="AO9" s="1692">
        <v>22.706202000000001</v>
      </c>
      <c r="AP9" s="1693">
        <v>16.100000000000001</v>
      </c>
      <c r="AQ9" s="19">
        <f>+AP9/AO9</f>
        <v>0.70905737560160875</v>
      </c>
      <c r="AR9" s="1692">
        <v>19.254704</v>
      </c>
      <c r="AS9" s="1693">
        <v>12</v>
      </c>
      <c r="AT9" s="19">
        <f>+AS9/AR9</f>
        <v>0.62322433001307109</v>
      </c>
      <c r="AU9" s="1692">
        <v>2582</v>
      </c>
      <c r="AV9" s="1693">
        <v>2587</v>
      </c>
      <c r="AW9" s="19">
        <f>+AV9/AU9</f>
        <v>1.0019364833462432</v>
      </c>
      <c r="AX9" s="1694">
        <f t="shared" ref="AX9:AX22" si="2">+M9+P9+S9+V9+Y9+AB9+AG9+AJ9+AM9+AP9+AS9+AV9</f>
        <v>3240.9700000000003</v>
      </c>
      <c r="AY9" s="73">
        <f t="shared" ref="AY9:AY39" si="3">+AX9/G9</f>
        <v>0.99906596794081393</v>
      </c>
    </row>
    <row r="10" spans="1:52" s="22" customFormat="1" ht="45" customHeight="1" thickTop="1" thickBot="1">
      <c r="A10" s="2944"/>
      <c r="B10" s="3159"/>
      <c r="C10" s="626" t="s">
        <v>656</v>
      </c>
      <c r="D10" s="627" t="s">
        <v>92</v>
      </c>
      <c r="E10" s="81" t="s">
        <v>93</v>
      </c>
      <c r="F10" s="81" t="s">
        <v>17</v>
      </c>
      <c r="G10" s="634">
        <v>7</v>
      </c>
      <c r="H10" s="82"/>
      <c r="I10" s="629"/>
      <c r="J10" s="82"/>
      <c r="K10" s="81" t="s">
        <v>719</v>
      </c>
      <c r="L10" s="665">
        <v>0</v>
      </c>
      <c r="M10" s="28">
        <v>2</v>
      </c>
      <c r="N10" s="19" t="e">
        <f>+M10/L10</f>
        <v>#DIV/0!</v>
      </c>
      <c r="O10" s="665">
        <v>0</v>
      </c>
      <c r="P10" s="28"/>
      <c r="Q10" s="19" t="e">
        <f>+P10/O10</f>
        <v>#DIV/0!</v>
      </c>
      <c r="R10" s="665">
        <v>0</v>
      </c>
      <c r="S10" s="28">
        <v>2</v>
      </c>
      <c r="T10" s="19" t="e">
        <f>+S10/R10</f>
        <v>#DIV/0!</v>
      </c>
      <c r="U10" s="665">
        <v>0</v>
      </c>
      <c r="V10" s="28"/>
      <c r="W10" s="19" t="e">
        <f>+V10/U10</f>
        <v>#DIV/0!</v>
      </c>
      <c r="X10" s="665">
        <v>0</v>
      </c>
      <c r="Y10" s="28"/>
      <c r="Z10" s="19" t="e">
        <f>+Y10/X10</f>
        <v>#DIV/0!</v>
      </c>
      <c r="AA10" s="665">
        <v>0</v>
      </c>
      <c r="AB10" s="28">
        <v>3</v>
      </c>
      <c r="AC10" s="19" t="e">
        <f>+AB10/AA10</f>
        <v>#DIV/0!</v>
      </c>
      <c r="AD10" s="29">
        <f t="shared" si="0"/>
        <v>7</v>
      </c>
      <c r="AE10" s="19">
        <f t="shared" si="1"/>
        <v>1</v>
      </c>
      <c r="AF10" s="665">
        <v>0</v>
      </c>
      <c r="AG10" s="28"/>
      <c r="AH10" s="19" t="e">
        <f>+AG10/AF10</f>
        <v>#DIV/0!</v>
      </c>
      <c r="AI10" s="665">
        <v>0</v>
      </c>
      <c r="AJ10" s="28"/>
      <c r="AK10" s="19" t="e">
        <f>+AJ10/AI10</f>
        <v>#DIV/0!</v>
      </c>
      <c r="AL10" s="665">
        <v>0</v>
      </c>
      <c r="AM10" s="28"/>
      <c r="AN10" s="19" t="e">
        <f>+AM10/AL10</f>
        <v>#DIV/0!</v>
      </c>
      <c r="AO10" s="665">
        <v>0</v>
      </c>
      <c r="AP10" s="28"/>
      <c r="AQ10" s="19" t="e">
        <f>+AP10/AO10</f>
        <v>#DIV/0!</v>
      </c>
      <c r="AR10" s="665">
        <v>0</v>
      </c>
      <c r="AS10" s="28"/>
      <c r="AT10" s="19" t="e">
        <f>+AS10/AR10</f>
        <v>#DIV/0!</v>
      </c>
      <c r="AU10" s="665">
        <v>0</v>
      </c>
      <c r="AV10" s="28"/>
      <c r="AW10" s="19" t="e">
        <f>+AV10/AU10</f>
        <v>#DIV/0!</v>
      </c>
      <c r="AX10" s="636">
        <f t="shared" si="2"/>
        <v>7</v>
      </c>
      <c r="AY10" s="73">
        <f t="shared" si="3"/>
        <v>1</v>
      </c>
    </row>
    <row r="11" spans="1:52" s="22" customFormat="1" ht="45" customHeight="1" thickTop="1" thickBot="1">
      <c r="A11" s="2944"/>
      <c r="B11" s="3119" t="s">
        <v>94</v>
      </c>
      <c r="C11" s="727" t="s">
        <v>356</v>
      </c>
      <c r="D11" s="623" t="s">
        <v>96</v>
      </c>
      <c r="E11" s="76" t="s">
        <v>97</v>
      </c>
      <c r="F11" s="76" t="s">
        <v>300</v>
      </c>
      <c r="G11" s="1695">
        <f>983264/1000000</f>
        <v>0.98326400000000003</v>
      </c>
      <c r="H11" s="78"/>
      <c r="I11" s="79"/>
      <c r="J11" s="78"/>
      <c r="K11" s="76" t="s">
        <v>20</v>
      </c>
      <c r="L11" s="1694" t="s">
        <v>98</v>
      </c>
      <c r="M11" s="1121"/>
      <c r="N11" s="19" t="e">
        <f>+M11/L11</f>
        <v>#VALUE!</v>
      </c>
      <c r="O11" s="1694" t="s">
        <v>98</v>
      </c>
      <c r="P11" s="1121"/>
      <c r="Q11" s="19" t="e">
        <f>+P11/O11</f>
        <v>#VALUE!</v>
      </c>
      <c r="R11" s="1694" t="s">
        <v>98</v>
      </c>
      <c r="S11" s="1121"/>
      <c r="T11" s="19" t="e">
        <f>+S11/R11</f>
        <v>#VALUE!</v>
      </c>
      <c r="U11" s="1694" t="s">
        <v>98</v>
      </c>
      <c r="V11" s="1121"/>
      <c r="W11" s="19" t="e">
        <f>+V11/U11</f>
        <v>#VALUE!</v>
      </c>
      <c r="X11" s="1694" t="s">
        <v>98</v>
      </c>
      <c r="Y11" s="1121"/>
      <c r="Z11" s="19" t="e">
        <f>+Y11/X11</f>
        <v>#VALUE!</v>
      </c>
      <c r="AA11" s="1692" t="s">
        <v>98</v>
      </c>
      <c r="AB11" s="1693"/>
      <c r="AC11" s="19" t="e">
        <f>+AB11/AA11</f>
        <v>#VALUE!</v>
      </c>
      <c r="AD11" s="1120">
        <f t="shared" si="0"/>
        <v>0</v>
      </c>
      <c r="AE11" s="19">
        <f t="shared" si="1"/>
        <v>0</v>
      </c>
      <c r="AF11" s="1692" t="s">
        <v>98</v>
      </c>
      <c r="AG11" s="1693"/>
      <c r="AH11" s="19" t="e">
        <f>+AG11/AF11</f>
        <v>#VALUE!</v>
      </c>
      <c r="AI11" s="1696" t="s">
        <v>98</v>
      </c>
      <c r="AJ11" s="1697"/>
      <c r="AK11" s="19" t="e">
        <f>+AJ11/AI11</f>
        <v>#VALUE!</v>
      </c>
      <c r="AL11" s="1696" t="s">
        <v>98</v>
      </c>
      <c r="AM11" s="1697"/>
      <c r="AN11" s="19" t="e">
        <f>+AM11/AL11</f>
        <v>#VALUE!</v>
      </c>
      <c r="AO11" s="1696" t="s">
        <v>98</v>
      </c>
      <c r="AP11" s="1697"/>
      <c r="AQ11" s="19" t="e">
        <f>+AP11/AO11</f>
        <v>#VALUE!</v>
      </c>
      <c r="AR11" s="1696" t="s">
        <v>98</v>
      </c>
      <c r="AS11" s="1697"/>
      <c r="AT11" s="19" t="e">
        <f>+AS11/AR11</f>
        <v>#VALUE!</v>
      </c>
      <c r="AU11" s="1696" t="s">
        <v>98</v>
      </c>
      <c r="AV11" s="1697"/>
      <c r="AW11" s="19" t="e">
        <f>+AV11/AU11</f>
        <v>#VALUE!</v>
      </c>
      <c r="AX11" s="1695">
        <f>983264/1000000</f>
        <v>0.98326400000000003</v>
      </c>
      <c r="AY11" s="73">
        <f t="shared" si="3"/>
        <v>1</v>
      </c>
      <c r="AZ11" s="1698"/>
    </row>
    <row r="12" spans="1:52" s="22" customFormat="1" ht="72.75" customHeight="1" thickTop="1" thickBot="1">
      <c r="A12" s="2944"/>
      <c r="B12" s="3160"/>
      <c r="C12" s="2917" t="s">
        <v>328</v>
      </c>
      <c r="D12" s="627" t="s">
        <v>720</v>
      </c>
      <c r="E12" s="81" t="s">
        <v>100</v>
      </c>
      <c r="F12" s="81" t="s">
        <v>101</v>
      </c>
      <c r="G12" s="1699">
        <v>57820000000</v>
      </c>
      <c r="H12" s="82"/>
      <c r="I12" s="629"/>
      <c r="J12" s="82"/>
      <c r="K12" s="81" t="s">
        <v>358</v>
      </c>
      <c r="L12" s="1700">
        <v>4625600000</v>
      </c>
      <c r="M12" s="1701">
        <v>1341223750</v>
      </c>
      <c r="N12" s="19">
        <f t="shared" ref="N12:N41" si="4">+M12/L12</f>
        <v>0.28995670831892079</v>
      </c>
      <c r="O12" s="1700">
        <v>4625600000</v>
      </c>
      <c r="P12" s="1701">
        <v>1342558000</v>
      </c>
      <c r="Q12" s="19">
        <f t="shared" ref="Q12:Q41" si="5">+P12/O12</f>
        <v>0.29024515738498791</v>
      </c>
      <c r="R12" s="1700">
        <v>4625600000</v>
      </c>
      <c r="S12" s="1701">
        <v>874307000</v>
      </c>
      <c r="T12" s="19">
        <f t="shared" ref="T12:T41" si="6">+S12/R12</f>
        <v>0.18901483050847456</v>
      </c>
      <c r="U12" s="1700">
        <v>5203800000</v>
      </c>
      <c r="V12" s="1701">
        <v>1914495000</v>
      </c>
      <c r="W12" s="19">
        <f t="shared" ref="W12:W41" si="7">+V12/U12</f>
        <v>0.36790326300011528</v>
      </c>
      <c r="X12" s="1700">
        <v>5782000000</v>
      </c>
      <c r="Y12" s="1701">
        <v>506639000</v>
      </c>
      <c r="Z12" s="19">
        <f t="shared" ref="Z12:Z41" si="8">+Y12/X12</f>
        <v>8.7623486682808713E-2</v>
      </c>
      <c r="AA12" s="1700">
        <v>5782000000</v>
      </c>
      <c r="AB12" s="1701">
        <v>16251905500</v>
      </c>
      <c r="AC12" s="19">
        <f t="shared" ref="AC12:AC41" si="9">+AB12/AA12</f>
        <v>2.8107757696298861</v>
      </c>
      <c r="AD12" s="1702">
        <f t="shared" si="0"/>
        <v>22231128250</v>
      </c>
      <c r="AE12" s="19">
        <f t="shared" si="1"/>
        <v>0.3844885549982705</v>
      </c>
      <c r="AF12" s="1703">
        <v>5782000000</v>
      </c>
      <c r="AG12" s="1704">
        <v>10292851070</v>
      </c>
      <c r="AH12" s="19">
        <f t="shared" ref="AH12:AH41" si="10">+AG12/AF12</f>
        <v>1.7801541110342443</v>
      </c>
      <c r="AI12" s="1703">
        <v>5782000000</v>
      </c>
      <c r="AJ12" s="1704">
        <v>3244355000</v>
      </c>
      <c r="AK12" s="19">
        <f t="shared" ref="AK12:AK41" si="11">+AJ12/AI12</f>
        <v>0.56111293670010376</v>
      </c>
      <c r="AL12" s="1703">
        <v>5782000000</v>
      </c>
      <c r="AM12" s="1704">
        <v>963612100</v>
      </c>
      <c r="AN12" s="19">
        <f t="shared" ref="AN12:AN41" si="12">+AM12/AL12</f>
        <v>0.16665722933241092</v>
      </c>
      <c r="AO12" s="1703">
        <v>5782000000</v>
      </c>
      <c r="AP12" s="1704">
        <v>3220472840</v>
      </c>
      <c r="AQ12" s="19">
        <f t="shared" ref="AQ12:AQ41" si="13">+AP12/AO12</f>
        <v>0.55698250432376339</v>
      </c>
      <c r="AR12" s="1703">
        <v>2312800000</v>
      </c>
      <c r="AS12" s="1704">
        <v>10616741400</v>
      </c>
      <c r="AT12" s="19">
        <f t="shared" ref="AT12:AT41" si="14">+AS12/AR12</f>
        <v>4.590427793151159</v>
      </c>
      <c r="AU12" s="1703">
        <v>1734600000</v>
      </c>
      <c r="AV12" s="1704">
        <v>16828586687</v>
      </c>
      <c r="AW12" s="19">
        <f t="shared" ref="AW12:AW41" si="15">+AV12/AU12</f>
        <v>9.7017103003574316</v>
      </c>
      <c r="AX12" s="1705">
        <f t="shared" si="2"/>
        <v>67397747347</v>
      </c>
      <c r="AY12" s="73">
        <f t="shared" si="3"/>
        <v>1.1656476538740921</v>
      </c>
    </row>
    <row r="13" spans="1:52" s="22" customFormat="1" ht="39.75" customHeight="1" thickTop="1" thickBot="1">
      <c r="A13" s="2944"/>
      <c r="B13" s="3160"/>
      <c r="C13" s="2918"/>
      <c r="D13" s="623" t="s">
        <v>456</v>
      </c>
      <c r="E13" s="76" t="s">
        <v>195</v>
      </c>
      <c r="F13" s="76" t="s">
        <v>101</v>
      </c>
      <c r="G13" s="1706">
        <v>139805445</v>
      </c>
      <c r="H13" s="78"/>
      <c r="I13" s="79"/>
      <c r="J13" s="78"/>
      <c r="K13" s="76" t="s">
        <v>196</v>
      </c>
      <c r="L13" s="1707">
        <v>4660182</v>
      </c>
      <c r="M13" s="1708">
        <v>0</v>
      </c>
      <c r="N13" s="19">
        <f t="shared" si="4"/>
        <v>0</v>
      </c>
      <c r="O13" s="1707">
        <v>4660182</v>
      </c>
      <c r="P13" s="1708">
        <v>0</v>
      </c>
      <c r="Q13" s="19">
        <f t="shared" si="5"/>
        <v>0</v>
      </c>
      <c r="R13" s="1707">
        <v>4660182</v>
      </c>
      <c r="S13" s="1708">
        <v>0</v>
      </c>
      <c r="T13" s="19">
        <f t="shared" si="6"/>
        <v>0</v>
      </c>
      <c r="U13" s="1707">
        <v>18640726</v>
      </c>
      <c r="V13" s="1708">
        <v>0</v>
      </c>
      <c r="W13" s="19">
        <f t="shared" si="7"/>
        <v>0</v>
      </c>
      <c r="X13" s="1707">
        <v>18640726</v>
      </c>
      <c r="Y13" s="1708">
        <v>0</v>
      </c>
      <c r="Z13" s="19">
        <f t="shared" si="8"/>
        <v>0</v>
      </c>
      <c r="AA13" s="1707">
        <v>18640726</v>
      </c>
      <c r="AB13" s="1708">
        <v>0</v>
      </c>
      <c r="AC13" s="19">
        <f t="shared" si="9"/>
        <v>0</v>
      </c>
      <c r="AD13" s="1120">
        <f t="shared" si="0"/>
        <v>0</v>
      </c>
      <c r="AE13" s="19">
        <f t="shared" si="1"/>
        <v>0</v>
      </c>
      <c r="AF13" s="1709">
        <v>18640726</v>
      </c>
      <c r="AG13" s="1710">
        <v>0</v>
      </c>
      <c r="AH13" s="19">
        <f t="shared" si="10"/>
        <v>0</v>
      </c>
      <c r="AI13" s="1709">
        <v>18640726</v>
      </c>
      <c r="AJ13" s="1710">
        <v>0</v>
      </c>
      <c r="AK13" s="19">
        <f t="shared" si="11"/>
        <v>0</v>
      </c>
      <c r="AL13" s="1709">
        <v>18640726</v>
      </c>
      <c r="AM13" s="1710">
        <v>9368800</v>
      </c>
      <c r="AN13" s="19">
        <v>0.50259845029641015</v>
      </c>
      <c r="AO13" s="1709">
        <v>4660181</v>
      </c>
      <c r="AP13" s="1710">
        <v>48868000</v>
      </c>
      <c r="AQ13" s="19">
        <f t="shared" si="13"/>
        <v>10.486287978943308</v>
      </c>
      <c r="AR13" s="1709">
        <v>4660181</v>
      </c>
      <c r="AS13" s="1710">
        <v>0</v>
      </c>
      <c r="AT13" s="19">
        <f t="shared" si="14"/>
        <v>0</v>
      </c>
      <c r="AU13" s="1709">
        <v>4660181</v>
      </c>
      <c r="AV13" s="1710">
        <v>48868000</v>
      </c>
      <c r="AW13" s="19">
        <f t="shared" si="15"/>
        <v>10.486287978943308</v>
      </c>
      <c r="AX13" s="1705">
        <f t="shared" si="2"/>
        <v>107104800</v>
      </c>
      <c r="AY13" s="73">
        <f t="shared" si="3"/>
        <v>0.76609891696278354</v>
      </c>
    </row>
    <row r="14" spans="1:52" s="22" customFormat="1" ht="128.25" customHeight="1" thickTop="1" thickBot="1">
      <c r="A14" s="2944"/>
      <c r="B14" s="3160"/>
      <c r="C14" s="2918"/>
      <c r="D14" s="627" t="s">
        <v>457</v>
      </c>
      <c r="E14" s="81" t="s">
        <v>198</v>
      </c>
      <c r="F14" s="81" t="s">
        <v>101</v>
      </c>
      <c r="G14" s="1699">
        <v>470957613.81475699</v>
      </c>
      <c r="H14" s="82"/>
      <c r="I14" s="629"/>
      <c r="J14" s="82"/>
      <c r="K14" s="81" t="s">
        <v>140</v>
      </c>
      <c r="L14" s="1711">
        <v>31397174.254317105</v>
      </c>
      <c r="M14" s="1712">
        <v>885000</v>
      </c>
      <c r="N14" s="19">
        <f t="shared" si="4"/>
        <v>2.8187250000000007E-2</v>
      </c>
      <c r="O14" s="1711">
        <v>31397174.254317105</v>
      </c>
      <c r="P14" s="1712">
        <v>23170000</v>
      </c>
      <c r="Q14" s="19">
        <f t="shared" si="5"/>
        <v>0.73796450000000013</v>
      </c>
      <c r="R14" s="1711">
        <v>31397174.254317105</v>
      </c>
      <c r="S14" s="1712">
        <v>0</v>
      </c>
      <c r="T14" s="19">
        <f t="shared" si="6"/>
        <v>0</v>
      </c>
      <c r="U14" s="1711">
        <v>47095761.381475665</v>
      </c>
      <c r="V14" s="1712">
        <v>0</v>
      </c>
      <c r="W14" s="19">
        <f t="shared" si="7"/>
        <v>0</v>
      </c>
      <c r="X14" s="1711">
        <v>47095761.381475665</v>
      </c>
      <c r="Y14" s="1712">
        <v>0</v>
      </c>
      <c r="Z14" s="19">
        <f t="shared" si="8"/>
        <v>0</v>
      </c>
      <c r="AA14" s="1711">
        <v>47095761.381475665</v>
      </c>
      <c r="AB14" s="1712">
        <v>17634000</v>
      </c>
      <c r="AC14" s="19">
        <f t="shared" si="9"/>
        <v>0.3744286</v>
      </c>
      <c r="AD14" s="1713">
        <f t="shared" si="0"/>
        <v>41689000</v>
      </c>
      <c r="AE14" s="19">
        <f t="shared" si="1"/>
        <v>8.8519643333333273E-2</v>
      </c>
      <c r="AF14" s="1714">
        <v>47095761.381475665</v>
      </c>
      <c r="AG14" s="1715">
        <v>0</v>
      </c>
      <c r="AH14" s="19">
        <f t="shared" si="10"/>
        <v>0</v>
      </c>
      <c r="AI14" s="1714">
        <v>47095761.381475665</v>
      </c>
      <c r="AJ14" s="1715">
        <v>2320000</v>
      </c>
      <c r="AK14" s="19">
        <f t="shared" si="11"/>
        <v>4.9261333333333338E-2</v>
      </c>
      <c r="AL14" s="1714">
        <v>47095761.381475665</v>
      </c>
      <c r="AM14" s="1715">
        <v>1722000</v>
      </c>
      <c r="AN14" s="19">
        <f t="shared" si="12"/>
        <v>3.65638E-2</v>
      </c>
      <c r="AO14" s="1714">
        <v>31397174.254317105</v>
      </c>
      <c r="AP14" s="1715">
        <v>24919000</v>
      </c>
      <c r="AQ14" s="19">
        <f t="shared" si="13"/>
        <v>0.79367015000000019</v>
      </c>
      <c r="AR14" s="1714">
        <v>31397174.254317105</v>
      </c>
      <c r="AS14" s="1715">
        <v>747000</v>
      </c>
      <c r="AT14" s="19">
        <f t="shared" si="14"/>
        <v>2.3791950000000006E-2</v>
      </c>
      <c r="AU14" s="1714">
        <v>31397174.254317105</v>
      </c>
      <c r="AV14" s="1715">
        <v>5837000</v>
      </c>
      <c r="AW14" s="19">
        <f t="shared" si="15"/>
        <v>0.18590845000000003</v>
      </c>
      <c r="AX14" s="1705">
        <f t="shared" si="2"/>
        <v>77234000</v>
      </c>
      <c r="AY14" s="73">
        <f t="shared" si="3"/>
        <v>0.16399352666666656</v>
      </c>
    </row>
    <row r="15" spans="1:52" s="22" customFormat="1" ht="72" customHeight="1" thickTop="1" thickBot="1">
      <c r="A15" s="2944"/>
      <c r="B15" s="3160"/>
      <c r="C15" s="2918"/>
      <c r="D15" s="623" t="s">
        <v>102</v>
      </c>
      <c r="E15" s="76" t="s">
        <v>359</v>
      </c>
      <c r="F15" s="76" t="s">
        <v>101</v>
      </c>
      <c r="G15" s="1706">
        <v>43600000000</v>
      </c>
      <c r="H15" s="78"/>
      <c r="I15" s="79"/>
      <c r="J15" s="78"/>
      <c r="K15" s="76" t="s">
        <v>358</v>
      </c>
      <c r="L15" s="1707">
        <v>3488000000</v>
      </c>
      <c r="M15" s="1708">
        <v>5236277100</v>
      </c>
      <c r="N15" s="19">
        <f t="shared" si="4"/>
        <v>1.5012262327981651</v>
      </c>
      <c r="O15" s="1707">
        <v>3488000000</v>
      </c>
      <c r="P15" s="1708">
        <v>4615282000</v>
      </c>
      <c r="Q15" s="19">
        <f t="shared" si="5"/>
        <v>1.3231886467889908</v>
      </c>
      <c r="R15" s="1707">
        <v>3488000000</v>
      </c>
      <c r="S15" s="1708">
        <v>632603000</v>
      </c>
      <c r="T15" s="19">
        <f t="shared" si="6"/>
        <v>0.18136553899082569</v>
      </c>
      <c r="U15" s="1707">
        <v>3924000000</v>
      </c>
      <c r="V15" s="1708">
        <v>1841817000</v>
      </c>
      <c r="W15" s="19">
        <f t="shared" si="7"/>
        <v>0.46937232415902141</v>
      </c>
      <c r="X15" s="1707">
        <v>4360000000</v>
      </c>
      <c r="Y15" s="1708">
        <v>503497000</v>
      </c>
      <c r="Z15" s="19">
        <f t="shared" si="8"/>
        <v>0.11548096330275229</v>
      </c>
      <c r="AA15" s="1707">
        <v>4360000000</v>
      </c>
      <c r="AB15" s="1708">
        <v>15205722500</v>
      </c>
      <c r="AC15" s="19">
        <f t="shared" si="9"/>
        <v>3.4875510321100918</v>
      </c>
      <c r="AD15" s="1120">
        <f t="shared" si="0"/>
        <v>28035198600</v>
      </c>
      <c r="AE15" s="19">
        <f t="shared" si="1"/>
        <v>0.64300914220183492</v>
      </c>
      <c r="AF15" s="1709">
        <v>4360000000</v>
      </c>
      <c r="AG15" s="1710">
        <v>786700000</v>
      </c>
      <c r="AH15" s="19">
        <f t="shared" si="10"/>
        <v>0.18043577981651376</v>
      </c>
      <c r="AI15" s="1709">
        <v>4360000000</v>
      </c>
      <c r="AJ15" s="1710">
        <v>917421000</v>
      </c>
      <c r="AK15" s="19">
        <f t="shared" si="11"/>
        <v>0.21041766055045871</v>
      </c>
      <c r="AL15" s="1709">
        <v>4360000000</v>
      </c>
      <c r="AM15" s="1710">
        <v>690995000</v>
      </c>
      <c r="AN15" s="19">
        <f t="shared" si="12"/>
        <v>0.15848509174311926</v>
      </c>
      <c r="AO15" s="1709">
        <v>4360000000</v>
      </c>
      <c r="AP15" s="1710">
        <v>2424983000</v>
      </c>
      <c r="AQ15" s="19">
        <f t="shared" si="13"/>
        <v>0.55618876146788987</v>
      </c>
      <c r="AR15" s="1709">
        <v>1744000000</v>
      </c>
      <c r="AS15" s="1710">
        <v>2319955000</v>
      </c>
      <c r="AT15" s="19">
        <f t="shared" si="14"/>
        <v>1.3302494266055045</v>
      </c>
      <c r="AU15" s="1709">
        <v>1308000000</v>
      </c>
      <c r="AV15" s="1710">
        <v>8857057000</v>
      </c>
      <c r="AW15" s="19">
        <f t="shared" si="15"/>
        <v>6.7714503058103972</v>
      </c>
      <c r="AX15" s="1694">
        <f t="shared" si="2"/>
        <v>44032309600</v>
      </c>
      <c r="AY15" s="73">
        <f t="shared" si="3"/>
        <v>1.0099153577981652</v>
      </c>
    </row>
    <row r="16" spans="1:52" s="22" customFormat="1" ht="53.25" customHeight="1" thickTop="1" thickBot="1">
      <c r="A16" s="2944"/>
      <c r="B16" s="3160"/>
      <c r="C16" s="2918"/>
      <c r="D16" s="627" t="s">
        <v>459</v>
      </c>
      <c r="E16" s="81" t="s">
        <v>274</v>
      </c>
      <c r="F16" s="81" t="s">
        <v>101</v>
      </c>
      <c r="G16" s="1699">
        <v>10000000</v>
      </c>
      <c r="H16" s="82"/>
      <c r="I16" s="629"/>
      <c r="J16" s="82"/>
      <c r="K16" s="81" t="s">
        <v>196</v>
      </c>
      <c r="L16" s="1711">
        <v>333334</v>
      </c>
      <c r="M16" s="1712">
        <v>2056000</v>
      </c>
      <c r="N16" s="19">
        <f t="shared" si="4"/>
        <v>6.1679876640246718</v>
      </c>
      <c r="O16" s="1711">
        <v>333334</v>
      </c>
      <c r="P16" s="1712">
        <v>0</v>
      </c>
      <c r="Q16" s="19">
        <f t="shared" si="5"/>
        <v>0</v>
      </c>
      <c r="R16" s="1711">
        <v>333334</v>
      </c>
      <c r="S16" s="1712">
        <v>1912000</v>
      </c>
      <c r="T16" s="19">
        <f t="shared" si="6"/>
        <v>5.7359885280229443</v>
      </c>
      <c r="U16" s="1711">
        <v>1333334</v>
      </c>
      <c r="V16" s="1712">
        <v>0</v>
      </c>
      <c r="W16" s="19">
        <f t="shared" si="7"/>
        <v>0</v>
      </c>
      <c r="X16" s="1711">
        <v>1333333</v>
      </c>
      <c r="Y16" s="1712">
        <v>0</v>
      </c>
      <c r="Z16" s="19">
        <f t="shared" si="8"/>
        <v>0</v>
      </c>
      <c r="AA16" s="1711">
        <v>1333333</v>
      </c>
      <c r="AB16" s="1712">
        <v>0</v>
      </c>
      <c r="AC16" s="19">
        <f t="shared" si="9"/>
        <v>0</v>
      </c>
      <c r="AD16" s="1713">
        <f t="shared" si="0"/>
        <v>3968000</v>
      </c>
      <c r="AE16" s="19">
        <f t="shared" si="1"/>
        <v>0.39679999999999999</v>
      </c>
      <c r="AF16" s="1714">
        <v>1333333</v>
      </c>
      <c r="AG16" s="1715">
        <v>2653000</v>
      </c>
      <c r="AH16" s="19">
        <f t="shared" si="10"/>
        <v>1.9897504974376243</v>
      </c>
      <c r="AI16" s="1714">
        <v>1333333</v>
      </c>
      <c r="AJ16" s="1715">
        <v>2742000</v>
      </c>
      <c r="AK16" s="19">
        <f t="shared" si="11"/>
        <v>2.0565005141251285</v>
      </c>
      <c r="AL16" s="1714">
        <v>1333333</v>
      </c>
      <c r="AM16" s="1715">
        <v>14172000</v>
      </c>
      <c r="AN16" s="19">
        <f t="shared" si="12"/>
        <v>10.629002657250664</v>
      </c>
      <c r="AO16" s="1714">
        <v>333333</v>
      </c>
      <c r="AP16" s="1715">
        <v>3860194000</v>
      </c>
      <c r="AQ16" s="19">
        <f t="shared" si="13"/>
        <v>11580.593580593581</v>
      </c>
      <c r="AR16" s="1714">
        <v>333333</v>
      </c>
      <c r="AS16" s="1715">
        <v>19314000</v>
      </c>
      <c r="AT16" s="19">
        <f t="shared" si="14"/>
        <v>57.942057942057943</v>
      </c>
      <c r="AU16" s="1714">
        <v>333333</v>
      </c>
      <c r="AV16" s="1715">
        <v>13460000</v>
      </c>
      <c r="AW16" s="19">
        <f t="shared" si="15"/>
        <v>40.380040380040377</v>
      </c>
      <c r="AX16" s="1705">
        <f t="shared" si="2"/>
        <v>3916503000</v>
      </c>
      <c r="AY16" s="73">
        <f t="shared" si="3"/>
        <v>391.65030000000002</v>
      </c>
    </row>
    <row r="17" spans="1:52" s="22" customFormat="1" ht="63.75" customHeight="1" thickTop="1" thickBot="1">
      <c r="A17" s="2944"/>
      <c r="B17" s="3160"/>
      <c r="C17" s="2918"/>
      <c r="D17" s="623" t="s">
        <v>203</v>
      </c>
      <c r="E17" s="76" t="s">
        <v>274</v>
      </c>
      <c r="F17" s="76" t="s">
        <v>101</v>
      </c>
      <c r="G17" s="1706">
        <v>45999982</v>
      </c>
      <c r="H17" s="78"/>
      <c r="I17" s="79"/>
      <c r="J17" s="78"/>
      <c r="K17" s="76" t="s">
        <v>196</v>
      </c>
      <c r="L17" s="1707">
        <v>1533333</v>
      </c>
      <c r="M17" s="1708"/>
      <c r="N17" s="19">
        <f t="shared" si="4"/>
        <v>0</v>
      </c>
      <c r="O17" s="1707">
        <v>1533333</v>
      </c>
      <c r="P17" s="1708"/>
      <c r="Q17" s="19">
        <f t="shared" si="5"/>
        <v>0</v>
      </c>
      <c r="R17" s="1707">
        <v>1533333</v>
      </c>
      <c r="S17" s="1708"/>
      <c r="T17" s="19">
        <f t="shared" si="6"/>
        <v>0</v>
      </c>
      <c r="U17" s="1707">
        <v>6133331</v>
      </c>
      <c r="V17" s="1708"/>
      <c r="W17" s="19">
        <f t="shared" si="7"/>
        <v>0</v>
      </c>
      <c r="X17" s="1707">
        <v>6133331</v>
      </c>
      <c r="Y17" s="1708"/>
      <c r="Z17" s="19">
        <f t="shared" si="8"/>
        <v>0</v>
      </c>
      <c r="AA17" s="1707">
        <v>6133331</v>
      </c>
      <c r="AB17" s="1708"/>
      <c r="AC17" s="19">
        <f t="shared" si="9"/>
        <v>0</v>
      </c>
      <c r="AD17" s="1120">
        <f t="shared" si="0"/>
        <v>0</v>
      </c>
      <c r="AE17" s="19">
        <f t="shared" si="1"/>
        <v>0</v>
      </c>
      <c r="AF17" s="1709">
        <v>6133331</v>
      </c>
      <c r="AG17" s="1710"/>
      <c r="AH17" s="19">
        <f t="shared" si="10"/>
        <v>0</v>
      </c>
      <c r="AI17" s="1709">
        <v>6133331</v>
      </c>
      <c r="AJ17" s="1710"/>
      <c r="AK17" s="19">
        <f t="shared" si="11"/>
        <v>0</v>
      </c>
      <c r="AL17" s="1709">
        <v>6133331</v>
      </c>
      <c r="AM17" s="1710"/>
      <c r="AN17" s="19">
        <f t="shared" si="12"/>
        <v>0</v>
      </c>
      <c r="AO17" s="1709">
        <v>1533333</v>
      </c>
      <c r="AP17" s="1710"/>
      <c r="AQ17" s="19">
        <f t="shared" si="13"/>
        <v>0</v>
      </c>
      <c r="AR17" s="1709">
        <v>1533332</v>
      </c>
      <c r="AS17" s="1710">
        <v>9638800</v>
      </c>
      <c r="AT17" s="19">
        <f t="shared" si="14"/>
        <v>6.2861793792864171</v>
      </c>
      <c r="AU17" s="1709">
        <v>1533332</v>
      </c>
      <c r="AV17" s="1710"/>
      <c r="AW17" s="19">
        <f t="shared" si="15"/>
        <v>0</v>
      </c>
      <c r="AX17" s="1694">
        <f t="shared" si="2"/>
        <v>9638800</v>
      </c>
      <c r="AY17" s="73">
        <f t="shared" si="3"/>
        <v>0.20953921242838747</v>
      </c>
      <c r="AZ17" s="1698"/>
    </row>
    <row r="18" spans="1:52" s="22" customFormat="1" ht="78" customHeight="1" thickTop="1" thickBot="1">
      <c r="A18" s="2944"/>
      <c r="B18" s="3160"/>
      <c r="C18" s="2918"/>
      <c r="D18" s="627" t="s">
        <v>104</v>
      </c>
      <c r="E18" s="81" t="s">
        <v>105</v>
      </c>
      <c r="F18" s="81" t="s">
        <v>24</v>
      </c>
      <c r="G18" s="634">
        <v>60</v>
      </c>
      <c r="H18" s="82"/>
      <c r="I18" s="629"/>
      <c r="J18" s="82"/>
      <c r="K18" s="81" t="s">
        <v>358</v>
      </c>
      <c r="L18" s="635">
        <v>0</v>
      </c>
      <c r="M18" s="578"/>
      <c r="N18" s="19" t="e">
        <f t="shared" si="4"/>
        <v>#DIV/0!</v>
      </c>
      <c r="O18" s="635">
        <v>0</v>
      </c>
      <c r="P18" s="578"/>
      <c r="Q18" s="19" t="e">
        <f t="shared" si="5"/>
        <v>#DIV/0!</v>
      </c>
      <c r="R18" s="635">
        <v>0</v>
      </c>
      <c r="S18" s="578"/>
      <c r="T18" s="19" t="e">
        <f t="shared" si="6"/>
        <v>#DIV/0!</v>
      </c>
      <c r="U18" s="635">
        <v>0</v>
      </c>
      <c r="V18" s="578"/>
      <c r="W18" s="19" t="e">
        <f t="shared" si="7"/>
        <v>#DIV/0!</v>
      </c>
      <c r="X18" s="635">
        <v>0</v>
      </c>
      <c r="Y18" s="578"/>
      <c r="Z18" s="19" t="e">
        <f t="shared" si="8"/>
        <v>#DIV/0!</v>
      </c>
      <c r="AA18" s="635">
        <v>15</v>
      </c>
      <c r="AB18" s="578">
        <v>7</v>
      </c>
      <c r="AC18" s="19">
        <f t="shared" si="9"/>
        <v>0.46666666666666667</v>
      </c>
      <c r="AD18" s="1498">
        <f t="shared" si="0"/>
        <v>7</v>
      </c>
      <c r="AE18" s="19">
        <f t="shared" si="1"/>
        <v>0.11666666666666667</v>
      </c>
      <c r="AF18" s="676">
        <v>0</v>
      </c>
      <c r="AG18" s="34"/>
      <c r="AH18" s="19" t="e">
        <f t="shared" si="10"/>
        <v>#DIV/0!</v>
      </c>
      <c r="AI18" s="635">
        <v>15</v>
      </c>
      <c r="AJ18" s="578"/>
      <c r="AK18" s="19">
        <f t="shared" si="11"/>
        <v>0</v>
      </c>
      <c r="AL18" s="635">
        <v>0</v>
      </c>
      <c r="AM18" s="578"/>
      <c r="AN18" s="19" t="e">
        <f t="shared" si="12"/>
        <v>#DIV/0!</v>
      </c>
      <c r="AO18" s="635">
        <v>0</v>
      </c>
      <c r="AP18" s="578"/>
      <c r="AQ18" s="19" t="e">
        <f t="shared" si="13"/>
        <v>#DIV/0!</v>
      </c>
      <c r="AR18" s="635">
        <v>0</v>
      </c>
      <c r="AS18" s="578"/>
      <c r="AT18" s="19" t="e">
        <f t="shared" si="14"/>
        <v>#DIV/0!</v>
      </c>
      <c r="AU18" s="635">
        <v>15</v>
      </c>
      <c r="AV18" s="578">
        <v>53</v>
      </c>
      <c r="AW18" s="19">
        <f t="shared" si="15"/>
        <v>3.5333333333333332</v>
      </c>
      <c r="AX18" s="636">
        <f t="shared" si="2"/>
        <v>60</v>
      </c>
      <c r="AY18" s="73">
        <f t="shared" si="3"/>
        <v>1</v>
      </c>
    </row>
    <row r="19" spans="1:52" s="22" customFormat="1" ht="100.5" customHeight="1" thickTop="1" thickBot="1">
      <c r="A19" s="2944"/>
      <c r="B19" s="3160"/>
      <c r="C19" s="2919"/>
      <c r="D19" s="623" t="s">
        <v>106</v>
      </c>
      <c r="E19" s="76" t="s">
        <v>173</v>
      </c>
      <c r="F19" s="76" t="s">
        <v>24</v>
      </c>
      <c r="G19" s="637">
        <v>181</v>
      </c>
      <c r="H19" s="78"/>
      <c r="I19" s="79"/>
      <c r="J19" s="78"/>
      <c r="K19" s="76" t="s">
        <v>358</v>
      </c>
      <c r="L19" s="1716">
        <v>0</v>
      </c>
      <c r="M19" s="1717"/>
      <c r="N19" s="19" t="e">
        <f t="shared" si="4"/>
        <v>#DIV/0!</v>
      </c>
      <c r="O19" s="1716">
        <v>0</v>
      </c>
      <c r="P19" s="1717"/>
      <c r="Q19" s="19" t="e">
        <f t="shared" si="5"/>
        <v>#DIV/0!</v>
      </c>
      <c r="R19" s="1716">
        <v>0</v>
      </c>
      <c r="S19" s="1717"/>
      <c r="T19" s="19" t="e">
        <f t="shared" si="6"/>
        <v>#DIV/0!</v>
      </c>
      <c r="U19" s="1716">
        <v>0</v>
      </c>
      <c r="V19" s="1717"/>
      <c r="W19" s="19" t="e">
        <f t="shared" si="7"/>
        <v>#DIV/0!</v>
      </c>
      <c r="X19" s="1716">
        <v>0</v>
      </c>
      <c r="Y19" s="1717"/>
      <c r="Z19" s="19" t="e">
        <f t="shared" si="8"/>
        <v>#DIV/0!</v>
      </c>
      <c r="AA19" s="1716">
        <v>0</v>
      </c>
      <c r="AB19" s="1717"/>
      <c r="AC19" s="19" t="e">
        <f t="shared" si="9"/>
        <v>#DIV/0!</v>
      </c>
      <c r="AD19" s="561">
        <v>74</v>
      </c>
      <c r="AE19" s="19">
        <f t="shared" si="1"/>
        <v>0.40883977900552487</v>
      </c>
      <c r="AF19" s="1716">
        <v>91</v>
      </c>
      <c r="AG19" s="1717"/>
      <c r="AH19" s="19">
        <f t="shared" si="10"/>
        <v>0</v>
      </c>
      <c r="AI19" s="1716">
        <v>0</v>
      </c>
      <c r="AJ19" s="1717"/>
      <c r="AK19" s="19" t="e">
        <f t="shared" si="11"/>
        <v>#DIV/0!</v>
      </c>
      <c r="AL19" s="1716">
        <v>0</v>
      </c>
      <c r="AM19" s="1717"/>
      <c r="AN19" s="19" t="e">
        <f t="shared" si="12"/>
        <v>#DIV/0!</v>
      </c>
      <c r="AO19" s="1716">
        <v>0</v>
      </c>
      <c r="AP19" s="1717"/>
      <c r="AQ19" s="19" t="e">
        <f t="shared" si="13"/>
        <v>#DIV/0!</v>
      </c>
      <c r="AR19" s="1716">
        <v>0</v>
      </c>
      <c r="AS19" s="1717"/>
      <c r="AT19" s="19" t="e">
        <f t="shared" si="14"/>
        <v>#DIV/0!</v>
      </c>
      <c r="AU19" s="1716">
        <v>90</v>
      </c>
      <c r="AV19" s="1717">
        <v>181</v>
      </c>
      <c r="AW19" s="19">
        <f t="shared" si="15"/>
        <v>2.0111111111111111</v>
      </c>
      <c r="AX19" s="638">
        <f t="shared" si="2"/>
        <v>181</v>
      </c>
      <c r="AY19" s="73">
        <f t="shared" si="3"/>
        <v>1</v>
      </c>
    </row>
    <row r="20" spans="1:52" s="22" customFormat="1" ht="76.5" thickTop="1" thickBot="1">
      <c r="A20" s="2944"/>
      <c r="B20" s="3160"/>
      <c r="C20" s="81" t="s">
        <v>360</v>
      </c>
      <c r="D20" s="627" t="s">
        <v>109</v>
      </c>
      <c r="E20" s="81" t="s">
        <v>110</v>
      </c>
      <c r="F20" s="81" t="s">
        <v>168</v>
      </c>
      <c r="G20" s="1699">
        <v>107728</v>
      </c>
      <c r="H20" s="82"/>
      <c r="I20" s="629"/>
      <c r="J20" s="82"/>
      <c r="K20" s="81" t="s">
        <v>361</v>
      </c>
      <c r="L20" s="1718">
        <v>9519</v>
      </c>
      <c r="M20" s="1719">
        <v>15257</v>
      </c>
      <c r="N20" s="19">
        <f t="shared" si="4"/>
        <v>1.6027944111776447</v>
      </c>
      <c r="O20" s="1718">
        <v>8472</v>
      </c>
      <c r="P20" s="1719">
        <v>10562</v>
      </c>
      <c r="Q20" s="19">
        <f t="shared" si="5"/>
        <v>1.2466949952785646</v>
      </c>
      <c r="R20" s="1718">
        <v>9255</v>
      </c>
      <c r="S20" s="1719">
        <v>5328</v>
      </c>
      <c r="T20" s="19">
        <f t="shared" si="6"/>
        <v>0.57568881685575368</v>
      </c>
      <c r="U20" s="1718">
        <v>7127.3053719237578</v>
      </c>
      <c r="V20" s="1719">
        <v>2901</v>
      </c>
      <c r="W20" s="19">
        <f t="shared" si="7"/>
        <v>0.40702619694502862</v>
      </c>
      <c r="X20" s="1718">
        <v>10868.161092562736</v>
      </c>
      <c r="Y20" s="1719">
        <v>8281</v>
      </c>
      <c r="Z20" s="19">
        <f t="shared" si="8"/>
        <v>0.76195042836334348</v>
      </c>
      <c r="AA20" s="1718">
        <v>13356.152558002012</v>
      </c>
      <c r="AB20" s="1719">
        <v>5206</v>
      </c>
      <c r="AC20" s="19">
        <f t="shared" si="9"/>
        <v>0.38978290921669301</v>
      </c>
      <c r="AD20" s="288">
        <f>+M20+P20+S20+V20+Y20+AB20</f>
        <v>47535</v>
      </c>
      <c r="AE20" s="19">
        <f t="shared" si="1"/>
        <v>0.44125018565275509</v>
      </c>
      <c r="AF20" s="1718">
        <v>7217.3466885325333</v>
      </c>
      <c r="AG20" s="1719">
        <v>6538</v>
      </c>
      <c r="AH20" s="19">
        <f t="shared" si="10"/>
        <v>0.90587306972354109</v>
      </c>
      <c r="AI20" s="1718">
        <v>6950.7145218904825</v>
      </c>
      <c r="AJ20" s="1719">
        <v>4985</v>
      </c>
      <c r="AK20" s="19">
        <f t="shared" si="11"/>
        <v>0.71719245327948822</v>
      </c>
      <c r="AL20" s="1718">
        <v>11326.126062334399</v>
      </c>
      <c r="AM20" s="1719">
        <v>10964</v>
      </c>
      <c r="AN20" s="19">
        <f t="shared" si="12"/>
        <v>0.96802736784480381</v>
      </c>
      <c r="AO20" s="1718">
        <v>10135.88615444286</v>
      </c>
      <c r="AP20" s="1719">
        <v>14751</v>
      </c>
      <c r="AQ20" s="19">
        <f t="shared" si="13"/>
        <v>1.4553241596477677</v>
      </c>
      <c r="AR20" s="1718">
        <v>8319.5299717955622</v>
      </c>
      <c r="AS20" s="1719">
        <v>11807</v>
      </c>
      <c r="AT20" s="19">
        <f t="shared" si="14"/>
        <v>1.4191907523655156</v>
      </c>
      <c r="AU20" s="1718">
        <v>5180.3314542510443</v>
      </c>
      <c r="AV20" s="1719">
        <v>9876.5</v>
      </c>
      <c r="AW20" s="19">
        <f t="shared" si="15"/>
        <v>1.9065382374124384</v>
      </c>
      <c r="AX20" s="1705">
        <f t="shared" si="2"/>
        <v>106456.5</v>
      </c>
      <c r="AY20" s="73">
        <f t="shared" si="3"/>
        <v>0.98819712609535126</v>
      </c>
    </row>
    <row r="21" spans="1:52" s="22" customFormat="1" ht="80.25" customHeight="1" thickTop="1" thickBot="1">
      <c r="A21" s="2944"/>
      <c r="B21" s="3160"/>
      <c r="C21" s="730" t="s">
        <v>362</v>
      </c>
      <c r="D21" s="623" t="s">
        <v>111</v>
      </c>
      <c r="E21" s="76" t="s">
        <v>112</v>
      </c>
      <c r="F21" s="76" t="s">
        <v>17</v>
      </c>
      <c r="G21" s="637">
        <v>422</v>
      </c>
      <c r="H21" s="78"/>
      <c r="I21" s="79"/>
      <c r="J21" s="78"/>
      <c r="K21" s="76" t="s">
        <v>20</v>
      </c>
      <c r="L21" s="625">
        <v>0</v>
      </c>
      <c r="M21" s="59"/>
      <c r="N21" s="19" t="e">
        <f t="shared" si="4"/>
        <v>#DIV/0!</v>
      </c>
      <c r="O21" s="625">
        <v>0</v>
      </c>
      <c r="P21" s="59"/>
      <c r="Q21" s="19" t="e">
        <f t="shared" si="5"/>
        <v>#DIV/0!</v>
      </c>
      <c r="R21" s="625">
        <v>263</v>
      </c>
      <c r="S21" s="59">
        <v>263</v>
      </c>
      <c r="T21" s="19">
        <f t="shared" si="6"/>
        <v>1</v>
      </c>
      <c r="U21" s="625">
        <v>4</v>
      </c>
      <c r="V21" s="59">
        <v>4</v>
      </c>
      <c r="W21" s="19">
        <f t="shared" si="7"/>
        <v>1</v>
      </c>
      <c r="X21" s="625">
        <v>6</v>
      </c>
      <c r="Y21" s="59">
        <v>6</v>
      </c>
      <c r="Z21" s="19">
        <f t="shared" si="8"/>
        <v>1</v>
      </c>
      <c r="AA21" s="625">
        <v>20</v>
      </c>
      <c r="AB21" s="59">
        <v>20</v>
      </c>
      <c r="AC21" s="19">
        <f t="shared" si="9"/>
        <v>1</v>
      </c>
      <c r="AD21" s="60">
        <f>+M21+P21+S21+V21+Y21+AB21</f>
        <v>293</v>
      </c>
      <c r="AE21" s="19">
        <f t="shared" si="1"/>
        <v>0.69431279620853081</v>
      </c>
      <c r="AF21" s="625">
        <v>56</v>
      </c>
      <c r="AG21" s="59">
        <v>56</v>
      </c>
      <c r="AH21" s="19">
        <f t="shared" si="10"/>
        <v>1</v>
      </c>
      <c r="AI21" s="625">
        <v>22</v>
      </c>
      <c r="AJ21" s="59">
        <v>22</v>
      </c>
      <c r="AK21" s="19">
        <f t="shared" si="11"/>
        <v>1</v>
      </c>
      <c r="AL21" s="625">
        <v>22</v>
      </c>
      <c r="AM21" s="59">
        <v>22</v>
      </c>
      <c r="AN21" s="19">
        <f t="shared" si="12"/>
        <v>1</v>
      </c>
      <c r="AO21" s="625">
        <v>11</v>
      </c>
      <c r="AP21" s="59">
        <v>4</v>
      </c>
      <c r="AQ21" s="19">
        <f t="shared" si="13"/>
        <v>0.36363636363636365</v>
      </c>
      <c r="AR21" s="625">
        <v>12</v>
      </c>
      <c r="AS21" s="59">
        <v>12</v>
      </c>
      <c r="AT21" s="19">
        <f t="shared" si="14"/>
        <v>1</v>
      </c>
      <c r="AU21" s="625">
        <v>6</v>
      </c>
      <c r="AV21" s="59">
        <v>6</v>
      </c>
      <c r="AW21" s="19">
        <f t="shared" si="15"/>
        <v>1</v>
      </c>
      <c r="AX21" s="638">
        <f t="shared" si="2"/>
        <v>415</v>
      </c>
      <c r="AY21" s="73">
        <f t="shared" si="3"/>
        <v>0.98341232227488151</v>
      </c>
    </row>
    <row r="22" spans="1:52" s="22" customFormat="1" ht="102" customHeight="1" thickTop="1" thickBot="1">
      <c r="A22" s="2944"/>
      <c r="B22" s="3160"/>
      <c r="C22" s="81" t="s">
        <v>721</v>
      </c>
      <c r="D22" s="627" t="s">
        <v>114</v>
      </c>
      <c r="E22" s="81" t="s">
        <v>115</v>
      </c>
      <c r="F22" s="81" t="s">
        <v>10</v>
      </c>
      <c r="G22" s="642">
        <v>1</v>
      </c>
      <c r="H22" s="82"/>
      <c r="I22" s="629"/>
      <c r="J22" s="82"/>
      <c r="K22" s="81" t="s">
        <v>20</v>
      </c>
      <c r="L22" s="655">
        <v>0</v>
      </c>
      <c r="M22" s="45"/>
      <c r="N22" s="19" t="e">
        <f t="shared" si="4"/>
        <v>#DIV/0!</v>
      </c>
      <c r="O22" s="655">
        <v>0</v>
      </c>
      <c r="P22" s="45"/>
      <c r="Q22" s="19" t="e">
        <f t="shared" si="5"/>
        <v>#DIV/0!</v>
      </c>
      <c r="R22" s="655">
        <v>0.25</v>
      </c>
      <c r="S22" s="45">
        <v>0.25</v>
      </c>
      <c r="T22" s="19">
        <f t="shared" si="6"/>
        <v>1</v>
      </c>
      <c r="U22" s="655">
        <v>0</v>
      </c>
      <c r="V22" s="45"/>
      <c r="W22" s="19" t="e">
        <f t="shared" si="7"/>
        <v>#DIV/0!</v>
      </c>
      <c r="X22" s="655">
        <v>0</v>
      </c>
      <c r="Y22" s="45"/>
      <c r="Z22" s="19" t="e">
        <f t="shared" si="8"/>
        <v>#DIV/0!</v>
      </c>
      <c r="AA22" s="655">
        <v>0.25</v>
      </c>
      <c r="AB22" s="45">
        <v>0.25</v>
      </c>
      <c r="AC22" s="19">
        <f t="shared" si="9"/>
        <v>1</v>
      </c>
      <c r="AD22" s="46">
        <f>+M22+P22+S22+V22+Y22+AB22</f>
        <v>0.5</v>
      </c>
      <c r="AE22" s="19">
        <f t="shared" si="1"/>
        <v>0.5</v>
      </c>
      <c r="AF22" s="655">
        <v>0</v>
      </c>
      <c r="AG22" s="45"/>
      <c r="AH22" s="19" t="e">
        <f t="shared" si="10"/>
        <v>#DIV/0!</v>
      </c>
      <c r="AI22" s="655">
        <v>0</v>
      </c>
      <c r="AJ22" s="45"/>
      <c r="AK22" s="19" t="e">
        <f t="shared" si="11"/>
        <v>#DIV/0!</v>
      </c>
      <c r="AL22" s="655">
        <v>0.25</v>
      </c>
      <c r="AM22" s="45">
        <v>0.25</v>
      </c>
      <c r="AN22" s="19">
        <f t="shared" si="12"/>
        <v>1</v>
      </c>
      <c r="AO22" s="655">
        <v>0</v>
      </c>
      <c r="AP22" s="45"/>
      <c r="AQ22" s="19" t="e">
        <f t="shared" si="13"/>
        <v>#DIV/0!</v>
      </c>
      <c r="AR22" s="655">
        <v>0</v>
      </c>
      <c r="AS22" s="45"/>
      <c r="AT22" s="19" t="e">
        <f t="shared" si="14"/>
        <v>#DIV/0!</v>
      </c>
      <c r="AU22" s="655">
        <v>0.25</v>
      </c>
      <c r="AV22" s="45">
        <v>0.25</v>
      </c>
      <c r="AW22" s="19">
        <f t="shared" si="15"/>
        <v>1</v>
      </c>
      <c r="AX22" s="733">
        <f t="shared" si="2"/>
        <v>1</v>
      </c>
      <c r="AY22" s="73">
        <f t="shared" si="3"/>
        <v>1</v>
      </c>
    </row>
    <row r="23" spans="1:52" s="22" customFormat="1" ht="70.900000000000006" customHeight="1" thickTop="1" thickBot="1">
      <c r="A23" s="2944"/>
      <c r="B23" s="3160"/>
      <c r="C23" s="2936" t="s">
        <v>204</v>
      </c>
      <c r="D23" s="623" t="s">
        <v>205</v>
      </c>
      <c r="E23" s="76" t="s">
        <v>206</v>
      </c>
      <c r="F23" s="76" t="s">
        <v>24</v>
      </c>
      <c r="G23" s="637">
        <v>6</v>
      </c>
      <c r="H23" s="78"/>
      <c r="I23" s="79"/>
      <c r="J23" s="78"/>
      <c r="K23" s="76" t="s">
        <v>196</v>
      </c>
      <c r="L23" s="1111">
        <v>0</v>
      </c>
      <c r="M23" s="1720"/>
      <c r="N23" s="19" t="e">
        <f t="shared" si="4"/>
        <v>#DIV/0!</v>
      </c>
      <c r="O23" s="1111">
        <v>0</v>
      </c>
      <c r="P23" s="1720"/>
      <c r="Q23" s="19" t="e">
        <f t="shared" si="5"/>
        <v>#DIV/0!</v>
      </c>
      <c r="R23" s="1111">
        <v>0</v>
      </c>
      <c r="S23" s="1720"/>
      <c r="T23" s="19" t="e">
        <f t="shared" si="6"/>
        <v>#DIV/0!</v>
      </c>
      <c r="U23" s="1111">
        <v>0</v>
      </c>
      <c r="V23" s="1720"/>
      <c r="W23" s="19" t="e">
        <f t="shared" si="7"/>
        <v>#DIV/0!</v>
      </c>
      <c r="X23" s="1111">
        <v>3</v>
      </c>
      <c r="Y23" s="1720"/>
      <c r="Z23" s="19">
        <f t="shared" si="8"/>
        <v>0</v>
      </c>
      <c r="AA23" s="1111">
        <v>0</v>
      </c>
      <c r="AB23" s="1720"/>
      <c r="AC23" s="19" t="e">
        <f t="shared" si="9"/>
        <v>#DIV/0!</v>
      </c>
      <c r="AD23" s="1111">
        <f>+Y23</f>
        <v>0</v>
      </c>
      <c r="AE23" s="19">
        <f t="shared" si="1"/>
        <v>0</v>
      </c>
      <c r="AF23" s="1111">
        <v>0</v>
      </c>
      <c r="AG23" s="1720"/>
      <c r="AH23" s="19" t="e">
        <f t="shared" si="10"/>
        <v>#DIV/0!</v>
      </c>
      <c r="AI23" s="1111">
        <v>0</v>
      </c>
      <c r="AJ23" s="1720"/>
      <c r="AK23" s="19" t="e">
        <f t="shared" si="11"/>
        <v>#DIV/0!</v>
      </c>
      <c r="AL23" s="1111">
        <v>3</v>
      </c>
      <c r="AM23" s="1720"/>
      <c r="AN23" s="19">
        <f t="shared" si="12"/>
        <v>0</v>
      </c>
      <c r="AO23" s="1111">
        <v>0</v>
      </c>
      <c r="AP23" s="1720"/>
      <c r="AQ23" s="19" t="e">
        <f t="shared" si="13"/>
        <v>#DIV/0!</v>
      </c>
      <c r="AR23" s="1111">
        <v>6</v>
      </c>
      <c r="AS23" s="1720">
        <v>6</v>
      </c>
      <c r="AT23" s="19">
        <f t="shared" si="14"/>
        <v>1</v>
      </c>
      <c r="AU23" s="1111">
        <v>0</v>
      </c>
      <c r="AV23" s="1720">
        <v>0</v>
      </c>
      <c r="AW23" s="19" t="e">
        <f t="shared" si="15"/>
        <v>#DIV/0!</v>
      </c>
      <c r="AX23" s="638">
        <f>+Y23+AM23+AS23</f>
        <v>6</v>
      </c>
      <c r="AY23" s="73">
        <f t="shared" si="3"/>
        <v>1</v>
      </c>
      <c r="AZ23" s="1698"/>
    </row>
    <row r="24" spans="1:52" s="22" customFormat="1" ht="48" customHeight="1" thickTop="1" thickBot="1">
      <c r="A24" s="2944"/>
      <c r="B24" s="3160"/>
      <c r="C24" s="2937"/>
      <c r="D24" s="627" t="s">
        <v>207</v>
      </c>
      <c r="E24" s="81" t="s">
        <v>206</v>
      </c>
      <c r="F24" s="81" t="s">
        <v>24</v>
      </c>
      <c r="G24" s="634">
        <v>3</v>
      </c>
      <c r="H24" s="82"/>
      <c r="I24" s="629"/>
      <c r="J24" s="82"/>
      <c r="K24" s="81" t="s">
        <v>196</v>
      </c>
      <c r="L24" s="1721">
        <v>0</v>
      </c>
      <c r="M24" s="1722">
        <v>0</v>
      </c>
      <c r="N24" s="19" t="e">
        <f t="shared" si="4"/>
        <v>#DIV/0!</v>
      </c>
      <c r="O24" s="1721">
        <v>0</v>
      </c>
      <c r="P24" s="1722">
        <v>0</v>
      </c>
      <c r="Q24" s="19" t="e">
        <f t="shared" si="5"/>
        <v>#DIV/0!</v>
      </c>
      <c r="R24" s="1721">
        <v>0</v>
      </c>
      <c r="S24" s="1722">
        <v>0</v>
      </c>
      <c r="T24" s="19" t="e">
        <f t="shared" si="6"/>
        <v>#DIV/0!</v>
      </c>
      <c r="U24" s="1721">
        <v>0</v>
      </c>
      <c r="V24" s="1722">
        <v>0</v>
      </c>
      <c r="W24" s="19" t="e">
        <f t="shared" si="7"/>
        <v>#DIV/0!</v>
      </c>
      <c r="X24" s="1721">
        <v>1</v>
      </c>
      <c r="Y24" s="1722">
        <v>0</v>
      </c>
      <c r="Z24" s="19">
        <f t="shared" si="8"/>
        <v>0</v>
      </c>
      <c r="AA24" s="1721">
        <v>0</v>
      </c>
      <c r="AB24" s="1722">
        <v>0</v>
      </c>
      <c r="AC24" s="19" t="e">
        <f t="shared" si="9"/>
        <v>#DIV/0!</v>
      </c>
      <c r="AD24" s="1721">
        <f>+Y24</f>
        <v>0</v>
      </c>
      <c r="AE24" s="19">
        <f t="shared" si="1"/>
        <v>0</v>
      </c>
      <c r="AF24" s="1721">
        <v>0</v>
      </c>
      <c r="AG24" s="1722">
        <v>0</v>
      </c>
      <c r="AH24" s="19" t="e">
        <f t="shared" si="10"/>
        <v>#DIV/0!</v>
      </c>
      <c r="AI24" s="1721">
        <v>0</v>
      </c>
      <c r="AJ24" s="1722">
        <v>0</v>
      </c>
      <c r="AK24" s="19" t="e">
        <f t="shared" si="11"/>
        <v>#DIV/0!</v>
      </c>
      <c r="AL24" s="1721">
        <v>0</v>
      </c>
      <c r="AM24" s="1722">
        <v>0</v>
      </c>
      <c r="AN24" s="19" t="e">
        <f t="shared" si="12"/>
        <v>#DIV/0!</v>
      </c>
      <c r="AO24" s="1721">
        <v>2</v>
      </c>
      <c r="AP24" s="1722">
        <v>3</v>
      </c>
      <c r="AQ24" s="19">
        <f t="shared" si="13"/>
        <v>1.5</v>
      </c>
      <c r="AR24" s="1721">
        <v>0</v>
      </c>
      <c r="AS24" s="1722"/>
      <c r="AT24" s="19" t="e">
        <f t="shared" si="14"/>
        <v>#DIV/0!</v>
      </c>
      <c r="AU24" s="1721">
        <v>0</v>
      </c>
      <c r="AV24" s="1722">
        <v>0</v>
      </c>
      <c r="AW24" s="19" t="e">
        <f t="shared" si="15"/>
        <v>#DIV/0!</v>
      </c>
      <c r="AX24" s="636">
        <f>+Y24+AP24</f>
        <v>3</v>
      </c>
      <c r="AY24" s="73">
        <f t="shared" si="3"/>
        <v>1</v>
      </c>
    </row>
    <row r="25" spans="1:52" s="22" customFormat="1" ht="60" customHeight="1" thickTop="1" thickBot="1">
      <c r="A25" s="2944"/>
      <c r="B25" s="3160"/>
      <c r="C25" s="2938"/>
      <c r="D25" s="623" t="s">
        <v>433</v>
      </c>
      <c r="E25" s="76" t="s">
        <v>209</v>
      </c>
      <c r="F25" s="76" t="s">
        <v>10</v>
      </c>
      <c r="G25" s="652">
        <v>0.75</v>
      </c>
      <c r="H25" s="78"/>
      <c r="I25" s="79"/>
      <c r="J25" s="78"/>
      <c r="K25" s="76" t="s">
        <v>196</v>
      </c>
      <c r="L25" s="653">
        <v>0.75</v>
      </c>
      <c r="M25" s="50">
        <v>0.1</v>
      </c>
      <c r="N25" s="19">
        <f t="shared" si="4"/>
        <v>0.13333333333333333</v>
      </c>
      <c r="O25" s="653">
        <v>0.75</v>
      </c>
      <c r="P25" s="50">
        <v>0.02</v>
      </c>
      <c r="Q25" s="19">
        <f t="shared" si="5"/>
        <v>2.6666666666666668E-2</v>
      </c>
      <c r="R25" s="653">
        <v>0.75</v>
      </c>
      <c r="S25" s="50">
        <v>3.3300000000000003E-2</v>
      </c>
      <c r="T25" s="19">
        <f t="shared" si="6"/>
        <v>4.4400000000000002E-2</v>
      </c>
      <c r="U25" s="653">
        <v>0.75</v>
      </c>
      <c r="V25" s="50">
        <v>4.8399999999999999E-2</v>
      </c>
      <c r="W25" s="19">
        <f t="shared" si="7"/>
        <v>6.4533333333333331E-2</v>
      </c>
      <c r="X25" s="653">
        <v>0.75</v>
      </c>
      <c r="Y25" s="50">
        <v>4.8399999999999999E-2</v>
      </c>
      <c r="Z25" s="19">
        <f t="shared" si="8"/>
        <v>6.4533333333333331E-2</v>
      </c>
      <c r="AA25" s="653">
        <v>0.75</v>
      </c>
      <c r="AB25" s="50">
        <v>0.16250000000000001</v>
      </c>
      <c r="AC25" s="19">
        <f t="shared" si="9"/>
        <v>0.21666666666666667</v>
      </c>
      <c r="AD25" s="51">
        <f>(M25+P25+S25+V25+Y25+AB25)/6</f>
        <v>6.8766666666666657E-2</v>
      </c>
      <c r="AE25" s="19">
        <f t="shared" si="1"/>
        <v>9.1688888888888875E-2</v>
      </c>
      <c r="AF25" s="653">
        <v>0.75</v>
      </c>
      <c r="AG25" s="50">
        <v>0.375</v>
      </c>
      <c r="AH25" s="19">
        <f t="shared" si="10"/>
        <v>0.5</v>
      </c>
      <c r="AI25" s="653">
        <v>0.75</v>
      </c>
      <c r="AJ25" s="50">
        <v>0.4</v>
      </c>
      <c r="AK25" s="19">
        <f t="shared" si="11"/>
        <v>0.53333333333333333</v>
      </c>
      <c r="AL25" s="653">
        <v>0.75</v>
      </c>
      <c r="AM25" s="50">
        <v>0.44890000000000002</v>
      </c>
      <c r="AN25" s="19">
        <f t="shared" si="12"/>
        <v>0.59853333333333336</v>
      </c>
      <c r="AO25" s="653">
        <v>0.75</v>
      </c>
      <c r="AP25" s="50">
        <v>0.27429999999999999</v>
      </c>
      <c r="AQ25" s="19">
        <f t="shared" si="13"/>
        <v>0.3657333333333333</v>
      </c>
      <c r="AR25" s="653">
        <v>0.75</v>
      </c>
      <c r="AS25" s="50">
        <v>0.17610000000000001</v>
      </c>
      <c r="AT25" s="19">
        <f t="shared" si="14"/>
        <v>0.23480000000000001</v>
      </c>
      <c r="AU25" s="653">
        <v>0.75</v>
      </c>
      <c r="AV25" s="50">
        <v>0.72089999999999999</v>
      </c>
      <c r="AW25" s="19">
        <f t="shared" si="15"/>
        <v>0.96119999999999994</v>
      </c>
      <c r="AX25" s="656">
        <f>(M25+P25+S25+V25+Y25+AB25+AG25+AJ25+AM25+AP25+AS25+AV25)/12</f>
        <v>0.23398333333333332</v>
      </c>
      <c r="AY25" s="73">
        <f t="shared" si="3"/>
        <v>0.31197777777777774</v>
      </c>
    </row>
    <row r="26" spans="1:52" s="22" customFormat="1" ht="64.5" customHeight="1" thickTop="1" thickBot="1">
      <c r="A26" s="2944"/>
      <c r="B26" s="3160"/>
      <c r="C26" s="81" t="s">
        <v>572</v>
      </c>
      <c r="D26" s="627" t="s">
        <v>573</v>
      </c>
      <c r="E26" s="81" t="s">
        <v>117</v>
      </c>
      <c r="F26" s="81" t="s">
        <v>17</v>
      </c>
      <c r="G26" s="634">
        <v>5657</v>
      </c>
      <c r="H26" s="82"/>
      <c r="I26" s="629"/>
      <c r="J26" s="82"/>
      <c r="K26" s="81" t="s">
        <v>118</v>
      </c>
      <c r="L26" s="665">
        <v>0</v>
      </c>
      <c r="M26" s="28"/>
      <c r="N26" s="19" t="e">
        <f t="shared" si="4"/>
        <v>#DIV/0!</v>
      </c>
      <c r="O26" s="665">
        <v>0</v>
      </c>
      <c r="P26" s="28"/>
      <c r="Q26" s="19" t="e">
        <f t="shared" si="5"/>
        <v>#DIV/0!</v>
      </c>
      <c r="R26" s="665">
        <v>1075</v>
      </c>
      <c r="S26" s="28">
        <v>623</v>
      </c>
      <c r="T26" s="19">
        <f t="shared" si="6"/>
        <v>0.57953488372093021</v>
      </c>
      <c r="U26" s="665">
        <v>873</v>
      </c>
      <c r="V26" s="28">
        <v>88</v>
      </c>
      <c r="W26" s="19">
        <f t="shared" si="7"/>
        <v>0.10080183276059565</v>
      </c>
      <c r="X26" s="665">
        <v>254</v>
      </c>
      <c r="Y26" s="28">
        <v>136</v>
      </c>
      <c r="Z26" s="19">
        <f t="shared" si="8"/>
        <v>0.53543307086614178</v>
      </c>
      <c r="AA26" s="665">
        <v>285</v>
      </c>
      <c r="AB26" s="28">
        <v>174</v>
      </c>
      <c r="AC26" s="19">
        <f t="shared" si="9"/>
        <v>0.61052631578947369</v>
      </c>
      <c r="AD26" s="29">
        <f>+M26+P26+S26+V26+Y26+AB26</f>
        <v>1021</v>
      </c>
      <c r="AE26" s="19">
        <f t="shared" si="1"/>
        <v>0.1804843556655471</v>
      </c>
      <c r="AF26" s="665">
        <v>526</v>
      </c>
      <c r="AG26" s="28">
        <v>509</v>
      </c>
      <c r="AH26" s="19">
        <f t="shared" si="10"/>
        <v>0.96768060836501901</v>
      </c>
      <c r="AI26" s="665">
        <v>803</v>
      </c>
      <c r="AJ26" s="28">
        <v>812</v>
      </c>
      <c r="AK26" s="19">
        <f t="shared" si="11"/>
        <v>1.0112079701120797</v>
      </c>
      <c r="AL26" s="665">
        <v>1090</v>
      </c>
      <c r="AM26" s="28">
        <v>971</v>
      </c>
      <c r="AN26" s="19">
        <f t="shared" si="12"/>
        <v>0.89082568807339446</v>
      </c>
      <c r="AO26" s="665">
        <v>426</v>
      </c>
      <c r="AP26" s="28">
        <v>1031</v>
      </c>
      <c r="AQ26" s="19">
        <f t="shared" si="13"/>
        <v>2.42018779342723</v>
      </c>
      <c r="AR26" s="665">
        <v>293</v>
      </c>
      <c r="AS26" s="28">
        <v>2411</v>
      </c>
      <c r="AT26" s="19">
        <f t="shared" si="14"/>
        <v>8.2286689419795227</v>
      </c>
      <c r="AU26" s="665">
        <v>32</v>
      </c>
      <c r="AV26" s="28">
        <v>618</v>
      </c>
      <c r="AW26" s="19">
        <f t="shared" si="15"/>
        <v>19.3125</v>
      </c>
      <c r="AX26" s="636">
        <f>+M26+P26+S26+V26+Y26+AB26+AG26+AJ26+AM26+AP26+AS26+AV26</f>
        <v>7373</v>
      </c>
      <c r="AY26" s="73">
        <f t="shared" si="3"/>
        <v>1.3033409934594309</v>
      </c>
    </row>
    <row r="27" spans="1:52" s="22" customFormat="1" ht="64.5" customHeight="1" thickTop="1" thickBot="1">
      <c r="A27" s="2944"/>
      <c r="B27" s="3160"/>
      <c r="C27" s="2937" t="s">
        <v>507</v>
      </c>
      <c r="D27" s="623" t="s">
        <v>120</v>
      </c>
      <c r="E27" s="76" t="s">
        <v>121</v>
      </c>
      <c r="F27" s="76" t="s">
        <v>10</v>
      </c>
      <c r="G27" s="729">
        <v>0.64100000000000001</v>
      </c>
      <c r="H27" s="78"/>
      <c r="I27" s="79"/>
      <c r="J27" s="78"/>
      <c r="K27" s="76" t="s">
        <v>7</v>
      </c>
      <c r="L27" s="653">
        <v>0</v>
      </c>
      <c r="M27" s="50">
        <v>0</v>
      </c>
      <c r="N27" s="19" t="e">
        <f t="shared" si="4"/>
        <v>#DIV/0!</v>
      </c>
      <c r="O27" s="653">
        <v>0</v>
      </c>
      <c r="P27" s="50">
        <v>0</v>
      </c>
      <c r="Q27" s="19" t="e">
        <f t="shared" si="5"/>
        <v>#DIV/0!</v>
      </c>
      <c r="R27" s="653">
        <v>0</v>
      </c>
      <c r="S27" s="50"/>
      <c r="T27" s="19" t="e">
        <f t="shared" si="6"/>
        <v>#DIV/0!</v>
      </c>
      <c r="U27" s="653">
        <v>0</v>
      </c>
      <c r="V27" s="50"/>
      <c r="W27" s="19" t="e">
        <f t="shared" si="7"/>
        <v>#DIV/0!</v>
      </c>
      <c r="X27" s="653">
        <v>0</v>
      </c>
      <c r="Y27" s="50"/>
      <c r="Z27" s="19" t="e">
        <f t="shared" si="8"/>
        <v>#DIV/0!</v>
      </c>
      <c r="AA27" s="653">
        <v>0</v>
      </c>
      <c r="AB27" s="653">
        <v>0</v>
      </c>
      <c r="AC27" s="19">
        <v>0</v>
      </c>
      <c r="AD27" s="1500">
        <f>+M27+P27+S27+V27+Y27+AB27</f>
        <v>0</v>
      </c>
      <c r="AE27" s="19">
        <f t="shared" si="1"/>
        <v>0</v>
      </c>
      <c r="AF27" s="653">
        <v>0</v>
      </c>
      <c r="AG27" s="50">
        <v>0</v>
      </c>
      <c r="AH27" s="19" t="e">
        <f t="shared" si="10"/>
        <v>#DIV/0!</v>
      </c>
      <c r="AI27" s="653">
        <v>0</v>
      </c>
      <c r="AJ27" s="50">
        <v>0</v>
      </c>
      <c r="AK27" s="19" t="e">
        <f t="shared" si="11"/>
        <v>#DIV/0!</v>
      </c>
      <c r="AL27" s="653">
        <v>0</v>
      </c>
      <c r="AM27" s="50">
        <v>0</v>
      </c>
      <c r="AN27" s="19" t="e">
        <f t="shared" si="12"/>
        <v>#DIV/0!</v>
      </c>
      <c r="AO27" s="653">
        <v>0</v>
      </c>
      <c r="AP27" s="50">
        <v>0</v>
      </c>
      <c r="AQ27" s="19" t="e">
        <f t="shared" si="13"/>
        <v>#DIV/0!</v>
      </c>
      <c r="AR27" s="653">
        <v>0</v>
      </c>
      <c r="AS27" s="50">
        <v>0</v>
      </c>
      <c r="AT27" s="19" t="e">
        <f t="shared" si="14"/>
        <v>#DIV/0!</v>
      </c>
      <c r="AU27" s="653">
        <v>0.64100000000000001</v>
      </c>
      <c r="AV27" s="50">
        <v>0.44400000000000001</v>
      </c>
      <c r="AW27" s="19">
        <f t="shared" si="15"/>
        <v>0.69266770670826827</v>
      </c>
      <c r="AX27" s="654">
        <f>+AV27</f>
        <v>0.44400000000000001</v>
      </c>
      <c r="AY27" s="73">
        <f t="shared" si="3"/>
        <v>0.69266770670826827</v>
      </c>
      <c r="AZ27" s="1723"/>
    </row>
    <row r="28" spans="1:52" s="22" customFormat="1" ht="71.25" customHeight="1" thickTop="1" thickBot="1">
      <c r="A28" s="2944"/>
      <c r="B28" s="3160"/>
      <c r="C28" s="2937"/>
      <c r="D28" s="627" t="s">
        <v>122</v>
      </c>
      <c r="E28" s="81" t="s">
        <v>123</v>
      </c>
      <c r="F28" s="81" t="s">
        <v>10</v>
      </c>
      <c r="G28" s="642">
        <v>1</v>
      </c>
      <c r="H28" s="82"/>
      <c r="I28" s="629"/>
      <c r="J28" s="82"/>
      <c r="K28" s="81" t="s">
        <v>7</v>
      </c>
      <c r="L28" s="605">
        <v>0</v>
      </c>
      <c r="M28" s="606"/>
      <c r="N28" s="19" t="e">
        <f t="shared" si="4"/>
        <v>#DIV/0!</v>
      </c>
      <c r="O28" s="605">
        <v>0</v>
      </c>
      <c r="P28" s="606"/>
      <c r="Q28" s="19" t="e">
        <f t="shared" si="5"/>
        <v>#DIV/0!</v>
      </c>
      <c r="R28" s="605">
        <v>0</v>
      </c>
      <c r="S28" s="606"/>
      <c r="T28" s="19" t="e">
        <f t="shared" si="6"/>
        <v>#DIV/0!</v>
      </c>
      <c r="U28" s="591">
        <v>1</v>
      </c>
      <c r="V28" s="592">
        <v>0.5</v>
      </c>
      <c r="W28" s="19">
        <f t="shared" si="7"/>
        <v>0.5</v>
      </c>
      <c r="X28" s="605">
        <v>0</v>
      </c>
      <c r="Y28" s="606"/>
      <c r="Z28" s="19" t="e">
        <f t="shared" si="8"/>
        <v>#DIV/0!</v>
      </c>
      <c r="AA28" s="655">
        <v>0</v>
      </c>
      <c r="AB28" s="45"/>
      <c r="AC28" s="19" t="e">
        <f t="shared" si="9"/>
        <v>#DIV/0!</v>
      </c>
      <c r="AD28" s="591">
        <f>+V28</f>
        <v>0.5</v>
      </c>
      <c r="AE28" s="19">
        <f t="shared" si="1"/>
        <v>0.5</v>
      </c>
      <c r="AF28" s="655">
        <v>0</v>
      </c>
      <c r="AG28" s="606"/>
      <c r="AH28" s="19" t="e">
        <f t="shared" si="10"/>
        <v>#DIV/0!</v>
      </c>
      <c r="AI28" s="655">
        <v>0</v>
      </c>
      <c r="AJ28" s="606"/>
      <c r="AK28" s="19" t="e">
        <f t="shared" si="11"/>
        <v>#DIV/0!</v>
      </c>
      <c r="AL28" s="655">
        <v>0</v>
      </c>
      <c r="AM28" s="1724"/>
      <c r="AN28" s="19" t="e">
        <f t="shared" si="12"/>
        <v>#DIV/0!</v>
      </c>
      <c r="AO28" s="591">
        <v>1</v>
      </c>
      <c r="AP28" s="1519">
        <v>0.64</v>
      </c>
      <c r="AQ28" s="19">
        <f t="shared" si="13"/>
        <v>0.64</v>
      </c>
      <c r="AR28" s="655">
        <v>0</v>
      </c>
      <c r="AS28" s="1724"/>
      <c r="AT28" s="19" t="e">
        <f t="shared" si="14"/>
        <v>#DIV/0!</v>
      </c>
      <c r="AU28" s="655">
        <v>0</v>
      </c>
      <c r="AV28" s="655">
        <v>0</v>
      </c>
      <c r="AW28" s="19" t="e">
        <f t="shared" si="15"/>
        <v>#DIV/0!</v>
      </c>
      <c r="AX28" s="733">
        <f>(V28+AP28)/2</f>
        <v>0.57000000000000006</v>
      </c>
      <c r="AY28" s="73">
        <f t="shared" si="3"/>
        <v>0.57000000000000006</v>
      </c>
    </row>
    <row r="29" spans="1:52" s="22" customFormat="1" ht="70.5" customHeight="1" thickTop="1" thickBot="1">
      <c r="A29" s="2944"/>
      <c r="B29" s="3160"/>
      <c r="C29" s="2937"/>
      <c r="D29" s="623" t="s">
        <v>124</v>
      </c>
      <c r="E29" s="76" t="s">
        <v>125</v>
      </c>
      <c r="F29" s="76" t="s">
        <v>10</v>
      </c>
      <c r="G29" s="652">
        <v>1</v>
      </c>
      <c r="H29" s="78"/>
      <c r="I29" s="79"/>
      <c r="J29" s="78"/>
      <c r="K29" s="76" t="s">
        <v>7</v>
      </c>
      <c r="L29" s="1116">
        <v>0</v>
      </c>
      <c r="M29" s="1725"/>
      <c r="N29" s="19" t="e">
        <f t="shared" si="4"/>
        <v>#DIV/0!</v>
      </c>
      <c r="O29" s="1116">
        <v>0</v>
      </c>
      <c r="P29" s="1725"/>
      <c r="Q29" s="19" t="e">
        <f t="shared" si="5"/>
        <v>#DIV/0!</v>
      </c>
      <c r="R29" s="653">
        <v>1</v>
      </c>
      <c r="S29" s="1725">
        <v>0</v>
      </c>
      <c r="T29" s="19">
        <f t="shared" si="6"/>
        <v>0</v>
      </c>
      <c r="U29" s="872">
        <v>0</v>
      </c>
      <c r="V29" s="1726"/>
      <c r="W29" s="19" t="e">
        <f t="shared" si="7"/>
        <v>#DIV/0!</v>
      </c>
      <c r="X29" s="1116">
        <v>0</v>
      </c>
      <c r="Y29" s="1725"/>
      <c r="Z29" s="19" t="e">
        <f t="shared" si="8"/>
        <v>#DIV/0!</v>
      </c>
      <c r="AA29" s="653">
        <v>1</v>
      </c>
      <c r="AB29" s="50">
        <v>1</v>
      </c>
      <c r="AC29" s="19">
        <f t="shared" si="9"/>
        <v>1</v>
      </c>
      <c r="AD29" s="51">
        <f>(S29+AB29)/2</f>
        <v>0.5</v>
      </c>
      <c r="AE29" s="19">
        <f t="shared" si="1"/>
        <v>0.5</v>
      </c>
      <c r="AF29" s="653">
        <v>0</v>
      </c>
      <c r="AG29" s="1725"/>
      <c r="AH29" s="19" t="e">
        <f t="shared" si="10"/>
        <v>#DIV/0!</v>
      </c>
      <c r="AI29" s="653">
        <v>0</v>
      </c>
      <c r="AJ29" s="1725"/>
      <c r="AK29" s="19" t="e">
        <f t="shared" si="11"/>
        <v>#DIV/0!</v>
      </c>
      <c r="AL29" s="872">
        <v>1</v>
      </c>
      <c r="AM29" s="1726">
        <v>0.66</v>
      </c>
      <c r="AN29" s="19">
        <f t="shared" si="12"/>
        <v>0.66</v>
      </c>
      <c r="AO29" s="653">
        <v>0</v>
      </c>
      <c r="AP29" s="50"/>
      <c r="AQ29" s="19" t="e">
        <f t="shared" si="13"/>
        <v>#DIV/0!</v>
      </c>
      <c r="AR29" s="653">
        <v>0</v>
      </c>
      <c r="AS29" s="50"/>
      <c r="AT29" s="19" t="e">
        <f t="shared" si="14"/>
        <v>#DIV/0!</v>
      </c>
      <c r="AU29" s="872">
        <v>1</v>
      </c>
      <c r="AV29" s="1726">
        <v>0</v>
      </c>
      <c r="AW29" s="19">
        <f t="shared" si="15"/>
        <v>0</v>
      </c>
      <c r="AX29" s="656">
        <f>(S29+AB29+AM29+V29)/2</f>
        <v>0.83000000000000007</v>
      </c>
      <c r="AY29" s="73">
        <f>+AX29/G29</f>
        <v>0.83000000000000007</v>
      </c>
    </row>
    <row r="30" spans="1:52" s="22" customFormat="1" ht="53.25" customHeight="1" thickTop="1" thickBot="1">
      <c r="A30" s="2944"/>
      <c r="B30" s="3160"/>
      <c r="C30" s="2937"/>
      <c r="D30" s="627" t="s">
        <v>365</v>
      </c>
      <c r="E30" s="81" t="s">
        <v>127</v>
      </c>
      <c r="F30" s="81" t="s">
        <v>10</v>
      </c>
      <c r="G30" s="642">
        <v>0.7</v>
      </c>
      <c r="H30" s="82"/>
      <c r="I30" s="629"/>
      <c r="J30" s="82"/>
      <c r="K30" s="81" t="s">
        <v>7</v>
      </c>
      <c r="L30" s="1519">
        <v>0.7</v>
      </c>
      <c r="M30" s="1519">
        <v>0.7</v>
      </c>
      <c r="N30" s="19">
        <f t="shared" si="4"/>
        <v>1</v>
      </c>
      <c r="O30" s="1519">
        <v>0.7</v>
      </c>
      <c r="P30" s="1519">
        <v>0.7</v>
      </c>
      <c r="Q30" s="19">
        <f t="shared" si="5"/>
        <v>1</v>
      </c>
      <c r="R30" s="733">
        <v>0.7</v>
      </c>
      <c r="S30" s="1519">
        <v>0.7</v>
      </c>
      <c r="T30" s="19">
        <f t="shared" si="6"/>
        <v>1</v>
      </c>
      <c r="U30" s="43">
        <v>0.7</v>
      </c>
      <c r="V30" s="43">
        <v>0.7</v>
      </c>
      <c r="W30" s="19">
        <f t="shared" si="7"/>
        <v>1</v>
      </c>
      <c r="X30" s="733">
        <v>0.7</v>
      </c>
      <c r="Y30" s="1519">
        <v>0.7</v>
      </c>
      <c r="Z30" s="19">
        <f t="shared" si="8"/>
        <v>1</v>
      </c>
      <c r="AA30" s="733">
        <v>0.7</v>
      </c>
      <c r="AB30" s="1519">
        <v>0.7</v>
      </c>
      <c r="AC30" s="19">
        <f t="shared" si="9"/>
        <v>1</v>
      </c>
      <c r="AD30" s="46">
        <f>(M30+P30+S30+V30+Y30+AB30)/6</f>
        <v>0.70000000000000007</v>
      </c>
      <c r="AE30" s="19">
        <f t="shared" si="1"/>
        <v>1.0000000000000002</v>
      </c>
      <c r="AF30" s="591">
        <v>0.7</v>
      </c>
      <c r="AG30" s="592">
        <v>0.7</v>
      </c>
      <c r="AH30" s="19">
        <f t="shared" si="10"/>
        <v>1</v>
      </c>
      <c r="AI30" s="591">
        <v>0.7</v>
      </c>
      <c r="AJ30" s="592">
        <v>0.7</v>
      </c>
      <c r="AK30" s="19">
        <f t="shared" si="11"/>
        <v>1</v>
      </c>
      <c r="AL30" s="591">
        <v>0.7</v>
      </c>
      <c r="AM30" s="592">
        <v>0.7</v>
      </c>
      <c r="AN30" s="19">
        <f t="shared" si="12"/>
        <v>1</v>
      </c>
      <c r="AO30" s="591">
        <v>0.7</v>
      </c>
      <c r="AP30" s="592">
        <v>0.7</v>
      </c>
      <c r="AQ30" s="19">
        <f t="shared" si="13"/>
        <v>1</v>
      </c>
      <c r="AR30" s="591">
        <v>0.7</v>
      </c>
      <c r="AS30" s="592">
        <v>0.7</v>
      </c>
      <c r="AT30" s="19">
        <f t="shared" si="14"/>
        <v>1</v>
      </c>
      <c r="AU30" s="591">
        <v>0.7</v>
      </c>
      <c r="AV30" s="592">
        <v>0.7</v>
      </c>
      <c r="AW30" s="19">
        <f t="shared" si="15"/>
        <v>1</v>
      </c>
      <c r="AX30" s="733">
        <f>(M30+P30+S30+V30+Y30+AB30+AG30+AJ30+AM30+AP30+AS30+AV30)/12</f>
        <v>0.70000000000000007</v>
      </c>
      <c r="AY30" s="73">
        <f t="shared" si="3"/>
        <v>1.0000000000000002</v>
      </c>
    </row>
    <row r="31" spans="1:52" s="22" customFormat="1" ht="72" customHeight="1" thickTop="1" thickBot="1">
      <c r="A31" s="2944"/>
      <c r="B31" s="3160"/>
      <c r="C31" s="2937"/>
      <c r="D31" s="623" t="s">
        <v>128</v>
      </c>
      <c r="E31" s="76" t="s">
        <v>129</v>
      </c>
      <c r="F31" s="76" t="s">
        <v>10</v>
      </c>
      <c r="G31" s="652">
        <v>1</v>
      </c>
      <c r="H31" s="78"/>
      <c r="I31" s="79"/>
      <c r="J31" s="78"/>
      <c r="K31" s="76" t="s">
        <v>7</v>
      </c>
      <c r="L31" s="656">
        <v>1</v>
      </c>
      <c r="M31" s="656">
        <v>1</v>
      </c>
      <c r="N31" s="19">
        <f t="shared" si="4"/>
        <v>1</v>
      </c>
      <c r="O31" s="656">
        <v>1</v>
      </c>
      <c r="P31" s="656">
        <v>1</v>
      </c>
      <c r="Q31" s="19">
        <f t="shared" si="5"/>
        <v>1</v>
      </c>
      <c r="R31" s="656">
        <v>1</v>
      </c>
      <c r="S31" s="656">
        <v>1</v>
      </c>
      <c r="T31" s="19">
        <f t="shared" si="6"/>
        <v>1</v>
      </c>
      <c r="U31" s="656">
        <v>1</v>
      </c>
      <c r="V31" s="656">
        <v>1</v>
      </c>
      <c r="W31" s="19">
        <f t="shared" si="7"/>
        <v>1</v>
      </c>
      <c r="X31" s="656">
        <v>1</v>
      </c>
      <c r="Y31" s="656">
        <v>1</v>
      </c>
      <c r="Z31" s="19">
        <f t="shared" si="8"/>
        <v>1</v>
      </c>
      <c r="AA31" s="656">
        <v>1</v>
      </c>
      <c r="AB31" s="656">
        <v>1</v>
      </c>
      <c r="AC31" s="19">
        <f t="shared" si="9"/>
        <v>1</v>
      </c>
      <c r="AD31" s="51">
        <f>(M31+P31+S31+V31+Y31+AB31)/6</f>
        <v>1</v>
      </c>
      <c r="AE31" s="19">
        <f t="shared" si="1"/>
        <v>1</v>
      </c>
      <c r="AF31" s="656">
        <v>1</v>
      </c>
      <c r="AG31" s="656">
        <v>1</v>
      </c>
      <c r="AH31" s="19">
        <f t="shared" si="10"/>
        <v>1</v>
      </c>
      <c r="AI31" s="656">
        <v>1</v>
      </c>
      <c r="AJ31" s="656">
        <v>1</v>
      </c>
      <c r="AK31" s="19">
        <f t="shared" si="11"/>
        <v>1</v>
      </c>
      <c r="AL31" s="656">
        <v>1</v>
      </c>
      <c r="AM31" s="1726">
        <v>1</v>
      </c>
      <c r="AN31" s="19">
        <f t="shared" si="12"/>
        <v>1</v>
      </c>
      <c r="AO31" s="656">
        <v>1</v>
      </c>
      <c r="AP31" s="1726">
        <v>1</v>
      </c>
      <c r="AQ31" s="19">
        <f t="shared" si="13"/>
        <v>1</v>
      </c>
      <c r="AR31" s="656">
        <v>1</v>
      </c>
      <c r="AS31" s="1726">
        <v>1</v>
      </c>
      <c r="AT31" s="19">
        <f t="shared" si="14"/>
        <v>1</v>
      </c>
      <c r="AU31" s="656">
        <v>1</v>
      </c>
      <c r="AV31" s="1726">
        <v>1</v>
      </c>
      <c r="AW31" s="19">
        <f t="shared" si="15"/>
        <v>1</v>
      </c>
      <c r="AX31" s="733">
        <f>(M31+P31+S31+V31+Y31+AB31+AG31+AJ31+AM31+AP31+AS31+AV31)/12</f>
        <v>1</v>
      </c>
      <c r="AY31" s="73">
        <f t="shared" si="3"/>
        <v>1</v>
      </c>
      <c r="AZ31" s="1698"/>
    </row>
    <row r="32" spans="1:52" s="22" customFormat="1" ht="65.25" customHeight="1" thickTop="1" thickBot="1">
      <c r="A32" s="2944"/>
      <c r="B32" s="3160"/>
      <c r="C32" s="2937"/>
      <c r="D32" s="627" t="s">
        <v>179</v>
      </c>
      <c r="E32" s="81" t="s">
        <v>131</v>
      </c>
      <c r="F32" s="81" t="s">
        <v>10</v>
      </c>
      <c r="G32" s="642">
        <v>1</v>
      </c>
      <c r="H32" s="82"/>
      <c r="I32" s="629"/>
      <c r="J32" s="82"/>
      <c r="K32" s="81" t="s">
        <v>7</v>
      </c>
      <c r="L32" s="733">
        <v>1</v>
      </c>
      <c r="M32" s="606">
        <v>0</v>
      </c>
      <c r="N32" s="19">
        <f t="shared" si="4"/>
        <v>0</v>
      </c>
      <c r="O32" s="591">
        <v>1</v>
      </c>
      <c r="P32" s="606">
        <v>0</v>
      </c>
      <c r="Q32" s="19">
        <f t="shared" si="5"/>
        <v>0</v>
      </c>
      <c r="R32" s="591">
        <v>1</v>
      </c>
      <c r="S32" s="606"/>
      <c r="T32" s="19">
        <f t="shared" si="6"/>
        <v>0</v>
      </c>
      <c r="U32" s="591">
        <v>1</v>
      </c>
      <c r="V32" s="592">
        <v>0</v>
      </c>
      <c r="W32" s="19">
        <f t="shared" si="7"/>
        <v>0</v>
      </c>
      <c r="X32" s="733">
        <v>1</v>
      </c>
      <c r="Y32" s="45">
        <v>0.1333</v>
      </c>
      <c r="Z32" s="19">
        <f t="shared" si="8"/>
        <v>0.1333</v>
      </c>
      <c r="AA32" s="655">
        <v>1</v>
      </c>
      <c r="AB32" s="45">
        <v>0.18329999999999999</v>
      </c>
      <c r="AC32" s="19">
        <f t="shared" si="9"/>
        <v>0.18329999999999999</v>
      </c>
      <c r="AD32" s="46">
        <f>(M32+P32+S32+V32+Y32+AB32)/6</f>
        <v>5.2766666666666663E-2</v>
      </c>
      <c r="AE32" s="19">
        <f t="shared" si="1"/>
        <v>5.2766666666666663E-2</v>
      </c>
      <c r="AF32" s="591">
        <v>1</v>
      </c>
      <c r="AG32" s="592">
        <v>0.2167</v>
      </c>
      <c r="AH32" s="19">
        <f t="shared" si="10"/>
        <v>0.2167</v>
      </c>
      <c r="AI32" s="591">
        <v>1</v>
      </c>
      <c r="AJ32" s="592">
        <v>0.25</v>
      </c>
      <c r="AK32" s="19">
        <f t="shared" si="11"/>
        <v>0.25</v>
      </c>
      <c r="AL32" s="591">
        <v>1</v>
      </c>
      <c r="AM32" s="592">
        <v>0.2833</v>
      </c>
      <c r="AN32" s="19">
        <f t="shared" si="12"/>
        <v>0.2833</v>
      </c>
      <c r="AO32" s="591">
        <v>1</v>
      </c>
      <c r="AP32" s="592">
        <v>0.2833</v>
      </c>
      <c r="AQ32" s="19">
        <f t="shared" si="13"/>
        <v>0.2833</v>
      </c>
      <c r="AR32" s="591">
        <v>1</v>
      </c>
      <c r="AS32" s="592">
        <v>0.31669999999999998</v>
      </c>
      <c r="AT32" s="19">
        <f t="shared" si="14"/>
        <v>0.31669999999999998</v>
      </c>
      <c r="AU32" s="591">
        <v>1</v>
      </c>
      <c r="AV32" s="592">
        <v>0.36670000000000003</v>
      </c>
      <c r="AW32" s="19">
        <f t="shared" si="15"/>
        <v>0.36670000000000003</v>
      </c>
      <c r="AX32" s="733">
        <f>+AV32</f>
        <v>0.36670000000000003</v>
      </c>
      <c r="AY32" s="73">
        <f t="shared" si="3"/>
        <v>0.36670000000000003</v>
      </c>
    </row>
    <row r="33" spans="1:52" s="22" customFormat="1" ht="72" customHeight="1" thickTop="1" thickBot="1">
      <c r="A33" s="2944"/>
      <c r="B33" s="3160"/>
      <c r="C33" s="2938"/>
      <c r="D33" s="623" t="s">
        <v>440</v>
      </c>
      <c r="E33" s="76" t="s">
        <v>133</v>
      </c>
      <c r="F33" s="76" t="s">
        <v>10</v>
      </c>
      <c r="G33" s="652">
        <v>1</v>
      </c>
      <c r="H33" s="78"/>
      <c r="I33" s="79"/>
      <c r="J33" s="78"/>
      <c r="K33" s="76" t="s">
        <v>7</v>
      </c>
      <c r="L33" s="1727">
        <v>0</v>
      </c>
      <c r="M33" s="1728"/>
      <c r="N33" s="19" t="e">
        <f t="shared" si="4"/>
        <v>#DIV/0!</v>
      </c>
      <c r="O33" s="1727">
        <v>0</v>
      </c>
      <c r="P33" s="1728"/>
      <c r="Q33" s="19" t="e">
        <f t="shared" si="5"/>
        <v>#DIV/0!</v>
      </c>
      <c r="R33" s="1727">
        <v>0</v>
      </c>
      <c r="S33" s="1728"/>
      <c r="T33" s="19" t="e">
        <f t="shared" si="6"/>
        <v>#DIV/0!</v>
      </c>
      <c r="U33" s="653">
        <v>0</v>
      </c>
      <c r="V33" s="50"/>
      <c r="W33" s="19" t="e">
        <f t="shared" si="7"/>
        <v>#DIV/0!</v>
      </c>
      <c r="X33" s="1727">
        <v>0</v>
      </c>
      <c r="Y33" s="1728"/>
      <c r="Z33" s="19" t="e">
        <f t="shared" si="8"/>
        <v>#DIV/0!</v>
      </c>
      <c r="AA33" s="653">
        <v>0</v>
      </c>
      <c r="AB33" s="50"/>
      <c r="AC33" s="19" t="e">
        <f t="shared" si="9"/>
        <v>#DIV/0!</v>
      </c>
      <c r="AD33" s="51">
        <f>+M33+P33+S33+V33+Y33+AB33</f>
        <v>0</v>
      </c>
      <c r="AE33" s="19">
        <f t="shared" si="1"/>
        <v>0</v>
      </c>
      <c r="AF33" s="653">
        <v>0</v>
      </c>
      <c r="AG33" s="50"/>
      <c r="AH33" s="19" t="e">
        <f t="shared" si="10"/>
        <v>#DIV/0!</v>
      </c>
      <c r="AI33" s="653">
        <v>1</v>
      </c>
      <c r="AJ33" s="50">
        <v>0.16600000000000001</v>
      </c>
      <c r="AK33" s="19">
        <f t="shared" si="11"/>
        <v>0.16600000000000001</v>
      </c>
      <c r="AL33" s="653">
        <v>0</v>
      </c>
      <c r="AM33" s="50"/>
      <c r="AN33" s="19" t="e">
        <f t="shared" si="12"/>
        <v>#DIV/0!</v>
      </c>
      <c r="AO33" s="653">
        <v>0</v>
      </c>
      <c r="AP33" s="50"/>
      <c r="AQ33" s="19" t="e">
        <f t="shared" si="13"/>
        <v>#DIV/0!</v>
      </c>
      <c r="AR33" s="653">
        <v>0</v>
      </c>
      <c r="AS33" s="50"/>
      <c r="AT33" s="19" t="e">
        <f t="shared" si="14"/>
        <v>#DIV/0!</v>
      </c>
      <c r="AU33" s="653">
        <v>0</v>
      </c>
      <c r="AV33" s="50">
        <v>0</v>
      </c>
      <c r="AW33" s="19" t="e">
        <f t="shared" si="15"/>
        <v>#DIV/0!</v>
      </c>
      <c r="AX33" s="656">
        <f>AJ33</f>
        <v>0.16600000000000001</v>
      </c>
      <c r="AY33" s="73">
        <f t="shared" si="3"/>
        <v>0.16600000000000001</v>
      </c>
    </row>
    <row r="34" spans="1:52" s="22" customFormat="1" ht="65.25" customHeight="1" thickTop="1" thickBot="1">
      <c r="A34" s="2944"/>
      <c r="B34" s="3161"/>
      <c r="C34" s="661" t="s">
        <v>221</v>
      </c>
      <c r="D34" s="627" t="s">
        <v>539</v>
      </c>
      <c r="E34" s="81" t="s">
        <v>22</v>
      </c>
      <c r="F34" s="81" t="s">
        <v>300</v>
      </c>
      <c r="G34" s="634" t="s">
        <v>136</v>
      </c>
      <c r="H34" s="82"/>
      <c r="I34" s="629"/>
      <c r="J34" s="82"/>
      <c r="K34" s="81" t="s">
        <v>23</v>
      </c>
      <c r="L34" s="1718">
        <v>0</v>
      </c>
      <c r="M34" s="1719"/>
      <c r="N34" s="19" t="e">
        <f t="shared" si="4"/>
        <v>#DIV/0!</v>
      </c>
      <c r="O34" s="1718">
        <v>0</v>
      </c>
      <c r="P34" s="1719"/>
      <c r="Q34" s="19" t="e">
        <f t="shared" si="5"/>
        <v>#DIV/0!</v>
      </c>
      <c r="R34" s="1718">
        <v>0</v>
      </c>
      <c r="S34" s="1719"/>
      <c r="T34" s="19" t="e">
        <f t="shared" si="6"/>
        <v>#DIV/0!</v>
      </c>
      <c r="U34" s="1718">
        <v>0</v>
      </c>
      <c r="V34" s="1719"/>
      <c r="W34" s="19" t="e">
        <f t="shared" si="7"/>
        <v>#DIV/0!</v>
      </c>
      <c r="X34" s="1718">
        <v>0</v>
      </c>
      <c r="Y34" s="1719"/>
      <c r="Z34" s="19" t="e">
        <f t="shared" si="8"/>
        <v>#DIV/0!</v>
      </c>
      <c r="AA34" s="1718">
        <v>0</v>
      </c>
      <c r="AB34" s="1719"/>
      <c r="AC34" s="19" t="e">
        <f t="shared" si="9"/>
        <v>#DIV/0!</v>
      </c>
      <c r="AD34" s="288">
        <f>+M34+P34+S34+V34+Y34+AB34</f>
        <v>0</v>
      </c>
      <c r="AE34" s="19" t="e">
        <f t="shared" si="1"/>
        <v>#VALUE!</v>
      </c>
      <c r="AF34" s="1718">
        <v>0</v>
      </c>
      <c r="AG34" s="1719"/>
      <c r="AH34" s="19" t="e">
        <f t="shared" si="10"/>
        <v>#DIV/0!</v>
      </c>
      <c r="AI34" s="1718">
        <v>0</v>
      </c>
      <c r="AJ34" s="1719"/>
      <c r="AK34" s="19" t="e">
        <f t="shared" si="11"/>
        <v>#DIV/0!</v>
      </c>
      <c r="AL34" s="1718">
        <v>0</v>
      </c>
      <c r="AM34" s="1719"/>
      <c r="AN34" s="19" t="e">
        <f t="shared" si="12"/>
        <v>#DIV/0!</v>
      </c>
      <c r="AO34" s="1718">
        <v>0</v>
      </c>
      <c r="AP34" s="1719"/>
      <c r="AQ34" s="19" t="e">
        <f t="shared" si="13"/>
        <v>#DIV/0!</v>
      </c>
      <c r="AR34" s="1718">
        <v>0</v>
      </c>
      <c r="AS34" s="1719"/>
      <c r="AT34" s="19" t="e">
        <f t="shared" si="14"/>
        <v>#DIV/0!</v>
      </c>
      <c r="AU34" s="1718">
        <v>0</v>
      </c>
      <c r="AV34" s="1719"/>
      <c r="AW34" s="19" t="e">
        <f t="shared" si="15"/>
        <v>#DIV/0!</v>
      </c>
      <c r="AX34" s="1705">
        <f>+M34+P34+S34+V34+Y34+AB34+AG34+AJ34+AM34+AP34+AS34+AV34</f>
        <v>0</v>
      </c>
      <c r="AY34" s="73"/>
      <c r="AZ34" s="1698" t="s">
        <v>722</v>
      </c>
    </row>
    <row r="35" spans="1:52" s="22" customFormat="1" ht="160.5" customHeight="1" thickTop="1" thickBot="1">
      <c r="A35" s="2944"/>
      <c r="B35" s="3121" t="s">
        <v>137</v>
      </c>
      <c r="C35" s="1729" t="s">
        <v>723</v>
      </c>
      <c r="D35" s="111" t="s">
        <v>245</v>
      </c>
      <c r="E35" s="177" t="s">
        <v>246</v>
      </c>
      <c r="F35" s="177" t="s">
        <v>10</v>
      </c>
      <c r="G35" s="888">
        <v>0.1</v>
      </c>
      <c r="H35" s="88"/>
      <c r="I35" s="81"/>
      <c r="J35" s="81"/>
      <c r="K35" s="179" t="s">
        <v>244</v>
      </c>
      <c r="L35" s="653">
        <v>0</v>
      </c>
      <c r="M35" s="50"/>
      <c r="N35" s="19" t="e">
        <f t="shared" si="4"/>
        <v>#DIV/0!</v>
      </c>
      <c r="O35" s="653">
        <v>0</v>
      </c>
      <c r="P35" s="50"/>
      <c r="Q35" s="19" t="e">
        <f t="shared" si="5"/>
        <v>#DIV/0!</v>
      </c>
      <c r="R35" s="653">
        <v>0</v>
      </c>
      <c r="S35" s="50"/>
      <c r="T35" s="19" t="e">
        <f t="shared" si="6"/>
        <v>#DIV/0!</v>
      </c>
      <c r="U35" s="653">
        <v>0</v>
      </c>
      <c r="V35" s="50"/>
      <c r="W35" s="19" t="e">
        <f t="shared" si="7"/>
        <v>#DIV/0!</v>
      </c>
      <c r="X35" s="653">
        <v>0</v>
      </c>
      <c r="Y35" s="50"/>
      <c r="Z35" s="19" t="e">
        <f t="shared" si="8"/>
        <v>#DIV/0!</v>
      </c>
      <c r="AA35" s="653">
        <v>0</v>
      </c>
      <c r="AB35" s="50"/>
      <c r="AC35" s="19" t="e">
        <f t="shared" si="9"/>
        <v>#DIV/0!</v>
      </c>
      <c r="AD35" s="51">
        <f>+M35+P35+S35+V35+Y35+AB35</f>
        <v>0</v>
      </c>
      <c r="AE35" s="19">
        <f>AD35/50%</f>
        <v>0</v>
      </c>
      <c r="AF35" s="653">
        <v>0</v>
      </c>
      <c r="AG35" s="50"/>
      <c r="AH35" s="19" t="e">
        <f t="shared" si="10"/>
        <v>#DIV/0!</v>
      </c>
      <c r="AI35" s="653">
        <v>0</v>
      </c>
      <c r="AJ35" s="50"/>
      <c r="AK35" s="19" t="e">
        <f t="shared" si="11"/>
        <v>#DIV/0!</v>
      </c>
      <c r="AL35" s="653">
        <v>0</v>
      </c>
      <c r="AM35" s="50"/>
      <c r="AN35" s="19" t="e">
        <f t="shared" si="12"/>
        <v>#DIV/0!</v>
      </c>
      <c r="AO35" s="653">
        <v>0</v>
      </c>
      <c r="AP35" s="50"/>
      <c r="AQ35" s="19" t="e">
        <f t="shared" si="13"/>
        <v>#DIV/0!</v>
      </c>
      <c r="AR35" s="653">
        <v>0</v>
      </c>
      <c r="AS35" s="50"/>
      <c r="AT35" s="19" t="e">
        <f t="shared" si="14"/>
        <v>#DIV/0!</v>
      </c>
      <c r="AU35" s="653">
        <v>0.1</v>
      </c>
      <c r="AV35" s="50">
        <v>0.1</v>
      </c>
      <c r="AW35" s="19">
        <f t="shared" si="15"/>
        <v>1</v>
      </c>
      <c r="AX35" s="656">
        <f>AV35</f>
        <v>0.1</v>
      </c>
      <c r="AY35" s="73">
        <f t="shared" si="3"/>
        <v>1</v>
      </c>
      <c r="AZ35" s="1698"/>
    </row>
    <row r="36" spans="1:52" s="22" customFormat="1" ht="160.5" customHeight="1" thickTop="1" thickBot="1">
      <c r="A36" s="2944"/>
      <c r="B36" s="3122"/>
      <c r="C36" s="3156" t="s">
        <v>723</v>
      </c>
      <c r="D36" s="627" t="s">
        <v>290</v>
      </c>
      <c r="E36" s="81" t="s">
        <v>251</v>
      </c>
      <c r="F36" s="81" t="s">
        <v>24</v>
      </c>
      <c r="G36" s="634">
        <v>16</v>
      </c>
      <c r="H36" s="82"/>
      <c r="I36" s="629"/>
      <c r="J36" s="82"/>
      <c r="K36" s="81" t="s">
        <v>249</v>
      </c>
      <c r="L36" s="605">
        <v>0</v>
      </c>
      <c r="M36" s="606">
        <v>2</v>
      </c>
      <c r="N36" s="19" t="e">
        <f t="shared" si="4"/>
        <v>#DIV/0!</v>
      </c>
      <c r="O36" s="605">
        <v>0</v>
      </c>
      <c r="P36" s="606">
        <v>2</v>
      </c>
      <c r="Q36" s="19" t="e">
        <f t="shared" si="5"/>
        <v>#DIV/0!</v>
      </c>
      <c r="R36" s="605">
        <v>0</v>
      </c>
      <c r="S36" s="606"/>
      <c r="T36" s="19" t="e">
        <f t="shared" si="6"/>
        <v>#DIV/0!</v>
      </c>
      <c r="U36" s="605">
        <v>0</v>
      </c>
      <c r="V36" s="606"/>
      <c r="W36" s="19" t="e">
        <f t="shared" si="7"/>
        <v>#DIV/0!</v>
      </c>
      <c r="X36" s="1730">
        <v>2</v>
      </c>
      <c r="Y36" s="606"/>
      <c r="Z36" s="19">
        <f t="shared" si="8"/>
        <v>0</v>
      </c>
      <c r="AA36" s="1730">
        <v>2</v>
      </c>
      <c r="AB36" s="606"/>
      <c r="AC36" s="19">
        <f t="shared" si="9"/>
        <v>0</v>
      </c>
      <c r="AD36" s="1731">
        <f>+M36+P36+S36+V36+Y36+AB36</f>
        <v>4</v>
      </c>
      <c r="AE36" s="19">
        <f>AD36/G36</f>
        <v>0.25</v>
      </c>
      <c r="AF36" s="1730">
        <v>2</v>
      </c>
      <c r="AG36" s="606"/>
      <c r="AH36" s="19">
        <f t="shared" si="10"/>
        <v>0</v>
      </c>
      <c r="AI36" s="1730">
        <v>2</v>
      </c>
      <c r="AJ36" s="606"/>
      <c r="AK36" s="19">
        <f t="shared" si="11"/>
        <v>0</v>
      </c>
      <c r="AL36" s="1730">
        <v>2</v>
      </c>
      <c r="AM36" s="606">
        <v>2</v>
      </c>
      <c r="AN36" s="19">
        <f t="shared" si="12"/>
        <v>1</v>
      </c>
      <c r="AO36" s="1730">
        <v>2</v>
      </c>
      <c r="AP36" s="606">
        <v>4</v>
      </c>
      <c r="AQ36" s="19">
        <f t="shared" si="13"/>
        <v>2</v>
      </c>
      <c r="AR36" s="1732">
        <v>2</v>
      </c>
      <c r="AS36" s="606">
        <v>4</v>
      </c>
      <c r="AT36" s="19">
        <f t="shared" si="14"/>
        <v>2</v>
      </c>
      <c r="AU36" s="1730">
        <v>2</v>
      </c>
      <c r="AV36" s="606">
        <v>2</v>
      </c>
      <c r="AW36" s="19">
        <f t="shared" si="15"/>
        <v>1</v>
      </c>
      <c r="AX36" s="636">
        <f>+M36+P36+S36+V36+Y36+AB36+AG36+AJ36+AM36+AP36+AS36+AV36</f>
        <v>16</v>
      </c>
      <c r="AY36" s="73">
        <f t="shared" si="3"/>
        <v>1</v>
      </c>
    </row>
    <row r="37" spans="1:52" s="22" customFormat="1" ht="160.5" customHeight="1" thickTop="1" thickBot="1">
      <c r="A37" s="2944"/>
      <c r="B37" s="3122"/>
      <c r="C37" s="3157"/>
      <c r="D37" s="623" t="s">
        <v>724</v>
      </c>
      <c r="E37" s="76" t="s">
        <v>253</v>
      </c>
      <c r="F37" s="76" t="s">
        <v>24</v>
      </c>
      <c r="G37" s="637">
        <v>120</v>
      </c>
      <c r="H37" s="78"/>
      <c r="I37" s="79"/>
      <c r="J37" s="78"/>
      <c r="K37" s="76" t="s">
        <v>249</v>
      </c>
      <c r="L37" s="1116">
        <v>0</v>
      </c>
      <c r="M37" s="1725">
        <v>20</v>
      </c>
      <c r="N37" s="19" t="e">
        <f t="shared" si="4"/>
        <v>#DIV/0!</v>
      </c>
      <c r="O37" s="1116">
        <v>0</v>
      </c>
      <c r="P37" s="1725">
        <v>20</v>
      </c>
      <c r="Q37" s="19" t="e">
        <f t="shared" si="5"/>
        <v>#DIV/0!</v>
      </c>
      <c r="R37" s="1116">
        <v>0</v>
      </c>
      <c r="S37" s="1725">
        <v>18</v>
      </c>
      <c r="T37" s="19" t="e">
        <f t="shared" si="6"/>
        <v>#DIV/0!</v>
      </c>
      <c r="U37" s="1116">
        <v>0</v>
      </c>
      <c r="V37" s="1725">
        <v>51</v>
      </c>
      <c r="W37" s="19" t="e">
        <f t="shared" si="7"/>
        <v>#DIV/0!</v>
      </c>
      <c r="X37" s="1733">
        <v>15</v>
      </c>
      <c r="Y37" s="1725">
        <v>56</v>
      </c>
      <c r="Z37" s="19">
        <f t="shared" si="8"/>
        <v>3.7333333333333334</v>
      </c>
      <c r="AA37" s="1733">
        <v>15</v>
      </c>
      <c r="AB37" s="1725">
        <v>57</v>
      </c>
      <c r="AC37" s="19">
        <f t="shared" si="9"/>
        <v>3.8</v>
      </c>
      <c r="AD37" s="1116">
        <f>+Y37+AB37</f>
        <v>113</v>
      </c>
      <c r="AE37" s="19">
        <f>AD37/G37</f>
        <v>0.94166666666666665</v>
      </c>
      <c r="AF37" s="1733">
        <v>15</v>
      </c>
      <c r="AG37" s="1725">
        <v>64</v>
      </c>
      <c r="AH37" s="19">
        <f t="shared" si="10"/>
        <v>4.2666666666666666</v>
      </c>
      <c r="AI37" s="1733">
        <v>15</v>
      </c>
      <c r="AJ37" s="1725">
        <v>10</v>
      </c>
      <c r="AK37" s="19">
        <f t="shared" si="11"/>
        <v>0.66666666666666663</v>
      </c>
      <c r="AL37" s="1733">
        <v>15</v>
      </c>
      <c r="AM37" s="1725">
        <v>0</v>
      </c>
      <c r="AN37" s="19">
        <f t="shared" si="12"/>
        <v>0</v>
      </c>
      <c r="AO37" s="1733">
        <v>15</v>
      </c>
      <c r="AP37" s="1725">
        <v>0</v>
      </c>
      <c r="AQ37" s="19">
        <f t="shared" si="13"/>
        <v>0</v>
      </c>
      <c r="AR37" s="1734">
        <v>15</v>
      </c>
      <c r="AS37" s="1725">
        <v>6</v>
      </c>
      <c r="AT37" s="19">
        <f t="shared" si="14"/>
        <v>0.4</v>
      </c>
      <c r="AU37" s="1733">
        <v>15</v>
      </c>
      <c r="AV37" s="1725">
        <v>7</v>
      </c>
      <c r="AW37" s="19">
        <f t="shared" si="15"/>
        <v>0.46666666666666667</v>
      </c>
      <c r="AX37" s="638">
        <f>+Y37+AB37+AG37+AJ37+AM37+AP37+AS37+AV37</f>
        <v>200</v>
      </c>
      <c r="AY37" s="73">
        <f t="shared" si="3"/>
        <v>1.6666666666666667</v>
      </c>
    </row>
    <row r="38" spans="1:52" s="22" customFormat="1" ht="127.5" customHeight="1" thickTop="1" thickBot="1">
      <c r="A38" s="2944"/>
      <c r="B38" s="3122"/>
      <c r="C38" s="661" t="s">
        <v>725</v>
      </c>
      <c r="D38" s="627" t="s">
        <v>467</v>
      </c>
      <c r="E38" s="81" t="s">
        <v>139</v>
      </c>
      <c r="F38" s="81" t="s">
        <v>101</v>
      </c>
      <c r="G38" s="1699">
        <f>L38+O38+R38+U38+X38+AA38+AF38+AI38+AL38+AO38+AR38+AU38</f>
        <v>2150000000</v>
      </c>
      <c r="H38" s="82"/>
      <c r="I38" s="629"/>
      <c r="J38" s="82"/>
      <c r="K38" s="81" t="s">
        <v>140</v>
      </c>
      <c r="L38" s="1718">
        <v>180000000</v>
      </c>
      <c r="M38" s="1719">
        <v>186523399</v>
      </c>
      <c r="N38" s="19">
        <f t="shared" si="4"/>
        <v>1.0362411055555556</v>
      </c>
      <c r="O38" s="1718">
        <v>180000000</v>
      </c>
      <c r="P38" s="1719">
        <v>144066874</v>
      </c>
      <c r="Q38" s="19">
        <f t="shared" si="5"/>
        <v>0.80037152222222219</v>
      </c>
      <c r="R38" s="1718">
        <v>180000000</v>
      </c>
      <c r="S38" s="1719">
        <v>88202601</v>
      </c>
      <c r="T38" s="19">
        <f t="shared" si="6"/>
        <v>0.49001444999999999</v>
      </c>
      <c r="U38" s="1718">
        <v>357000000</v>
      </c>
      <c r="V38" s="1719">
        <v>415602758</v>
      </c>
      <c r="W38" s="19">
        <f t="shared" si="7"/>
        <v>1.1641533837535014</v>
      </c>
      <c r="X38" s="1718">
        <v>357000000</v>
      </c>
      <c r="Y38" s="1719">
        <v>0</v>
      </c>
      <c r="Z38" s="19">
        <f t="shared" si="8"/>
        <v>0</v>
      </c>
      <c r="AA38" s="1718">
        <v>357000000</v>
      </c>
      <c r="AB38" s="1719">
        <v>77199417</v>
      </c>
      <c r="AC38" s="19">
        <f t="shared" si="9"/>
        <v>0.2162448655462185</v>
      </c>
      <c r="AD38" s="288">
        <f>+M38+P38+S38+V38+Y38+AB38</f>
        <v>911595049</v>
      </c>
      <c r="AE38" s="19">
        <f>AD38/G38</f>
        <v>0.4239976972093023</v>
      </c>
      <c r="AF38" s="1718">
        <v>357000000</v>
      </c>
      <c r="AG38" s="1719">
        <v>96043897</v>
      </c>
      <c r="AH38" s="19">
        <f t="shared" si="10"/>
        <v>0.2690305238095238</v>
      </c>
      <c r="AI38" s="1718">
        <v>36400000</v>
      </c>
      <c r="AJ38" s="1719">
        <v>71618949</v>
      </c>
      <c r="AK38" s="19">
        <f t="shared" si="11"/>
        <v>1.9675535439560439</v>
      </c>
      <c r="AL38" s="1718">
        <v>36400000</v>
      </c>
      <c r="AM38" s="1719">
        <v>59874674</v>
      </c>
      <c r="AN38" s="19">
        <f t="shared" si="12"/>
        <v>1.6449086263736263</v>
      </c>
      <c r="AO38" s="1718">
        <v>36400000</v>
      </c>
      <c r="AP38" s="1719">
        <v>119096599</v>
      </c>
      <c r="AQ38" s="19">
        <f t="shared" si="13"/>
        <v>3.2718845879120879</v>
      </c>
      <c r="AR38" s="1718">
        <v>36400000</v>
      </c>
      <c r="AS38" s="1719">
        <v>257832004</v>
      </c>
      <c r="AT38" s="19">
        <f t="shared" si="14"/>
        <v>7.0832968131868128</v>
      </c>
      <c r="AU38" s="1718">
        <v>36400000</v>
      </c>
      <c r="AV38" s="1719">
        <v>235366662</v>
      </c>
      <c r="AW38" s="19">
        <f t="shared" si="15"/>
        <v>6.4661170879120879</v>
      </c>
      <c r="AX38" s="1705">
        <f>+M38+P38+S38+V38+Y38+AB38+AG38+AJ38+AM38+AP38+AS38+AV38</f>
        <v>1751427834</v>
      </c>
      <c r="AY38" s="73">
        <f t="shared" si="3"/>
        <v>0.81461759720930238</v>
      </c>
    </row>
    <row r="39" spans="1:52" s="22" customFormat="1" ht="127.5" customHeight="1" thickTop="1" thickBot="1">
      <c r="A39" s="2945"/>
      <c r="B39" s="3123"/>
      <c r="C39" s="76" t="s">
        <v>510</v>
      </c>
      <c r="D39" s="623" t="s">
        <v>419</v>
      </c>
      <c r="E39" s="76" t="s">
        <v>231</v>
      </c>
      <c r="F39" s="76" t="s">
        <v>101</v>
      </c>
      <c r="G39" s="1706">
        <v>158059885</v>
      </c>
      <c r="H39" s="78"/>
      <c r="I39" s="79"/>
      <c r="J39" s="78"/>
      <c r="K39" s="76" t="s">
        <v>140</v>
      </c>
      <c r="L39" s="1692">
        <v>10537325.666666666</v>
      </c>
      <c r="M39" s="1693">
        <v>73892091</v>
      </c>
      <c r="N39" s="19">
        <f t="shared" si="4"/>
        <v>7.0124140922916656</v>
      </c>
      <c r="O39" s="1692">
        <v>10537325.666666666</v>
      </c>
      <c r="P39" s="1693">
        <v>75758621</v>
      </c>
      <c r="Q39" s="19">
        <f t="shared" si="5"/>
        <v>7.1895491699237919</v>
      </c>
      <c r="R39" s="1692">
        <v>10537325.666666666</v>
      </c>
      <c r="S39" s="1693">
        <v>5854783</v>
      </c>
      <c r="T39" s="19">
        <f t="shared" si="6"/>
        <v>0.55562323735715746</v>
      </c>
      <c r="U39" s="1692">
        <v>15805988.5</v>
      </c>
      <c r="V39" s="1693">
        <v>3798000</v>
      </c>
      <c r="W39" s="19">
        <f t="shared" si="7"/>
        <v>0.24028867286598368</v>
      </c>
      <c r="X39" s="1692">
        <v>15805988.5</v>
      </c>
      <c r="Y39" s="1693">
        <v>27488003</v>
      </c>
      <c r="Z39" s="19">
        <f t="shared" si="8"/>
        <v>1.7390878779900416</v>
      </c>
      <c r="AA39" s="1692">
        <v>15805988.5</v>
      </c>
      <c r="AB39" s="1693">
        <v>30823563</v>
      </c>
      <c r="AC39" s="19">
        <f t="shared" si="9"/>
        <v>1.9501192854847389</v>
      </c>
      <c r="AD39" s="1120">
        <f>+M39+P39+S39+V39+Y39+AB39</f>
        <v>217615061</v>
      </c>
      <c r="AE39" s="19">
        <f>AD39/G39</f>
        <v>1.376788683605584</v>
      </c>
      <c r="AF39" s="1692">
        <v>15805988.5</v>
      </c>
      <c r="AG39" s="1693">
        <v>62652650</v>
      </c>
      <c r="AH39" s="19">
        <f t="shared" si="10"/>
        <v>3.963855218545806</v>
      </c>
      <c r="AI39" s="1692">
        <v>15805988.5</v>
      </c>
      <c r="AJ39" s="1693">
        <v>95282781</v>
      </c>
      <c r="AK39" s="19">
        <f t="shared" si="11"/>
        <v>6.028270930350228</v>
      </c>
      <c r="AL39" s="1692">
        <v>15805988.5</v>
      </c>
      <c r="AM39" s="1693">
        <v>188295807</v>
      </c>
      <c r="AN39" s="19">
        <f t="shared" si="12"/>
        <v>11.912940908441126</v>
      </c>
      <c r="AO39" s="1692">
        <v>10537325.666666666</v>
      </c>
      <c r="AP39" s="1693">
        <v>175547482</v>
      </c>
      <c r="AQ39" s="19">
        <f t="shared" si="13"/>
        <v>16.659585890499667</v>
      </c>
      <c r="AR39" s="1692">
        <v>10537325.666666666</v>
      </c>
      <c r="AS39" s="1693">
        <v>151926347</v>
      </c>
      <c r="AT39" s="19">
        <f t="shared" si="14"/>
        <v>14.41792270695376</v>
      </c>
      <c r="AU39" s="1692">
        <v>10537325.666666666</v>
      </c>
      <c r="AV39" s="1693">
        <v>117474017</v>
      </c>
      <c r="AW39" s="19">
        <f t="shared" si="15"/>
        <v>11.148371106305691</v>
      </c>
      <c r="AX39" s="1694">
        <f>+M39+P39+S39+V39+Y39+AB39+AG39+AJ39+AM39+AP39+AS39+AV39</f>
        <v>1008794145</v>
      </c>
      <c r="AY39" s="73">
        <f t="shared" si="3"/>
        <v>6.3823540362565749</v>
      </c>
    </row>
    <row r="40" spans="1:52" s="22" customFormat="1" ht="22.5" thickTop="1" thickBot="1">
      <c r="A40" s="2857" t="s">
        <v>141</v>
      </c>
      <c r="B40" s="2858"/>
      <c r="C40" s="2858"/>
      <c r="D40" s="2858"/>
      <c r="E40" s="2858"/>
      <c r="F40" s="2858"/>
      <c r="G40" s="2858"/>
      <c r="H40" s="2858"/>
      <c r="I40" s="2858"/>
      <c r="J40" s="2858"/>
      <c r="K40" s="2859"/>
      <c r="L40" s="55"/>
      <c r="M40" s="56"/>
      <c r="N40" s="1735"/>
      <c r="O40" s="55"/>
      <c r="P40" s="56"/>
      <c r="Q40" s="1735"/>
      <c r="R40" s="55"/>
      <c r="S40" s="56"/>
      <c r="T40" s="1735"/>
      <c r="U40" s="55"/>
      <c r="V40" s="56"/>
      <c r="W40" s="1735"/>
      <c r="X40" s="55"/>
      <c r="Y40" s="56"/>
      <c r="Z40" s="1735"/>
      <c r="AA40" s="55"/>
      <c r="AB40" s="56"/>
      <c r="AC40" s="1735"/>
      <c r="AD40" s="55"/>
      <c r="AE40" s="1735"/>
      <c r="AF40" s="55"/>
      <c r="AG40" s="56"/>
      <c r="AH40" s="1735"/>
      <c r="AI40" s="55"/>
      <c r="AJ40" s="56"/>
      <c r="AK40" s="1735"/>
      <c r="AL40" s="55"/>
      <c r="AM40" s="56"/>
      <c r="AN40" s="1735"/>
      <c r="AO40" s="55"/>
      <c r="AP40" s="56"/>
      <c r="AQ40" s="1735"/>
      <c r="AR40" s="55"/>
      <c r="AS40" s="56"/>
      <c r="AT40" s="1735"/>
      <c r="AU40" s="55"/>
      <c r="AV40" s="56"/>
      <c r="AW40" s="1735"/>
      <c r="AX40" s="1735"/>
      <c r="AY40" s="1735"/>
    </row>
    <row r="41" spans="1:52" s="22" customFormat="1" ht="119.25" customHeight="1" thickTop="1" thickBot="1">
      <c r="A41" s="2905" t="s">
        <v>181</v>
      </c>
      <c r="B41" s="2863" t="s">
        <v>314</v>
      </c>
      <c r="C41" s="81" t="s">
        <v>366</v>
      </c>
      <c r="D41" s="627" t="s">
        <v>144</v>
      </c>
      <c r="E41" s="661" t="s">
        <v>145</v>
      </c>
      <c r="F41" s="661" t="s">
        <v>17</v>
      </c>
      <c r="G41" s="1736">
        <v>140</v>
      </c>
      <c r="H41" s="663"/>
      <c r="I41" s="664"/>
      <c r="J41" s="663"/>
      <c r="K41" s="661" t="s">
        <v>146</v>
      </c>
      <c r="L41" s="665">
        <v>0</v>
      </c>
      <c r="M41" s="28"/>
      <c r="N41" s="19" t="e">
        <f t="shared" si="4"/>
        <v>#DIV/0!</v>
      </c>
      <c r="O41" s="665">
        <v>0</v>
      </c>
      <c r="P41" s="28"/>
      <c r="Q41" s="19" t="e">
        <f t="shared" si="5"/>
        <v>#DIV/0!</v>
      </c>
      <c r="R41" s="665">
        <v>0</v>
      </c>
      <c r="S41" s="28"/>
      <c r="T41" s="19" t="e">
        <f t="shared" si="6"/>
        <v>#DIV/0!</v>
      </c>
      <c r="U41" s="665">
        <v>28</v>
      </c>
      <c r="V41" s="28">
        <v>63</v>
      </c>
      <c r="W41" s="19">
        <f t="shared" si="7"/>
        <v>2.25</v>
      </c>
      <c r="X41" s="665">
        <v>0</v>
      </c>
      <c r="Y41" s="28"/>
      <c r="Z41" s="19" t="e">
        <f t="shared" si="8"/>
        <v>#DIV/0!</v>
      </c>
      <c r="AA41" s="665">
        <v>0</v>
      </c>
      <c r="AB41" s="28"/>
      <c r="AC41" s="19" t="e">
        <f t="shared" si="9"/>
        <v>#DIV/0!</v>
      </c>
      <c r="AD41" s="29">
        <f>+M41+P41+S41+V41+Y41+AB41</f>
        <v>63</v>
      </c>
      <c r="AE41" s="19">
        <f>AD41/G41</f>
        <v>0.45</v>
      </c>
      <c r="AF41" s="665">
        <v>0</v>
      </c>
      <c r="AG41" s="28"/>
      <c r="AH41" s="19" t="e">
        <f t="shared" si="10"/>
        <v>#DIV/0!</v>
      </c>
      <c r="AI41" s="665">
        <v>42</v>
      </c>
      <c r="AJ41" s="28">
        <v>550</v>
      </c>
      <c r="AK41" s="19">
        <f t="shared" si="11"/>
        <v>13.095238095238095</v>
      </c>
      <c r="AL41" s="665">
        <v>0</v>
      </c>
      <c r="AM41" s="28"/>
      <c r="AN41" s="19" t="e">
        <f t="shared" si="12"/>
        <v>#DIV/0!</v>
      </c>
      <c r="AO41" s="665">
        <v>0</v>
      </c>
      <c r="AP41" s="28"/>
      <c r="AQ41" s="19" t="e">
        <f t="shared" si="13"/>
        <v>#DIV/0!</v>
      </c>
      <c r="AR41" s="665">
        <v>0</v>
      </c>
      <c r="AS41" s="28"/>
      <c r="AT41" s="19" t="e">
        <f t="shared" si="14"/>
        <v>#DIV/0!</v>
      </c>
      <c r="AU41" s="665">
        <v>70</v>
      </c>
      <c r="AV41" s="28">
        <v>439</v>
      </c>
      <c r="AW41" s="19">
        <f t="shared" si="15"/>
        <v>6.2714285714285714</v>
      </c>
      <c r="AX41" s="636">
        <f>+M41+P41+S41+V41+Y41+AB41+AG41+AJ41+AM41+AP41+AS41+AV41</f>
        <v>1052</v>
      </c>
      <c r="AY41" s="73">
        <f>+AX41/G41</f>
        <v>7.5142857142857142</v>
      </c>
    </row>
    <row r="42" spans="1:52" s="22" customFormat="1" ht="88.5" customHeight="1" thickTop="1" thickBot="1">
      <c r="A42" s="2906"/>
      <c r="B42" s="2864"/>
      <c r="C42" s="76" t="s">
        <v>368</v>
      </c>
      <c r="D42" s="666" t="s">
        <v>182</v>
      </c>
      <c r="E42" s="658" t="s">
        <v>149</v>
      </c>
      <c r="F42" s="658" t="s">
        <v>8</v>
      </c>
      <c r="G42" s="667">
        <v>10.199999999999999</v>
      </c>
      <c r="H42" s="660"/>
      <c r="I42" s="659"/>
      <c r="J42" s="660"/>
      <c r="K42" s="658" t="s">
        <v>9</v>
      </c>
      <c r="L42" s="1716">
        <v>10.199999999999999</v>
      </c>
      <c r="M42" s="1717">
        <v>9</v>
      </c>
      <c r="N42" s="19">
        <f>+L42/M42</f>
        <v>1.1333333333333333</v>
      </c>
      <c r="O42" s="1716">
        <v>10.199999999999999</v>
      </c>
      <c r="P42" s="1717">
        <v>9</v>
      </c>
      <c r="Q42" s="19">
        <f>+O42/P42</f>
        <v>1.1333333333333333</v>
      </c>
      <c r="R42" s="1716">
        <v>10.199999999999999</v>
      </c>
      <c r="S42" s="1717">
        <v>9</v>
      </c>
      <c r="T42" s="19">
        <f>+R42/S42</f>
        <v>1.1333333333333333</v>
      </c>
      <c r="U42" s="1716">
        <v>10.199999999999999</v>
      </c>
      <c r="V42" s="1717">
        <v>9</v>
      </c>
      <c r="W42" s="19">
        <f>+U42/V42</f>
        <v>1.1333333333333333</v>
      </c>
      <c r="X42" s="1716">
        <v>10.199999999999999</v>
      </c>
      <c r="Y42" s="1717">
        <v>9</v>
      </c>
      <c r="Z42" s="19">
        <f>+X42/Y42</f>
        <v>1.1333333333333333</v>
      </c>
      <c r="AA42" s="1716">
        <v>10.199999999999999</v>
      </c>
      <c r="AB42" s="1717">
        <v>9</v>
      </c>
      <c r="AC42" s="19">
        <f>+AA42/AB42</f>
        <v>1.1333333333333333</v>
      </c>
      <c r="AD42" s="1737">
        <f>(M42+P42+S42+V42+Y42+AB42)/6</f>
        <v>9</v>
      </c>
      <c r="AE42" s="19">
        <f>G42/AD42</f>
        <v>1.1333333333333333</v>
      </c>
      <c r="AF42" s="1716">
        <v>10.199999999999999</v>
      </c>
      <c r="AG42" s="1717">
        <v>9</v>
      </c>
      <c r="AH42" s="19">
        <f>+AF42/AG42</f>
        <v>1.1333333333333333</v>
      </c>
      <c r="AI42" s="1716">
        <v>10.199999999999999</v>
      </c>
      <c r="AJ42" s="1717">
        <v>9</v>
      </c>
      <c r="AK42" s="19">
        <f>+AI42/AJ42</f>
        <v>1.1333333333333333</v>
      </c>
      <c r="AL42" s="1716">
        <v>10.199999999999999</v>
      </c>
      <c r="AM42" s="1717">
        <v>9</v>
      </c>
      <c r="AN42" s="19">
        <f>+AL42/AM42</f>
        <v>1.1333333333333333</v>
      </c>
      <c r="AO42" s="1716">
        <v>10.199999999999999</v>
      </c>
      <c r="AP42" s="1717">
        <v>9</v>
      </c>
      <c r="AQ42" s="19">
        <f>+AO42/AP42</f>
        <v>1.1333333333333333</v>
      </c>
      <c r="AR42" s="1716">
        <v>10.199999999999999</v>
      </c>
      <c r="AS42" s="1717">
        <v>9</v>
      </c>
      <c r="AT42" s="19">
        <f>+AR42/AS42</f>
        <v>1.1333333333333333</v>
      </c>
      <c r="AU42" s="1716">
        <v>10.199999999999999</v>
      </c>
      <c r="AV42" s="1717">
        <v>9</v>
      </c>
      <c r="AW42" s="19">
        <f>+AU42/AV42</f>
        <v>1.1333333333333333</v>
      </c>
      <c r="AX42" s="638">
        <f>(M42+P42+S42+V42+Y42+AB42+AG42+AJ42+AM42+AP42+AS42+AV42)/12</f>
        <v>9</v>
      </c>
      <c r="AY42" s="73">
        <f>G42/AX42</f>
        <v>1.1333333333333333</v>
      </c>
    </row>
    <row r="43" spans="1:52" s="22" customFormat="1" ht="93.75" customHeight="1" thickTop="1" thickBot="1">
      <c r="A43" s="2906"/>
      <c r="B43" s="1738" t="s">
        <v>150</v>
      </c>
      <c r="C43" s="81" t="s">
        <v>367</v>
      </c>
      <c r="D43" s="689" t="s">
        <v>319</v>
      </c>
      <c r="E43" s="661" t="s">
        <v>183</v>
      </c>
      <c r="F43" s="661" t="s">
        <v>17</v>
      </c>
      <c r="G43" s="662">
        <v>37</v>
      </c>
      <c r="H43" s="663"/>
      <c r="I43" s="664"/>
      <c r="J43" s="663"/>
      <c r="K43" s="661" t="s">
        <v>21</v>
      </c>
      <c r="L43" s="665">
        <v>0</v>
      </c>
      <c r="M43" s="28">
        <v>41</v>
      </c>
      <c r="N43" s="19">
        <f>+L43/M43</f>
        <v>0</v>
      </c>
      <c r="O43" s="665">
        <v>0</v>
      </c>
      <c r="P43" s="28">
        <v>41</v>
      </c>
      <c r="Q43" s="19">
        <f>+O43/P43</f>
        <v>0</v>
      </c>
      <c r="R43" s="665">
        <v>37</v>
      </c>
      <c r="S43" s="28">
        <v>36</v>
      </c>
      <c r="T43" s="19">
        <f>+R43/S43</f>
        <v>1.0277777777777777</v>
      </c>
      <c r="U43" s="665">
        <v>37</v>
      </c>
      <c r="V43" s="28">
        <v>43</v>
      </c>
      <c r="W43" s="19">
        <f>+U43/V43</f>
        <v>0.86046511627906974</v>
      </c>
      <c r="X43" s="665">
        <v>37</v>
      </c>
      <c r="Y43" s="28">
        <v>19</v>
      </c>
      <c r="Z43" s="19">
        <f>+X43/Y43</f>
        <v>1.9473684210526316</v>
      </c>
      <c r="AA43" s="665">
        <v>37</v>
      </c>
      <c r="AB43" s="28">
        <v>16</v>
      </c>
      <c r="AC43" s="19">
        <f>+AA43/AB43</f>
        <v>2.3125</v>
      </c>
      <c r="AD43" s="29">
        <f>(+S43+V43+Y43+AB43)/4</f>
        <v>28.5</v>
      </c>
      <c r="AE43" s="19">
        <f>G43/AD43</f>
        <v>1.2982456140350878</v>
      </c>
      <c r="AF43" s="665">
        <v>37</v>
      </c>
      <c r="AG43" s="28">
        <v>16</v>
      </c>
      <c r="AH43" s="19">
        <f>+AF43/AG43</f>
        <v>2.3125</v>
      </c>
      <c r="AI43" s="665">
        <v>37</v>
      </c>
      <c r="AJ43" s="28">
        <v>27</v>
      </c>
      <c r="AK43" s="19">
        <f>+AI43/AJ43</f>
        <v>1.3703703703703705</v>
      </c>
      <c r="AL43" s="665">
        <v>37</v>
      </c>
      <c r="AM43" s="28">
        <v>31</v>
      </c>
      <c r="AN43" s="19">
        <f>+AL43/AM43</f>
        <v>1.1935483870967742</v>
      </c>
      <c r="AO43" s="665">
        <v>37</v>
      </c>
      <c r="AP43" s="28">
        <v>36</v>
      </c>
      <c r="AQ43" s="19">
        <f>+AO43/AP43</f>
        <v>1.0277777777777777</v>
      </c>
      <c r="AR43" s="665">
        <v>37</v>
      </c>
      <c r="AS43" s="28">
        <v>40</v>
      </c>
      <c r="AT43" s="19">
        <f>+AR43/AS43</f>
        <v>0.92500000000000004</v>
      </c>
      <c r="AU43" s="665">
        <v>37</v>
      </c>
      <c r="AV43" s="28">
        <v>38</v>
      </c>
      <c r="AW43" s="19">
        <f>+AU43/AV43</f>
        <v>0.97368421052631582</v>
      </c>
      <c r="AX43" s="636">
        <f>(S43+V43+Y43+AB43+AG43+AJ43+AM43+AP43+AS43+AV43)/10</f>
        <v>30.2</v>
      </c>
      <c r="AY43" s="73">
        <f>G43/AX43</f>
        <v>1.2251655629139073</v>
      </c>
    </row>
    <row r="44" spans="1:52" s="22" customFormat="1" ht="22.5" thickTop="1" thickBot="1">
      <c r="A44" s="2842" t="s">
        <v>726</v>
      </c>
      <c r="B44" s="2843"/>
      <c r="C44" s="2843"/>
      <c r="D44" s="2843"/>
      <c r="E44" s="2843"/>
      <c r="F44" s="2843"/>
      <c r="G44" s="2843"/>
      <c r="H44" s="2843"/>
      <c r="I44" s="2843"/>
      <c r="J44" s="2843"/>
      <c r="K44" s="2844"/>
      <c r="L44" s="61"/>
      <c r="M44" s="62"/>
      <c r="N44" s="1739"/>
      <c r="O44" s="61"/>
      <c r="P44" s="62"/>
      <c r="Q44" s="1739"/>
      <c r="R44" s="61"/>
      <c r="S44" s="62"/>
      <c r="T44" s="1739"/>
      <c r="U44" s="61"/>
      <c r="V44" s="62"/>
      <c r="W44" s="1739"/>
      <c r="X44" s="61"/>
      <c r="Y44" s="62"/>
      <c r="Z44" s="1739"/>
      <c r="AA44" s="61"/>
      <c r="AB44" s="62"/>
      <c r="AC44" s="1739"/>
      <c r="AD44" s="61"/>
      <c r="AE44" s="1739"/>
      <c r="AF44" s="61"/>
      <c r="AG44" s="62"/>
      <c r="AH44" s="1739"/>
      <c r="AI44" s="61"/>
      <c r="AJ44" s="62"/>
      <c r="AK44" s="1739"/>
      <c r="AL44" s="61"/>
      <c r="AM44" s="62"/>
      <c r="AN44" s="1739"/>
      <c r="AO44" s="61"/>
      <c r="AP44" s="62"/>
      <c r="AQ44" s="1739"/>
      <c r="AR44" s="61"/>
      <c r="AS44" s="62"/>
      <c r="AT44" s="1739"/>
      <c r="AU44" s="61"/>
      <c r="AV44" s="62"/>
      <c r="AW44" s="1739"/>
      <c r="AX44" s="1739"/>
      <c r="AY44" s="1739"/>
    </row>
    <row r="45" spans="1:52" s="22" customFormat="1" ht="119.25" customHeight="1" thickTop="1" thickBot="1">
      <c r="A45" s="1205" t="s">
        <v>669</v>
      </c>
      <c r="B45" s="1740" t="s">
        <v>156</v>
      </c>
      <c r="C45" s="76" t="s">
        <v>600</v>
      </c>
      <c r="D45" s="623" t="s">
        <v>158</v>
      </c>
      <c r="E45" s="658" t="s">
        <v>159</v>
      </c>
      <c r="F45" s="658" t="s">
        <v>17</v>
      </c>
      <c r="G45" s="667">
        <v>10</v>
      </c>
      <c r="H45" s="660"/>
      <c r="I45" s="659"/>
      <c r="J45" s="660"/>
      <c r="K45" s="658" t="s">
        <v>27</v>
      </c>
      <c r="L45" s="625">
        <v>0</v>
      </c>
      <c r="M45" s="59"/>
      <c r="N45" s="19" t="e">
        <f t="shared" ref="N45" si="16">+M45/L45</f>
        <v>#DIV/0!</v>
      </c>
      <c r="O45" s="625">
        <v>0</v>
      </c>
      <c r="P45" s="59"/>
      <c r="Q45" s="19" t="e">
        <f t="shared" ref="Q45" si="17">+P45/O45</f>
        <v>#DIV/0!</v>
      </c>
      <c r="R45" s="625">
        <v>0</v>
      </c>
      <c r="S45" s="59"/>
      <c r="T45" s="19" t="e">
        <f t="shared" ref="T45" si="18">+S45/R45</f>
        <v>#DIV/0!</v>
      </c>
      <c r="U45" s="625">
        <v>0</v>
      </c>
      <c r="V45" s="59"/>
      <c r="W45" s="19" t="e">
        <f t="shared" ref="W45" si="19">+V45/U45</f>
        <v>#DIV/0!</v>
      </c>
      <c r="X45" s="625">
        <v>2</v>
      </c>
      <c r="Y45" s="59">
        <v>2</v>
      </c>
      <c r="Z45" s="19">
        <f t="shared" ref="Z45" si="20">+Y45/X45</f>
        <v>1</v>
      </c>
      <c r="AA45" s="625">
        <v>0</v>
      </c>
      <c r="AB45" s="59"/>
      <c r="AC45" s="19" t="e">
        <f t="shared" ref="AC45" si="21">+AB45/AA45</f>
        <v>#DIV/0!</v>
      </c>
      <c r="AD45" s="60">
        <f>+M45+P45+S45+V45+Y45+AB45</f>
        <v>2</v>
      </c>
      <c r="AE45" s="19">
        <f>AD45/G45</f>
        <v>0.2</v>
      </c>
      <c r="AF45" s="625">
        <v>1</v>
      </c>
      <c r="AG45" s="59">
        <v>1</v>
      </c>
      <c r="AH45" s="19">
        <f t="shared" ref="AH45" si="22">+AG45/AF45</f>
        <v>1</v>
      </c>
      <c r="AI45" s="625">
        <v>3</v>
      </c>
      <c r="AJ45" s="59">
        <v>3</v>
      </c>
      <c r="AK45" s="19">
        <f t="shared" ref="AK45" si="23">+AJ45/AI45</f>
        <v>1</v>
      </c>
      <c r="AL45" s="625">
        <v>1</v>
      </c>
      <c r="AM45" s="59">
        <v>1</v>
      </c>
      <c r="AN45" s="19">
        <f t="shared" ref="AN45" si="24">+AM45/AL45</f>
        <v>1</v>
      </c>
      <c r="AO45" s="625">
        <v>3</v>
      </c>
      <c r="AP45" s="59">
        <v>3</v>
      </c>
      <c r="AQ45" s="19">
        <f t="shared" ref="AQ45" si="25">+AP45/AO45</f>
        <v>1</v>
      </c>
      <c r="AR45" s="625">
        <v>0</v>
      </c>
      <c r="AS45" s="59"/>
      <c r="AT45" s="19" t="e">
        <f t="shared" ref="AT45" si="26">+AS45/AR45</f>
        <v>#DIV/0!</v>
      </c>
      <c r="AU45" s="625">
        <v>0</v>
      </c>
      <c r="AV45" s="59"/>
      <c r="AW45" s="19" t="e">
        <f t="shared" ref="AW45" si="27">+AV45/AU45</f>
        <v>#DIV/0!</v>
      </c>
      <c r="AX45" s="638">
        <f>+M45+P45+S45+V45+Y45+AB45+AG45+AJ45+AM45+AP45+AS45+AV45</f>
        <v>10</v>
      </c>
      <c r="AY45" s="73">
        <f>+AX45/G45</f>
        <v>1</v>
      </c>
    </row>
    <row r="46" spans="1:52" ht="17.25" thickTop="1"/>
  </sheetData>
  <sheetProtection algorithmName="SHA-512" hashValue="rMGu5qluhOELwvmXwKShf9yde2P4IqNE42xdM9FMIcDgapFZc12LbNbNWgPMkhsf6zQ0VTeedzIsZo60CoV3Pg==" saltValue="5llZzli2DpokJxfUct3An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35:K35" name="Rango1"/>
  </protectedRanges>
  <mergeCells count="39">
    <mergeCell ref="U5:W7"/>
    <mergeCell ref="C1:K1"/>
    <mergeCell ref="C2:K2"/>
    <mergeCell ref="C3:K3"/>
    <mergeCell ref="A5:A7"/>
    <mergeCell ref="B5:B7"/>
    <mergeCell ref="C5:C7"/>
    <mergeCell ref="D5:D7"/>
    <mergeCell ref="E5:E7"/>
    <mergeCell ref="F5:F7"/>
    <mergeCell ref="G5:G7"/>
    <mergeCell ref="AO5:AQ7"/>
    <mergeCell ref="AR5:AT7"/>
    <mergeCell ref="AU5:AW7"/>
    <mergeCell ref="AX5:AY7"/>
    <mergeCell ref="A8:K8"/>
    <mergeCell ref="X5:Z7"/>
    <mergeCell ref="AA5:AC7"/>
    <mergeCell ref="AD5:AE7"/>
    <mergeCell ref="AF5:AH7"/>
    <mergeCell ref="AI5:AK7"/>
    <mergeCell ref="AL5:AN7"/>
    <mergeCell ref="H5:J6"/>
    <mergeCell ref="K5:K7"/>
    <mergeCell ref="L5:N7"/>
    <mergeCell ref="O5:Q7"/>
    <mergeCell ref="R5:T7"/>
    <mergeCell ref="A44:K44"/>
    <mergeCell ref="C27:C33"/>
    <mergeCell ref="B35:B39"/>
    <mergeCell ref="C36:C37"/>
    <mergeCell ref="A40:K40"/>
    <mergeCell ref="A41:A43"/>
    <mergeCell ref="B41:B42"/>
    <mergeCell ref="A9:A39"/>
    <mergeCell ref="B9:B10"/>
    <mergeCell ref="B11:B34"/>
    <mergeCell ref="C12:C19"/>
    <mergeCell ref="C23:C25"/>
  </mergeCells>
  <conditionalFormatting sqref="AY9:AY39 AY45 AY41:AY43">
    <cfRule type="cellIs" dxfId="5054" priority="66" operator="greaterThan">
      <formula>110%</formula>
    </cfRule>
    <cfRule type="cellIs" dxfId="5053" priority="67" operator="between">
      <formula>100.001%</formula>
      <formula>110%</formula>
    </cfRule>
    <cfRule type="cellIs" dxfId="5052" priority="68" operator="between">
      <formula>70.001%</formula>
      <formula>100%</formula>
    </cfRule>
    <cfRule type="cellIs" dxfId="5051" priority="69" operator="between">
      <formula>0.00001%</formula>
      <formula>70%</formula>
    </cfRule>
    <cfRule type="cellIs" dxfId="5050" priority="70" operator="equal">
      <formula>0</formula>
    </cfRule>
  </conditionalFormatting>
  <conditionalFormatting sqref="AW9:AW39 AW45 AW41:AW43">
    <cfRule type="cellIs" dxfId="5049" priority="61" operator="greaterThan">
      <formula>110%</formula>
    </cfRule>
    <cfRule type="cellIs" dxfId="5048" priority="62" operator="between">
      <formula>100.001%</formula>
      <formula>110%</formula>
    </cfRule>
    <cfRule type="cellIs" dxfId="5047" priority="63" operator="between">
      <formula>70.001%</formula>
      <formula>100%</formula>
    </cfRule>
    <cfRule type="cellIs" dxfId="5046" priority="64" operator="between">
      <formula>0.00001%</formula>
      <formula>70%</formula>
    </cfRule>
    <cfRule type="cellIs" dxfId="5045" priority="65" operator="equal">
      <formula>0</formula>
    </cfRule>
  </conditionalFormatting>
  <conditionalFormatting sqref="AT9:AT39 AT45 AT41:AT43">
    <cfRule type="cellIs" dxfId="5044" priority="56" operator="greaterThan">
      <formula>110%</formula>
    </cfRule>
    <cfRule type="cellIs" dxfId="5043" priority="57" operator="between">
      <formula>100.001%</formula>
      <formula>110%</formula>
    </cfRule>
    <cfRule type="cellIs" dxfId="5042" priority="58" operator="between">
      <formula>70.001%</formula>
      <formula>100%</formula>
    </cfRule>
    <cfRule type="cellIs" dxfId="5041" priority="59" operator="between">
      <formula>0.00001%</formula>
      <formula>70%</formula>
    </cfRule>
    <cfRule type="cellIs" dxfId="5040" priority="60" operator="equal">
      <formula>0</formula>
    </cfRule>
  </conditionalFormatting>
  <conditionalFormatting sqref="AQ9:AQ39 AQ45 AQ41:AQ43">
    <cfRule type="cellIs" dxfId="5039" priority="51" operator="greaterThan">
      <formula>110%</formula>
    </cfRule>
    <cfRule type="cellIs" dxfId="5038" priority="52" operator="between">
      <formula>100.001%</formula>
      <formula>110%</formula>
    </cfRule>
    <cfRule type="cellIs" dxfId="5037" priority="53" operator="between">
      <formula>70.001%</formula>
      <formula>100%</formula>
    </cfRule>
    <cfRule type="cellIs" dxfId="5036" priority="54" operator="between">
      <formula>0.00001%</formula>
      <formula>70%</formula>
    </cfRule>
    <cfRule type="cellIs" dxfId="5035" priority="55" operator="equal">
      <formula>0</formula>
    </cfRule>
  </conditionalFormatting>
  <conditionalFormatting sqref="AN9:AN39 AN45 AN41:AN43">
    <cfRule type="cellIs" dxfId="5034" priority="46" operator="greaterThan">
      <formula>110%</formula>
    </cfRule>
    <cfRule type="cellIs" dxfId="5033" priority="47" operator="between">
      <formula>100.001%</formula>
      <formula>110%</formula>
    </cfRule>
    <cfRule type="cellIs" dxfId="5032" priority="48" operator="between">
      <formula>70.001%</formula>
      <formula>100%</formula>
    </cfRule>
    <cfRule type="cellIs" dxfId="5031" priority="49" operator="between">
      <formula>0.00001%</formula>
      <formula>70%</formula>
    </cfRule>
    <cfRule type="cellIs" dxfId="5030" priority="50" operator="equal">
      <formula>0</formula>
    </cfRule>
  </conditionalFormatting>
  <conditionalFormatting sqref="AK9:AK39 AK45 AK41:AK43">
    <cfRule type="cellIs" dxfId="5029" priority="41" operator="greaterThan">
      <formula>110%</formula>
    </cfRule>
    <cfRule type="cellIs" dxfId="5028" priority="42" operator="between">
      <formula>100.001%</formula>
      <formula>110%</formula>
    </cfRule>
    <cfRule type="cellIs" dxfId="5027" priority="43" operator="between">
      <formula>70.001%</formula>
      <formula>100%</formula>
    </cfRule>
    <cfRule type="cellIs" dxfId="5026" priority="44" operator="between">
      <formula>0.00001%</formula>
      <formula>70%</formula>
    </cfRule>
    <cfRule type="cellIs" dxfId="5025" priority="45" operator="equal">
      <formula>0</formula>
    </cfRule>
  </conditionalFormatting>
  <conditionalFormatting sqref="AH9:AH39 AH45 AH41:AH43">
    <cfRule type="cellIs" dxfId="5024" priority="36" operator="greaterThan">
      <formula>110%</formula>
    </cfRule>
    <cfRule type="cellIs" dxfId="5023" priority="37" operator="between">
      <formula>100.001%</formula>
      <formula>110%</formula>
    </cfRule>
    <cfRule type="cellIs" dxfId="5022" priority="38" operator="between">
      <formula>70.001%</formula>
      <formula>100%</formula>
    </cfRule>
    <cfRule type="cellIs" dxfId="5021" priority="39" operator="between">
      <formula>0.00001%</formula>
      <formula>70%</formula>
    </cfRule>
    <cfRule type="cellIs" dxfId="5020" priority="40" operator="equal">
      <formula>0</formula>
    </cfRule>
  </conditionalFormatting>
  <conditionalFormatting sqref="AE9:AE39 AE45 AE41:AE43">
    <cfRule type="cellIs" dxfId="5019" priority="31" operator="greaterThan">
      <formula>110%</formula>
    </cfRule>
    <cfRule type="cellIs" dxfId="5018" priority="32" operator="between">
      <formula>100.001%</formula>
      <formula>110%</formula>
    </cfRule>
    <cfRule type="cellIs" dxfId="5017" priority="33" operator="between">
      <formula>70.001%</formula>
      <formula>100%</formula>
    </cfRule>
    <cfRule type="cellIs" dxfId="5016" priority="34" operator="between">
      <formula>0.00001%</formula>
      <formula>70%</formula>
    </cfRule>
    <cfRule type="cellIs" dxfId="5015" priority="35" operator="equal">
      <formula>0</formula>
    </cfRule>
  </conditionalFormatting>
  <conditionalFormatting sqref="AC45 AC41:AC43 AC9:AC39">
    <cfRule type="cellIs" dxfId="5014" priority="26" operator="greaterThan">
      <formula>110%</formula>
    </cfRule>
    <cfRule type="cellIs" dxfId="5013" priority="27" operator="between">
      <formula>100.001%</formula>
      <formula>110%</formula>
    </cfRule>
    <cfRule type="cellIs" dxfId="5012" priority="28" operator="between">
      <formula>70.001%</formula>
      <formula>100%</formula>
    </cfRule>
    <cfRule type="cellIs" dxfId="5011" priority="29" operator="between">
      <formula>0.00001%</formula>
      <formula>70%</formula>
    </cfRule>
    <cfRule type="cellIs" dxfId="5010" priority="30" operator="equal">
      <formula>0</formula>
    </cfRule>
  </conditionalFormatting>
  <conditionalFormatting sqref="Z9:Z39 Z45 Z41:Z43">
    <cfRule type="cellIs" dxfId="5009" priority="21" operator="greaterThan">
      <formula>110%</formula>
    </cfRule>
    <cfRule type="cellIs" dxfId="5008" priority="22" operator="between">
      <formula>100.001%</formula>
      <formula>110%</formula>
    </cfRule>
    <cfRule type="cellIs" dxfId="5007" priority="23" operator="between">
      <formula>70.001%</formula>
      <formula>100%</formula>
    </cfRule>
    <cfRule type="cellIs" dxfId="5006" priority="24" operator="between">
      <formula>0.00001%</formula>
      <formula>70%</formula>
    </cfRule>
    <cfRule type="cellIs" dxfId="5005" priority="25" operator="equal">
      <formula>0</formula>
    </cfRule>
  </conditionalFormatting>
  <conditionalFormatting sqref="W9:W39 W45 W41:W43">
    <cfRule type="cellIs" dxfId="5004" priority="16" operator="greaterThan">
      <formula>110%</formula>
    </cfRule>
    <cfRule type="cellIs" dxfId="5003" priority="17" operator="between">
      <formula>100.001%</formula>
      <formula>110%</formula>
    </cfRule>
    <cfRule type="cellIs" dxfId="5002" priority="18" operator="between">
      <formula>70.001%</formula>
      <formula>100%</formula>
    </cfRule>
    <cfRule type="cellIs" dxfId="5001" priority="19" operator="between">
      <formula>0.00001%</formula>
      <formula>70%</formula>
    </cfRule>
    <cfRule type="cellIs" dxfId="5000" priority="20" operator="equal">
      <formula>0</formula>
    </cfRule>
  </conditionalFormatting>
  <conditionalFormatting sqref="T9:T39 T45 T41:T43">
    <cfRule type="cellIs" dxfId="4999" priority="11" operator="greaterThan">
      <formula>110%</formula>
    </cfRule>
    <cfRule type="cellIs" dxfId="4998" priority="12" operator="between">
      <formula>100.001%</formula>
      <formula>110%</formula>
    </cfRule>
    <cfRule type="cellIs" dxfId="4997" priority="13" operator="between">
      <formula>70.001%</formula>
      <formula>100%</formula>
    </cfRule>
    <cfRule type="cellIs" dxfId="4996" priority="14" operator="between">
      <formula>0.00001%</formula>
      <formula>70%</formula>
    </cfRule>
    <cfRule type="cellIs" dxfId="4995" priority="15" operator="equal">
      <formula>0</formula>
    </cfRule>
  </conditionalFormatting>
  <conditionalFormatting sqref="Q9:Q39 Q45 Q41:Q43">
    <cfRule type="cellIs" dxfId="4994" priority="6" operator="greaterThan">
      <formula>110%</formula>
    </cfRule>
    <cfRule type="cellIs" dxfId="4993" priority="7" operator="between">
      <formula>100.001%</formula>
      <formula>110%</formula>
    </cfRule>
    <cfRule type="cellIs" dxfId="4992" priority="8" operator="between">
      <formula>70.001%</formula>
      <formula>100%</formula>
    </cfRule>
    <cfRule type="cellIs" dxfId="4991" priority="9" operator="between">
      <formula>0.00001%</formula>
      <formula>70%</formula>
    </cfRule>
    <cfRule type="cellIs" dxfId="4990" priority="10" operator="equal">
      <formula>0</formula>
    </cfRule>
  </conditionalFormatting>
  <conditionalFormatting sqref="N9:N39 N45 N41:N43">
    <cfRule type="cellIs" dxfId="4989" priority="1" operator="greaterThan">
      <formula>110%</formula>
    </cfRule>
    <cfRule type="cellIs" dxfId="4988" priority="2" operator="between">
      <formula>100.001%</formula>
      <formula>110%</formula>
    </cfRule>
    <cfRule type="cellIs" dxfId="4987" priority="3" operator="between">
      <formula>70.001%</formula>
      <formula>100%</formula>
    </cfRule>
    <cfRule type="cellIs" dxfId="4986" priority="4" operator="between">
      <formula>0.00001%</formula>
      <formula>70%</formula>
    </cfRule>
    <cfRule type="cellIs" dxfId="4985" priority="5" operator="equal">
      <formula>0</formula>
    </cfRule>
  </conditionalFormatting>
  <hyperlinks>
    <hyperlink ref="D11" location="'IN1-3'!A1" display="IN1-3 Recaudo Bruto" xr:uid="{00000000-0004-0000-1900-000000000000}"/>
    <hyperlink ref="D12" location="'FIS-4'!A1" display="FIS-4 Gestión efectiva en Fiscalización Tributaria" xr:uid="{00000000-0004-0000-1900-000001000000}"/>
    <hyperlink ref="D13" location="'FIS-7'!A1" display="FIS-7 Gestión efectiva de Control Cambiario" xr:uid="{00000000-0004-0000-1900-000002000000}"/>
    <hyperlink ref="D14" location="'FIS-8'!A1" display="FIS-8 Gestión aceptada de Fiscalización Aduanera (Recaudo)" xr:uid="{00000000-0004-0000-1900-000003000000}"/>
    <hyperlink ref="D15" location="'FIS-10'!A1" display="FIS-10 Gestión aceptada en fiscalización tributaria" xr:uid="{00000000-0004-0000-1900-000004000000}"/>
    <hyperlink ref="D16" location="'FIS-11'!A1" display="FIS-11 Gestión aceptada cambiaria (Recaudo)" xr:uid="{00000000-0004-0000-1900-000005000000}"/>
    <hyperlink ref="D17" location="'FIS-12'!A1" display="FIS-12 Gestión aceptada cambiaria (Resoluciones en firme)" xr:uid="{00000000-0004-0000-1900-000006000000}"/>
    <hyperlink ref="D18" location="'FIS-27'!A1" display="FIS-27 Reclasificación de no responsables a responsables" xr:uid="{00000000-0004-0000-1900-000007000000}"/>
    <hyperlink ref="D19" location="'FIS-17'!A1" display="FIS-17 Evacuación de expedientes en fiscalización tributaria" xr:uid="{00000000-0004-0000-1900-000008000000}"/>
    <hyperlink ref="D20" location="'IN1-4'!A1" display="IN1-4 Recaudo por gestión de cartera" xr:uid="{00000000-0004-0000-1900-000009000000}"/>
    <hyperlink ref="D21" location="'IN1-5'!A1" display="IN1-5 Inscritos en el Régimen Simple de Tributación - RST" xr:uid="{00000000-0004-0000-1900-00000A000000}"/>
    <hyperlink ref="D22" location="'IN1-6.1'!A1" display="IN1-6.1 Grado de cumplimiento del cronograma de campañas del RST" xr:uid="{00000000-0004-0000-1900-00000B000000}"/>
    <hyperlink ref="D23" location="'FIS-16'!A1" display="FIS-16 Visitas de control a personas que hacen la venta y compra de divisas sin estar autorizados" xr:uid="{00000000-0004-0000-1900-00000C000000}"/>
    <hyperlink ref="D24" location="'FIS-15'!A1" display="FIS-15 Visitas de control a profesionales de cambio" xr:uid="{00000000-0004-0000-1900-00000D000000}"/>
    <hyperlink ref="D25" location="'FIS-18'!A1" display="FIS-18 Evacuación de expedientes en fiscalización cambiaria" xr:uid="{00000000-0004-0000-1900-00000E000000}"/>
    <hyperlink ref="D26" location="'IN1-8'!A1" display="IN1-8  Contribuyentes habilitados como facturadores electrónicos" xr:uid="{00000000-0004-0000-1900-00000F000000}"/>
    <hyperlink ref="D27" location="'JUR-3.1'!A1" display="JUR-3.1 Porcentaje de éxito de litigiosidad" xr:uid="{00000000-0004-0000-1900-000010000000}"/>
    <hyperlink ref="D28" location="'JUR-3.2'!A1" display="JUR-3.2 Porcentaje procesos judiciales revisados con mayor riesgo en Ekogui" xr:uid="{00000000-0004-0000-1900-000011000000}"/>
    <hyperlink ref="D29" location="'JUR-3.3'!A1" display="JUR-3.3 Porcentaje de análisis de jurisprudencia remitidos junto con la copia de la sentencia " xr:uid="{00000000-0004-0000-1900-000012000000}"/>
    <hyperlink ref="D30" location="'JUR-3.4'!A1" display="JUR-3.4 Porcentaje de procesos revisados con VoBo del Jefe" xr:uid="{00000000-0004-0000-1900-000013000000}"/>
    <hyperlink ref="D31" location="'JUR-3.5'!A1" display="JUR-3.5 Porcentaje de requerimientos atendidos en oportunidad" xr:uid="{00000000-0004-0000-1900-000014000000}"/>
    <hyperlink ref="D32" location="'JUR-3.6'!A1" display="JUR-3.6 Porcentaje funcionarios capacitaciones en cursos virtuales de la ANDJE" xr:uid="{00000000-0004-0000-1900-000015000000}"/>
    <hyperlink ref="D33" location="'JUR-4'!A1" display="JUR-4 Porcentaje de funcionarios que participaron en el concurso de escritura jurídica" xr:uid="{00000000-0004-0000-1900-000016000000}"/>
    <hyperlink ref="D34" location="'ADU-3'!A1" display="ADU-3 Monto de la recaudación total de Aduanas" xr:uid="{00000000-0004-0000-1900-000017000000}"/>
    <hyperlink ref="D36" location="'ADU-30'!A1" display="ADU-30 Eficacia Visitas de verificación y control a los productores  y/o exportadores colombianos." xr:uid="{00000000-0004-0000-1900-000018000000}"/>
    <hyperlink ref="D37" location="'ADU-31'!A1" display="ADU-31  Eficacia en la revisión de criterios de origen de los productos colombianos" xr:uid="{00000000-0004-0000-1900-000019000000}"/>
    <hyperlink ref="D38" location="'FIS-24'!A1" display="FIS-24 Valor decomisos de mercancías en firme" xr:uid="{00000000-0004-0000-1900-00001A000000}"/>
    <hyperlink ref="D39" location="'FIS-32'!A1" display="FIS-32  Valor Aprehensiones sectores de Licores, Cigarrillos, Calzado y Confecciones" xr:uid="{00000000-0004-0000-1900-00001B000000}"/>
    <hyperlink ref="D41" location="'IN1-11'!A1" display="IN1-11  Nivel de cobertura de personas sensibilizadas por el plan de cultura. ACTUALMENTE. Cumplimiento al Plan de Acción de Cultura de la Contribución" xr:uid="{00000000-0004-0000-1900-00001C000000}"/>
    <hyperlink ref="D42" location="'JUR-7'!A1" display="JUR-7  Oportunidad en las decisiones de los recursos Tributarios hasta su remisión a notificaciones" xr:uid="{00000000-0004-0000-1900-00001D000000}"/>
    <hyperlink ref="D43" location="'IN1-15'!A1" display="IN1-15 Días en devoluciones ordinarias" xr:uid="{00000000-0004-0000-1900-00001E000000}"/>
    <hyperlink ref="D10" location="'DGRAE-2'!A1" display="DGRAE-2 Nivel de ejecución del PAA de la Dirección" xr:uid="{00000000-0004-0000-1900-00001F000000}"/>
    <hyperlink ref="D9" location="'DGRAE-1'!A1" display="DGRAE-1 Nivel de Ejecución del presupuesto" xr:uid="{00000000-0004-0000-1900-000020000000}"/>
    <hyperlink ref="D45" location="'DGRAE-25'!A1" display="DGRAE-25 Actividades que componen el  PIC para la Dirección de Gestión" xr:uid="{00000000-0004-0000-1900-000021000000}"/>
    <hyperlink ref="D35" location="'ADU-13'!A1" display="ADU-13 Efectividad en los Controles a los  usuarios de comercio - Hallazgos en visitas de usuarios no visitados anteriormente" xr:uid="{00000000-0004-0000-1900-000022000000}"/>
    <hyperlink ref="AY1" location="'Consolidado '!A1" display="VOLVER" xr:uid="{00000000-0004-0000-1900-000023000000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Q41"/>
  <sheetViews>
    <sheetView topLeftCell="F1" zoomScale="70" zoomScaleNormal="70" workbookViewId="0">
      <selection activeCell="AW5" sqref="AW5"/>
    </sheetView>
  </sheetViews>
  <sheetFormatPr baseColWidth="10" defaultColWidth="11.42578125" defaultRowHeight="16.5"/>
  <cols>
    <col min="1" max="1" width="21" style="8" customWidth="1"/>
    <col min="2" max="2" width="37" style="63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35.140625" style="63" customWidth="1"/>
    <col min="9" max="10" width="21.7109375" style="8" hidden="1" customWidth="1"/>
    <col min="11" max="11" width="21.7109375" style="1742" hidden="1" customWidth="1"/>
    <col min="12" max="13" width="21.7109375" style="8" hidden="1" customWidth="1"/>
    <col min="14" max="14" width="21.7109375" style="1742" hidden="1" customWidth="1"/>
    <col min="15" max="16" width="21.7109375" style="8" hidden="1" customWidth="1"/>
    <col min="17" max="17" width="21.7109375" style="1742" hidden="1" customWidth="1"/>
    <col min="18" max="19" width="21.7109375" style="8" hidden="1" customWidth="1"/>
    <col min="20" max="20" width="21.7109375" style="1742" hidden="1" customWidth="1"/>
    <col min="21" max="22" width="21.7109375" style="8" hidden="1" customWidth="1"/>
    <col min="23" max="23" width="21.7109375" style="1742" hidden="1" customWidth="1"/>
    <col min="24" max="24" width="21.7109375" style="8" hidden="1" customWidth="1"/>
    <col min="25" max="25" width="30" style="8" hidden="1" customWidth="1"/>
    <col min="26" max="26" width="21.7109375" style="1742" hidden="1" customWidth="1"/>
    <col min="27" max="27" width="21.7109375" style="8" hidden="1" customWidth="1"/>
    <col min="28" max="28" width="21.7109375" style="1743" hidden="1" customWidth="1"/>
    <col min="29" max="29" width="21.7109375" style="8" hidden="1" customWidth="1"/>
    <col min="30" max="30" width="28.7109375" style="8" hidden="1" customWidth="1"/>
    <col min="31" max="31" width="21.7109375" style="1742" hidden="1" customWidth="1"/>
    <col min="32" max="33" width="21.7109375" style="8" hidden="1" customWidth="1"/>
    <col min="34" max="34" width="21.7109375" style="1742" hidden="1" customWidth="1"/>
    <col min="35" max="35" width="21.7109375" style="8" hidden="1" customWidth="1"/>
    <col min="36" max="36" width="25.5703125" style="8" hidden="1" customWidth="1"/>
    <col min="37" max="37" width="21.7109375" style="1742" hidden="1" customWidth="1"/>
    <col min="38" max="38" width="21.7109375" style="8" hidden="1" customWidth="1"/>
    <col min="39" max="39" width="27.7109375" style="8" hidden="1" customWidth="1"/>
    <col min="40" max="40" width="21.7109375" style="1742" hidden="1" customWidth="1"/>
    <col min="41" max="41" width="21.7109375" style="8" hidden="1" customWidth="1"/>
    <col min="42" max="42" width="28.7109375" style="8" hidden="1" customWidth="1"/>
    <col min="43" max="43" width="21.7109375" style="1742" hidden="1" customWidth="1"/>
    <col min="44" max="44" width="21.7109375" style="8" hidden="1" customWidth="1"/>
    <col min="45" max="45" width="26.7109375" style="8" hidden="1" customWidth="1"/>
    <col min="46" max="46" width="21.7109375" style="1742" hidden="1" customWidth="1"/>
    <col min="47" max="47" width="28" style="8" customWidth="1"/>
    <col min="48" max="48" width="21.7109375" style="9" customWidth="1"/>
    <col min="49" max="16384" width="11.42578125" style="8"/>
  </cols>
  <sheetData>
    <row r="1" spans="1:49" ht="29.25" customHeight="1">
      <c r="A1" s="101"/>
      <c r="B1" s="102"/>
      <c r="C1" s="2885" t="s">
        <v>727</v>
      </c>
      <c r="D1" s="2885"/>
      <c r="E1" s="2885"/>
      <c r="F1" s="2885"/>
      <c r="G1" s="2885"/>
      <c r="H1" s="2885"/>
      <c r="AV1" s="69"/>
    </row>
    <row r="2" spans="1:49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AV2" s="1788" t="s">
        <v>185</v>
      </c>
    </row>
    <row r="3" spans="1:49">
      <c r="A3" s="10"/>
      <c r="B3" s="11"/>
      <c r="C3" s="2972" t="s">
        <v>728</v>
      </c>
      <c r="D3" s="2973"/>
      <c r="E3" s="2973"/>
      <c r="F3" s="2973"/>
      <c r="G3" s="2973"/>
      <c r="H3" s="2973"/>
      <c r="AV3" s="69"/>
    </row>
    <row r="4" spans="1:49" ht="17.25" thickBot="1">
      <c r="A4" s="70"/>
      <c r="B4" s="109"/>
      <c r="C4" s="109"/>
      <c r="D4" s="109"/>
      <c r="E4" s="109"/>
      <c r="F4" s="109"/>
      <c r="G4" s="109"/>
      <c r="H4" s="109"/>
      <c r="AV4" s="69"/>
      <c r="AW4" s="69">
        <f>+(AV9+AV10+AV11+AV12+AV13+AV14+AV15+AV16+AV17+AV18+AV19+AV23+AV25+AV28+AV30+AV31+AV32+AV34)/18</f>
        <v>1.1267443383102822</v>
      </c>
    </row>
    <row r="5" spans="1:49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0" t="s">
        <v>5</v>
      </c>
      <c r="I5" s="2840" t="s">
        <v>70</v>
      </c>
      <c r="J5" s="2841"/>
      <c r="K5" s="2884"/>
      <c r="L5" s="2840" t="s">
        <v>71</v>
      </c>
      <c r="M5" s="2841"/>
      <c r="N5" s="2884"/>
      <c r="O5" s="2840" t="s">
        <v>72</v>
      </c>
      <c r="P5" s="2841"/>
      <c r="Q5" s="2884"/>
      <c r="R5" s="2840" t="s">
        <v>73</v>
      </c>
      <c r="S5" s="2841"/>
      <c r="T5" s="2884"/>
      <c r="U5" s="2840" t="s">
        <v>74</v>
      </c>
      <c r="V5" s="2841"/>
      <c r="W5" s="2884"/>
      <c r="X5" s="2840" t="s">
        <v>75</v>
      </c>
      <c r="Y5" s="2841"/>
      <c r="Z5" s="2884"/>
      <c r="AA5" s="2840" t="s">
        <v>729</v>
      </c>
      <c r="AB5" s="2884"/>
      <c r="AC5" s="2840" t="s">
        <v>76</v>
      </c>
      <c r="AD5" s="2841"/>
      <c r="AE5" s="2884"/>
      <c r="AF5" s="2840" t="s">
        <v>77</v>
      </c>
      <c r="AG5" s="2841"/>
      <c r="AH5" s="2884"/>
      <c r="AI5" s="2840" t="s">
        <v>78</v>
      </c>
      <c r="AJ5" s="2841"/>
      <c r="AK5" s="2884"/>
      <c r="AL5" s="2840" t="s">
        <v>79</v>
      </c>
      <c r="AM5" s="2841"/>
      <c r="AN5" s="2884"/>
      <c r="AO5" s="2840" t="s">
        <v>80</v>
      </c>
      <c r="AP5" s="2841"/>
      <c r="AQ5" s="2884"/>
      <c r="AR5" s="2840" t="s">
        <v>81</v>
      </c>
      <c r="AS5" s="2841"/>
      <c r="AT5" s="2884"/>
      <c r="AU5" s="2840" t="s">
        <v>82</v>
      </c>
      <c r="AV5" s="2841"/>
    </row>
    <row r="6" spans="1:49" ht="18" customHeight="1" thickTop="1" thickBot="1">
      <c r="A6" s="2823"/>
      <c r="B6" s="2823"/>
      <c r="C6" s="2823"/>
      <c r="D6" s="2823"/>
      <c r="E6" s="2823"/>
      <c r="F6" s="2823"/>
      <c r="G6" s="2831"/>
      <c r="H6" s="2831"/>
      <c r="I6" s="2840"/>
      <c r="J6" s="2841"/>
      <c r="K6" s="2884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84"/>
      <c r="AC6" s="2840"/>
      <c r="AD6" s="2841"/>
      <c r="AE6" s="288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</row>
    <row r="7" spans="1:49" s="12" customFormat="1" ht="18" customHeight="1" thickTop="1" thickBot="1">
      <c r="A7" s="2823"/>
      <c r="B7" s="2823"/>
      <c r="C7" s="2823"/>
      <c r="D7" s="2823"/>
      <c r="E7" s="2823"/>
      <c r="F7" s="2823"/>
      <c r="G7" s="2832"/>
      <c r="H7" s="2832"/>
      <c r="I7" s="2836"/>
      <c r="J7" s="2837"/>
      <c r="K7" s="2838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8"/>
      <c r="AC7" s="2836"/>
      <c r="AD7" s="2837"/>
      <c r="AE7" s="2838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40"/>
      <c r="AV7" s="2841"/>
    </row>
    <row r="8" spans="1:49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13" t="s">
        <v>84</v>
      </c>
      <c r="J8" s="14" t="s">
        <v>85</v>
      </c>
      <c r="K8" s="15" t="s">
        <v>86</v>
      </c>
      <c r="L8" s="13" t="s">
        <v>84</v>
      </c>
      <c r="M8" s="14" t="s">
        <v>85</v>
      </c>
      <c r="N8" s="15" t="s">
        <v>86</v>
      </c>
      <c r="O8" s="16" t="s">
        <v>84</v>
      </c>
      <c r="P8" s="16" t="s">
        <v>85</v>
      </c>
      <c r="Q8" s="15" t="s">
        <v>86</v>
      </c>
      <c r="R8" s="16" t="s">
        <v>84</v>
      </c>
      <c r="S8" s="16" t="s">
        <v>85</v>
      </c>
      <c r="T8" s="15" t="s">
        <v>86</v>
      </c>
      <c r="U8" s="16" t="s">
        <v>84</v>
      </c>
      <c r="V8" s="16" t="s">
        <v>85</v>
      </c>
      <c r="W8" s="15" t="s">
        <v>86</v>
      </c>
      <c r="X8" s="16" t="s">
        <v>84</v>
      </c>
      <c r="Y8" s="16" t="s">
        <v>85</v>
      </c>
      <c r="Z8" s="15" t="s">
        <v>86</v>
      </c>
      <c r="AA8" s="13" t="s">
        <v>87</v>
      </c>
      <c r="AB8" s="15" t="s">
        <v>6</v>
      </c>
      <c r="AC8" s="13" t="s">
        <v>84</v>
      </c>
      <c r="AD8" s="14" t="s">
        <v>85</v>
      </c>
      <c r="AE8" s="15" t="s">
        <v>86</v>
      </c>
      <c r="AF8" s="16" t="s">
        <v>84</v>
      </c>
      <c r="AG8" s="13" t="s">
        <v>85</v>
      </c>
      <c r="AH8" s="15" t="s">
        <v>86</v>
      </c>
      <c r="AI8" s="14" t="s">
        <v>84</v>
      </c>
      <c r="AJ8" s="16" t="s">
        <v>85</v>
      </c>
      <c r="AK8" s="15" t="s">
        <v>86</v>
      </c>
      <c r="AL8" s="16" t="s">
        <v>84</v>
      </c>
      <c r="AM8" s="16" t="s">
        <v>85</v>
      </c>
      <c r="AN8" s="15" t="s">
        <v>86</v>
      </c>
      <c r="AO8" s="16" t="s">
        <v>84</v>
      </c>
      <c r="AP8" s="13" t="s">
        <v>85</v>
      </c>
      <c r="AQ8" s="15" t="s">
        <v>86</v>
      </c>
      <c r="AR8" s="13" t="s">
        <v>84</v>
      </c>
      <c r="AS8" s="14" t="s">
        <v>85</v>
      </c>
      <c r="AT8" s="15" t="s">
        <v>86</v>
      </c>
      <c r="AU8" s="13" t="s">
        <v>87</v>
      </c>
      <c r="AV8" s="1744" t="s">
        <v>6</v>
      </c>
    </row>
    <row r="9" spans="1:49" s="22" customFormat="1" ht="54.75" customHeight="1" thickTop="1" thickBot="1">
      <c r="A9" s="2907" t="s">
        <v>88</v>
      </c>
      <c r="B9" s="2981" t="s">
        <v>89</v>
      </c>
      <c r="C9" s="1745" t="s">
        <v>730</v>
      </c>
      <c r="D9" s="17" t="s">
        <v>90</v>
      </c>
      <c r="E9" s="561" t="s">
        <v>91</v>
      </c>
      <c r="F9" s="561" t="s">
        <v>18</v>
      </c>
      <c r="G9" s="18">
        <f>918417035/1000000</f>
        <v>918.41703500000006</v>
      </c>
      <c r="H9" s="561" t="s">
        <v>25</v>
      </c>
      <c r="I9" s="1746">
        <v>30.515000000000001</v>
      </c>
      <c r="J9" s="1693">
        <v>38.89</v>
      </c>
      <c r="K9" s="19">
        <f>+J9/I9</f>
        <v>1.2744551859741111</v>
      </c>
      <c r="L9" s="1746">
        <v>26.565000000000001</v>
      </c>
      <c r="M9" s="1693">
        <v>164.91</v>
      </c>
      <c r="N9" s="19">
        <f>+M9/L9</f>
        <v>6.207792207792207</v>
      </c>
      <c r="O9" s="1746">
        <v>157.23319000000001</v>
      </c>
      <c r="P9" s="1693">
        <v>35.61</v>
      </c>
      <c r="Q9" s="19">
        <f>+P9/O9</f>
        <v>0.22647890054256356</v>
      </c>
      <c r="R9" s="1746">
        <v>32.742010000000001</v>
      </c>
      <c r="S9" s="1693">
        <v>38.229999999999997</v>
      </c>
      <c r="T9" s="19">
        <f>+S9/R9</f>
        <v>1.1676131062204183</v>
      </c>
      <c r="U9" s="20">
        <v>34.465000000000003</v>
      </c>
      <c r="V9" s="21">
        <v>11.98</v>
      </c>
      <c r="W9" s="19">
        <f>+V9/U9</f>
        <v>0.34759901349194833</v>
      </c>
      <c r="X9" s="20">
        <v>31.965</v>
      </c>
      <c r="Y9" s="21">
        <v>12.8</v>
      </c>
      <c r="Z9" s="19">
        <f>+Y9/X9</f>
        <v>0.40043797903957457</v>
      </c>
      <c r="AA9" s="20">
        <f>+J9+M9+P9+S9+V9+Y9</f>
        <v>302.42000000000007</v>
      </c>
      <c r="AB9" s="19">
        <f>AA9/G9</f>
        <v>0.32928396194219117</v>
      </c>
      <c r="AC9" s="20">
        <v>35.064999999999998</v>
      </c>
      <c r="AD9" s="21">
        <v>18.62</v>
      </c>
      <c r="AE9" s="19">
        <f>+AD9/AC9</f>
        <v>0.53101383145586778</v>
      </c>
      <c r="AF9" s="20">
        <v>33.465000000000003</v>
      </c>
      <c r="AG9" s="21">
        <v>23.25</v>
      </c>
      <c r="AH9" s="19">
        <f>+AG9/AF9</f>
        <v>0.69475571492604205</v>
      </c>
      <c r="AI9" s="20">
        <v>37.965000000000003</v>
      </c>
      <c r="AJ9" s="21">
        <v>16.690000000000001</v>
      </c>
      <c r="AK9" s="19">
        <f>+AJ9/AI9</f>
        <v>0.439615435269327</v>
      </c>
      <c r="AL9" s="20">
        <v>32.965000000000003</v>
      </c>
      <c r="AM9" s="21">
        <v>15.79</v>
      </c>
      <c r="AN9" s="19">
        <f>+AM9/AL9</f>
        <v>0.47899287122705891</v>
      </c>
      <c r="AO9" s="20">
        <v>32.965000000000003</v>
      </c>
      <c r="AP9" s="21">
        <v>66.7</v>
      </c>
      <c r="AQ9" s="19">
        <f>+AP9/AO9</f>
        <v>2.0233581070832698</v>
      </c>
      <c r="AR9" s="20">
        <v>28.87</v>
      </c>
      <c r="AS9" s="21">
        <v>38.909999999999997</v>
      </c>
      <c r="AT9" s="19">
        <f>+AS9/AR9</f>
        <v>1.3477658468998959</v>
      </c>
      <c r="AU9" s="20">
        <f>913040265.91/1000000</f>
        <v>913.04026591000002</v>
      </c>
      <c r="AV9" s="19">
        <f>+AU9/G9</f>
        <v>0.99414561263010537</v>
      </c>
    </row>
    <row r="10" spans="1:49" s="22" customFormat="1" ht="54.75" customHeight="1" thickTop="1" thickBot="1">
      <c r="A10" s="2979"/>
      <c r="B10" s="3162"/>
      <c r="C10" s="23" t="s">
        <v>520</v>
      </c>
      <c r="D10" s="24" t="s">
        <v>92</v>
      </c>
      <c r="E10" s="25" t="s">
        <v>93</v>
      </c>
      <c r="F10" s="25" t="s">
        <v>17</v>
      </c>
      <c r="G10" s="26">
        <v>9</v>
      </c>
      <c r="H10" s="25" t="s">
        <v>26</v>
      </c>
      <c r="I10" s="27">
        <v>0</v>
      </c>
      <c r="J10" s="28"/>
      <c r="K10" s="19" t="e">
        <f>+J10/I10</f>
        <v>#DIV/0!</v>
      </c>
      <c r="L10" s="27">
        <v>1</v>
      </c>
      <c r="M10" s="28">
        <v>1</v>
      </c>
      <c r="N10" s="19">
        <f>+M10/L10</f>
        <v>1</v>
      </c>
      <c r="O10" s="27">
        <v>1</v>
      </c>
      <c r="P10" s="28">
        <v>1</v>
      </c>
      <c r="Q10" s="19">
        <f>+P10/O10</f>
        <v>1</v>
      </c>
      <c r="R10" s="27">
        <v>1</v>
      </c>
      <c r="S10" s="28">
        <v>1</v>
      </c>
      <c r="T10" s="19">
        <f>+S10/R10</f>
        <v>1</v>
      </c>
      <c r="U10" s="27">
        <v>1</v>
      </c>
      <c r="V10" s="28">
        <v>1</v>
      </c>
      <c r="W10" s="19">
        <f>+V10/U10</f>
        <v>1</v>
      </c>
      <c r="X10" s="27">
        <v>0</v>
      </c>
      <c r="Y10" s="28"/>
      <c r="Z10" s="19" t="e">
        <f>+Y10/X10</f>
        <v>#DIV/0!</v>
      </c>
      <c r="AA10" s="29">
        <f>+J10+M10+P10+S10+V10+Y10</f>
        <v>4</v>
      </c>
      <c r="AB10" s="19">
        <f>AA10/G10</f>
        <v>0.44444444444444442</v>
      </c>
      <c r="AC10" s="27">
        <v>0</v>
      </c>
      <c r="AD10" s="28"/>
      <c r="AE10" s="19" t="e">
        <f>+AD10/AC10</f>
        <v>#DIV/0!</v>
      </c>
      <c r="AF10" s="27">
        <v>1</v>
      </c>
      <c r="AG10" s="28">
        <v>1</v>
      </c>
      <c r="AH10" s="19">
        <f>+AG10/AF10</f>
        <v>1</v>
      </c>
      <c r="AI10" s="27">
        <v>0</v>
      </c>
      <c r="AJ10" s="28"/>
      <c r="AK10" s="19" t="e">
        <f>+AJ10/AI10</f>
        <v>#DIV/0!</v>
      </c>
      <c r="AL10" s="27">
        <v>1</v>
      </c>
      <c r="AM10" s="28">
        <v>1</v>
      </c>
      <c r="AN10" s="19">
        <f>+AM10/AL10</f>
        <v>1</v>
      </c>
      <c r="AO10" s="27">
        <v>2</v>
      </c>
      <c r="AP10" s="28">
        <v>2</v>
      </c>
      <c r="AQ10" s="19">
        <f>+AP10/AO10</f>
        <v>1</v>
      </c>
      <c r="AR10" s="27">
        <v>1</v>
      </c>
      <c r="AS10" s="28">
        <v>1</v>
      </c>
      <c r="AT10" s="19">
        <f>+AS10/AR10</f>
        <v>1</v>
      </c>
      <c r="AU10" s="29">
        <f>+J10+M10+P10+S10+V10+Y10+AD10+AG10+AJ10+AM10+AP10+AS10</f>
        <v>9</v>
      </c>
      <c r="AV10" s="19">
        <f>+AU10/G10</f>
        <v>1</v>
      </c>
    </row>
    <row r="11" spans="1:49" s="22" customFormat="1" ht="54.75" customHeight="1" thickTop="1" thickBot="1">
      <c r="A11" s="2979"/>
      <c r="B11" s="2863" t="s">
        <v>94</v>
      </c>
      <c r="C11" s="1745" t="s">
        <v>95</v>
      </c>
      <c r="D11" s="17" t="s">
        <v>96</v>
      </c>
      <c r="E11" s="561" t="s">
        <v>97</v>
      </c>
      <c r="F11" s="561" t="s">
        <v>16</v>
      </c>
      <c r="G11" s="18" t="s">
        <v>98</v>
      </c>
      <c r="H11" s="561" t="s">
        <v>20</v>
      </c>
      <c r="I11" s="1746"/>
      <c r="J11" s="1693"/>
      <c r="K11" s="19"/>
      <c r="L11" s="1746"/>
      <c r="M11" s="1693"/>
      <c r="N11" s="19"/>
      <c r="O11" s="1746"/>
      <c r="P11" s="1693"/>
      <c r="Q11" s="19"/>
      <c r="R11" s="1746"/>
      <c r="S11" s="1693"/>
      <c r="T11" s="19"/>
      <c r="U11" s="20"/>
      <c r="V11" s="21"/>
      <c r="W11" s="19"/>
      <c r="X11" s="20"/>
      <c r="Y11" s="21"/>
      <c r="Z11" s="19"/>
      <c r="AA11" s="20"/>
      <c r="AB11" s="19"/>
      <c r="AC11" s="20"/>
      <c r="AD11" s="21"/>
      <c r="AE11" s="19"/>
      <c r="AF11" s="20"/>
      <c r="AG11" s="21"/>
      <c r="AH11" s="19"/>
      <c r="AI11" s="20"/>
      <c r="AJ11" s="21"/>
      <c r="AK11" s="19"/>
      <c r="AL11" s="20"/>
      <c r="AM11" s="21"/>
      <c r="AN11" s="19"/>
      <c r="AO11" s="20"/>
      <c r="AP11" s="21"/>
      <c r="AQ11" s="19"/>
      <c r="AR11" s="20">
        <v>343899</v>
      </c>
      <c r="AS11" s="21">
        <v>343899</v>
      </c>
      <c r="AT11" s="19">
        <f>+AS11/AR11</f>
        <v>1</v>
      </c>
      <c r="AU11" s="20">
        <v>343899</v>
      </c>
      <c r="AV11" s="19">
        <v>1</v>
      </c>
    </row>
    <row r="12" spans="1:49" s="22" customFormat="1" ht="90.75" customHeight="1" thickTop="1" thickBot="1">
      <c r="A12" s="2979"/>
      <c r="B12" s="2942"/>
      <c r="C12" s="3163" t="s">
        <v>731</v>
      </c>
      <c r="D12" s="24" t="s">
        <v>99</v>
      </c>
      <c r="E12" s="25" t="s">
        <v>100</v>
      </c>
      <c r="F12" s="25" t="s">
        <v>101</v>
      </c>
      <c r="G12" s="30">
        <v>48020000000</v>
      </c>
      <c r="H12" s="25" t="s">
        <v>732</v>
      </c>
      <c r="I12" s="31">
        <v>3841600000</v>
      </c>
      <c r="J12" s="1719">
        <v>89330000</v>
      </c>
      <c r="K12" s="19">
        <f t="shared" ref="K12:K30" si="0">+J12/I12</f>
        <v>2.3253331945022906E-2</v>
      </c>
      <c r="L12" s="31">
        <v>3841600000</v>
      </c>
      <c r="M12" s="1719">
        <v>2572513000</v>
      </c>
      <c r="N12" s="19">
        <f t="shared" ref="N12:N30" si="1">+M12/L12</f>
        <v>0.66964624114952098</v>
      </c>
      <c r="O12" s="31">
        <v>3841600000</v>
      </c>
      <c r="P12" s="1719">
        <v>5238191300</v>
      </c>
      <c r="Q12" s="19">
        <f t="shared" ref="Q12:Q30" si="2">+P12/O12</f>
        <v>1.363544174302374</v>
      </c>
      <c r="R12" s="31">
        <v>4321800000</v>
      </c>
      <c r="S12" s="1719">
        <v>19227000</v>
      </c>
      <c r="T12" s="19">
        <f t="shared" ref="T12:T30" si="3">+S12/R12</f>
        <v>4.4488407607941134E-3</v>
      </c>
      <c r="U12" s="31">
        <v>4802000000</v>
      </c>
      <c r="V12" s="32">
        <v>184184000</v>
      </c>
      <c r="W12" s="19">
        <f t="shared" ref="W12:W30" si="4">+V12/U12</f>
        <v>3.8355685131195333E-2</v>
      </c>
      <c r="X12" s="31">
        <v>4802000000</v>
      </c>
      <c r="Y12" s="32">
        <v>5260260000</v>
      </c>
      <c r="Z12" s="19">
        <f t="shared" ref="Z12:Z30" si="5">+Y12/X12</f>
        <v>1.0954310703873387</v>
      </c>
      <c r="AA12" s="31">
        <f t="shared" ref="AA12:AA30" si="6">+J12+M12+P12+S12+V12+Y12</f>
        <v>13363705300</v>
      </c>
      <c r="AB12" s="19">
        <f t="shared" ref="AB12:AB30" si="7">AA12/G12</f>
        <v>0.27829457101207827</v>
      </c>
      <c r="AC12" s="31">
        <v>4802000000</v>
      </c>
      <c r="AD12" s="32">
        <v>19793203000</v>
      </c>
      <c r="AE12" s="19">
        <f t="shared" ref="AE12:AE30" si="8">+AD12/AC12</f>
        <v>4.1218665139525195</v>
      </c>
      <c r="AF12" s="31">
        <v>4802000000</v>
      </c>
      <c r="AG12" s="32">
        <v>10701298000</v>
      </c>
      <c r="AH12" s="19">
        <f t="shared" ref="AH12:AH30" si="9">+AG12/AF12</f>
        <v>2.2285085381091214</v>
      </c>
      <c r="AI12" s="31">
        <v>4802000000</v>
      </c>
      <c r="AJ12" s="32">
        <v>18019631500</v>
      </c>
      <c r="AK12" s="19">
        <f t="shared" ref="AK12:AK30" si="10">+AJ12/AI12</f>
        <v>3.7525263431903375</v>
      </c>
      <c r="AL12" s="31">
        <v>4802000000</v>
      </c>
      <c r="AM12" s="32">
        <v>2874880000</v>
      </c>
      <c r="AN12" s="19">
        <f t="shared" ref="AN12:AN30" si="11">+AM12/AL12</f>
        <v>0.59868388171595166</v>
      </c>
      <c r="AO12" s="31">
        <v>1920800000</v>
      </c>
      <c r="AP12" s="32">
        <v>4723203290</v>
      </c>
      <c r="AQ12" s="19">
        <f t="shared" ref="AQ12:AQ30" si="12">+AP12/AO12</f>
        <v>2.4589771397334443</v>
      </c>
      <c r="AR12" s="31">
        <v>1440600000</v>
      </c>
      <c r="AS12" s="32">
        <v>855740000</v>
      </c>
      <c r="AT12" s="19">
        <f t="shared" ref="AT12:AT30" si="13">+AS12/AR12</f>
        <v>0.59401638206302931</v>
      </c>
      <c r="AU12" s="31">
        <f t="shared" ref="AU12:AU30" si="14">+J12+M12+P12+S12+V12+Y12+AD12+AG12+AJ12+AM12+AP12+AS12</f>
        <v>70331661090</v>
      </c>
      <c r="AV12" s="19">
        <f t="shared" ref="AV12:AV30" si="15">+AU12/G12</f>
        <v>1.4646326757601</v>
      </c>
    </row>
    <row r="13" spans="1:49" s="22" customFormat="1" ht="72" customHeight="1" thickTop="1" thickBot="1">
      <c r="A13" s="2979"/>
      <c r="B13" s="2942"/>
      <c r="C13" s="3164"/>
      <c r="D13" s="17" t="s">
        <v>102</v>
      </c>
      <c r="E13" s="561" t="s">
        <v>103</v>
      </c>
      <c r="F13" s="561" t="s">
        <v>101</v>
      </c>
      <c r="G13" s="33">
        <v>36200000000</v>
      </c>
      <c r="H13" s="561" t="s">
        <v>732</v>
      </c>
      <c r="I13" s="20">
        <v>2896000000</v>
      </c>
      <c r="J13" s="1693">
        <v>895071250</v>
      </c>
      <c r="K13" s="19">
        <f t="shared" si="0"/>
        <v>0.30907156422651932</v>
      </c>
      <c r="L13" s="20">
        <v>2896000000</v>
      </c>
      <c r="M13" s="1693">
        <v>1786475000</v>
      </c>
      <c r="N13" s="19">
        <f t="shared" si="1"/>
        <v>0.616876726519337</v>
      </c>
      <c r="O13" s="20">
        <v>2896000000</v>
      </c>
      <c r="P13" s="1693">
        <v>286808000</v>
      </c>
      <c r="Q13" s="19">
        <f t="shared" si="2"/>
        <v>9.9035911602209939E-2</v>
      </c>
      <c r="R13" s="20">
        <v>3258000000</v>
      </c>
      <c r="S13" s="1693">
        <v>19227000</v>
      </c>
      <c r="T13" s="19">
        <f t="shared" si="3"/>
        <v>5.901473296500921E-3</v>
      </c>
      <c r="U13" s="20">
        <v>3620000000</v>
      </c>
      <c r="V13" s="21">
        <v>184184000</v>
      </c>
      <c r="W13" s="19">
        <f t="shared" si="4"/>
        <v>5.0879558011049722E-2</v>
      </c>
      <c r="X13" s="20">
        <v>3620000000</v>
      </c>
      <c r="Y13" s="21">
        <v>172970000</v>
      </c>
      <c r="Z13" s="19">
        <f t="shared" si="5"/>
        <v>4.7781767955801108E-2</v>
      </c>
      <c r="AA13" s="20">
        <f t="shared" si="6"/>
        <v>3344735250</v>
      </c>
      <c r="AB13" s="19">
        <f t="shared" si="7"/>
        <v>9.2396001381215467E-2</v>
      </c>
      <c r="AC13" s="20">
        <v>3620000000</v>
      </c>
      <c r="AD13" s="21">
        <v>1954137000</v>
      </c>
      <c r="AE13" s="19">
        <f t="shared" si="8"/>
        <v>0.53981685082872932</v>
      </c>
      <c r="AF13" s="20">
        <v>3620000000</v>
      </c>
      <c r="AG13" s="21">
        <v>6477771000</v>
      </c>
      <c r="AH13" s="19">
        <f t="shared" si="9"/>
        <v>1.789439502762431</v>
      </c>
      <c r="AI13" s="20">
        <v>3620000000</v>
      </c>
      <c r="AJ13" s="21">
        <v>541202000</v>
      </c>
      <c r="AK13" s="19">
        <f t="shared" si="10"/>
        <v>0.14950331491712707</v>
      </c>
      <c r="AL13" s="20">
        <v>3620000000</v>
      </c>
      <c r="AM13" s="21">
        <v>10107874000</v>
      </c>
      <c r="AN13" s="19">
        <f t="shared" si="11"/>
        <v>2.7922303867403313</v>
      </c>
      <c r="AO13" s="20">
        <v>1448000000</v>
      </c>
      <c r="AP13" s="21">
        <v>423764000</v>
      </c>
      <c r="AQ13" s="19">
        <f t="shared" si="12"/>
        <v>0.2926546961325967</v>
      </c>
      <c r="AR13" s="20">
        <v>1086000000</v>
      </c>
      <c r="AS13" s="21">
        <v>461798000</v>
      </c>
      <c r="AT13" s="19">
        <f t="shared" si="13"/>
        <v>0.42522836095764271</v>
      </c>
      <c r="AU13" s="20">
        <f t="shared" si="14"/>
        <v>23311281250</v>
      </c>
      <c r="AV13" s="19">
        <f t="shared" si="15"/>
        <v>0.64395804558011049</v>
      </c>
    </row>
    <row r="14" spans="1:49" s="22" customFormat="1" ht="72" customHeight="1" thickTop="1" thickBot="1">
      <c r="A14" s="2979"/>
      <c r="B14" s="2942"/>
      <c r="C14" s="3164"/>
      <c r="D14" s="24" t="s">
        <v>104</v>
      </c>
      <c r="E14" s="25" t="s">
        <v>105</v>
      </c>
      <c r="F14" s="25" t="s">
        <v>24</v>
      </c>
      <c r="G14" s="25">
        <v>60</v>
      </c>
      <c r="H14" s="25" t="s">
        <v>732</v>
      </c>
      <c r="I14" s="1747">
        <v>0</v>
      </c>
      <c r="J14" s="34"/>
      <c r="K14" s="19" t="e">
        <f t="shared" si="0"/>
        <v>#DIV/0!</v>
      </c>
      <c r="L14" s="1747">
        <v>0</v>
      </c>
      <c r="M14" s="34"/>
      <c r="N14" s="19" t="e">
        <f t="shared" si="1"/>
        <v>#DIV/0!</v>
      </c>
      <c r="O14" s="1747">
        <v>15</v>
      </c>
      <c r="P14" s="34">
        <v>2</v>
      </c>
      <c r="Q14" s="19">
        <f t="shared" si="2"/>
        <v>0.13333333333333333</v>
      </c>
      <c r="R14" s="1747">
        <v>0</v>
      </c>
      <c r="S14" s="34"/>
      <c r="T14" s="19" t="e">
        <f t="shared" si="3"/>
        <v>#DIV/0!</v>
      </c>
      <c r="U14" s="1747">
        <v>0</v>
      </c>
      <c r="V14" s="34"/>
      <c r="W14" s="19" t="e">
        <f t="shared" si="4"/>
        <v>#DIV/0!</v>
      </c>
      <c r="X14" s="1747">
        <v>15</v>
      </c>
      <c r="Y14" s="34"/>
      <c r="Z14" s="19">
        <f t="shared" si="5"/>
        <v>0</v>
      </c>
      <c r="AA14" s="35">
        <f t="shared" si="6"/>
        <v>2</v>
      </c>
      <c r="AB14" s="19">
        <f t="shared" si="7"/>
        <v>3.3333333333333333E-2</v>
      </c>
      <c r="AC14" s="1748">
        <v>0</v>
      </c>
      <c r="AD14" s="1749"/>
      <c r="AE14" s="19" t="e">
        <f t="shared" si="8"/>
        <v>#DIV/0!</v>
      </c>
      <c r="AF14" s="1747">
        <v>0</v>
      </c>
      <c r="AG14" s="34"/>
      <c r="AH14" s="19" t="e">
        <f t="shared" si="9"/>
        <v>#DIV/0!</v>
      </c>
      <c r="AI14" s="1747">
        <v>15</v>
      </c>
      <c r="AJ14" s="34">
        <v>1</v>
      </c>
      <c r="AK14" s="19">
        <f t="shared" si="10"/>
        <v>6.6666666666666666E-2</v>
      </c>
      <c r="AL14" s="1750">
        <v>0</v>
      </c>
      <c r="AM14" s="1751">
        <v>33</v>
      </c>
      <c r="AN14" s="19" t="e">
        <f t="shared" si="11"/>
        <v>#DIV/0!</v>
      </c>
      <c r="AO14" s="1747">
        <v>0</v>
      </c>
      <c r="AP14" s="34">
        <v>27</v>
      </c>
      <c r="AQ14" s="19" t="e">
        <f t="shared" si="12"/>
        <v>#DIV/0!</v>
      </c>
      <c r="AR14" s="1747">
        <v>15</v>
      </c>
      <c r="AS14" s="34"/>
      <c r="AT14" s="19">
        <f t="shared" si="13"/>
        <v>0</v>
      </c>
      <c r="AU14" s="35">
        <f t="shared" si="14"/>
        <v>63</v>
      </c>
      <c r="AV14" s="19">
        <f t="shared" si="15"/>
        <v>1.05</v>
      </c>
    </row>
    <row r="15" spans="1:49" s="22" customFormat="1" ht="72" customHeight="1" thickTop="1" thickBot="1">
      <c r="A15" s="2979"/>
      <c r="B15" s="2942"/>
      <c r="C15" s="3165"/>
      <c r="D15" s="17" t="s">
        <v>106</v>
      </c>
      <c r="E15" s="561" t="s">
        <v>107</v>
      </c>
      <c r="F15" s="561" t="s">
        <v>24</v>
      </c>
      <c r="G15" s="561">
        <v>193</v>
      </c>
      <c r="H15" s="561" t="s">
        <v>732</v>
      </c>
      <c r="I15" s="1752">
        <v>0</v>
      </c>
      <c r="J15" s="36"/>
      <c r="K15" s="19" t="e">
        <f t="shared" si="0"/>
        <v>#DIV/0!</v>
      </c>
      <c r="L15" s="1752">
        <v>0</v>
      </c>
      <c r="M15" s="36"/>
      <c r="N15" s="19" t="e">
        <f t="shared" si="1"/>
        <v>#DIV/0!</v>
      </c>
      <c r="O15" s="1752">
        <v>0</v>
      </c>
      <c r="P15" s="36"/>
      <c r="Q15" s="19" t="e">
        <f t="shared" si="2"/>
        <v>#DIV/0!</v>
      </c>
      <c r="R15" s="1752">
        <v>0</v>
      </c>
      <c r="S15" s="36"/>
      <c r="T15" s="19" t="e">
        <f t="shared" si="3"/>
        <v>#DIV/0!</v>
      </c>
      <c r="U15" s="1752">
        <v>0</v>
      </c>
      <c r="V15" s="36">
        <v>40</v>
      </c>
      <c r="W15" s="19" t="e">
        <f t="shared" si="4"/>
        <v>#DIV/0!</v>
      </c>
      <c r="X15" s="1753">
        <v>0</v>
      </c>
      <c r="Y15" s="1754"/>
      <c r="Z15" s="19" t="e">
        <f t="shared" si="5"/>
        <v>#DIV/0!</v>
      </c>
      <c r="AA15" s="37">
        <f t="shared" si="6"/>
        <v>40</v>
      </c>
      <c r="AB15" s="19">
        <f t="shared" si="7"/>
        <v>0.20725388601036268</v>
      </c>
      <c r="AC15" s="1752">
        <v>97</v>
      </c>
      <c r="AD15" s="36">
        <v>37</v>
      </c>
      <c r="AE15" s="19">
        <f t="shared" si="8"/>
        <v>0.38144329896907214</v>
      </c>
      <c r="AF15" s="1752">
        <v>0</v>
      </c>
      <c r="AG15" s="36">
        <v>17</v>
      </c>
      <c r="AH15" s="19" t="e">
        <f t="shared" si="9"/>
        <v>#DIV/0!</v>
      </c>
      <c r="AI15" s="1752">
        <v>0</v>
      </c>
      <c r="AJ15" s="36">
        <v>11</v>
      </c>
      <c r="AK15" s="19" t="e">
        <f t="shared" si="10"/>
        <v>#DIV/0!</v>
      </c>
      <c r="AL15" s="1755">
        <v>0</v>
      </c>
      <c r="AM15" s="1756">
        <v>26</v>
      </c>
      <c r="AN15" s="19" t="e">
        <f t="shared" si="11"/>
        <v>#DIV/0!</v>
      </c>
      <c r="AO15" s="1752">
        <v>0</v>
      </c>
      <c r="AP15" s="36">
        <v>8</v>
      </c>
      <c r="AQ15" s="19" t="e">
        <f t="shared" si="12"/>
        <v>#DIV/0!</v>
      </c>
      <c r="AR15" s="1752">
        <v>96</v>
      </c>
      <c r="AS15" s="36">
        <v>54</v>
      </c>
      <c r="AT15" s="19">
        <f t="shared" si="13"/>
        <v>0.5625</v>
      </c>
      <c r="AU15" s="37">
        <f t="shared" si="14"/>
        <v>193</v>
      </c>
      <c r="AV15" s="19">
        <f t="shared" si="15"/>
        <v>1</v>
      </c>
    </row>
    <row r="16" spans="1:49" s="22" customFormat="1" ht="77.25" customHeight="1" thickTop="1" thickBot="1">
      <c r="A16" s="2979"/>
      <c r="B16" s="2942"/>
      <c r="C16" s="1757" t="s">
        <v>108</v>
      </c>
      <c r="D16" s="1199" t="s">
        <v>109</v>
      </c>
      <c r="E16" s="1758" t="s">
        <v>110</v>
      </c>
      <c r="F16" s="1758" t="s">
        <v>18</v>
      </c>
      <c r="G16" s="30">
        <v>109063</v>
      </c>
      <c r="H16" s="1758" t="s">
        <v>21</v>
      </c>
      <c r="I16" s="1759">
        <v>10336</v>
      </c>
      <c r="J16" s="1760">
        <v>11522</v>
      </c>
      <c r="K16" s="19">
        <f t="shared" si="0"/>
        <v>1.1147445820433437</v>
      </c>
      <c r="L16" s="1759">
        <v>8156</v>
      </c>
      <c r="M16" s="1761">
        <v>5187.8</v>
      </c>
      <c r="N16" s="19">
        <f t="shared" si="1"/>
        <v>0.6360716037273173</v>
      </c>
      <c r="O16" s="38">
        <v>8690</v>
      </c>
      <c r="P16" s="1760">
        <v>6542.9</v>
      </c>
      <c r="Q16" s="19">
        <f t="shared" si="2"/>
        <v>0.75292289988492511</v>
      </c>
      <c r="R16" s="38">
        <v>9343.0384239075738</v>
      </c>
      <c r="S16" s="1760">
        <v>2657.9</v>
      </c>
      <c r="T16" s="19">
        <f t="shared" si="3"/>
        <v>0.28447918968189118</v>
      </c>
      <c r="U16" s="38">
        <v>11524.132147063872</v>
      </c>
      <c r="V16" s="39">
        <v>6832.5</v>
      </c>
      <c r="W16" s="19">
        <f t="shared" si="4"/>
        <v>0.59288629397926418</v>
      </c>
      <c r="X16" s="38">
        <v>7423.9251118240509</v>
      </c>
      <c r="Y16" s="39">
        <v>6718.5</v>
      </c>
      <c r="Z16" s="19">
        <f t="shared" si="5"/>
        <v>0.90497949518637744</v>
      </c>
      <c r="AA16" s="38">
        <f t="shared" si="6"/>
        <v>39461.599999999999</v>
      </c>
      <c r="AB16" s="19">
        <f t="shared" si="7"/>
        <v>0.36182389994773662</v>
      </c>
      <c r="AC16" s="38">
        <v>8599.5660771158709</v>
      </c>
      <c r="AD16" s="39">
        <v>6358</v>
      </c>
      <c r="AE16" s="19">
        <f t="shared" si="8"/>
        <v>0.7393396298121534</v>
      </c>
      <c r="AF16" s="38">
        <v>7707.2671287800194</v>
      </c>
      <c r="AG16" s="39">
        <v>5228.3999999999996</v>
      </c>
      <c r="AH16" s="19">
        <f t="shared" si="9"/>
        <v>0.6783727503717133</v>
      </c>
      <c r="AI16" s="38">
        <v>12208.509751303272</v>
      </c>
      <c r="AJ16" s="39">
        <v>8790.2000000000007</v>
      </c>
      <c r="AK16" s="19">
        <f t="shared" si="10"/>
        <v>0.7200059777207154</v>
      </c>
      <c r="AL16" s="38">
        <v>11530.590687974272</v>
      </c>
      <c r="AM16" s="39">
        <v>7496.1</v>
      </c>
      <c r="AN16" s="19">
        <f t="shared" si="11"/>
        <v>0.65010546318481255</v>
      </c>
      <c r="AO16" s="38">
        <v>7812.1726118824563</v>
      </c>
      <c r="AP16" s="39">
        <v>7103</v>
      </c>
      <c r="AQ16" s="19">
        <f t="shared" si="12"/>
        <v>0.90922210156956951</v>
      </c>
      <c r="AR16" s="38">
        <v>5731.3935116514376</v>
      </c>
      <c r="AS16" s="39">
        <v>9043</v>
      </c>
      <c r="AT16" s="19">
        <f t="shared" si="13"/>
        <v>1.5778012767080722</v>
      </c>
      <c r="AU16" s="38">
        <f t="shared" si="14"/>
        <v>83480.3</v>
      </c>
      <c r="AV16" s="19">
        <f t="shared" si="15"/>
        <v>0.7654319063293693</v>
      </c>
    </row>
    <row r="17" spans="1:199" s="22" customFormat="1" ht="77.25" customHeight="1" thickTop="1" thickBot="1">
      <c r="A17" s="2979"/>
      <c r="B17" s="2942"/>
      <c r="C17" s="1745" t="s">
        <v>733</v>
      </c>
      <c r="D17" s="17" t="s">
        <v>111</v>
      </c>
      <c r="E17" s="561" t="s">
        <v>112</v>
      </c>
      <c r="F17" s="561" t="s">
        <v>17</v>
      </c>
      <c r="G17" s="40">
        <v>219</v>
      </c>
      <c r="H17" s="561" t="s">
        <v>20</v>
      </c>
      <c r="I17" s="41">
        <v>0</v>
      </c>
      <c r="J17" s="42">
        <v>13</v>
      </c>
      <c r="K17" s="19" t="e">
        <f t="shared" si="0"/>
        <v>#DIV/0!</v>
      </c>
      <c r="L17" s="41">
        <v>0</v>
      </c>
      <c r="M17" s="42">
        <v>6</v>
      </c>
      <c r="N17" s="19" t="e">
        <f t="shared" si="1"/>
        <v>#DIV/0!</v>
      </c>
      <c r="O17" s="41">
        <v>29</v>
      </c>
      <c r="P17" s="42">
        <v>4</v>
      </c>
      <c r="Q17" s="19">
        <f t="shared" si="2"/>
        <v>0.13793103448275862</v>
      </c>
      <c r="R17" s="41">
        <v>39</v>
      </c>
      <c r="S17" s="42">
        <v>1</v>
      </c>
      <c r="T17" s="19">
        <f t="shared" si="3"/>
        <v>2.564102564102564E-2</v>
      </c>
      <c r="U17" s="41">
        <v>42</v>
      </c>
      <c r="V17" s="42">
        <v>5</v>
      </c>
      <c r="W17" s="19">
        <f t="shared" si="4"/>
        <v>0.11904761904761904</v>
      </c>
      <c r="X17" s="41">
        <v>46</v>
      </c>
      <c r="Y17" s="42">
        <v>11</v>
      </c>
      <c r="Z17" s="19">
        <f t="shared" si="5"/>
        <v>0.2391304347826087</v>
      </c>
      <c r="AA17" s="1762">
        <f>+J17+M17+P17+S17+V17+Y17</f>
        <v>40</v>
      </c>
      <c r="AB17" s="19">
        <f t="shared" si="7"/>
        <v>0.18264840182648401</v>
      </c>
      <c r="AC17" s="41">
        <v>120</v>
      </c>
      <c r="AD17" s="42">
        <v>61</v>
      </c>
      <c r="AE17" s="19">
        <f t="shared" si="8"/>
        <v>0.5083333333333333</v>
      </c>
      <c r="AF17" s="41">
        <v>16</v>
      </c>
      <c r="AG17" s="42">
        <v>16</v>
      </c>
      <c r="AH17" s="19">
        <f t="shared" si="9"/>
        <v>1</v>
      </c>
      <c r="AI17" s="41">
        <v>13</v>
      </c>
      <c r="AJ17" s="42">
        <v>22</v>
      </c>
      <c r="AK17" s="19">
        <f t="shared" si="10"/>
        <v>1.6923076923076923</v>
      </c>
      <c r="AL17" s="41">
        <v>10</v>
      </c>
      <c r="AM17" s="42">
        <v>19</v>
      </c>
      <c r="AN17" s="19">
        <f t="shared" si="11"/>
        <v>1.9</v>
      </c>
      <c r="AO17" s="41">
        <v>7</v>
      </c>
      <c r="AP17" s="42">
        <v>151</v>
      </c>
      <c r="AQ17" s="19">
        <f t="shared" si="12"/>
        <v>21.571428571428573</v>
      </c>
      <c r="AR17" s="41">
        <v>3</v>
      </c>
      <c r="AS17" s="42">
        <v>15</v>
      </c>
      <c r="AT17" s="19">
        <f t="shared" si="13"/>
        <v>5</v>
      </c>
      <c r="AU17" s="1762">
        <f t="shared" si="14"/>
        <v>324</v>
      </c>
      <c r="AV17" s="19">
        <f t="shared" si="15"/>
        <v>1.4794520547945205</v>
      </c>
    </row>
    <row r="18" spans="1:199" s="22" customFormat="1" ht="77.25" customHeight="1" thickTop="1" thickBot="1">
      <c r="A18" s="2979"/>
      <c r="B18" s="2942"/>
      <c r="C18" s="23" t="s">
        <v>113</v>
      </c>
      <c r="D18" s="24" t="s">
        <v>114</v>
      </c>
      <c r="E18" s="25" t="s">
        <v>115</v>
      </c>
      <c r="F18" s="25" t="s">
        <v>10</v>
      </c>
      <c r="G18" s="43">
        <v>1</v>
      </c>
      <c r="H18" s="25" t="s">
        <v>20</v>
      </c>
      <c r="I18" s="44">
        <v>1</v>
      </c>
      <c r="J18" s="45">
        <v>1</v>
      </c>
      <c r="K18" s="19">
        <f t="shared" si="0"/>
        <v>1</v>
      </c>
      <c r="L18" s="44">
        <v>1</v>
      </c>
      <c r="M18" s="45">
        <v>1</v>
      </c>
      <c r="N18" s="19">
        <v>1</v>
      </c>
      <c r="O18" s="44">
        <v>1</v>
      </c>
      <c r="P18" s="45">
        <v>1</v>
      </c>
      <c r="Q18" s="19">
        <f t="shared" si="2"/>
        <v>1</v>
      </c>
      <c r="R18" s="44">
        <v>1</v>
      </c>
      <c r="S18" s="45">
        <v>1</v>
      </c>
      <c r="T18" s="19">
        <f t="shared" si="3"/>
        <v>1</v>
      </c>
      <c r="U18" s="44">
        <v>1</v>
      </c>
      <c r="V18" s="45">
        <v>1</v>
      </c>
      <c r="W18" s="19">
        <f t="shared" si="4"/>
        <v>1</v>
      </c>
      <c r="X18" s="44">
        <v>1</v>
      </c>
      <c r="Y18" s="45">
        <v>1</v>
      </c>
      <c r="Z18" s="19">
        <f t="shared" si="5"/>
        <v>1</v>
      </c>
      <c r="AA18" s="46">
        <v>1</v>
      </c>
      <c r="AB18" s="19">
        <f t="shared" si="7"/>
        <v>1</v>
      </c>
      <c r="AC18" s="44">
        <v>1</v>
      </c>
      <c r="AD18" s="45">
        <v>1</v>
      </c>
      <c r="AE18" s="19">
        <f t="shared" si="8"/>
        <v>1</v>
      </c>
      <c r="AF18" s="44">
        <v>1</v>
      </c>
      <c r="AG18" s="45">
        <v>1</v>
      </c>
      <c r="AH18" s="19">
        <f t="shared" si="9"/>
        <v>1</v>
      </c>
      <c r="AI18" s="44">
        <v>1</v>
      </c>
      <c r="AJ18" s="45">
        <v>1</v>
      </c>
      <c r="AK18" s="19">
        <f t="shared" si="10"/>
        <v>1</v>
      </c>
      <c r="AL18" s="44">
        <v>1</v>
      </c>
      <c r="AM18" s="45">
        <v>1</v>
      </c>
      <c r="AN18" s="19">
        <f t="shared" si="11"/>
        <v>1</v>
      </c>
      <c r="AO18" s="44">
        <v>1</v>
      </c>
      <c r="AP18" s="45">
        <v>1</v>
      </c>
      <c r="AQ18" s="19">
        <f t="shared" si="12"/>
        <v>1</v>
      </c>
      <c r="AR18" s="44">
        <v>1</v>
      </c>
      <c r="AS18" s="45">
        <v>1</v>
      </c>
      <c r="AT18" s="19">
        <f t="shared" si="13"/>
        <v>1</v>
      </c>
      <c r="AU18" s="46">
        <v>1</v>
      </c>
      <c r="AV18" s="19">
        <v>1</v>
      </c>
    </row>
    <row r="19" spans="1:199" s="22" customFormat="1" ht="77.25" customHeight="1" thickTop="1" thickBot="1">
      <c r="A19" s="2979"/>
      <c r="B19" s="2942"/>
      <c r="C19" s="1745" t="s">
        <v>734</v>
      </c>
      <c r="D19" s="17" t="s">
        <v>116</v>
      </c>
      <c r="E19" s="561" t="s">
        <v>117</v>
      </c>
      <c r="F19" s="561" t="s">
        <v>17</v>
      </c>
      <c r="G19" s="47">
        <v>4057</v>
      </c>
      <c r="H19" s="561" t="s">
        <v>118</v>
      </c>
      <c r="I19" s="41">
        <v>0</v>
      </c>
      <c r="J19" s="42">
        <v>432</v>
      </c>
      <c r="K19" s="19" t="e">
        <f t="shared" si="0"/>
        <v>#DIV/0!</v>
      </c>
      <c r="L19" s="41">
        <v>0</v>
      </c>
      <c r="M19" s="42">
        <v>200</v>
      </c>
      <c r="N19" s="19" t="e">
        <f t="shared" si="1"/>
        <v>#DIV/0!</v>
      </c>
      <c r="O19" s="41">
        <v>771</v>
      </c>
      <c r="P19" s="42">
        <v>168</v>
      </c>
      <c r="Q19" s="19">
        <f t="shared" si="2"/>
        <v>0.21789883268482491</v>
      </c>
      <c r="R19" s="41">
        <v>626</v>
      </c>
      <c r="S19" s="42">
        <v>71</v>
      </c>
      <c r="T19" s="19">
        <f t="shared" si="3"/>
        <v>0.1134185303514377</v>
      </c>
      <c r="U19" s="41">
        <v>182</v>
      </c>
      <c r="V19" s="42">
        <v>93</v>
      </c>
      <c r="W19" s="19">
        <f t="shared" si="4"/>
        <v>0.51098901098901095</v>
      </c>
      <c r="X19" s="41">
        <v>205</v>
      </c>
      <c r="Y19" s="42">
        <v>188</v>
      </c>
      <c r="Z19" s="19">
        <f t="shared" si="5"/>
        <v>0.91707317073170735</v>
      </c>
      <c r="AA19" s="1762">
        <f t="shared" si="6"/>
        <v>1152</v>
      </c>
      <c r="AB19" s="19">
        <f t="shared" si="7"/>
        <v>0.28395366034015285</v>
      </c>
      <c r="AC19" s="41">
        <v>377</v>
      </c>
      <c r="AD19" s="42">
        <v>392</v>
      </c>
      <c r="AE19" s="19">
        <f t="shared" si="8"/>
        <v>1.039787798408488</v>
      </c>
      <c r="AF19" s="41">
        <v>576</v>
      </c>
      <c r="AG19" s="42">
        <v>615</v>
      </c>
      <c r="AH19" s="19">
        <f t="shared" si="9"/>
        <v>1.0677083333333333</v>
      </c>
      <c r="AI19" s="41">
        <v>782</v>
      </c>
      <c r="AJ19" s="42">
        <v>796</v>
      </c>
      <c r="AK19" s="19">
        <f t="shared" si="10"/>
        <v>1.0179028132992327</v>
      </c>
      <c r="AL19" s="41">
        <v>305</v>
      </c>
      <c r="AM19" s="42">
        <v>1121</v>
      </c>
      <c r="AN19" s="19">
        <f t="shared" si="11"/>
        <v>3.6754098360655738</v>
      </c>
      <c r="AO19" s="41">
        <v>210</v>
      </c>
      <c r="AP19" s="42">
        <v>1400</v>
      </c>
      <c r="AQ19" s="19">
        <f t="shared" si="12"/>
        <v>6.666666666666667</v>
      </c>
      <c r="AR19" s="41">
        <v>23</v>
      </c>
      <c r="AS19" s="42">
        <v>524</v>
      </c>
      <c r="AT19" s="19">
        <f t="shared" si="13"/>
        <v>22.782608695652176</v>
      </c>
      <c r="AU19" s="1762">
        <f t="shared" si="14"/>
        <v>6000</v>
      </c>
      <c r="AV19" s="19">
        <f t="shared" si="15"/>
        <v>1.4789253142716292</v>
      </c>
    </row>
    <row r="20" spans="1:199" s="22" customFormat="1" ht="66" customHeight="1" thickTop="1" thickBot="1">
      <c r="A20" s="2979"/>
      <c r="B20" s="2942"/>
      <c r="C20" s="2986" t="s">
        <v>119</v>
      </c>
      <c r="D20" s="24" t="s">
        <v>120</v>
      </c>
      <c r="E20" s="25" t="s">
        <v>121</v>
      </c>
      <c r="F20" s="25" t="s">
        <v>10</v>
      </c>
      <c r="G20" s="1763">
        <v>0.64100000000000001</v>
      </c>
      <c r="H20" s="25" t="s">
        <v>7</v>
      </c>
      <c r="I20" s="44">
        <v>0</v>
      </c>
      <c r="J20" s="45">
        <v>0</v>
      </c>
      <c r="K20" s="19" t="e">
        <f t="shared" si="0"/>
        <v>#DIV/0!</v>
      </c>
      <c r="L20" s="44">
        <v>0</v>
      </c>
      <c r="M20" s="45">
        <v>0</v>
      </c>
      <c r="N20" s="19" t="e">
        <f t="shared" si="1"/>
        <v>#DIV/0!</v>
      </c>
      <c r="O20" s="44">
        <v>0</v>
      </c>
      <c r="P20" s="45">
        <v>0</v>
      </c>
      <c r="Q20" s="19" t="e">
        <f t="shared" si="2"/>
        <v>#DIV/0!</v>
      </c>
      <c r="R20" s="44">
        <v>0</v>
      </c>
      <c r="S20" s="45">
        <v>0</v>
      </c>
      <c r="T20" s="19" t="e">
        <f t="shared" si="3"/>
        <v>#DIV/0!</v>
      </c>
      <c r="U20" s="44">
        <v>0</v>
      </c>
      <c r="V20" s="45">
        <v>0</v>
      </c>
      <c r="W20" s="19" t="e">
        <f t="shared" si="4"/>
        <v>#DIV/0!</v>
      </c>
      <c r="X20" s="44">
        <v>0</v>
      </c>
      <c r="Y20" s="45">
        <v>0</v>
      </c>
      <c r="Z20" s="19" t="e">
        <f t="shared" si="5"/>
        <v>#DIV/0!</v>
      </c>
      <c r="AA20" s="46">
        <f t="shared" si="6"/>
        <v>0</v>
      </c>
      <c r="AB20" s="19">
        <f t="shared" si="7"/>
        <v>0</v>
      </c>
      <c r="AC20" s="44">
        <v>0</v>
      </c>
      <c r="AD20" s="45">
        <v>0</v>
      </c>
      <c r="AE20" s="19" t="e">
        <f t="shared" si="8"/>
        <v>#DIV/0!</v>
      </c>
      <c r="AF20" s="44">
        <v>0</v>
      </c>
      <c r="AG20" s="45">
        <v>0</v>
      </c>
      <c r="AH20" s="19" t="e">
        <f t="shared" si="9"/>
        <v>#DIV/0!</v>
      </c>
      <c r="AI20" s="44">
        <v>0</v>
      </c>
      <c r="AJ20" s="45">
        <v>0</v>
      </c>
      <c r="AK20" s="19" t="e">
        <f t="shared" si="10"/>
        <v>#DIV/0!</v>
      </c>
      <c r="AL20" s="44">
        <v>0</v>
      </c>
      <c r="AM20" s="45">
        <v>0</v>
      </c>
      <c r="AN20" s="19" t="e">
        <f t="shared" si="11"/>
        <v>#DIV/0!</v>
      </c>
      <c r="AO20" s="44">
        <v>0</v>
      </c>
      <c r="AP20" s="45">
        <v>0</v>
      </c>
      <c r="AQ20" s="19" t="e">
        <f t="shared" si="12"/>
        <v>#DIV/0!</v>
      </c>
      <c r="AR20" s="44">
        <v>0.64100000000000001</v>
      </c>
      <c r="AS20" s="45">
        <v>0</v>
      </c>
      <c r="AT20" s="19">
        <f t="shared" si="13"/>
        <v>0</v>
      </c>
      <c r="AU20" s="46">
        <f>+AS20</f>
        <v>0</v>
      </c>
      <c r="AV20" s="19"/>
    </row>
    <row r="21" spans="1:199" s="22" customFormat="1" ht="66" customHeight="1" thickTop="1" thickBot="1">
      <c r="A21" s="2979"/>
      <c r="B21" s="2942"/>
      <c r="C21" s="2987"/>
      <c r="D21" s="17" t="s">
        <v>122</v>
      </c>
      <c r="E21" s="561" t="s">
        <v>123</v>
      </c>
      <c r="F21" s="561" t="s">
        <v>10</v>
      </c>
      <c r="G21" s="48">
        <v>1</v>
      </c>
      <c r="H21" s="561" t="s">
        <v>7</v>
      </c>
      <c r="I21" s="49">
        <v>0</v>
      </c>
      <c r="J21" s="50">
        <v>0</v>
      </c>
      <c r="K21" s="19" t="e">
        <f t="shared" si="0"/>
        <v>#DIV/0!</v>
      </c>
      <c r="L21" s="49">
        <v>0</v>
      </c>
      <c r="M21" s="50">
        <v>0</v>
      </c>
      <c r="N21" s="19" t="e">
        <f t="shared" si="1"/>
        <v>#DIV/0!</v>
      </c>
      <c r="O21" s="49">
        <v>0</v>
      </c>
      <c r="P21" s="50">
        <v>0</v>
      </c>
      <c r="Q21" s="19" t="e">
        <f t="shared" si="2"/>
        <v>#DIV/0!</v>
      </c>
      <c r="R21" s="49">
        <v>1</v>
      </c>
      <c r="S21" s="50">
        <v>0</v>
      </c>
      <c r="T21" s="19">
        <f t="shared" si="3"/>
        <v>0</v>
      </c>
      <c r="U21" s="49">
        <v>0</v>
      </c>
      <c r="V21" s="50">
        <v>0</v>
      </c>
      <c r="W21" s="19" t="e">
        <f t="shared" si="4"/>
        <v>#DIV/0!</v>
      </c>
      <c r="X21" s="49">
        <v>0</v>
      </c>
      <c r="Y21" s="50">
        <v>0</v>
      </c>
      <c r="Z21" s="19" t="e">
        <f t="shared" si="5"/>
        <v>#DIV/0!</v>
      </c>
      <c r="AA21" s="51">
        <f>+S21</f>
        <v>0</v>
      </c>
      <c r="AB21" s="19">
        <f t="shared" si="7"/>
        <v>0</v>
      </c>
      <c r="AC21" s="49">
        <v>0</v>
      </c>
      <c r="AD21" s="50">
        <v>0</v>
      </c>
      <c r="AE21" s="19" t="e">
        <f t="shared" si="8"/>
        <v>#DIV/0!</v>
      </c>
      <c r="AF21" s="49">
        <v>0</v>
      </c>
      <c r="AG21" s="50">
        <v>0</v>
      </c>
      <c r="AH21" s="19" t="e">
        <f t="shared" si="9"/>
        <v>#DIV/0!</v>
      </c>
      <c r="AI21" s="49">
        <v>0</v>
      </c>
      <c r="AJ21" s="50">
        <v>0</v>
      </c>
      <c r="AK21" s="19" t="e">
        <f t="shared" si="10"/>
        <v>#DIV/0!</v>
      </c>
      <c r="AL21" s="49">
        <v>1</v>
      </c>
      <c r="AM21" s="50">
        <v>0</v>
      </c>
      <c r="AN21" s="19">
        <f t="shared" si="11"/>
        <v>0</v>
      </c>
      <c r="AO21" s="49">
        <v>0</v>
      </c>
      <c r="AP21" s="50"/>
      <c r="AQ21" s="19" t="e">
        <f t="shared" si="12"/>
        <v>#DIV/0!</v>
      </c>
      <c r="AR21" s="49">
        <v>0</v>
      </c>
      <c r="AS21" s="50">
        <v>0</v>
      </c>
      <c r="AT21" s="19">
        <v>0</v>
      </c>
      <c r="AU21" s="51">
        <f>(S21+AM21)/2</f>
        <v>0</v>
      </c>
      <c r="AV21" s="19"/>
    </row>
    <row r="22" spans="1:199" s="22" customFormat="1" ht="77.25" customHeight="1" thickTop="1" thickBot="1">
      <c r="A22" s="2979"/>
      <c r="B22" s="2942"/>
      <c r="C22" s="2987"/>
      <c r="D22" s="24" t="s">
        <v>124</v>
      </c>
      <c r="E22" s="25" t="s">
        <v>125</v>
      </c>
      <c r="F22" s="25" t="s">
        <v>10</v>
      </c>
      <c r="G22" s="43">
        <v>1</v>
      </c>
      <c r="H22" s="25" t="s">
        <v>7</v>
      </c>
      <c r="I22" s="44">
        <v>0</v>
      </c>
      <c r="J22" s="45"/>
      <c r="K22" s="19" t="e">
        <f t="shared" si="0"/>
        <v>#DIV/0!</v>
      </c>
      <c r="L22" s="44">
        <v>0</v>
      </c>
      <c r="M22" s="45"/>
      <c r="N22" s="19" t="e">
        <f t="shared" si="1"/>
        <v>#DIV/0!</v>
      </c>
      <c r="O22" s="44">
        <v>1</v>
      </c>
      <c r="P22" s="45"/>
      <c r="Q22" s="19">
        <f t="shared" si="2"/>
        <v>0</v>
      </c>
      <c r="R22" s="44">
        <v>0</v>
      </c>
      <c r="S22" s="45"/>
      <c r="T22" s="19" t="e">
        <f t="shared" si="3"/>
        <v>#DIV/0!</v>
      </c>
      <c r="U22" s="44">
        <v>0</v>
      </c>
      <c r="V22" s="45"/>
      <c r="W22" s="19" t="e">
        <f t="shared" si="4"/>
        <v>#DIV/0!</v>
      </c>
      <c r="X22" s="44">
        <v>1</v>
      </c>
      <c r="Y22" s="45"/>
      <c r="Z22" s="19">
        <f t="shared" si="5"/>
        <v>0</v>
      </c>
      <c r="AA22" s="46"/>
      <c r="AB22" s="19">
        <f t="shared" si="7"/>
        <v>0</v>
      </c>
      <c r="AC22" s="44">
        <v>0</v>
      </c>
      <c r="AD22" s="45"/>
      <c r="AE22" s="19" t="e">
        <f t="shared" si="8"/>
        <v>#DIV/0!</v>
      </c>
      <c r="AF22" s="44">
        <v>0</v>
      </c>
      <c r="AG22" s="45"/>
      <c r="AH22" s="19" t="e">
        <f t="shared" si="9"/>
        <v>#DIV/0!</v>
      </c>
      <c r="AI22" s="44">
        <v>1</v>
      </c>
      <c r="AJ22" s="45"/>
      <c r="AK22" s="19">
        <f t="shared" si="10"/>
        <v>0</v>
      </c>
      <c r="AL22" s="44">
        <v>0</v>
      </c>
      <c r="AM22" s="45"/>
      <c r="AN22" s="19" t="e">
        <f t="shared" si="11"/>
        <v>#DIV/0!</v>
      </c>
      <c r="AO22" s="44">
        <v>0</v>
      </c>
      <c r="AP22" s="45"/>
      <c r="AQ22" s="19" t="e">
        <f t="shared" si="12"/>
        <v>#DIV/0!</v>
      </c>
      <c r="AR22" s="44">
        <v>1</v>
      </c>
      <c r="AS22" s="45">
        <v>0</v>
      </c>
      <c r="AT22" s="19">
        <f t="shared" si="13"/>
        <v>0</v>
      </c>
      <c r="AU22" s="46">
        <f>(P22+Y22+AJ22+AS22)/4</f>
        <v>0</v>
      </c>
      <c r="AV22" s="19"/>
    </row>
    <row r="23" spans="1:199" s="22" customFormat="1" ht="57.75" customHeight="1" thickTop="1" thickBot="1">
      <c r="A23" s="2979"/>
      <c r="B23" s="2942"/>
      <c r="C23" s="2987"/>
      <c r="D23" s="17" t="s">
        <v>126</v>
      </c>
      <c r="E23" s="561" t="s">
        <v>127</v>
      </c>
      <c r="F23" s="561" t="s">
        <v>10</v>
      </c>
      <c r="G23" s="48">
        <v>0.7</v>
      </c>
      <c r="H23" s="561" t="s">
        <v>7</v>
      </c>
      <c r="I23" s="49">
        <v>0.7</v>
      </c>
      <c r="J23" s="50">
        <v>1</v>
      </c>
      <c r="K23" s="19">
        <f t="shared" si="0"/>
        <v>1.4285714285714286</v>
      </c>
      <c r="L23" s="49">
        <v>0.7</v>
      </c>
      <c r="M23" s="50">
        <v>0</v>
      </c>
      <c r="N23" s="19">
        <f t="shared" si="1"/>
        <v>0</v>
      </c>
      <c r="O23" s="49">
        <v>0.7</v>
      </c>
      <c r="P23" s="50">
        <v>1</v>
      </c>
      <c r="Q23" s="19">
        <f t="shared" si="2"/>
        <v>1.4285714285714286</v>
      </c>
      <c r="R23" s="49">
        <v>0.7</v>
      </c>
      <c r="S23" s="50">
        <v>0</v>
      </c>
      <c r="T23" s="19">
        <f t="shared" si="3"/>
        <v>0</v>
      </c>
      <c r="U23" s="49">
        <v>0.7</v>
      </c>
      <c r="V23" s="50">
        <v>0</v>
      </c>
      <c r="W23" s="19">
        <f t="shared" si="4"/>
        <v>0</v>
      </c>
      <c r="X23" s="49">
        <v>0.7</v>
      </c>
      <c r="Y23" s="50">
        <v>0</v>
      </c>
      <c r="Z23" s="19">
        <f t="shared" si="5"/>
        <v>0</v>
      </c>
      <c r="AA23" s="51">
        <f>(J23+M23+P23+S23+V23+Y23)/6</f>
        <v>0.33333333333333331</v>
      </c>
      <c r="AB23" s="19">
        <f t="shared" si="7"/>
        <v>0.47619047619047622</v>
      </c>
      <c r="AC23" s="49">
        <v>0.7</v>
      </c>
      <c r="AD23" s="50">
        <v>1</v>
      </c>
      <c r="AE23" s="19">
        <f t="shared" si="8"/>
        <v>1.4285714285714286</v>
      </c>
      <c r="AF23" s="49">
        <v>0.7</v>
      </c>
      <c r="AG23" s="50">
        <v>1</v>
      </c>
      <c r="AH23" s="19">
        <f t="shared" si="9"/>
        <v>1.4285714285714286</v>
      </c>
      <c r="AI23" s="49">
        <v>0.7</v>
      </c>
      <c r="AJ23" s="50">
        <v>0</v>
      </c>
      <c r="AK23" s="19">
        <f t="shared" si="10"/>
        <v>0</v>
      </c>
      <c r="AL23" s="49">
        <v>0.7</v>
      </c>
      <c r="AM23" s="50">
        <v>0</v>
      </c>
      <c r="AN23" s="19">
        <f t="shared" si="11"/>
        <v>0</v>
      </c>
      <c r="AO23" s="1500">
        <v>0.7</v>
      </c>
      <c r="AP23" s="52">
        <v>1</v>
      </c>
      <c r="AQ23" s="19">
        <f t="shared" si="12"/>
        <v>1.4285714285714286</v>
      </c>
      <c r="AR23" s="49">
        <v>0.7</v>
      </c>
      <c r="AS23" s="50">
        <v>1</v>
      </c>
      <c r="AT23" s="19">
        <f t="shared" si="13"/>
        <v>1.4285714285714286</v>
      </c>
      <c r="AU23" s="51">
        <f>(J23+M23+P23+S23+V23+Y23+AD23+AG23+AJ23+AM23+AP23+AS23)/12</f>
        <v>0.5</v>
      </c>
      <c r="AV23" s="19">
        <f t="shared" si="15"/>
        <v>0.7142857142857143</v>
      </c>
    </row>
    <row r="24" spans="1:199" s="22" customFormat="1" ht="66.75" customHeight="1" thickTop="1" thickBot="1">
      <c r="A24" s="2979"/>
      <c r="B24" s="2942"/>
      <c r="C24" s="2987"/>
      <c r="D24" s="24" t="s">
        <v>128</v>
      </c>
      <c r="E24" s="25" t="s">
        <v>129</v>
      </c>
      <c r="F24" s="25" t="s">
        <v>10</v>
      </c>
      <c r="G24" s="43">
        <v>1</v>
      </c>
      <c r="H24" s="25" t="s">
        <v>7</v>
      </c>
      <c r="I24" s="44">
        <v>1</v>
      </c>
      <c r="J24" s="45">
        <v>0</v>
      </c>
      <c r="K24" s="19">
        <f t="shared" si="0"/>
        <v>0</v>
      </c>
      <c r="L24" s="44">
        <v>1</v>
      </c>
      <c r="M24" s="45">
        <v>0</v>
      </c>
      <c r="N24" s="19">
        <f t="shared" si="1"/>
        <v>0</v>
      </c>
      <c r="O24" s="44">
        <v>1</v>
      </c>
      <c r="P24" s="45">
        <v>0</v>
      </c>
      <c r="Q24" s="19">
        <f t="shared" si="2"/>
        <v>0</v>
      </c>
      <c r="R24" s="44">
        <v>1</v>
      </c>
      <c r="S24" s="45">
        <v>0</v>
      </c>
      <c r="T24" s="19">
        <f t="shared" si="3"/>
        <v>0</v>
      </c>
      <c r="U24" s="44">
        <v>1</v>
      </c>
      <c r="V24" s="45">
        <v>0</v>
      </c>
      <c r="W24" s="19">
        <f t="shared" si="4"/>
        <v>0</v>
      </c>
      <c r="X24" s="44">
        <v>1</v>
      </c>
      <c r="Y24" s="45">
        <v>0</v>
      </c>
      <c r="Z24" s="19">
        <f t="shared" si="5"/>
        <v>0</v>
      </c>
      <c r="AA24" s="46">
        <f>(J24+M24+P24+S24+V24+Y24)/6</f>
        <v>0</v>
      </c>
      <c r="AB24" s="19">
        <v>0</v>
      </c>
      <c r="AC24" s="44">
        <v>1</v>
      </c>
      <c r="AD24" s="45">
        <v>0</v>
      </c>
      <c r="AE24" s="19">
        <f t="shared" si="8"/>
        <v>0</v>
      </c>
      <c r="AF24" s="44">
        <v>1</v>
      </c>
      <c r="AG24" s="45">
        <v>0</v>
      </c>
      <c r="AH24" s="19">
        <f t="shared" si="9"/>
        <v>0</v>
      </c>
      <c r="AI24" s="44">
        <v>1</v>
      </c>
      <c r="AJ24" s="45">
        <v>0</v>
      </c>
      <c r="AK24" s="19">
        <f t="shared" si="10"/>
        <v>0</v>
      </c>
      <c r="AL24" s="44">
        <v>1</v>
      </c>
      <c r="AM24" s="45">
        <v>0</v>
      </c>
      <c r="AN24" s="19">
        <f t="shared" si="11"/>
        <v>0</v>
      </c>
      <c r="AO24" s="1501">
        <v>1</v>
      </c>
      <c r="AP24" s="1764"/>
      <c r="AQ24" s="19">
        <f t="shared" si="12"/>
        <v>0</v>
      </c>
      <c r="AR24" s="44">
        <v>1</v>
      </c>
      <c r="AS24" s="45">
        <v>0</v>
      </c>
      <c r="AT24" s="19">
        <f t="shared" si="13"/>
        <v>0</v>
      </c>
      <c r="AU24" s="46">
        <f>(J24+M24+P24+S24+V24+Y24+AD24+AG24+AJ24+AM24+AP24+AS24)/12</f>
        <v>0</v>
      </c>
      <c r="AV24" s="19"/>
    </row>
    <row r="25" spans="1:199" s="22" customFormat="1" ht="77.25" customHeight="1" thickTop="1" thickBot="1">
      <c r="A25" s="2979"/>
      <c r="B25" s="2942"/>
      <c r="C25" s="2987"/>
      <c r="D25" s="17" t="s">
        <v>130</v>
      </c>
      <c r="E25" s="561" t="s">
        <v>131</v>
      </c>
      <c r="F25" s="561" t="s">
        <v>10</v>
      </c>
      <c r="G25" s="48">
        <v>1</v>
      </c>
      <c r="H25" s="561" t="s">
        <v>7</v>
      </c>
      <c r="I25" s="49">
        <v>1</v>
      </c>
      <c r="J25" s="50">
        <v>0</v>
      </c>
      <c r="K25" s="19">
        <f t="shared" si="0"/>
        <v>0</v>
      </c>
      <c r="L25" s="49">
        <v>1</v>
      </c>
      <c r="M25" s="50">
        <v>0</v>
      </c>
      <c r="N25" s="19">
        <f t="shared" si="1"/>
        <v>0</v>
      </c>
      <c r="O25" s="49">
        <v>1</v>
      </c>
      <c r="P25" s="50">
        <v>0</v>
      </c>
      <c r="Q25" s="19">
        <f t="shared" si="2"/>
        <v>0</v>
      </c>
      <c r="R25" s="49">
        <v>1</v>
      </c>
      <c r="S25" s="50">
        <v>0.05</v>
      </c>
      <c r="T25" s="19">
        <f t="shared" si="3"/>
        <v>0.05</v>
      </c>
      <c r="U25" s="49">
        <v>1</v>
      </c>
      <c r="V25" s="50">
        <v>0.16</v>
      </c>
      <c r="W25" s="19">
        <f t="shared" si="4"/>
        <v>0.16</v>
      </c>
      <c r="X25" s="49">
        <v>1</v>
      </c>
      <c r="Y25" s="50">
        <v>0.26</v>
      </c>
      <c r="Z25" s="19">
        <f t="shared" si="5"/>
        <v>0.26</v>
      </c>
      <c r="AA25" s="51">
        <f>(J25+M25+P25+S25+V25+Y25)/6</f>
        <v>7.8333333333333338E-2</v>
      </c>
      <c r="AB25" s="19">
        <f t="shared" si="7"/>
        <v>7.8333333333333338E-2</v>
      </c>
      <c r="AC25" s="49">
        <v>1</v>
      </c>
      <c r="AD25" s="50">
        <v>0.36</v>
      </c>
      <c r="AE25" s="19">
        <f t="shared" si="8"/>
        <v>0.36</v>
      </c>
      <c r="AF25" s="49">
        <v>1</v>
      </c>
      <c r="AG25" s="50">
        <v>0.46</v>
      </c>
      <c r="AH25" s="19">
        <f t="shared" si="9"/>
        <v>0.46</v>
      </c>
      <c r="AI25" s="49">
        <v>1</v>
      </c>
      <c r="AJ25" s="50">
        <v>0.5</v>
      </c>
      <c r="AK25" s="19">
        <f t="shared" si="10"/>
        <v>0.5</v>
      </c>
      <c r="AL25" s="49">
        <v>1</v>
      </c>
      <c r="AM25" s="50">
        <v>0.52</v>
      </c>
      <c r="AN25" s="19">
        <f t="shared" si="11"/>
        <v>0.52</v>
      </c>
      <c r="AO25" s="1500">
        <v>1</v>
      </c>
      <c r="AP25" s="52">
        <v>0.83</v>
      </c>
      <c r="AQ25" s="19">
        <f t="shared" si="12"/>
        <v>0.83</v>
      </c>
      <c r="AR25" s="49">
        <v>1</v>
      </c>
      <c r="AS25" s="50">
        <v>0.87</v>
      </c>
      <c r="AT25" s="19">
        <f t="shared" si="13"/>
        <v>0.87</v>
      </c>
      <c r="AU25" s="46">
        <v>0.875</v>
      </c>
      <c r="AV25" s="19">
        <f t="shared" si="15"/>
        <v>0.875</v>
      </c>
    </row>
    <row r="26" spans="1:199" s="22" customFormat="1" ht="77.25" customHeight="1" thickTop="1" thickBot="1">
      <c r="A26" s="2979"/>
      <c r="B26" s="2942"/>
      <c r="C26" s="2988"/>
      <c r="D26" s="24" t="s">
        <v>132</v>
      </c>
      <c r="E26" s="25" t="s">
        <v>133</v>
      </c>
      <c r="F26" s="25" t="s">
        <v>10</v>
      </c>
      <c r="G26" s="43">
        <v>1</v>
      </c>
      <c r="H26" s="25" t="s">
        <v>7</v>
      </c>
      <c r="I26" s="44">
        <v>0</v>
      </c>
      <c r="J26" s="45">
        <v>0</v>
      </c>
      <c r="K26" s="19" t="e">
        <f t="shared" si="0"/>
        <v>#DIV/0!</v>
      </c>
      <c r="L26" s="44">
        <v>0</v>
      </c>
      <c r="M26" s="45">
        <v>0</v>
      </c>
      <c r="N26" s="19" t="e">
        <f t="shared" si="1"/>
        <v>#DIV/0!</v>
      </c>
      <c r="O26" s="44">
        <v>0</v>
      </c>
      <c r="P26" s="45">
        <v>0</v>
      </c>
      <c r="Q26" s="19" t="e">
        <f t="shared" si="2"/>
        <v>#DIV/0!</v>
      </c>
      <c r="R26" s="44">
        <v>0</v>
      </c>
      <c r="S26" s="45">
        <v>0</v>
      </c>
      <c r="T26" s="19" t="e">
        <f t="shared" si="3"/>
        <v>#DIV/0!</v>
      </c>
      <c r="U26" s="44">
        <v>0</v>
      </c>
      <c r="V26" s="45">
        <v>0</v>
      </c>
      <c r="W26" s="19" t="e">
        <f t="shared" si="4"/>
        <v>#DIV/0!</v>
      </c>
      <c r="X26" s="44">
        <v>0</v>
      </c>
      <c r="Y26" s="45">
        <v>0</v>
      </c>
      <c r="Z26" s="19" t="e">
        <f t="shared" si="5"/>
        <v>#DIV/0!</v>
      </c>
      <c r="AA26" s="46">
        <f t="shared" si="6"/>
        <v>0</v>
      </c>
      <c r="AB26" s="19">
        <f t="shared" si="7"/>
        <v>0</v>
      </c>
      <c r="AC26" s="44">
        <v>0</v>
      </c>
      <c r="AD26" s="45">
        <v>0</v>
      </c>
      <c r="AE26" s="19" t="e">
        <f t="shared" si="8"/>
        <v>#DIV/0!</v>
      </c>
      <c r="AF26" s="44">
        <v>1</v>
      </c>
      <c r="AG26" s="45">
        <v>0</v>
      </c>
      <c r="AH26" s="19">
        <f t="shared" si="9"/>
        <v>0</v>
      </c>
      <c r="AI26" s="44">
        <v>0</v>
      </c>
      <c r="AJ26" s="45">
        <v>0</v>
      </c>
      <c r="AK26" s="19" t="e">
        <f t="shared" si="10"/>
        <v>#DIV/0!</v>
      </c>
      <c r="AL26" s="44">
        <v>0</v>
      </c>
      <c r="AM26" s="45">
        <v>0</v>
      </c>
      <c r="AN26" s="19" t="e">
        <f t="shared" si="11"/>
        <v>#DIV/0!</v>
      </c>
      <c r="AO26" s="1501">
        <v>0</v>
      </c>
      <c r="AP26" s="1764">
        <v>0</v>
      </c>
      <c r="AQ26" s="19" t="e">
        <f t="shared" si="12"/>
        <v>#DIV/0!</v>
      </c>
      <c r="AR26" s="44">
        <v>0</v>
      </c>
      <c r="AS26" s="45">
        <v>0</v>
      </c>
      <c r="AT26" s="19" t="e">
        <f t="shared" si="13"/>
        <v>#DIV/0!</v>
      </c>
      <c r="AU26" s="46">
        <f>+AG26</f>
        <v>0</v>
      </c>
      <c r="AV26" s="19"/>
    </row>
    <row r="27" spans="1:199" s="22" customFormat="1" ht="55.5" customHeight="1" thickTop="1" thickBot="1">
      <c r="A27" s="2979"/>
      <c r="B27" s="2864"/>
      <c r="C27" s="1765" t="s">
        <v>134</v>
      </c>
      <c r="D27" s="53" t="s">
        <v>135</v>
      </c>
      <c r="E27" s="54" t="s">
        <v>22</v>
      </c>
      <c r="F27" s="54" t="s">
        <v>16</v>
      </c>
      <c r="G27" s="54" t="s">
        <v>136</v>
      </c>
      <c r="H27" s="1766" t="s">
        <v>23</v>
      </c>
      <c r="I27" s="1767">
        <v>0</v>
      </c>
      <c r="J27" s="1768"/>
      <c r="K27" s="19" t="e">
        <f t="shared" si="0"/>
        <v>#DIV/0!</v>
      </c>
      <c r="L27" s="1767">
        <v>0</v>
      </c>
      <c r="M27" s="1768"/>
      <c r="N27" s="19" t="e">
        <f t="shared" si="1"/>
        <v>#DIV/0!</v>
      </c>
      <c r="O27" s="1767">
        <v>0</v>
      </c>
      <c r="P27" s="1768"/>
      <c r="Q27" s="19" t="e">
        <f t="shared" si="2"/>
        <v>#DIV/0!</v>
      </c>
      <c r="R27" s="1769">
        <v>0</v>
      </c>
      <c r="S27" s="1768"/>
      <c r="T27" s="19" t="e">
        <f t="shared" si="3"/>
        <v>#DIV/0!</v>
      </c>
      <c r="U27" s="1769">
        <v>0</v>
      </c>
      <c r="V27" s="1770"/>
      <c r="W27" s="19" t="e">
        <f t="shared" si="4"/>
        <v>#DIV/0!</v>
      </c>
      <c r="X27" s="1769">
        <v>0</v>
      </c>
      <c r="Y27" s="1770"/>
      <c r="Z27" s="19" t="e">
        <f t="shared" si="5"/>
        <v>#DIV/0!</v>
      </c>
      <c r="AA27" s="1771">
        <f t="shared" si="6"/>
        <v>0</v>
      </c>
      <c r="AB27" s="19" t="e">
        <f t="shared" si="7"/>
        <v>#VALUE!</v>
      </c>
      <c r="AC27" s="1769">
        <v>0</v>
      </c>
      <c r="AD27" s="1770"/>
      <c r="AE27" s="19" t="e">
        <f t="shared" si="8"/>
        <v>#DIV/0!</v>
      </c>
      <c r="AF27" s="1769">
        <v>0</v>
      </c>
      <c r="AG27" s="1770"/>
      <c r="AH27" s="19" t="e">
        <f t="shared" si="9"/>
        <v>#DIV/0!</v>
      </c>
      <c r="AI27" s="1769">
        <v>0</v>
      </c>
      <c r="AJ27" s="1770"/>
      <c r="AK27" s="19" t="e">
        <f t="shared" si="10"/>
        <v>#DIV/0!</v>
      </c>
      <c r="AL27" s="1769">
        <v>0</v>
      </c>
      <c r="AM27" s="1770"/>
      <c r="AN27" s="19" t="e">
        <f t="shared" si="11"/>
        <v>#DIV/0!</v>
      </c>
      <c r="AO27" s="1769">
        <v>0</v>
      </c>
      <c r="AP27" s="1770"/>
      <c r="AQ27" s="19" t="e">
        <f t="shared" si="12"/>
        <v>#DIV/0!</v>
      </c>
      <c r="AR27" s="1769">
        <v>0</v>
      </c>
      <c r="AS27" s="1770"/>
      <c r="AT27" s="19" t="e">
        <f t="shared" si="13"/>
        <v>#DIV/0!</v>
      </c>
      <c r="AU27" s="1772">
        <f t="shared" si="14"/>
        <v>0</v>
      </c>
      <c r="AV27" s="19"/>
    </row>
    <row r="28" spans="1:199" s="22" customFormat="1" ht="105" customHeight="1" thickTop="1" thickBot="1">
      <c r="A28" s="1502"/>
      <c r="B28" s="695" t="s">
        <v>137</v>
      </c>
      <c r="C28" s="23" t="s">
        <v>650</v>
      </c>
      <c r="D28" s="24" t="s">
        <v>138</v>
      </c>
      <c r="E28" s="25" t="s">
        <v>139</v>
      </c>
      <c r="F28" s="25" t="s">
        <v>101</v>
      </c>
      <c r="G28" s="30">
        <f>+'[4]FIS-24'!$AK$16</f>
        <v>619999999.99999988</v>
      </c>
      <c r="H28" s="25" t="s">
        <v>140</v>
      </c>
      <c r="I28" s="31">
        <v>33333333.333333332</v>
      </c>
      <c r="J28" s="1773">
        <v>29392922</v>
      </c>
      <c r="K28" s="19">
        <f t="shared" si="0"/>
        <v>0.88178766000000008</v>
      </c>
      <c r="L28" s="31">
        <v>33333333.333333332</v>
      </c>
      <c r="M28" s="1773">
        <v>18588061</v>
      </c>
      <c r="N28" s="19">
        <f t="shared" si="1"/>
        <v>0.55764183000000001</v>
      </c>
      <c r="O28" s="31">
        <v>33333333.333333332</v>
      </c>
      <c r="P28" s="1773">
        <v>19386774</v>
      </c>
      <c r="Q28" s="19">
        <f t="shared" si="2"/>
        <v>0.58160321999999998</v>
      </c>
      <c r="R28" s="31">
        <v>66111111</v>
      </c>
      <c r="S28" s="1773"/>
      <c r="T28" s="19">
        <f t="shared" si="3"/>
        <v>0</v>
      </c>
      <c r="U28" s="31">
        <v>66111111</v>
      </c>
      <c r="V28" s="1774"/>
      <c r="W28" s="19">
        <f t="shared" si="4"/>
        <v>0</v>
      </c>
      <c r="X28" s="31">
        <v>66111111</v>
      </c>
      <c r="Y28" s="1774">
        <v>164804700</v>
      </c>
      <c r="Z28" s="19">
        <f t="shared" si="5"/>
        <v>2.4928442058703264</v>
      </c>
      <c r="AA28" s="1775">
        <f t="shared" si="6"/>
        <v>232172457</v>
      </c>
      <c r="AB28" s="19">
        <f t="shared" si="7"/>
        <v>0.37447170483870973</v>
      </c>
      <c r="AC28" s="31">
        <v>66111111</v>
      </c>
      <c r="AD28" s="1774">
        <v>23643290</v>
      </c>
      <c r="AE28" s="19">
        <f t="shared" si="8"/>
        <v>0.3576295972397136</v>
      </c>
      <c r="AF28" s="31">
        <v>58777777.879999973</v>
      </c>
      <c r="AG28" s="1776">
        <v>3900400</v>
      </c>
      <c r="AH28" s="19">
        <f t="shared" si="9"/>
        <v>6.6358411982892773E-2</v>
      </c>
      <c r="AI28" s="31">
        <v>58777777.879999973</v>
      </c>
      <c r="AJ28" s="1777">
        <v>35712373</v>
      </c>
      <c r="AK28" s="19">
        <f t="shared" si="10"/>
        <v>0.60758290442537599</v>
      </c>
      <c r="AL28" s="31">
        <v>58777777.879999973</v>
      </c>
      <c r="AM28" s="1778">
        <v>68794368</v>
      </c>
      <c r="AN28" s="19">
        <f t="shared" si="11"/>
        <v>1.1704145764144025</v>
      </c>
      <c r="AO28" s="31">
        <v>39611111.179999977</v>
      </c>
      <c r="AP28" s="1778">
        <v>283234168</v>
      </c>
      <c r="AQ28" s="19">
        <f t="shared" si="12"/>
        <v>7.1503716902293721</v>
      </c>
      <c r="AR28" s="31">
        <v>39611111.179999977</v>
      </c>
      <c r="AS28" s="1778">
        <v>181815551</v>
      </c>
      <c r="AT28" s="19">
        <f t="shared" si="13"/>
        <v>4.5900139022557989</v>
      </c>
      <c r="AU28" s="1779">
        <f t="shared" si="14"/>
        <v>829272607</v>
      </c>
      <c r="AV28" s="19">
        <f t="shared" si="15"/>
        <v>1.337536462903226</v>
      </c>
    </row>
    <row r="29" spans="1:199" s="22" customFormat="1" ht="22.5" thickTop="1" thickBot="1">
      <c r="A29" s="2857" t="s">
        <v>141</v>
      </c>
      <c r="B29" s="2858"/>
      <c r="C29" s="2862"/>
      <c r="D29" s="2858"/>
      <c r="E29" s="2858"/>
      <c r="F29" s="2858"/>
      <c r="G29" s="2858"/>
      <c r="H29" s="2859"/>
      <c r="I29" s="55"/>
      <c r="J29" s="56"/>
      <c r="K29" s="55"/>
      <c r="L29" s="55"/>
      <c r="M29" s="56"/>
      <c r="N29" s="55"/>
      <c r="O29" s="55"/>
      <c r="P29" s="56"/>
      <c r="Q29" s="55"/>
      <c r="R29" s="55"/>
      <c r="S29" s="56"/>
      <c r="T29" s="55"/>
      <c r="U29" s="55"/>
      <c r="V29" s="56"/>
      <c r="W29" s="55"/>
      <c r="X29" s="55"/>
      <c r="Y29" s="56"/>
      <c r="Z29" s="55"/>
      <c r="AA29" s="55"/>
      <c r="AB29" s="55"/>
      <c r="AC29" s="55"/>
      <c r="AD29" s="56"/>
      <c r="AE29" s="55"/>
      <c r="AF29" s="55"/>
      <c r="AG29" s="56"/>
      <c r="AH29" s="55"/>
      <c r="AI29" s="55"/>
      <c r="AJ29" s="56"/>
      <c r="AK29" s="55"/>
      <c r="AL29" s="55"/>
      <c r="AM29" s="56"/>
      <c r="AN29" s="55"/>
      <c r="AO29" s="55"/>
      <c r="AP29" s="56"/>
      <c r="AQ29" s="55"/>
      <c r="AR29" s="55"/>
      <c r="AS29" s="56"/>
      <c r="AT29" s="55"/>
      <c r="AU29" s="55"/>
      <c r="AV29" s="55"/>
    </row>
    <row r="30" spans="1:199" s="132" customFormat="1" ht="140.25" customHeight="1" thickTop="1" thickBot="1">
      <c r="A30" s="2861" t="s">
        <v>142</v>
      </c>
      <c r="B30" s="2863" t="s">
        <v>143</v>
      </c>
      <c r="C30" s="67" t="s">
        <v>735</v>
      </c>
      <c r="D30" s="1201" t="s">
        <v>144</v>
      </c>
      <c r="E30" s="418" t="s">
        <v>145</v>
      </c>
      <c r="F30" s="418" t="s">
        <v>17</v>
      </c>
      <c r="G30" s="1780">
        <v>330</v>
      </c>
      <c r="H30" s="418" t="s">
        <v>146</v>
      </c>
      <c r="I30" s="27">
        <v>0</v>
      </c>
      <c r="J30" s="28"/>
      <c r="K30" s="19" t="e">
        <f t="shared" si="0"/>
        <v>#DIV/0!</v>
      </c>
      <c r="L30" s="27">
        <v>0</v>
      </c>
      <c r="M30" s="28"/>
      <c r="N30" s="19" t="e">
        <f t="shared" si="1"/>
        <v>#DIV/0!</v>
      </c>
      <c r="O30" s="27">
        <v>0</v>
      </c>
      <c r="P30" s="28"/>
      <c r="Q30" s="19" t="e">
        <f t="shared" si="2"/>
        <v>#DIV/0!</v>
      </c>
      <c r="R30" s="27">
        <v>66</v>
      </c>
      <c r="S30" s="28">
        <v>65</v>
      </c>
      <c r="T30" s="19">
        <f t="shared" si="3"/>
        <v>0.98484848484848486</v>
      </c>
      <c r="U30" s="27">
        <v>0</v>
      </c>
      <c r="V30" s="28"/>
      <c r="W30" s="19" t="e">
        <f t="shared" si="4"/>
        <v>#DIV/0!</v>
      </c>
      <c r="X30" s="27">
        <v>0</v>
      </c>
      <c r="Y30" s="28"/>
      <c r="Z30" s="19" t="e">
        <f t="shared" si="5"/>
        <v>#DIV/0!</v>
      </c>
      <c r="AA30" s="29">
        <f t="shared" si="6"/>
        <v>65</v>
      </c>
      <c r="AB30" s="19">
        <f t="shared" si="7"/>
        <v>0.19696969696969696</v>
      </c>
      <c r="AC30" s="27">
        <v>0</v>
      </c>
      <c r="AD30" s="28"/>
      <c r="AE30" s="19" t="e">
        <f t="shared" si="8"/>
        <v>#DIV/0!</v>
      </c>
      <c r="AF30" s="27">
        <v>99</v>
      </c>
      <c r="AG30" s="28">
        <v>245</v>
      </c>
      <c r="AH30" s="19">
        <f t="shared" si="9"/>
        <v>2.4747474747474749</v>
      </c>
      <c r="AI30" s="27">
        <v>0</v>
      </c>
      <c r="AJ30" s="28"/>
      <c r="AK30" s="19" t="e">
        <f t="shared" si="10"/>
        <v>#DIV/0!</v>
      </c>
      <c r="AL30" s="1781">
        <v>0</v>
      </c>
      <c r="AM30" s="1512"/>
      <c r="AN30" s="19" t="e">
        <f t="shared" si="11"/>
        <v>#DIV/0!</v>
      </c>
      <c r="AO30" s="1781">
        <v>0</v>
      </c>
      <c r="AP30" s="1512"/>
      <c r="AQ30" s="19" t="e">
        <f t="shared" si="12"/>
        <v>#DIV/0!</v>
      </c>
      <c r="AR30" s="27">
        <v>165</v>
      </c>
      <c r="AS30" s="28">
        <v>417</v>
      </c>
      <c r="AT30" s="19">
        <f t="shared" si="13"/>
        <v>2.5272727272727273</v>
      </c>
      <c r="AU30" s="29">
        <f t="shared" si="14"/>
        <v>727</v>
      </c>
      <c r="AV30" s="19">
        <f t="shared" si="15"/>
        <v>2.2030303030303031</v>
      </c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</row>
    <row r="31" spans="1:199" s="22" customFormat="1" ht="94.5" customHeight="1" thickTop="1" thickBot="1">
      <c r="A31" s="2861"/>
      <c r="B31" s="2864"/>
      <c r="C31" s="400" t="s">
        <v>147</v>
      </c>
      <c r="D31" s="1198" t="s">
        <v>148</v>
      </c>
      <c r="E31" s="371" t="s">
        <v>149</v>
      </c>
      <c r="F31" s="371" t="s">
        <v>8</v>
      </c>
      <c r="G31" s="57">
        <v>10.199999999999999</v>
      </c>
      <c r="H31" s="371" t="s">
        <v>9</v>
      </c>
      <c r="I31" s="58">
        <v>10.199999999999999</v>
      </c>
      <c r="J31" s="59">
        <v>9</v>
      </c>
      <c r="K31" s="19">
        <f>+I31/J31</f>
        <v>1.1333333333333333</v>
      </c>
      <c r="L31" s="58">
        <v>10.199999999999999</v>
      </c>
      <c r="M31" s="59">
        <v>9</v>
      </c>
      <c r="N31" s="19">
        <f>+L31/M31</f>
        <v>1.1333333333333333</v>
      </c>
      <c r="O31" s="58">
        <v>10.199999999999999</v>
      </c>
      <c r="P31" s="59">
        <v>9</v>
      </c>
      <c r="Q31" s="19">
        <f>+O31/P31</f>
        <v>1.1333333333333333</v>
      </c>
      <c r="R31" s="58">
        <v>10.199999999999999</v>
      </c>
      <c r="S31" s="59">
        <v>9</v>
      </c>
      <c r="T31" s="19">
        <f>+R31/S31</f>
        <v>1.1333333333333333</v>
      </c>
      <c r="U31" s="58">
        <v>10.199999999999999</v>
      </c>
      <c r="V31" s="59">
        <v>9</v>
      </c>
      <c r="W31" s="19">
        <f>+U31/V31</f>
        <v>1.1333333333333333</v>
      </c>
      <c r="X31" s="58">
        <v>10.199999999999999</v>
      </c>
      <c r="Y31" s="59">
        <v>9</v>
      </c>
      <c r="Z31" s="19">
        <f>+X31/Y31</f>
        <v>1.1333333333333333</v>
      </c>
      <c r="AA31" s="60">
        <f>(J31+M31+P31+S31+V31+Y31)/6</f>
        <v>9</v>
      </c>
      <c r="AB31" s="19">
        <f>G31/AA31</f>
        <v>1.1333333333333333</v>
      </c>
      <c r="AC31" s="58">
        <v>10.199999999999999</v>
      </c>
      <c r="AD31" s="59">
        <v>9</v>
      </c>
      <c r="AE31" s="19">
        <f>+AC31/AD31</f>
        <v>1.1333333333333333</v>
      </c>
      <c r="AF31" s="58">
        <v>10.199999999999999</v>
      </c>
      <c r="AG31" s="59">
        <v>9</v>
      </c>
      <c r="AH31" s="19">
        <f>+AF31/AG31</f>
        <v>1.1333333333333333</v>
      </c>
      <c r="AI31" s="58">
        <v>10.199999999999999</v>
      </c>
      <c r="AJ31" s="59">
        <v>9</v>
      </c>
      <c r="AK31" s="19">
        <f>+AI31/AJ31</f>
        <v>1.1333333333333333</v>
      </c>
      <c r="AL31" s="58">
        <v>10.199999999999999</v>
      </c>
      <c r="AM31" s="59">
        <v>9</v>
      </c>
      <c r="AN31" s="19">
        <f>+AL31/AM31</f>
        <v>1.1333333333333333</v>
      </c>
      <c r="AO31" s="58">
        <v>10.199999999999999</v>
      </c>
      <c r="AP31" s="59">
        <v>9</v>
      </c>
      <c r="AQ31" s="19">
        <f>+AO31/AP31</f>
        <v>1.1333333333333333</v>
      </c>
      <c r="AR31" s="58">
        <v>10.199999999999999</v>
      </c>
      <c r="AS31" s="59">
        <v>9</v>
      </c>
      <c r="AT31" s="19">
        <f>+AR31/AS31</f>
        <v>1.1333333333333333</v>
      </c>
      <c r="AU31" s="60">
        <v>8</v>
      </c>
      <c r="AV31" s="19">
        <f>G31/AU31</f>
        <v>1.2749999999999999</v>
      </c>
    </row>
    <row r="32" spans="1:199" s="22" customFormat="1" ht="88.5" customHeight="1" thickTop="1" thickBot="1">
      <c r="A32" s="2861"/>
      <c r="B32" s="695" t="s">
        <v>150</v>
      </c>
      <c r="C32" s="67" t="s">
        <v>151</v>
      </c>
      <c r="D32" s="1201" t="s">
        <v>152</v>
      </c>
      <c r="E32" s="418" t="s">
        <v>153</v>
      </c>
      <c r="F32" s="418" t="s">
        <v>17</v>
      </c>
      <c r="G32" s="697">
        <v>37</v>
      </c>
      <c r="H32" s="418" t="s">
        <v>21</v>
      </c>
      <c r="I32" s="27">
        <v>0</v>
      </c>
      <c r="J32" s="28"/>
      <c r="K32" s="19" t="e">
        <f>+I32/J32</f>
        <v>#DIV/0!</v>
      </c>
      <c r="L32" s="27">
        <v>0</v>
      </c>
      <c r="M32" s="28"/>
      <c r="N32" s="19" t="e">
        <f>+L32/M32</f>
        <v>#DIV/0!</v>
      </c>
      <c r="O32" s="27">
        <v>37</v>
      </c>
      <c r="P32" s="28">
        <v>37</v>
      </c>
      <c r="Q32" s="19">
        <f>+O32/P32</f>
        <v>1</v>
      </c>
      <c r="R32" s="27">
        <v>37</v>
      </c>
      <c r="S32" s="28">
        <v>37</v>
      </c>
      <c r="T32" s="19">
        <f>+R32/S32</f>
        <v>1</v>
      </c>
      <c r="U32" s="27">
        <v>37</v>
      </c>
      <c r="V32" s="28">
        <v>37</v>
      </c>
      <c r="W32" s="19">
        <f>+U32/V32</f>
        <v>1</v>
      </c>
      <c r="X32" s="27">
        <v>37</v>
      </c>
      <c r="Y32" s="28">
        <v>37</v>
      </c>
      <c r="Z32" s="19">
        <f>+X32/Y32</f>
        <v>1</v>
      </c>
      <c r="AA32" s="29">
        <f>(P32+S32+V32+Y32)/4</f>
        <v>37</v>
      </c>
      <c r="AB32" s="19">
        <f>G32/AA32</f>
        <v>1</v>
      </c>
      <c r="AC32" s="27">
        <v>37</v>
      </c>
      <c r="AD32" s="28">
        <v>37</v>
      </c>
      <c r="AE32" s="19">
        <f>+AC32/AD32</f>
        <v>1</v>
      </c>
      <c r="AF32" s="27">
        <v>37</v>
      </c>
      <c r="AG32" s="28">
        <v>37</v>
      </c>
      <c r="AH32" s="19">
        <f>+AF32/AG32</f>
        <v>1</v>
      </c>
      <c r="AI32" s="27">
        <v>37</v>
      </c>
      <c r="AJ32" s="28">
        <v>37</v>
      </c>
      <c r="AK32" s="19">
        <f>+AI32/AJ32</f>
        <v>1</v>
      </c>
      <c r="AL32" s="27">
        <v>37</v>
      </c>
      <c r="AM32" s="28">
        <v>37</v>
      </c>
      <c r="AN32" s="19">
        <f>+AL32/AM32</f>
        <v>1</v>
      </c>
      <c r="AO32" s="27">
        <v>37</v>
      </c>
      <c r="AP32" s="28">
        <v>37</v>
      </c>
      <c r="AQ32" s="19">
        <f>+AO32/AP32</f>
        <v>1</v>
      </c>
      <c r="AR32" s="27">
        <v>37</v>
      </c>
      <c r="AS32" s="28">
        <v>37</v>
      </c>
      <c r="AT32" s="19">
        <f>+AR32/AS32</f>
        <v>1</v>
      </c>
      <c r="AU32" s="29"/>
      <c r="AV32" s="19">
        <v>1</v>
      </c>
    </row>
    <row r="33" spans="1:199" s="22" customFormat="1" ht="22.5" thickTop="1" thickBot="1">
      <c r="A33" s="2842" t="s">
        <v>154</v>
      </c>
      <c r="B33" s="2843"/>
      <c r="C33" s="3142"/>
      <c r="D33" s="2843"/>
      <c r="E33" s="2843"/>
      <c r="F33" s="2843"/>
      <c r="G33" s="2843"/>
      <c r="H33" s="2844"/>
      <c r="I33" s="61"/>
      <c r="J33" s="62"/>
      <c r="K33" s="61"/>
      <c r="L33" s="61"/>
      <c r="M33" s="62"/>
      <c r="N33" s="61"/>
      <c r="O33" s="61"/>
      <c r="P33" s="62"/>
      <c r="Q33" s="61"/>
      <c r="R33" s="61"/>
      <c r="S33" s="62"/>
      <c r="T33" s="61"/>
      <c r="U33" s="61"/>
      <c r="V33" s="62"/>
      <c r="W33" s="61"/>
      <c r="X33" s="61"/>
      <c r="Y33" s="62"/>
      <c r="Z33" s="61"/>
      <c r="AA33" s="61"/>
      <c r="AB33" s="61"/>
      <c r="AC33" s="61"/>
      <c r="AD33" s="62"/>
      <c r="AE33" s="61"/>
      <c r="AF33" s="61"/>
      <c r="AG33" s="62"/>
      <c r="AH33" s="61"/>
      <c r="AI33" s="61"/>
      <c r="AJ33" s="62"/>
      <c r="AK33" s="61"/>
      <c r="AL33" s="61"/>
      <c r="AM33" s="62"/>
      <c r="AN33" s="61"/>
      <c r="AO33" s="61"/>
      <c r="AP33" s="62"/>
      <c r="AQ33" s="61"/>
      <c r="AR33" s="61"/>
      <c r="AS33" s="62"/>
      <c r="AT33" s="61"/>
      <c r="AU33" s="61"/>
      <c r="AV33" s="61"/>
    </row>
    <row r="34" spans="1:199" s="132" customFormat="1" ht="140.25" customHeight="1" thickTop="1" thickBot="1">
      <c r="A34" s="1205" t="s">
        <v>155</v>
      </c>
      <c r="B34" s="1782" t="s">
        <v>156</v>
      </c>
      <c r="C34" s="400" t="s">
        <v>157</v>
      </c>
      <c r="D34" s="1198" t="s">
        <v>158</v>
      </c>
      <c r="E34" s="371" t="s">
        <v>159</v>
      </c>
      <c r="F34" s="371" t="s">
        <v>17</v>
      </c>
      <c r="G34" s="57">
        <v>10</v>
      </c>
      <c r="H34" s="371" t="s">
        <v>27</v>
      </c>
      <c r="I34" s="58"/>
      <c r="J34" s="59"/>
      <c r="K34" s="19" t="e">
        <f t="shared" ref="K34" si="16">+J34/I34</f>
        <v>#DIV/0!</v>
      </c>
      <c r="L34" s="58">
        <v>0</v>
      </c>
      <c r="M34" s="59"/>
      <c r="N34" s="19" t="e">
        <f t="shared" ref="N34" si="17">+M34/L34</f>
        <v>#DIV/0!</v>
      </c>
      <c r="O34" s="58">
        <v>0</v>
      </c>
      <c r="P34" s="59"/>
      <c r="Q34" s="19" t="e">
        <f t="shared" ref="Q34" si="18">+P34/O34</f>
        <v>#DIV/0!</v>
      </c>
      <c r="R34" s="58">
        <v>0</v>
      </c>
      <c r="S34" s="59"/>
      <c r="T34" s="19" t="e">
        <f t="shared" ref="T34" si="19">+S34/R34</f>
        <v>#DIV/0!</v>
      </c>
      <c r="U34" s="58">
        <v>2</v>
      </c>
      <c r="V34" s="59">
        <v>2</v>
      </c>
      <c r="W34" s="19">
        <f t="shared" ref="W34" si="20">+V34/U34</f>
        <v>1</v>
      </c>
      <c r="X34" s="58">
        <v>0</v>
      </c>
      <c r="Y34" s="59"/>
      <c r="Z34" s="19" t="e">
        <f t="shared" ref="Z34" si="21">+Y34/X34</f>
        <v>#DIV/0!</v>
      </c>
      <c r="AA34" s="60">
        <f t="shared" ref="AA34" si="22">+J34+M34+P34+S34+V34+Y34</f>
        <v>2</v>
      </c>
      <c r="AB34" s="19">
        <f t="shared" ref="AB34" si="23">AA34/G34</f>
        <v>0.2</v>
      </c>
      <c r="AC34" s="58">
        <v>1</v>
      </c>
      <c r="AD34" s="59">
        <v>1</v>
      </c>
      <c r="AE34" s="19">
        <f t="shared" ref="AE34" si="24">+AD34/AC34</f>
        <v>1</v>
      </c>
      <c r="AF34" s="58">
        <v>3</v>
      </c>
      <c r="AG34" s="59">
        <v>3</v>
      </c>
      <c r="AH34" s="19">
        <f t="shared" ref="AH34" si="25">+AG34/AF34</f>
        <v>1</v>
      </c>
      <c r="AI34" s="58">
        <v>1</v>
      </c>
      <c r="AJ34" s="59">
        <v>1</v>
      </c>
      <c r="AK34" s="19">
        <f t="shared" ref="AK34" si="26">+AJ34/AI34</f>
        <v>1</v>
      </c>
      <c r="AL34" s="1783">
        <v>3</v>
      </c>
      <c r="AM34" s="1784">
        <v>3</v>
      </c>
      <c r="AN34" s="19">
        <f t="shared" ref="AN34" si="27">+AM34/AL34</f>
        <v>1</v>
      </c>
      <c r="AO34" s="1783">
        <v>0</v>
      </c>
      <c r="AP34" s="1784"/>
      <c r="AQ34" s="19" t="e">
        <f t="shared" ref="AQ34" si="28">+AP34/AO34</f>
        <v>#DIV/0!</v>
      </c>
      <c r="AR34" s="58">
        <v>0</v>
      </c>
      <c r="AS34" s="59"/>
      <c r="AT34" s="19" t="e">
        <f t="shared" ref="AT34" si="29">+AS34/AR34</f>
        <v>#DIV/0!</v>
      </c>
      <c r="AU34" s="60">
        <f t="shared" ref="AU34" si="30">+J34+M34+P34+S34+V34+Y34+AD34+AG34+AJ34+AM34+AP34+AS34</f>
        <v>10</v>
      </c>
      <c r="AV34" s="19">
        <f>+AU34/G34</f>
        <v>1</v>
      </c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</row>
    <row r="35" spans="1:199" ht="17.25" thickTop="1">
      <c r="C35" s="64"/>
      <c r="J35" s="1785"/>
      <c r="K35" s="1786"/>
      <c r="M35" s="1785"/>
      <c r="N35" s="1786"/>
      <c r="P35" s="1785"/>
      <c r="Q35" s="1786"/>
      <c r="S35" s="1785"/>
      <c r="T35" s="1786"/>
      <c r="V35" s="1785"/>
      <c r="W35" s="1786"/>
      <c r="Y35" s="1785"/>
      <c r="Z35" s="1786"/>
      <c r="AA35" s="1785"/>
      <c r="AB35" s="1787"/>
      <c r="AD35" s="1785"/>
      <c r="AE35" s="1786"/>
      <c r="AG35" s="1785"/>
      <c r="AH35" s="1786"/>
      <c r="AJ35" s="1785"/>
      <c r="AK35" s="1786"/>
      <c r="AM35" s="1785"/>
      <c r="AN35" s="1786"/>
      <c r="AP35" s="1785"/>
      <c r="AQ35" s="1786"/>
      <c r="AS35" s="1785"/>
      <c r="AT35" s="1786"/>
    </row>
    <row r="36" spans="1:199">
      <c r="J36" s="1785"/>
      <c r="K36" s="1786"/>
      <c r="M36" s="1785"/>
      <c r="N36" s="1786"/>
      <c r="P36" s="1785"/>
      <c r="Q36" s="1786"/>
      <c r="S36" s="1785"/>
      <c r="T36" s="1786"/>
      <c r="V36" s="1785"/>
      <c r="W36" s="1786"/>
      <c r="Y36" s="1785"/>
      <c r="Z36" s="1786"/>
      <c r="AA36" s="1785"/>
      <c r="AB36" s="1787"/>
      <c r="AD36" s="1785"/>
      <c r="AE36" s="1786"/>
      <c r="AG36" s="1785"/>
      <c r="AH36" s="1786"/>
      <c r="AJ36" s="1785"/>
      <c r="AK36" s="1786"/>
      <c r="AM36" s="1785"/>
      <c r="AN36" s="1786"/>
      <c r="AP36" s="1785"/>
      <c r="AQ36" s="1786"/>
      <c r="AS36" s="1785"/>
      <c r="AT36" s="1786"/>
    </row>
    <row r="37" spans="1:199">
      <c r="J37" s="1785"/>
      <c r="K37" s="1786"/>
      <c r="M37" s="1785"/>
      <c r="N37" s="1786"/>
      <c r="P37" s="1785"/>
      <c r="Q37" s="1786"/>
      <c r="S37" s="1785"/>
      <c r="T37" s="1786"/>
      <c r="V37" s="1785"/>
      <c r="W37" s="1786"/>
      <c r="Y37" s="1785"/>
      <c r="Z37" s="1786"/>
      <c r="AA37" s="1785"/>
      <c r="AB37" s="1787"/>
      <c r="AD37" s="1785"/>
      <c r="AE37" s="1786"/>
      <c r="AG37" s="1785"/>
      <c r="AH37" s="1786"/>
      <c r="AJ37" s="1785"/>
      <c r="AK37" s="1786"/>
      <c r="AM37" s="1785"/>
      <c r="AN37" s="1786"/>
      <c r="AP37" s="1785"/>
      <c r="AQ37" s="1786"/>
      <c r="AS37" s="1785"/>
      <c r="AT37" s="1786"/>
    </row>
    <row r="38" spans="1:199">
      <c r="J38" s="1785"/>
      <c r="K38" s="1786"/>
      <c r="M38" s="1785"/>
      <c r="N38" s="1786"/>
      <c r="P38" s="1785"/>
      <c r="Q38" s="1786"/>
      <c r="S38" s="1785"/>
      <c r="T38" s="1786"/>
      <c r="V38" s="1785"/>
      <c r="W38" s="1786"/>
      <c r="Y38" s="1785"/>
      <c r="Z38" s="1786"/>
      <c r="AA38" s="1785"/>
      <c r="AB38" s="1787"/>
      <c r="AD38" s="1785"/>
      <c r="AE38" s="1786"/>
      <c r="AG38" s="1785"/>
      <c r="AH38" s="1786"/>
      <c r="AJ38" s="1785"/>
      <c r="AK38" s="1786"/>
      <c r="AM38" s="1785"/>
      <c r="AN38" s="1786"/>
      <c r="AP38" s="1785"/>
      <c r="AQ38" s="1786"/>
      <c r="AS38" s="1785"/>
      <c r="AT38" s="1786"/>
    </row>
    <row r="40" spans="1:199">
      <c r="J40" s="1785"/>
      <c r="K40" s="1786"/>
      <c r="M40" s="1785"/>
      <c r="N40" s="1786"/>
      <c r="P40" s="1785"/>
      <c r="Q40" s="1786"/>
      <c r="S40" s="1785"/>
      <c r="T40" s="1786"/>
      <c r="V40" s="1785"/>
      <c r="W40" s="1786"/>
      <c r="Y40" s="1785"/>
      <c r="Z40" s="1786"/>
      <c r="AA40" s="1785"/>
      <c r="AB40" s="1787"/>
      <c r="AD40" s="1785"/>
      <c r="AE40" s="1786"/>
      <c r="AG40" s="1785"/>
      <c r="AH40" s="1786"/>
      <c r="AJ40" s="1785"/>
      <c r="AK40" s="1786"/>
      <c r="AM40" s="1785"/>
      <c r="AN40" s="1786"/>
      <c r="AP40" s="1785"/>
      <c r="AQ40" s="1786"/>
      <c r="AS40" s="1785"/>
      <c r="AT40" s="1786"/>
    </row>
    <row r="41" spans="1:199">
      <c r="J41" s="1785"/>
      <c r="K41" s="1786"/>
      <c r="M41" s="1785"/>
      <c r="N41" s="1786"/>
      <c r="P41" s="1785"/>
      <c r="Q41" s="1786"/>
      <c r="S41" s="1785"/>
      <c r="T41" s="1786"/>
      <c r="V41" s="1785"/>
      <c r="W41" s="1786"/>
      <c r="Y41" s="1785"/>
      <c r="Z41" s="1786"/>
      <c r="AA41" s="1785"/>
      <c r="AB41" s="1787"/>
      <c r="AD41" s="1785"/>
      <c r="AE41" s="1786"/>
      <c r="AG41" s="1785"/>
      <c r="AH41" s="1786"/>
      <c r="AJ41" s="1785"/>
      <c r="AK41" s="1786"/>
      <c r="AM41" s="1785"/>
      <c r="AN41" s="1786"/>
      <c r="AP41" s="1785"/>
      <c r="AQ41" s="1786"/>
      <c r="AS41" s="1785"/>
      <c r="AT41" s="1786"/>
    </row>
  </sheetData>
  <sheetProtection algorithmName="SHA-512" hashValue="zRhs90olfbRTkFHda/evYbNec13pBbo1nJEF3EnsUj/BR2tMV3cxL0ml5/w5dfEhVLfnbhPdZYbRkCHFimIqlQ==" saltValue="hhHH4GF92cjZkJEl+iRDIw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A12:A1048576 A1:A10 B1:XFD1048576" name="Rango1"/>
  </protectedRanges>
  <mergeCells count="35">
    <mergeCell ref="C1:H1"/>
    <mergeCell ref="C2:H2"/>
    <mergeCell ref="C3:H3"/>
    <mergeCell ref="A5:A7"/>
    <mergeCell ref="B5:B7"/>
    <mergeCell ref="C5:C7"/>
    <mergeCell ref="D5:D7"/>
    <mergeCell ref="E5:E7"/>
    <mergeCell ref="F5:F7"/>
    <mergeCell ref="G5:G7"/>
    <mergeCell ref="AR5:AT7"/>
    <mergeCell ref="AU5:AV7"/>
    <mergeCell ref="A8:H8"/>
    <mergeCell ref="A9:A27"/>
    <mergeCell ref="B9:B10"/>
    <mergeCell ref="B11:B27"/>
    <mergeCell ref="C12:C15"/>
    <mergeCell ref="C20:C26"/>
    <mergeCell ref="X5:Z7"/>
    <mergeCell ref="AA5:AB7"/>
    <mergeCell ref="AC5:AE7"/>
    <mergeCell ref="AF5:AH7"/>
    <mergeCell ref="AI5:AK7"/>
    <mergeCell ref="AL5:AN7"/>
    <mergeCell ref="H5:H7"/>
    <mergeCell ref="I5:K7"/>
    <mergeCell ref="A29:H29"/>
    <mergeCell ref="A30:A32"/>
    <mergeCell ref="B30:B31"/>
    <mergeCell ref="A33:H33"/>
    <mergeCell ref="AO5:AQ7"/>
    <mergeCell ref="L5:N7"/>
    <mergeCell ref="O5:Q7"/>
    <mergeCell ref="R5:T7"/>
    <mergeCell ref="U5:W7"/>
  </mergeCells>
  <conditionalFormatting sqref="AV34 AV30:AV32 AV9:AV28">
    <cfRule type="cellIs" dxfId="4984" priority="66" operator="greaterThan">
      <formula>110%</formula>
    </cfRule>
    <cfRule type="cellIs" dxfId="4983" priority="67" operator="between">
      <formula>100.001%</formula>
      <formula>110%</formula>
    </cfRule>
    <cfRule type="cellIs" dxfId="4982" priority="68" operator="between">
      <formula>70.001%</formula>
      <formula>100%</formula>
    </cfRule>
    <cfRule type="cellIs" dxfId="4981" priority="69" operator="between">
      <formula>0.00001%</formula>
      <formula>70%</formula>
    </cfRule>
    <cfRule type="cellIs" dxfId="4980" priority="70" operator="equal">
      <formula>0</formula>
    </cfRule>
  </conditionalFormatting>
  <conditionalFormatting sqref="AT9:AT28 AT34 AT30:AT32">
    <cfRule type="cellIs" dxfId="4979" priority="61" operator="greaterThan">
      <formula>110%</formula>
    </cfRule>
    <cfRule type="cellIs" dxfId="4978" priority="62" operator="between">
      <formula>100.001%</formula>
      <formula>110%</formula>
    </cfRule>
    <cfRule type="cellIs" dxfId="4977" priority="63" operator="between">
      <formula>70.001%</formula>
      <formula>100%</formula>
    </cfRule>
    <cfRule type="cellIs" dxfId="4976" priority="64" operator="between">
      <formula>0.00001%</formula>
      <formula>70%</formula>
    </cfRule>
    <cfRule type="cellIs" dxfId="4975" priority="65" operator="equal">
      <formula>0</formula>
    </cfRule>
  </conditionalFormatting>
  <conditionalFormatting sqref="AQ9:AQ28 AQ34 AQ30:AQ32">
    <cfRule type="cellIs" dxfId="4974" priority="56" operator="greaterThan">
      <formula>110%</formula>
    </cfRule>
    <cfRule type="cellIs" dxfId="4973" priority="57" operator="between">
      <formula>100.001%</formula>
      <formula>110%</formula>
    </cfRule>
    <cfRule type="cellIs" dxfId="4972" priority="58" operator="between">
      <formula>70.001%</formula>
      <formula>100%</formula>
    </cfRule>
    <cfRule type="cellIs" dxfId="4971" priority="59" operator="between">
      <formula>0.00001%</formula>
      <formula>70%</formula>
    </cfRule>
    <cfRule type="cellIs" dxfId="4970" priority="60" operator="equal">
      <formula>0</formula>
    </cfRule>
  </conditionalFormatting>
  <conditionalFormatting sqref="AN9:AN28 AN34 AN30:AN32">
    <cfRule type="cellIs" dxfId="4969" priority="51" operator="greaterThan">
      <formula>110%</formula>
    </cfRule>
    <cfRule type="cellIs" dxfId="4968" priority="52" operator="between">
      <formula>100.001%</formula>
      <formula>110%</formula>
    </cfRule>
    <cfRule type="cellIs" dxfId="4967" priority="53" operator="between">
      <formula>70.001%</formula>
      <formula>100%</formula>
    </cfRule>
    <cfRule type="cellIs" dxfId="4966" priority="54" operator="between">
      <formula>0.00001%</formula>
      <formula>70%</formula>
    </cfRule>
    <cfRule type="cellIs" dxfId="4965" priority="55" operator="equal">
      <formula>0</formula>
    </cfRule>
  </conditionalFormatting>
  <conditionalFormatting sqref="AK9:AK28 AK34 AK30:AK32">
    <cfRule type="cellIs" dxfId="4964" priority="46" operator="greaterThan">
      <formula>110%</formula>
    </cfRule>
    <cfRule type="cellIs" dxfId="4963" priority="47" operator="between">
      <formula>100.001%</formula>
      <formula>110%</formula>
    </cfRule>
    <cfRule type="cellIs" dxfId="4962" priority="48" operator="between">
      <formula>70.001%</formula>
      <formula>100%</formula>
    </cfRule>
    <cfRule type="cellIs" dxfId="4961" priority="49" operator="between">
      <formula>0.00001%</formula>
      <formula>70%</formula>
    </cfRule>
    <cfRule type="cellIs" dxfId="4960" priority="50" operator="equal">
      <formula>0</formula>
    </cfRule>
  </conditionalFormatting>
  <conditionalFormatting sqref="AH9:AH28 AH34 AH30:AH32">
    <cfRule type="cellIs" dxfId="4959" priority="41" operator="greaterThan">
      <formula>110%</formula>
    </cfRule>
    <cfRule type="cellIs" dxfId="4958" priority="42" operator="between">
      <formula>100.001%</formula>
      <formula>110%</formula>
    </cfRule>
    <cfRule type="cellIs" dxfId="4957" priority="43" operator="between">
      <formula>70.001%</formula>
      <formula>100%</formula>
    </cfRule>
    <cfRule type="cellIs" dxfId="4956" priority="44" operator="between">
      <formula>0.00001%</formula>
      <formula>70%</formula>
    </cfRule>
    <cfRule type="cellIs" dxfId="4955" priority="45" operator="equal">
      <formula>0</formula>
    </cfRule>
  </conditionalFormatting>
  <conditionalFormatting sqref="AE9:AE28 AE34 AE30:AE32">
    <cfRule type="cellIs" dxfId="4954" priority="36" operator="greaterThan">
      <formula>110%</formula>
    </cfRule>
    <cfRule type="cellIs" dxfId="4953" priority="37" operator="between">
      <formula>100.001%</formula>
      <formula>110%</formula>
    </cfRule>
    <cfRule type="cellIs" dxfId="4952" priority="38" operator="between">
      <formula>70.001%</formula>
      <formula>100%</formula>
    </cfRule>
    <cfRule type="cellIs" dxfId="4951" priority="39" operator="between">
      <formula>0.00001%</formula>
      <formula>70%</formula>
    </cfRule>
    <cfRule type="cellIs" dxfId="4950" priority="40" operator="equal">
      <formula>0</formula>
    </cfRule>
  </conditionalFormatting>
  <conditionalFormatting sqref="AB9:AB28 AB34 AB30:AB32">
    <cfRule type="cellIs" dxfId="4949" priority="31" operator="greaterThan">
      <formula>110%</formula>
    </cfRule>
    <cfRule type="cellIs" dxfId="4948" priority="32" operator="between">
      <formula>100.001%</formula>
      <formula>110%</formula>
    </cfRule>
    <cfRule type="cellIs" dxfId="4947" priority="33" operator="between">
      <formula>70.001%</formula>
      <formula>100%</formula>
    </cfRule>
    <cfRule type="cellIs" dxfId="4946" priority="34" operator="between">
      <formula>0.00001%</formula>
      <formula>70%</formula>
    </cfRule>
    <cfRule type="cellIs" dxfId="4945" priority="35" operator="equal">
      <formula>0</formula>
    </cfRule>
  </conditionalFormatting>
  <conditionalFormatting sqref="Z9:Z28 Z34 Z30:Z32">
    <cfRule type="cellIs" dxfId="4944" priority="26" operator="greaterThan">
      <formula>110%</formula>
    </cfRule>
    <cfRule type="cellIs" dxfId="4943" priority="27" operator="between">
      <formula>100.001%</formula>
      <formula>110%</formula>
    </cfRule>
    <cfRule type="cellIs" dxfId="4942" priority="28" operator="between">
      <formula>70.001%</formula>
      <formula>100%</formula>
    </cfRule>
    <cfRule type="cellIs" dxfId="4941" priority="29" operator="between">
      <formula>0.00001%</formula>
      <formula>70%</formula>
    </cfRule>
    <cfRule type="cellIs" dxfId="4940" priority="30" operator="equal">
      <formula>0</formula>
    </cfRule>
  </conditionalFormatting>
  <conditionalFormatting sqref="W9:W28 W34 W30:W32">
    <cfRule type="cellIs" dxfId="4939" priority="21" operator="greaterThan">
      <formula>110%</formula>
    </cfRule>
    <cfRule type="cellIs" dxfId="4938" priority="22" operator="between">
      <formula>100.001%</formula>
      <formula>110%</formula>
    </cfRule>
    <cfRule type="cellIs" dxfId="4937" priority="23" operator="between">
      <formula>70.001%</formula>
      <formula>100%</formula>
    </cfRule>
    <cfRule type="cellIs" dxfId="4936" priority="24" operator="between">
      <formula>0.00001%</formula>
      <formula>70%</formula>
    </cfRule>
    <cfRule type="cellIs" dxfId="4935" priority="25" operator="equal">
      <formula>0</formula>
    </cfRule>
  </conditionalFormatting>
  <conditionalFormatting sqref="T9:T28 T34 T30:T32">
    <cfRule type="cellIs" dxfId="4934" priority="16" operator="greaterThan">
      <formula>110%</formula>
    </cfRule>
    <cfRule type="cellIs" dxfId="4933" priority="17" operator="between">
      <formula>100.001%</formula>
      <formula>110%</formula>
    </cfRule>
    <cfRule type="cellIs" dxfId="4932" priority="18" operator="between">
      <formula>70.001%</formula>
      <formula>100%</formula>
    </cfRule>
    <cfRule type="cellIs" dxfId="4931" priority="19" operator="between">
      <formula>0.00001%</formula>
      <formula>70%</formula>
    </cfRule>
    <cfRule type="cellIs" dxfId="4930" priority="20" operator="equal">
      <formula>0</formula>
    </cfRule>
  </conditionalFormatting>
  <conditionalFormatting sqref="Q9:Q28 Q34 Q30:Q32">
    <cfRule type="cellIs" dxfId="4929" priority="11" operator="greaterThan">
      <formula>110%</formula>
    </cfRule>
    <cfRule type="cellIs" dxfId="4928" priority="12" operator="between">
      <formula>100.001%</formula>
      <formula>110%</formula>
    </cfRule>
    <cfRule type="cellIs" dxfId="4927" priority="13" operator="between">
      <formula>70.001%</formula>
      <formula>100%</formula>
    </cfRule>
    <cfRule type="cellIs" dxfId="4926" priority="14" operator="between">
      <formula>0.00001%</formula>
      <formula>70%</formula>
    </cfRule>
    <cfRule type="cellIs" dxfId="4925" priority="15" operator="equal">
      <formula>0</formula>
    </cfRule>
  </conditionalFormatting>
  <conditionalFormatting sqref="N34 N30:N32 N9:N28">
    <cfRule type="cellIs" dxfId="4924" priority="6" operator="greaterThan">
      <formula>110%</formula>
    </cfRule>
    <cfRule type="cellIs" dxfId="4923" priority="7" operator="between">
      <formula>100.001%</formula>
      <formula>110%</formula>
    </cfRule>
    <cfRule type="cellIs" dxfId="4922" priority="8" operator="between">
      <formula>70.001%</formula>
      <formula>100%</formula>
    </cfRule>
    <cfRule type="cellIs" dxfId="4921" priority="9" operator="between">
      <formula>0.00001%</formula>
      <formula>70%</formula>
    </cfRule>
    <cfRule type="cellIs" dxfId="4920" priority="10" operator="equal">
      <formula>0</formula>
    </cfRule>
  </conditionalFormatting>
  <conditionalFormatting sqref="K9:K28 K34 K30:K32">
    <cfRule type="cellIs" dxfId="4919" priority="1" operator="greaterThan">
      <formula>110%</formula>
    </cfRule>
    <cfRule type="cellIs" dxfId="4918" priority="2" operator="between">
      <formula>100.001%</formula>
      <formula>110%</formula>
    </cfRule>
    <cfRule type="cellIs" dxfId="4917" priority="3" operator="between">
      <formula>70.001%</formula>
      <formula>100%</formula>
    </cfRule>
    <cfRule type="cellIs" dxfId="4916" priority="4" operator="between">
      <formula>0.00001%</formula>
      <formula>70%</formula>
    </cfRule>
    <cfRule type="cellIs" dxfId="4915" priority="5" operator="equal">
      <formula>0</formula>
    </cfRule>
  </conditionalFormatting>
  <hyperlinks>
    <hyperlink ref="D11" location="'IN1-3'!Área_de_impresión" display="IN1-3 Recaudo Bruto" xr:uid="{00000000-0004-0000-1A00-000000000000}"/>
    <hyperlink ref="D12" location="'FIS-4'!Área_de_impresión" display="FIS-4 Gestión efectiva en fiscalización tributaria" xr:uid="{00000000-0004-0000-1A00-000001000000}"/>
    <hyperlink ref="D13" location="'FIS-10'!Área_de_impresión" display="FIS-10 Gestión aceptada en fiscalización tributaria" xr:uid="{00000000-0004-0000-1A00-000002000000}"/>
    <hyperlink ref="D14" location="'FIS-27'!Área_de_impresión" display="FIS-27 Reclasificación de no responsables a responsables" xr:uid="{00000000-0004-0000-1A00-000003000000}"/>
    <hyperlink ref="D15" location="'FIS-17'!Área_de_impresión" display="FIS-17 Evacuación de expedientes en fiscalización tributaria" xr:uid="{00000000-0004-0000-1A00-000004000000}"/>
    <hyperlink ref="D16" location="'IN1-4'!Área_de_impresión" display="IN1-4 Recaudo por gestión de cartera" xr:uid="{00000000-0004-0000-1A00-000005000000}"/>
    <hyperlink ref="D17" location="'IN1-5'!Área_de_impresión" display="IN1-5 Inscritos en el Régimen Simple de Tributación - RST" xr:uid="{00000000-0004-0000-1A00-000006000000}"/>
    <hyperlink ref="D18" location="'IN1-6.1'!Área_de_impresión" display="IN1-6.1 Grado de cumplimiento del cronograma de campañas del RST" xr:uid="{00000000-0004-0000-1A00-000007000000}"/>
    <hyperlink ref="D19" location="'IN1-8'!Área_de_impresión" display="IN1-8 Contribuyentes habilitados como facturadores electrónicos" xr:uid="{00000000-0004-0000-1A00-000008000000}"/>
    <hyperlink ref="D20" location="'JUR-3.1'!Área_de_impresión" display="JUR-3.1 Porcentaje de éxito de litigiosidad" xr:uid="{00000000-0004-0000-1A00-000009000000}"/>
    <hyperlink ref="D21" location="'JUR-3.2'!Área_de_impresión" display="JUR-3.2 Porcentaje procesos judiciales revisados con mayor riesgo en Ekogui" xr:uid="{00000000-0004-0000-1A00-00000A000000}"/>
    <hyperlink ref="D22" location="'JUR-3.3'!Área_de_impresión" display="JUR-3.3 Porcentaje de análisis de jurisprudencia remitidos junto con la copia de la sentencia " xr:uid="{00000000-0004-0000-1A00-00000B000000}"/>
    <hyperlink ref="D23" location="'JUR-3.4'!Área_de_impresión" display="JUR-3.4 Porcentaje de procesos revisados con VoBo del Jefe " xr:uid="{00000000-0004-0000-1A00-00000C000000}"/>
    <hyperlink ref="D24" location="'JUR-3.5'!Área_de_impresión" display="JUR-3.5 Porcentaje de requerimientos atendidos en oportunidad" xr:uid="{00000000-0004-0000-1A00-00000D000000}"/>
    <hyperlink ref="D25" location="'JUR-3.6'!Área_de_impresión" display="JUR-3.6 Porcentaje de funcionarios capacitaciones en cursos virtuales de la ANDJE" xr:uid="{00000000-0004-0000-1A00-00000E000000}"/>
    <hyperlink ref="D26" location="'JUR-4'!Área_de_impresión" display="JUR-4 Porcentaje funcionarios que participaron en el concurso de escritura jurídica" xr:uid="{00000000-0004-0000-1A00-00000F000000}"/>
    <hyperlink ref="D27" location="'ADU-3'!Área_de_impresión" display="ADU-3 Monto de recaudación total de aduanas" xr:uid="{00000000-0004-0000-1A00-000010000000}"/>
    <hyperlink ref="D28" location="'FIS-24'!Área_de_impresión" display="FIS-24  Valor Decomisos de mercancías en firme" xr:uid="{00000000-0004-0000-1A00-000011000000}"/>
    <hyperlink ref="D30" location="'IN1-11'!Área_de_impresión" display="IN1-11  Nivel de cobertura de personas sensibilizadas por el plan de cultura. ACTUALMENTE. Cumplimiento al Plan de Acción de Cultura de la Contribución" xr:uid="{00000000-0004-0000-1A00-000012000000}"/>
    <hyperlink ref="D31" location="'JUR-7'!Área_de_impresión" display="JUR-7 Oportunidad en las decisiones de los recursos tributarios hasta su remisión a notificaciones" xr:uid="{00000000-0004-0000-1A00-000013000000}"/>
    <hyperlink ref="D32" location="'IN1-15'!Área_de_impresión" display="'IN1-15'!Área_de_impresión" xr:uid="{00000000-0004-0000-1A00-000014000000}"/>
    <hyperlink ref="D9" location="'DGRAE-1'!A1" display="DGRAE-1 Nivel de Ejecución del presupuesto " xr:uid="{00000000-0004-0000-1A00-000015000000}"/>
    <hyperlink ref="D10" location="'DGRAE-2'!A1" display="DGRAE-2 Nivel de ejecución del PAA de la Dirección" xr:uid="{00000000-0004-0000-1A00-000016000000}"/>
    <hyperlink ref="D34" location="'DGRAE-25'!A1" display="DGRAE-25 Actividades que componen el  PIC para la Dirección de Gestión" xr:uid="{00000000-0004-0000-1A00-000017000000}"/>
    <hyperlink ref="AV2" location="'Consolidado '!A1" display="VOLVER" xr:uid="{00000000-0004-0000-1A00-000018000000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36"/>
  <sheetViews>
    <sheetView topLeftCell="E1" zoomScale="80" zoomScaleNormal="80" workbookViewId="0">
      <selection activeCell="AZ4" sqref="AZ4"/>
    </sheetView>
  </sheetViews>
  <sheetFormatPr baseColWidth="10" defaultColWidth="11.42578125" defaultRowHeight="16.5"/>
  <cols>
    <col min="1" max="1" width="22.140625" style="8" customWidth="1"/>
    <col min="2" max="2" width="31.28515625" style="8" customWidth="1"/>
    <col min="3" max="3" width="29.85546875" style="63" customWidth="1"/>
    <col min="4" max="4" width="27.7109375" style="1868" customWidth="1"/>
    <col min="5" max="5" width="57" style="8" customWidth="1"/>
    <col min="6" max="6" width="13.7109375" style="8" customWidth="1"/>
    <col min="7" max="7" width="22.7109375" style="8" customWidth="1"/>
    <col min="8" max="10" width="10.7109375" style="8" hidden="1" customWidth="1"/>
    <col min="11" max="11" width="24" style="8" customWidth="1"/>
    <col min="12" max="13" width="21.7109375" style="8" hidden="1" customWidth="1"/>
    <col min="14" max="14" width="21.7109375" style="377" hidden="1" customWidth="1"/>
    <col min="15" max="16" width="21.7109375" style="8" hidden="1" customWidth="1"/>
    <col min="17" max="17" width="21.7109375" style="377" hidden="1" customWidth="1"/>
    <col min="18" max="19" width="21.7109375" style="8" hidden="1" customWidth="1"/>
    <col min="20" max="20" width="21.7109375" style="377" hidden="1" customWidth="1"/>
    <col min="21" max="22" width="21.7109375" style="8" hidden="1" customWidth="1"/>
    <col min="23" max="23" width="21.7109375" style="377" hidden="1" customWidth="1"/>
    <col min="24" max="25" width="21.7109375" style="8" hidden="1" customWidth="1"/>
    <col min="26" max="26" width="21.7109375" style="377" hidden="1" customWidth="1"/>
    <col min="27" max="28" width="21.7109375" style="8" hidden="1" customWidth="1"/>
    <col min="29" max="29" width="21.7109375" style="377" hidden="1" customWidth="1"/>
    <col min="30" max="30" width="21.7109375" style="8" hidden="1" customWidth="1"/>
    <col min="31" max="31" width="21.7109375" style="377" hidden="1" customWidth="1"/>
    <col min="32" max="33" width="21.7109375" style="8" hidden="1" customWidth="1"/>
    <col min="34" max="34" width="21.7109375" style="377" hidden="1" customWidth="1"/>
    <col min="35" max="36" width="21.7109375" style="8" hidden="1" customWidth="1"/>
    <col min="37" max="37" width="21.7109375" style="377" hidden="1" customWidth="1"/>
    <col min="38" max="39" width="21.7109375" style="8" hidden="1" customWidth="1"/>
    <col min="40" max="40" width="21.7109375" style="377" hidden="1" customWidth="1"/>
    <col min="41" max="42" width="21.7109375" style="8" hidden="1" customWidth="1"/>
    <col min="43" max="43" width="21.7109375" style="377" hidden="1" customWidth="1"/>
    <col min="44" max="45" width="21.7109375" style="8" hidden="1" customWidth="1"/>
    <col min="46" max="46" width="21.7109375" style="377" hidden="1" customWidth="1"/>
    <col min="47" max="48" width="21.7109375" style="8" hidden="1" customWidth="1"/>
    <col min="49" max="49" width="21.7109375" style="377" hidden="1" customWidth="1"/>
    <col min="50" max="50" width="23.7109375" style="8" customWidth="1"/>
    <col min="51" max="51" width="21.7109375" style="377" customWidth="1"/>
    <col min="52" max="16384" width="11.42578125" style="8"/>
  </cols>
  <sheetData>
    <row r="1" spans="1:52" ht="29.25" customHeight="1">
      <c r="A1" s="101"/>
      <c r="B1" s="101"/>
      <c r="C1" s="2885" t="s">
        <v>736</v>
      </c>
      <c r="D1" s="2885"/>
      <c r="E1" s="2885"/>
      <c r="F1" s="2885"/>
      <c r="G1" s="2885"/>
      <c r="H1" s="2885"/>
      <c r="I1" s="2885"/>
      <c r="J1" s="2885"/>
      <c r="K1" s="2885"/>
      <c r="AY1" s="8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65" t="s">
        <v>185</v>
      </c>
    </row>
    <row r="3" spans="1:52">
      <c r="A3" s="107"/>
      <c r="B3" s="108"/>
      <c r="C3" s="2866" t="s">
        <v>737</v>
      </c>
      <c r="D3" s="2867"/>
      <c r="E3" s="2867"/>
      <c r="F3" s="2867"/>
      <c r="G3" s="2867"/>
      <c r="H3" s="2867"/>
      <c r="I3" s="2867"/>
      <c r="J3" s="2867"/>
      <c r="K3" s="2867"/>
      <c r="AY3" s="8"/>
      <c r="AZ3" s="69">
        <f>+(AY9+AY10+AY11+AY12+AY13+AY14+AY15+AY16+AY17+AY18+AY19+AY20+AY21+AY22+AY23+AY24+AY25+AY26+AY27+AY29+AY30+AY31+AY33)/23</f>
        <v>1.2415528333601584</v>
      </c>
    </row>
    <row r="4" spans="1:52" ht="17.25" thickBot="1">
      <c r="A4" s="70"/>
      <c r="B4" s="109"/>
      <c r="C4" s="109"/>
      <c r="D4" s="1789"/>
      <c r="E4" s="109"/>
      <c r="F4" s="109"/>
      <c r="G4" s="109"/>
      <c r="H4" s="445"/>
      <c r="I4" s="70"/>
      <c r="J4" s="109"/>
      <c r="K4" s="109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.75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13" t="s">
        <v>86</v>
      </c>
      <c r="O8" s="13" t="s">
        <v>84</v>
      </c>
      <c r="P8" s="14" t="s">
        <v>85</v>
      </c>
      <c r="Q8" s="13" t="s">
        <v>86</v>
      </c>
      <c r="R8" s="16" t="s">
        <v>84</v>
      </c>
      <c r="S8" s="16" t="s">
        <v>85</v>
      </c>
      <c r="T8" s="13" t="s">
        <v>86</v>
      </c>
      <c r="U8" s="16" t="s">
        <v>84</v>
      </c>
      <c r="V8" s="16" t="s">
        <v>85</v>
      </c>
      <c r="W8" s="13" t="s">
        <v>86</v>
      </c>
      <c r="X8" s="16" t="s">
        <v>84</v>
      </c>
      <c r="Y8" s="16" t="s">
        <v>85</v>
      </c>
      <c r="Z8" s="13" t="s">
        <v>86</v>
      </c>
      <c r="AA8" s="16" t="s">
        <v>84</v>
      </c>
      <c r="AB8" s="16" t="s">
        <v>85</v>
      </c>
      <c r="AC8" s="13" t="s">
        <v>86</v>
      </c>
      <c r="AD8" s="16" t="s">
        <v>87</v>
      </c>
      <c r="AE8" s="16" t="s">
        <v>6</v>
      </c>
      <c r="AF8" s="13" t="s">
        <v>84</v>
      </c>
      <c r="AG8" s="14" t="s">
        <v>85</v>
      </c>
      <c r="AH8" s="13" t="s">
        <v>86</v>
      </c>
      <c r="AI8" s="16" t="s">
        <v>84</v>
      </c>
      <c r="AJ8" s="13" t="s">
        <v>85</v>
      </c>
      <c r="AK8" s="13" t="s">
        <v>86</v>
      </c>
      <c r="AL8" s="14" t="s">
        <v>84</v>
      </c>
      <c r="AM8" s="16" t="s">
        <v>85</v>
      </c>
      <c r="AN8" s="13" t="s">
        <v>86</v>
      </c>
      <c r="AO8" s="16" t="s">
        <v>84</v>
      </c>
      <c r="AP8" s="16" t="s">
        <v>85</v>
      </c>
      <c r="AQ8" s="13" t="s">
        <v>86</v>
      </c>
      <c r="AR8" s="16" t="s">
        <v>84</v>
      </c>
      <c r="AS8" s="13" t="s">
        <v>85</v>
      </c>
      <c r="AT8" s="13" t="s">
        <v>86</v>
      </c>
      <c r="AU8" s="13" t="s">
        <v>84</v>
      </c>
      <c r="AV8" s="14" t="s">
        <v>85</v>
      </c>
      <c r="AW8" s="13" t="s">
        <v>86</v>
      </c>
      <c r="AX8" s="13" t="s">
        <v>87</v>
      </c>
      <c r="AY8" s="14" t="s">
        <v>6</v>
      </c>
    </row>
    <row r="9" spans="1:52" customFormat="1" ht="42" customHeight="1" thickTop="1" thickBot="1">
      <c r="A9" s="2907" t="s">
        <v>88</v>
      </c>
      <c r="B9" s="2981" t="s">
        <v>89</v>
      </c>
      <c r="C9" s="372" t="s">
        <v>730</v>
      </c>
      <c r="D9" s="1790" t="s">
        <v>90</v>
      </c>
      <c r="E9" s="561" t="s">
        <v>91</v>
      </c>
      <c r="F9" s="561" t="s">
        <v>168</v>
      </c>
      <c r="G9" s="1791">
        <f>1327470328.54/1000000</f>
        <v>1327.4703285399999</v>
      </c>
      <c r="H9" s="561"/>
      <c r="I9" s="561"/>
      <c r="J9" s="561"/>
      <c r="K9" s="561" t="s">
        <v>25</v>
      </c>
      <c r="L9" s="20">
        <v>135.192609</v>
      </c>
      <c r="M9" s="21">
        <v>131</v>
      </c>
      <c r="N9" s="19">
        <f>+M9/L9</f>
        <v>0.96898788305801542</v>
      </c>
      <c r="O9" s="20">
        <v>74.329091000000005</v>
      </c>
      <c r="P9" s="21">
        <v>41</v>
      </c>
      <c r="Q9" s="19">
        <f>+P9/O9</f>
        <v>0.55160098755950071</v>
      </c>
      <c r="R9" s="20">
        <v>44.329090999999998</v>
      </c>
      <c r="S9" s="21">
        <v>30</v>
      </c>
      <c r="T9" s="19">
        <f>+S9/R9</f>
        <v>0.67675648932210231</v>
      </c>
      <c r="U9" s="20">
        <v>27.829090999999998</v>
      </c>
      <c r="V9" s="21">
        <v>46</v>
      </c>
      <c r="W9" s="19">
        <f>+V9/U9</f>
        <v>1.6529465515061201</v>
      </c>
      <c r="X9" s="20">
        <v>28.329090999999998</v>
      </c>
      <c r="Y9" s="21">
        <v>22</v>
      </c>
      <c r="Z9" s="19">
        <f>+Y9/X9</f>
        <v>0.77658686612994399</v>
      </c>
      <c r="AA9" s="20">
        <v>22.529091000000001</v>
      </c>
      <c r="AB9" s="21">
        <v>8</v>
      </c>
      <c r="AC9" s="19">
        <f>+AB9/AA9</f>
        <v>0.35509643953233622</v>
      </c>
      <c r="AD9" s="20">
        <f>+M9+P9+S9+V9+Y9+AB9</f>
        <v>278</v>
      </c>
      <c r="AE9" s="19">
        <f>AD9/G9</f>
        <v>0.20942087670295012</v>
      </c>
      <c r="AF9" s="20">
        <v>21.329090999999998</v>
      </c>
      <c r="AG9" s="21">
        <v>13</v>
      </c>
      <c r="AH9" s="19">
        <f>+AG9/AF9</f>
        <v>0.60949620403419913</v>
      </c>
      <c r="AI9" s="20">
        <v>21.329090999999998</v>
      </c>
      <c r="AJ9" s="21">
        <v>19</v>
      </c>
      <c r="AK9" s="19">
        <f>+AJ9/AI9</f>
        <v>0.89080214435767568</v>
      </c>
      <c r="AL9" s="20">
        <v>21.329090999999998</v>
      </c>
      <c r="AM9" s="21">
        <v>16</v>
      </c>
      <c r="AN9" s="19">
        <f>+AM9/AL9</f>
        <v>0.75014917419593741</v>
      </c>
      <c r="AO9" s="20">
        <v>21.279091000000001</v>
      </c>
      <c r="AP9" s="21">
        <v>16</v>
      </c>
      <c r="AQ9" s="19">
        <f>+AP9/AO9</f>
        <v>0.75191181803771601</v>
      </c>
      <c r="AR9" s="20">
        <v>18.579090999999998</v>
      </c>
      <c r="AS9" s="21">
        <v>27</v>
      </c>
      <c r="AT9" s="19">
        <f>+AS9/AR9</f>
        <v>1.453246555496176</v>
      </c>
      <c r="AU9" s="20">
        <v>18.175906000000001</v>
      </c>
      <c r="AV9" s="21">
        <v>13</v>
      </c>
      <c r="AW9" s="19">
        <f>+AV9/AU9</f>
        <v>0.7152325721754943</v>
      </c>
      <c r="AX9" s="20">
        <f>1322544775.77/1000000</f>
        <v>1322.5447757699999</v>
      </c>
      <c r="AY9" s="19">
        <f>+AX9/G9</f>
        <v>0.99628951949877687</v>
      </c>
    </row>
    <row r="10" spans="1:52" customFormat="1" ht="57.75" customHeight="1" thickTop="1" thickBot="1">
      <c r="A10" s="2979"/>
      <c r="B10" s="3162"/>
      <c r="C10" s="319" t="s">
        <v>520</v>
      </c>
      <c r="D10" s="1792" t="s">
        <v>92</v>
      </c>
      <c r="E10" s="25" t="s">
        <v>93</v>
      </c>
      <c r="F10" s="25" t="s">
        <v>17</v>
      </c>
      <c r="G10" s="25">
        <v>8</v>
      </c>
      <c r="H10" s="25"/>
      <c r="I10" s="25"/>
      <c r="J10" s="25"/>
      <c r="K10" s="25" t="s">
        <v>26</v>
      </c>
      <c r="L10" s="1793">
        <v>1</v>
      </c>
      <c r="M10" s="1794">
        <v>1</v>
      </c>
      <c r="N10" s="19">
        <f>+M10/L10</f>
        <v>1</v>
      </c>
      <c r="O10" s="1793"/>
      <c r="P10" s="1794"/>
      <c r="Q10" s="19" t="e">
        <f>+P10/O10</f>
        <v>#DIV/0!</v>
      </c>
      <c r="R10" s="1793">
        <v>1</v>
      </c>
      <c r="S10" s="1794">
        <v>1</v>
      </c>
      <c r="T10" s="19">
        <f>+S10/R10</f>
        <v>1</v>
      </c>
      <c r="U10" s="1793"/>
      <c r="V10" s="1794"/>
      <c r="W10" s="19" t="e">
        <f>+V10/U10</f>
        <v>#DIV/0!</v>
      </c>
      <c r="X10" s="1793">
        <v>1</v>
      </c>
      <c r="Y10" s="1794">
        <v>1</v>
      </c>
      <c r="Z10" s="19">
        <f>+Y10/X10</f>
        <v>1</v>
      </c>
      <c r="AA10" s="1793">
        <v>1</v>
      </c>
      <c r="AB10" s="1794">
        <v>1</v>
      </c>
      <c r="AC10" s="19">
        <f>+AB10/AA10</f>
        <v>1</v>
      </c>
      <c r="AD10" s="1793">
        <f>+M10+P10+S10+V10+Y10+AB10</f>
        <v>4</v>
      </c>
      <c r="AE10" s="19">
        <f>AD10/G10</f>
        <v>0.5</v>
      </c>
      <c r="AF10" s="1793">
        <v>1</v>
      </c>
      <c r="AG10" s="1794">
        <v>1</v>
      </c>
      <c r="AH10" s="19">
        <f>+AG10/AF10</f>
        <v>1</v>
      </c>
      <c r="AI10" s="1793">
        <v>1</v>
      </c>
      <c r="AJ10" s="1794">
        <v>1</v>
      </c>
      <c r="AK10" s="19">
        <f>+AJ10/AI10</f>
        <v>1</v>
      </c>
      <c r="AL10" s="1793"/>
      <c r="AM10" s="1794"/>
      <c r="AN10" s="19" t="e">
        <f>+AM10/AL10</f>
        <v>#DIV/0!</v>
      </c>
      <c r="AO10" s="1793">
        <v>1</v>
      </c>
      <c r="AP10" s="1794">
        <v>1</v>
      </c>
      <c r="AQ10" s="19">
        <f>+AP10/AO10</f>
        <v>1</v>
      </c>
      <c r="AR10" s="1793">
        <v>1</v>
      </c>
      <c r="AS10" s="1794">
        <v>1</v>
      </c>
      <c r="AT10" s="19">
        <f>+AS10/AR10</f>
        <v>1</v>
      </c>
      <c r="AU10" s="1793">
        <v>0</v>
      </c>
      <c r="AV10" s="1794"/>
      <c r="AW10" s="19" t="e">
        <f>+AV10/AU10</f>
        <v>#DIV/0!</v>
      </c>
      <c r="AX10" s="1793">
        <f>+M10+P10+S10+V10+Y10+AB10+AG10+AJ10+AM10+AP10+AS10+AV10</f>
        <v>8</v>
      </c>
      <c r="AY10" s="19">
        <f>+AX10/G10</f>
        <v>1</v>
      </c>
    </row>
    <row r="11" spans="1:52" s="22" customFormat="1" ht="51.75" customHeight="1" thickTop="1" thickBot="1">
      <c r="A11" s="2979"/>
      <c r="B11" s="2863" t="s">
        <v>94</v>
      </c>
      <c r="C11" s="372" t="s">
        <v>95</v>
      </c>
      <c r="D11" s="1790" t="s">
        <v>96</v>
      </c>
      <c r="E11" s="561" t="s">
        <v>97</v>
      </c>
      <c r="F11" s="561" t="s">
        <v>168</v>
      </c>
      <c r="G11" s="1791">
        <v>468795.69299694843</v>
      </c>
      <c r="H11" s="561"/>
      <c r="I11" s="561"/>
      <c r="J11" s="561"/>
      <c r="K11" s="561" t="s">
        <v>20</v>
      </c>
      <c r="L11" s="20">
        <v>71081.741836999994</v>
      </c>
      <c r="M11" s="21">
        <v>71081.741836999994</v>
      </c>
      <c r="N11" s="19">
        <f>+M11/L11</f>
        <v>1</v>
      </c>
      <c r="O11" s="20">
        <v>25800.799930999998</v>
      </c>
      <c r="P11" s="21">
        <v>25800.799930999998</v>
      </c>
      <c r="Q11" s="19">
        <f>+P11/O11</f>
        <v>1</v>
      </c>
      <c r="R11" s="20">
        <v>32200.880676000004</v>
      </c>
      <c r="S11" s="21">
        <v>32200.880676000004</v>
      </c>
      <c r="T11" s="19">
        <f>+S11/R11</f>
        <v>1</v>
      </c>
      <c r="U11" s="20">
        <v>32802.665824999996</v>
      </c>
      <c r="V11" s="21">
        <v>32802.665824999996</v>
      </c>
      <c r="W11" s="19">
        <f>+V11/U11</f>
        <v>1</v>
      </c>
      <c r="X11" s="20">
        <v>45012.703327999981</v>
      </c>
      <c r="Y11" s="21">
        <v>45012.703327999981</v>
      </c>
      <c r="Z11" s="19">
        <f>+Y11/X11</f>
        <v>1</v>
      </c>
      <c r="AA11" s="20">
        <v>36250.072054749355</v>
      </c>
      <c r="AB11" s="21">
        <v>36250.072054749355</v>
      </c>
      <c r="AC11" s="19">
        <f>+AB11/AA11</f>
        <v>1</v>
      </c>
      <c r="AD11" s="20">
        <f>+M11+P11+S11+V11+Y11+AB11</f>
        <v>243148.86365174933</v>
      </c>
      <c r="AE11" s="19">
        <f>AD11/G11</f>
        <v>0.5186670169628288</v>
      </c>
      <c r="AF11" s="20">
        <v>30732.243627511238</v>
      </c>
      <c r="AG11" s="21">
        <v>30732.243627511238</v>
      </c>
      <c r="AH11" s="19">
        <f>+AG11/AF11</f>
        <v>1</v>
      </c>
      <c r="AI11" s="20">
        <v>32262.245362091238</v>
      </c>
      <c r="AJ11" s="21">
        <v>32262.245362091238</v>
      </c>
      <c r="AK11" s="19">
        <f>+AJ11/AI11</f>
        <v>1</v>
      </c>
      <c r="AL11" s="20">
        <v>53628.65602725825</v>
      </c>
      <c r="AM11" s="21">
        <v>53628.65602725825</v>
      </c>
      <c r="AN11" s="19">
        <f>+AM11/AL11</f>
        <v>1</v>
      </c>
      <c r="AO11" s="20">
        <v>33630.898807431469</v>
      </c>
      <c r="AP11" s="21">
        <v>33630.898807431469</v>
      </c>
      <c r="AQ11" s="19">
        <f>+AP11/AO11</f>
        <v>1</v>
      </c>
      <c r="AR11" s="20">
        <v>42999.146281999994</v>
      </c>
      <c r="AS11" s="21">
        <v>42999.146281999994</v>
      </c>
      <c r="AT11" s="19">
        <f>+AS11/AR11</f>
        <v>1</v>
      </c>
      <c r="AU11" s="20">
        <v>32393.63923890685</v>
      </c>
      <c r="AV11" s="21">
        <v>32393.63923890685</v>
      </c>
      <c r="AW11" s="19">
        <f>+AV11/AU11</f>
        <v>1</v>
      </c>
      <c r="AX11" s="20">
        <f>+M11+P11+S11+V11+Y11+AB11+AG11+AJ11+AM11+AP11+AS11+AV11</f>
        <v>468795.69299694838</v>
      </c>
      <c r="AY11" s="19">
        <f>+AX11/G11</f>
        <v>0.99999999999999989</v>
      </c>
    </row>
    <row r="12" spans="1:52" s="1802" customFormat="1" ht="78.599999999999994" customHeight="1" thickTop="1" thickBot="1">
      <c r="A12" s="2979"/>
      <c r="B12" s="2942"/>
      <c r="C12" s="3166" t="s">
        <v>738</v>
      </c>
      <c r="D12" s="1792" t="s">
        <v>99</v>
      </c>
      <c r="E12" s="1795" t="s">
        <v>100</v>
      </c>
      <c r="F12" s="1795" t="s">
        <v>101</v>
      </c>
      <c r="G12" s="1796">
        <v>46060000000</v>
      </c>
      <c r="H12" s="1797"/>
      <c r="I12" s="1798"/>
      <c r="J12" s="1797"/>
      <c r="K12" s="1795" t="s">
        <v>172</v>
      </c>
      <c r="L12" s="1799">
        <v>3684800000</v>
      </c>
      <c r="M12" s="1800">
        <v>2515803000</v>
      </c>
      <c r="N12" s="19">
        <f t="shared" ref="N12:N29" si="0">+M12/L12</f>
        <v>0.68275157403386888</v>
      </c>
      <c r="O12" s="1799">
        <v>3684800000</v>
      </c>
      <c r="P12" s="1800">
        <v>5552850961</v>
      </c>
      <c r="Q12" s="19">
        <f t="shared" ref="Q12:Q29" si="1">+P12/O12</f>
        <v>1.5069612898936171</v>
      </c>
      <c r="R12" s="1799">
        <v>3684800000</v>
      </c>
      <c r="S12" s="1800">
        <v>1081476000</v>
      </c>
      <c r="T12" s="19">
        <f t="shared" ref="T12:T29" si="2">+S12/R12</f>
        <v>0.29349652627008249</v>
      </c>
      <c r="U12" s="1799">
        <v>4145400000</v>
      </c>
      <c r="V12" s="1800">
        <v>561000</v>
      </c>
      <c r="W12" s="19">
        <f t="shared" ref="W12:W29" si="3">+V12/U12</f>
        <v>1.3533072803589521E-4</v>
      </c>
      <c r="X12" s="1799">
        <v>4606000000</v>
      </c>
      <c r="Y12" s="1800">
        <v>56217000</v>
      </c>
      <c r="Z12" s="19">
        <f t="shared" ref="Z12:Z29" si="4">+Y12/X12</f>
        <v>1.220516717325228E-2</v>
      </c>
      <c r="AA12" s="1799">
        <v>4606000000</v>
      </c>
      <c r="AB12" s="1800">
        <v>6515877999</v>
      </c>
      <c r="AC12" s="19">
        <f t="shared" ref="AC12:AC29" si="5">+AB12/AA12</f>
        <v>1.4146500214937039</v>
      </c>
      <c r="AD12" s="1799">
        <f t="shared" ref="AD12:AD29" si="6">+M12+P12+S12+V12+Y12+AB12</f>
        <v>15722785960</v>
      </c>
      <c r="AE12" s="19">
        <f t="shared" ref="AE12:AE29" si="7">AD12/G12</f>
        <v>0.34135444984802432</v>
      </c>
      <c r="AF12" s="1799">
        <v>4606000000</v>
      </c>
      <c r="AG12" s="1800">
        <v>6181275341</v>
      </c>
      <c r="AH12" s="19">
        <f t="shared" ref="AH12:AH29" si="8">+AG12/AF12</f>
        <v>1.3420050675206252</v>
      </c>
      <c r="AI12" s="1799">
        <v>4606000000</v>
      </c>
      <c r="AJ12" s="1800">
        <v>587819275</v>
      </c>
      <c r="AK12" s="19">
        <f t="shared" ref="AK12:AK29" si="9">+AJ12/AI12</f>
        <v>0.12762033760312635</v>
      </c>
      <c r="AL12" s="1799">
        <v>4606000000</v>
      </c>
      <c r="AM12" s="1800">
        <v>8358908000</v>
      </c>
      <c r="AN12" s="19">
        <f t="shared" ref="AN12:AN29" si="10">+AM12/AL12</f>
        <v>1.8147867998263134</v>
      </c>
      <c r="AO12" s="1799">
        <v>4606000000</v>
      </c>
      <c r="AP12" s="1800">
        <v>14440223000</v>
      </c>
      <c r="AQ12" s="19">
        <f t="shared" ref="AQ12:AQ29" si="11">+AP12/AO12</f>
        <v>3.1350896656534952</v>
      </c>
      <c r="AR12" s="1799">
        <v>1842400000</v>
      </c>
      <c r="AS12" s="1800">
        <v>10116684888.076468</v>
      </c>
      <c r="AT12" s="19">
        <f t="shared" ref="AT12:AT29" si="12">+AS12/AR12</f>
        <v>5.4910360877531845</v>
      </c>
      <c r="AU12" s="1799">
        <v>1381800000</v>
      </c>
      <c r="AV12" s="1800">
        <v>35595564581</v>
      </c>
      <c r="AW12" s="19">
        <f t="shared" ref="AW12:AW29" si="13">+AV12/AU12</f>
        <v>25.760287003184253</v>
      </c>
      <c r="AX12" s="1801">
        <f t="shared" ref="AX12:AX29" si="14">+M12+P12+S12+V12+Y12+AB12+AG12+AJ12+AM12+AP12+AS12+AV12</f>
        <v>91003261045.076477</v>
      </c>
      <c r="AY12" s="19">
        <f t="shared" ref="AY12:AY29" si="15">+AX12/G12</f>
        <v>1.9757546905140355</v>
      </c>
    </row>
    <row r="13" spans="1:52" s="1802" customFormat="1" ht="80.45" customHeight="1" thickTop="1" thickBot="1">
      <c r="A13" s="2979"/>
      <c r="B13" s="2942"/>
      <c r="C13" s="3167"/>
      <c r="D13" s="1790" t="s">
        <v>102</v>
      </c>
      <c r="E13" s="1803" t="s">
        <v>527</v>
      </c>
      <c r="F13" s="1803" t="s">
        <v>101</v>
      </c>
      <c r="G13" s="1804">
        <v>34700000000</v>
      </c>
      <c r="H13" s="1805"/>
      <c r="I13" s="1806"/>
      <c r="J13" s="1805"/>
      <c r="K13" s="1803" t="s">
        <v>172</v>
      </c>
      <c r="L13" s="1801">
        <v>2776000000</v>
      </c>
      <c r="M13" s="1807">
        <v>869118000</v>
      </c>
      <c r="N13" s="19">
        <f t="shared" si="0"/>
        <v>0.31308285302593658</v>
      </c>
      <c r="O13" s="1801">
        <v>2776000000</v>
      </c>
      <c r="P13" s="1807">
        <v>152468036</v>
      </c>
      <c r="Q13" s="19">
        <f t="shared" si="1"/>
        <v>5.4923644092219018E-2</v>
      </c>
      <c r="R13" s="1801">
        <v>2776000000</v>
      </c>
      <c r="S13" s="1807">
        <v>1028112000</v>
      </c>
      <c r="T13" s="19">
        <f t="shared" si="2"/>
        <v>0.37035734870317005</v>
      </c>
      <c r="U13" s="1801">
        <v>3123000000</v>
      </c>
      <c r="V13" s="1807">
        <v>156297000</v>
      </c>
      <c r="W13" s="19">
        <f t="shared" si="3"/>
        <v>5.0047070124879925E-2</v>
      </c>
      <c r="X13" s="1801">
        <v>3470000000</v>
      </c>
      <c r="Y13" s="1807">
        <v>56217000</v>
      </c>
      <c r="Z13" s="19">
        <f t="shared" si="4"/>
        <v>1.6200864553314123E-2</v>
      </c>
      <c r="AA13" s="1801">
        <v>3470000000</v>
      </c>
      <c r="AB13" s="1807">
        <v>273992000</v>
      </c>
      <c r="AC13" s="19">
        <f t="shared" si="5"/>
        <v>7.8960230547550428E-2</v>
      </c>
      <c r="AD13" s="1801">
        <f t="shared" si="6"/>
        <v>2536204036</v>
      </c>
      <c r="AE13" s="19">
        <f t="shared" si="7"/>
        <v>7.3089453487031705E-2</v>
      </c>
      <c r="AF13" s="1801">
        <v>3470000000</v>
      </c>
      <c r="AG13" s="1807">
        <v>694346000</v>
      </c>
      <c r="AH13" s="19">
        <f t="shared" si="8"/>
        <v>0.20009971181556196</v>
      </c>
      <c r="AI13" s="1801">
        <v>3470000000</v>
      </c>
      <c r="AJ13" s="1807">
        <v>6378364910</v>
      </c>
      <c r="AK13" s="19">
        <f t="shared" si="9"/>
        <v>1.8381455072046109</v>
      </c>
      <c r="AL13" s="1801">
        <v>3470000000</v>
      </c>
      <c r="AM13" s="1807">
        <v>2906421775</v>
      </c>
      <c r="AN13" s="19">
        <f t="shared" si="10"/>
        <v>0.83758552593659941</v>
      </c>
      <c r="AO13" s="1801">
        <v>3470000000</v>
      </c>
      <c r="AP13" s="1807">
        <v>7362526554</v>
      </c>
      <c r="AQ13" s="19">
        <f t="shared" si="11"/>
        <v>2.121765577521614</v>
      </c>
      <c r="AR13" s="1801">
        <v>1388000000</v>
      </c>
      <c r="AS13" s="1807">
        <v>1978196000</v>
      </c>
      <c r="AT13" s="19">
        <f t="shared" si="12"/>
        <v>1.4252132564841498</v>
      </c>
      <c r="AU13" s="1801">
        <v>1041000000</v>
      </c>
      <c r="AV13" s="1807">
        <v>4600688581</v>
      </c>
      <c r="AW13" s="19">
        <f t="shared" si="13"/>
        <v>4.41948951104707</v>
      </c>
      <c r="AX13" s="1801">
        <f t="shared" si="14"/>
        <v>26456747856</v>
      </c>
      <c r="AY13" s="19">
        <f t="shared" si="15"/>
        <v>0.76244230132564839</v>
      </c>
    </row>
    <row r="14" spans="1:52" s="1802" customFormat="1" ht="72.599999999999994" customHeight="1" thickTop="1" thickBot="1">
      <c r="A14" s="2979"/>
      <c r="B14" s="2942"/>
      <c r="C14" s="3167"/>
      <c r="D14" s="1792" t="s">
        <v>104</v>
      </c>
      <c r="E14" s="1795" t="s">
        <v>105</v>
      </c>
      <c r="F14" s="1795" t="s">
        <v>24</v>
      </c>
      <c r="G14" s="1795">
        <v>60</v>
      </c>
      <c r="H14" s="1797"/>
      <c r="I14" s="1808"/>
      <c r="J14" s="1797"/>
      <c r="K14" s="1795" t="s">
        <v>172</v>
      </c>
      <c r="L14" s="1809">
        <v>0</v>
      </c>
      <c r="M14" s="1810"/>
      <c r="N14" s="19" t="e">
        <f t="shared" si="0"/>
        <v>#DIV/0!</v>
      </c>
      <c r="O14" s="1809">
        <v>0</v>
      </c>
      <c r="P14" s="1810"/>
      <c r="Q14" s="19" t="e">
        <f t="shared" si="1"/>
        <v>#DIV/0!</v>
      </c>
      <c r="R14" s="1811">
        <v>15</v>
      </c>
      <c r="S14" s="1812">
        <v>4</v>
      </c>
      <c r="T14" s="19">
        <f t="shared" si="2"/>
        <v>0.26666666666666666</v>
      </c>
      <c r="U14" s="1809">
        <v>0</v>
      </c>
      <c r="V14" s="1810"/>
      <c r="W14" s="19" t="e">
        <f t="shared" si="3"/>
        <v>#DIV/0!</v>
      </c>
      <c r="X14" s="1809">
        <v>0</v>
      </c>
      <c r="Y14" s="1810"/>
      <c r="Z14" s="19" t="e">
        <f t="shared" si="4"/>
        <v>#DIV/0!</v>
      </c>
      <c r="AA14" s="1811">
        <v>15</v>
      </c>
      <c r="AB14" s="1812">
        <v>0</v>
      </c>
      <c r="AC14" s="19">
        <f t="shared" si="5"/>
        <v>0</v>
      </c>
      <c r="AD14" s="1811">
        <f t="shared" si="6"/>
        <v>4</v>
      </c>
      <c r="AE14" s="19">
        <f t="shared" si="7"/>
        <v>6.6666666666666666E-2</v>
      </c>
      <c r="AF14" s="1809">
        <v>0</v>
      </c>
      <c r="AG14" s="1810"/>
      <c r="AH14" s="19" t="e">
        <f t="shared" si="8"/>
        <v>#DIV/0!</v>
      </c>
      <c r="AI14" s="1809">
        <v>0</v>
      </c>
      <c r="AJ14" s="1810"/>
      <c r="AK14" s="19" t="e">
        <f t="shared" si="9"/>
        <v>#DIV/0!</v>
      </c>
      <c r="AL14" s="1811">
        <v>15</v>
      </c>
      <c r="AM14" s="1812">
        <v>18</v>
      </c>
      <c r="AN14" s="19">
        <f t="shared" si="10"/>
        <v>1.2</v>
      </c>
      <c r="AO14" s="1809">
        <v>0</v>
      </c>
      <c r="AP14" s="1810"/>
      <c r="AQ14" s="19" t="e">
        <f t="shared" si="11"/>
        <v>#DIV/0!</v>
      </c>
      <c r="AR14" s="1809">
        <v>0</v>
      </c>
      <c r="AS14" s="1810"/>
      <c r="AT14" s="19" t="e">
        <f t="shared" si="12"/>
        <v>#DIV/0!</v>
      </c>
      <c r="AU14" s="1811">
        <v>15</v>
      </c>
      <c r="AV14" s="1812">
        <v>38</v>
      </c>
      <c r="AW14" s="19">
        <f t="shared" si="13"/>
        <v>2.5333333333333332</v>
      </c>
      <c r="AX14" s="1813">
        <f t="shared" si="14"/>
        <v>60</v>
      </c>
      <c r="AY14" s="19">
        <f t="shared" si="15"/>
        <v>1</v>
      </c>
    </row>
    <row r="15" spans="1:52" s="1802" customFormat="1" ht="78" customHeight="1" thickTop="1" thickBot="1">
      <c r="A15" s="2979"/>
      <c r="B15" s="2942"/>
      <c r="C15" s="3168"/>
      <c r="D15" s="1790" t="s">
        <v>106</v>
      </c>
      <c r="E15" s="1803" t="s">
        <v>173</v>
      </c>
      <c r="F15" s="1803" t="s">
        <v>24</v>
      </c>
      <c r="G15" s="1803">
        <v>255</v>
      </c>
      <c r="H15" s="1805"/>
      <c r="I15" s="1814"/>
      <c r="J15" s="1805"/>
      <c r="K15" s="1803" t="s">
        <v>172</v>
      </c>
      <c r="L15" s="1815">
        <v>0</v>
      </c>
      <c r="M15" s="1816"/>
      <c r="N15" s="19" t="e">
        <f t="shared" si="0"/>
        <v>#DIV/0!</v>
      </c>
      <c r="O15" s="1815">
        <v>0</v>
      </c>
      <c r="P15" s="1816"/>
      <c r="Q15" s="19" t="e">
        <f t="shared" si="1"/>
        <v>#DIV/0!</v>
      </c>
      <c r="R15" s="1815">
        <v>0</v>
      </c>
      <c r="S15" s="1816"/>
      <c r="T15" s="19" t="e">
        <f t="shared" si="2"/>
        <v>#DIV/0!</v>
      </c>
      <c r="U15" s="1815">
        <v>0</v>
      </c>
      <c r="V15" s="1816"/>
      <c r="W15" s="19" t="e">
        <f t="shared" si="3"/>
        <v>#DIV/0!</v>
      </c>
      <c r="X15" s="1815">
        <v>0</v>
      </c>
      <c r="Y15" s="1816"/>
      <c r="Z15" s="19" t="e">
        <f t="shared" si="4"/>
        <v>#DIV/0!</v>
      </c>
      <c r="AA15" s="1815">
        <v>0</v>
      </c>
      <c r="AB15" s="1816"/>
      <c r="AC15" s="19" t="e">
        <f t="shared" si="5"/>
        <v>#DIV/0!</v>
      </c>
      <c r="AD15" s="1813">
        <f t="shared" si="6"/>
        <v>0</v>
      </c>
      <c r="AE15" s="19">
        <f t="shared" si="7"/>
        <v>0</v>
      </c>
      <c r="AF15" s="1817">
        <v>128</v>
      </c>
      <c r="AG15" s="1818">
        <v>147</v>
      </c>
      <c r="AH15" s="19">
        <f t="shared" si="8"/>
        <v>1.1484375</v>
      </c>
      <c r="AI15" s="1815">
        <v>0</v>
      </c>
      <c r="AJ15" s="1816"/>
      <c r="AK15" s="19" t="e">
        <f t="shared" si="9"/>
        <v>#DIV/0!</v>
      </c>
      <c r="AL15" s="1815">
        <v>0</v>
      </c>
      <c r="AM15" s="1816"/>
      <c r="AN15" s="19" t="e">
        <f t="shared" si="10"/>
        <v>#DIV/0!</v>
      </c>
      <c r="AO15" s="1815">
        <v>0</v>
      </c>
      <c r="AP15" s="1816"/>
      <c r="AQ15" s="19" t="e">
        <f t="shared" si="11"/>
        <v>#DIV/0!</v>
      </c>
      <c r="AR15" s="1815">
        <v>0</v>
      </c>
      <c r="AS15" s="1816"/>
      <c r="AT15" s="19" t="e">
        <f t="shared" si="12"/>
        <v>#DIV/0!</v>
      </c>
      <c r="AU15" s="1817">
        <v>127</v>
      </c>
      <c r="AV15" s="1818">
        <v>40</v>
      </c>
      <c r="AW15" s="19">
        <f t="shared" si="13"/>
        <v>0.31496062992125984</v>
      </c>
      <c r="AX15" s="1813">
        <f t="shared" si="14"/>
        <v>187</v>
      </c>
      <c r="AY15" s="19">
        <f t="shared" si="15"/>
        <v>0.73333333333333328</v>
      </c>
    </row>
    <row r="16" spans="1:52" s="1802" customFormat="1" ht="78.75" customHeight="1" thickTop="1" thickBot="1">
      <c r="A16" s="2979"/>
      <c r="B16" s="2942"/>
      <c r="C16" s="1795" t="s">
        <v>739</v>
      </c>
      <c r="D16" s="1792" t="s">
        <v>109</v>
      </c>
      <c r="E16" s="1795" t="s">
        <v>110</v>
      </c>
      <c r="F16" s="1795" t="s">
        <v>168</v>
      </c>
      <c r="G16" s="1796">
        <v>143424</v>
      </c>
      <c r="H16" s="1819"/>
      <c r="I16" s="1820"/>
      <c r="J16" s="1819"/>
      <c r="K16" s="1795" t="s">
        <v>21</v>
      </c>
      <c r="L16" s="1821">
        <v>0</v>
      </c>
      <c r="M16" s="1822"/>
      <c r="N16" s="19" t="e">
        <f t="shared" si="0"/>
        <v>#DIV/0!</v>
      </c>
      <c r="O16" s="1821">
        <v>0</v>
      </c>
      <c r="P16" s="1822"/>
      <c r="Q16" s="19" t="e">
        <f t="shared" si="1"/>
        <v>#DIV/0!</v>
      </c>
      <c r="R16" s="1821">
        <v>34419.853293007967</v>
      </c>
      <c r="S16" s="1822">
        <f>15416.4+8446.5+9025.6</f>
        <v>32888.5</v>
      </c>
      <c r="T16" s="19">
        <f t="shared" si="2"/>
        <v>0.95550959267687974</v>
      </c>
      <c r="U16" s="1821">
        <v>11199.46600232351</v>
      </c>
      <c r="V16" s="1816">
        <v>5446.6</v>
      </c>
      <c r="W16" s="19">
        <f t="shared" si="3"/>
        <v>0.48632675869278191</v>
      </c>
      <c r="X16" s="1821">
        <v>15028.166790959291</v>
      </c>
      <c r="Y16" s="1822">
        <v>9029.6</v>
      </c>
      <c r="Z16" s="19">
        <f t="shared" si="4"/>
        <v>0.60084507482523186</v>
      </c>
      <c r="AA16" s="1821">
        <v>10022.53136182555</v>
      </c>
      <c r="AB16" s="1822">
        <v>7361.1</v>
      </c>
      <c r="AC16" s="19">
        <f t="shared" si="5"/>
        <v>0.73445517247642877</v>
      </c>
      <c r="AD16" s="1821">
        <f t="shared" si="6"/>
        <v>54725.799999999996</v>
      </c>
      <c r="AE16" s="19">
        <f t="shared" si="7"/>
        <v>0.38156654395359213</v>
      </c>
      <c r="AF16" s="1823">
        <v>11429.472752154339</v>
      </c>
      <c r="AG16" s="1822">
        <v>7174.5</v>
      </c>
      <c r="AH16" s="19">
        <f t="shared" si="8"/>
        <v>0.62771924441113702</v>
      </c>
      <c r="AI16" s="1823">
        <v>11933.265246065532</v>
      </c>
      <c r="AJ16" s="1822">
        <v>6222</v>
      </c>
      <c r="AK16" s="19">
        <f t="shared" si="9"/>
        <v>0.52139962296165587</v>
      </c>
      <c r="AL16" s="1823">
        <v>13275.979199970361</v>
      </c>
      <c r="AM16" s="1822">
        <v>11269</v>
      </c>
      <c r="AN16" s="19">
        <f t="shared" si="10"/>
        <v>0.84882627716267878</v>
      </c>
      <c r="AO16" s="1823">
        <v>12545.31347294089</v>
      </c>
      <c r="AP16" s="1822">
        <v>9052</v>
      </c>
      <c r="AQ16" s="19">
        <f t="shared" si="11"/>
        <v>0.72154434558565217</v>
      </c>
      <c r="AR16" s="1823">
        <v>13934.96120319922</v>
      </c>
      <c r="AS16" s="1822">
        <v>10808.87</v>
      </c>
      <c r="AT16" s="19">
        <f t="shared" si="12"/>
        <v>0.77566559693890469</v>
      </c>
      <c r="AU16" s="1823">
        <v>9634.9887626630662</v>
      </c>
      <c r="AV16" s="1822">
        <v>8917.6</v>
      </c>
      <c r="AW16" s="19">
        <f t="shared" si="13"/>
        <v>0.92554337318554558</v>
      </c>
      <c r="AX16" s="1801">
        <f t="shared" si="14"/>
        <v>108169.76999999999</v>
      </c>
      <c r="AY16" s="19">
        <f t="shared" si="15"/>
        <v>0.7541957412985274</v>
      </c>
    </row>
    <row r="17" spans="1:51" s="1802" customFormat="1" ht="54.75" customHeight="1" thickTop="1" thickBot="1">
      <c r="A17" s="2979"/>
      <c r="B17" s="2942"/>
      <c r="C17" s="1824" t="s">
        <v>740</v>
      </c>
      <c r="D17" s="1790" t="s">
        <v>111</v>
      </c>
      <c r="E17" s="1803" t="s">
        <v>112</v>
      </c>
      <c r="F17" s="1803" t="s">
        <v>17</v>
      </c>
      <c r="G17" s="1825">
        <v>354</v>
      </c>
      <c r="H17" s="1803"/>
      <c r="I17" s="1803"/>
      <c r="J17" s="1803"/>
      <c r="K17" s="1803" t="s">
        <v>20</v>
      </c>
      <c r="L17" s="1815">
        <v>0</v>
      </c>
      <c r="M17" s="1816"/>
      <c r="N17" s="19" t="e">
        <f t="shared" si="0"/>
        <v>#DIV/0!</v>
      </c>
      <c r="O17" s="1815">
        <v>0</v>
      </c>
      <c r="P17" s="1816"/>
      <c r="Q17" s="19" t="e">
        <f t="shared" si="1"/>
        <v>#DIV/0!</v>
      </c>
      <c r="R17" s="1817">
        <v>32</v>
      </c>
      <c r="S17" s="1818">
        <v>109</v>
      </c>
      <c r="T17" s="19">
        <f t="shared" si="2"/>
        <v>3.40625</v>
      </c>
      <c r="U17" s="1826">
        <v>43</v>
      </c>
      <c r="V17" s="1827">
        <v>4</v>
      </c>
      <c r="W17" s="19">
        <f t="shared" si="3"/>
        <v>9.3023255813953487E-2</v>
      </c>
      <c r="X17" s="1828">
        <v>46</v>
      </c>
      <c r="Y17" s="1829">
        <v>7</v>
      </c>
      <c r="Z17" s="19">
        <f t="shared" si="4"/>
        <v>0.15217391304347827</v>
      </c>
      <c r="AA17" s="1826">
        <v>50</v>
      </c>
      <c r="AB17" s="1827">
        <v>29</v>
      </c>
      <c r="AC17" s="19">
        <f t="shared" si="5"/>
        <v>0.57999999999999996</v>
      </c>
      <c r="AD17" s="1817">
        <f>+M17+P17+S17+V17+Y17+AB17</f>
        <v>149</v>
      </c>
      <c r="AE17" s="19">
        <f t="shared" si="7"/>
        <v>0.42090395480225989</v>
      </c>
      <c r="AF17" s="1826">
        <v>131</v>
      </c>
      <c r="AG17" s="1827">
        <v>55</v>
      </c>
      <c r="AH17" s="19">
        <f t="shared" si="8"/>
        <v>0.41984732824427479</v>
      </c>
      <c r="AI17" s="1828">
        <v>18</v>
      </c>
      <c r="AJ17" s="1830">
        <v>19</v>
      </c>
      <c r="AK17" s="19">
        <f t="shared" si="9"/>
        <v>1.0555555555555556</v>
      </c>
      <c r="AL17" s="1826">
        <v>14</v>
      </c>
      <c r="AM17" s="1827">
        <v>26</v>
      </c>
      <c r="AN17" s="19">
        <f t="shared" si="10"/>
        <v>1.8571428571428572</v>
      </c>
      <c r="AO17" s="1817">
        <v>11</v>
      </c>
      <c r="AP17" s="1818">
        <v>14</v>
      </c>
      <c r="AQ17" s="19">
        <f t="shared" si="11"/>
        <v>1.2727272727272727</v>
      </c>
      <c r="AR17" s="1817">
        <v>7</v>
      </c>
      <c r="AS17" s="1818">
        <v>9</v>
      </c>
      <c r="AT17" s="19">
        <f t="shared" si="12"/>
        <v>1.2857142857142858</v>
      </c>
      <c r="AU17" s="1817">
        <v>3</v>
      </c>
      <c r="AV17" s="1818">
        <v>6</v>
      </c>
      <c r="AW17" s="19">
        <f t="shared" si="13"/>
        <v>2</v>
      </c>
      <c r="AX17" s="1817">
        <f t="shared" si="14"/>
        <v>278</v>
      </c>
      <c r="AY17" s="19">
        <f t="shared" si="15"/>
        <v>0.78531073446327682</v>
      </c>
    </row>
    <row r="18" spans="1:51" s="1802" customFormat="1" ht="66" customHeight="1" thickTop="1" thickBot="1">
      <c r="A18" s="2979"/>
      <c r="B18" s="2942"/>
      <c r="C18" s="1795" t="s">
        <v>741</v>
      </c>
      <c r="D18" s="1792" t="s">
        <v>114</v>
      </c>
      <c r="E18" s="1795" t="s">
        <v>115</v>
      </c>
      <c r="F18" s="1795" t="s">
        <v>10</v>
      </c>
      <c r="G18" s="1831">
        <v>1</v>
      </c>
      <c r="H18" s="1819"/>
      <c r="I18" s="1831"/>
      <c r="J18" s="1819"/>
      <c r="K18" s="1795" t="s">
        <v>20</v>
      </c>
      <c r="L18" s="58">
        <v>0</v>
      </c>
      <c r="M18" s="1832"/>
      <c r="N18" s="19" t="e">
        <f t="shared" si="0"/>
        <v>#DIV/0!</v>
      </c>
      <c r="O18" s="58">
        <v>0</v>
      </c>
      <c r="P18" s="1832"/>
      <c r="Q18" s="19" t="e">
        <f t="shared" si="1"/>
        <v>#DIV/0!</v>
      </c>
      <c r="R18" s="1833">
        <v>0.25</v>
      </c>
      <c r="S18" s="1833">
        <v>0</v>
      </c>
      <c r="T18" s="19">
        <f t="shared" si="2"/>
        <v>0</v>
      </c>
      <c r="U18" s="1834">
        <v>0</v>
      </c>
      <c r="V18" s="1835"/>
      <c r="W18" s="19" t="e">
        <f t="shared" si="3"/>
        <v>#DIV/0!</v>
      </c>
      <c r="X18" s="1834">
        <v>0</v>
      </c>
      <c r="Y18" s="1835"/>
      <c r="Z18" s="19" t="e">
        <f t="shared" si="4"/>
        <v>#DIV/0!</v>
      </c>
      <c r="AA18" s="1833">
        <v>0.25</v>
      </c>
      <c r="AB18" s="1835">
        <v>0</v>
      </c>
      <c r="AC18" s="19">
        <f t="shared" si="5"/>
        <v>0</v>
      </c>
      <c r="AD18" s="1833">
        <f t="shared" si="6"/>
        <v>0</v>
      </c>
      <c r="AE18" s="19">
        <f t="shared" si="7"/>
        <v>0</v>
      </c>
      <c r="AF18" s="58">
        <v>0</v>
      </c>
      <c r="AG18" s="1835"/>
      <c r="AH18" s="19" t="e">
        <f t="shared" si="8"/>
        <v>#DIV/0!</v>
      </c>
      <c r="AI18" s="58">
        <v>0</v>
      </c>
      <c r="AJ18" s="1835"/>
      <c r="AK18" s="19" t="e">
        <f t="shared" si="9"/>
        <v>#DIV/0!</v>
      </c>
      <c r="AL18" s="1833">
        <v>0.25</v>
      </c>
      <c r="AM18" s="1835">
        <v>0.5</v>
      </c>
      <c r="AN18" s="19">
        <f t="shared" si="10"/>
        <v>2</v>
      </c>
      <c r="AO18" s="1833">
        <v>0</v>
      </c>
      <c r="AP18" s="1835"/>
      <c r="AQ18" s="19" t="e">
        <f t="shared" si="11"/>
        <v>#DIV/0!</v>
      </c>
      <c r="AR18" s="58">
        <v>0</v>
      </c>
      <c r="AS18" s="1835"/>
      <c r="AT18" s="19" t="e">
        <f t="shared" si="12"/>
        <v>#DIV/0!</v>
      </c>
      <c r="AU18" s="1833">
        <v>0.25</v>
      </c>
      <c r="AV18" s="1835">
        <v>0.5</v>
      </c>
      <c r="AW18" s="19">
        <f t="shared" si="13"/>
        <v>2</v>
      </c>
      <c r="AX18" s="1836">
        <f t="shared" si="14"/>
        <v>1</v>
      </c>
      <c r="AY18" s="19">
        <f t="shared" si="15"/>
        <v>1</v>
      </c>
    </row>
    <row r="19" spans="1:51" s="1802" customFormat="1" ht="63" customHeight="1" thickTop="1" thickBot="1">
      <c r="A19" s="2979"/>
      <c r="B19" s="2942"/>
      <c r="C19" s="1824" t="s">
        <v>742</v>
      </c>
      <c r="D19" s="1790" t="s">
        <v>116</v>
      </c>
      <c r="E19" s="1803" t="s">
        <v>117</v>
      </c>
      <c r="F19" s="1803" t="s">
        <v>17</v>
      </c>
      <c r="G19" s="1837">
        <v>6339</v>
      </c>
      <c r="H19" s="1803"/>
      <c r="I19" s="1803"/>
      <c r="J19" s="1803"/>
      <c r="K19" s="1803" t="s">
        <v>118</v>
      </c>
      <c r="L19" s="58">
        <v>0</v>
      </c>
      <c r="M19" s="1829"/>
      <c r="N19" s="19" t="e">
        <f t="shared" si="0"/>
        <v>#DIV/0!</v>
      </c>
      <c r="O19" s="58">
        <v>0</v>
      </c>
      <c r="P19" s="1829"/>
      <c r="Q19" s="19" t="e">
        <f t="shared" si="1"/>
        <v>#DIV/0!</v>
      </c>
      <c r="R19" s="1837">
        <v>1205</v>
      </c>
      <c r="S19" s="1838">
        <v>884</v>
      </c>
      <c r="T19" s="19">
        <f t="shared" si="2"/>
        <v>0.73360995850622401</v>
      </c>
      <c r="U19" s="1837">
        <v>978</v>
      </c>
      <c r="V19" s="1838">
        <v>49</v>
      </c>
      <c r="W19" s="19">
        <f t="shared" si="3"/>
        <v>5.0102249488752554E-2</v>
      </c>
      <c r="X19" s="1837">
        <v>284</v>
      </c>
      <c r="Y19" s="1838">
        <v>71</v>
      </c>
      <c r="Z19" s="19">
        <f t="shared" si="4"/>
        <v>0.25</v>
      </c>
      <c r="AA19" s="1837">
        <v>320</v>
      </c>
      <c r="AB19" s="1838">
        <v>133</v>
      </c>
      <c r="AC19" s="19">
        <f t="shared" si="5"/>
        <v>0.41562500000000002</v>
      </c>
      <c r="AD19" s="1817">
        <f t="shared" si="6"/>
        <v>1137</v>
      </c>
      <c r="AE19" s="19">
        <f t="shared" si="7"/>
        <v>0.17936583057264552</v>
      </c>
      <c r="AF19" s="1837">
        <v>589</v>
      </c>
      <c r="AG19" s="1838">
        <v>432</v>
      </c>
      <c r="AH19" s="19">
        <f t="shared" si="8"/>
        <v>0.73344651952461803</v>
      </c>
      <c r="AI19" s="1837">
        <v>900</v>
      </c>
      <c r="AJ19" s="1838">
        <v>681</v>
      </c>
      <c r="AK19" s="19">
        <f t="shared" si="9"/>
        <v>0.75666666666666671</v>
      </c>
      <c r="AL19" s="1837">
        <v>1222</v>
      </c>
      <c r="AM19" s="1838">
        <v>866</v>
      </c>
      <c r="AN19" s="19">
        <f t="shared" si="10"/>
        <v>0.70867430441898527</v>
      </c>
      <c r="AO19" s="1837">
        <v>477</v>
      </c>
      <c r="AP19" s="1838">
        <v>995</v>
      </c>
      <c r="AQ19" s="19">
        <f t="shared" si="11"/>
        <v>2.0859538784067087</v>
      </c>
      <c r="AR19" s="1837">
        <v>328</v>
      </c>
      <c r="AS19" s="1838">
        <v>2716</v>
      </c>
      <c r="AT19" s="19">
        <f t="shared" si="12"/>
        <v>8.2804878048780495</v>
      </c>
      <c r="AU19" s="1837">
        <v>36</v>
      </c>
      <c r="AV19" s="1838">
        <v>863</v>
      </c>
      <c r="AW19" s="19">
        <f t="shared" si="13"/>
        <v>23.972222222222221</v>
      </c>
      <c r="AX19" s="1817">
        <f t="shared" si="14"/>
        <v>7690</v>
      </c>
      <c r="AY19" s="19">
        <f t="shared" si="15"/>
        <v>1.2131250985959932</v>
      </c>
    </row>
    <row r="20" spans="1:51" s="22" customFormat="1" ht="77.25" customHeight="1" thickTop="1" thickBot="1">
      <c r="A20" s="2979"/>
      <c r="B20" s="2942"/>
      <c r="C20" s="2854" t="s">
        <v>743</v>
      </c>
      <c r="D20" s="1839" t="s">
        <v>120</v>
      </c>
      <c r="E20" s="671" t="s">
        <v>121</v>
      </c>
      <c r="F20" s="25" t="s">
        <v>10</v>
      </c>
      <c r="G20" s="1840">
        <v>0.64100000000000001</v>
      </c>
      <c r="H20" s="98"/>
      <c r="I20" s="590"/>
      <c r="J20" s="98"/>
      <c r="K20" s="25" t="s">
        <v>7</v>
      </c>
      <c r="L20" s="58">
        <v>0</v>
      </c>
      <c r="M20" s="649"/>
      <c r="N20" s="19" t="e">
        <f t="shared" si="0"/>
        <v>#DIV/0!</v>
      </c>
      <c r="O20" s="58">
        <v>0</v>
      </c>
      <c r="P20" s="649"/>
      <c r="Q20" s="19" t="e">
        <f t="shared" si="1"/>
        <v>#DIV/0!</v>
      </c>
      <c r="R20" s="58">
        <v>0</v>
      </c>
      <c r="S20" s="649"/>
      <c r="T20" s="19" t="e">
        <f t="shared" si="2"/>
        <v>#DIV/0!</v>
      </c>
      <c r="U20" s="58">
        <v>0</v>
      </c>
      <c r="V20" s="649"/>
      <c r="W20" s="19" t="e">
        <f t="shared" si="3"/>
        <v>#DIV/0!</v>
      </c>
      <c r="X20" s="58">
        <v>0</v>
      </c>
      <c r="Y20" s="649"/>
      <c r="Z20" s="19" t="e">
        <f t="shared" si="4"/>
        <v>#DIV/0!</v>
      </c>
      <c r="AA20" s="58">
        <v>0</v>
      </c>
      <c r="AB20" s="649"/>
      <c r="AC20" s="19" t="e">
        <f t="shared" si="5"/>
        <v>#DIV/0!</v>
      </c>
      <c r="AD20" s="58">
        <f t="shared" si="6"/>
        <v>0</v>
      </c>
      <c r="AE20" s="19">
        <f t="shared" si="7"/>
        <v>0</v>
      </c>
      <c r="AF20" s="58">
        <v>0</v>
      </c>
      <c r="AG20" s="649"/>
      <c r="AH20" s="19" t="e">
        <f t="shared" si="8"/>
        <v>#DIV/0!</v>
      </c>
      <c r="AI20" s="58">
        <v>0</v>
      </c>
      <c r="AJ20" s="649"/>
      <c r="AK20" s="19" t="e">
        <f t="shared" si="9"/>
        <v>#DIV/0!</v>
      </c>
      <c r="AL20" s="58">
        <v>0</v>
      </c>
      <c r="AM20" s="649"/>
      <c r="AN20" s="19" t="e">
        <f t="shared" si="10"/>
        <v>#DIV/0!</v>
      </c>
      <c r="AO20" s="58">
        <v>0</v>
      </c>
      <c r="AP20" s="649"/>
      <c r="AQ20" s="19" t="e">
        <f t="shared" si="11"/>
        <v>#DIV/0!</v>
      </c>
      <c r="AR20" s="58">
        <v>0</v>
      </c>
      <c r="AS20" s="649"/>
      <c r="AT20" s="19" t="e">
        <f t="shared" si="12"/>
        <v>#DIV/0!</v>
      </c>
      <c r="AU20" s="646">
        <v>0.64100000000000001</v>
      </c>
      <c r="AV20" s="649">
        <v>0.93330000000000002</v>
      </c>
      <c r="AW20" s="19">
        <f t="shared" si="13"/>
        <v>1.4560062402496099</v>
      </c>
      <c r="AX20" s="51">
        <f>+AV20</f>
        <v>0.93330000000000002</v>
      </c>
      <c r="AY20" s="19">
        <f t="shared" si="15"/>
        <v>1.4560062402496099</v>
      </c>
    </row>
    <row r="21" spans="1:51" s="1802" customFormat="1" ht="77.25" customHeight="1" thickTop="1" thickBot="1">
      <c r="A21" s="2979"/>
      <c r="B21" s="2942"/>
      <c r="C21" s="2855"/>
      <c r="D21" s="1841" t="s">
        <v>175</v>
      </c>
      <c r="E21" s="1842" t="s">
        <v>123</v>
      </c>
      <c r="F21" s="1803" t="s">
        <v>10</v>
      </c>
      <c r="G21" s="1843">
        <v>1</v>
      </c>
      <c r="H21" s="1844"/>
      <c r="I21" s="1843"/>
      <c r="J21" s="1844"/>
      <c r="K21" s="1803" t="s">
        <v>7</v>
      </c>
      <c r="L21" s="58">
        <v>0</v>
      </c>
      <c r="M21" s="1845"/>
      <c r="N21" s="19" t="e">
        <f t="shared" si="0"/>
        <v>#DIV/0!</v>
      </c>
      <c r="O21" s="58">
        <v>0</v>
      </c>
      <c r="P21" s="1845"/>
      <c r="Q21" s="19" t="e">
        <f t="shared" si="1"/>
        <v>#DIV/0!</v>
      </c>
      <c r="R21" s="58">
        <v>0</v>
      </c>
      <c r="S21" s="1845"/>
      <c r="T21" s="19" t="e">
        <f t="shared" si="2"/>
        <v>#DIV/0!</v>
      </c>
      <c r="U21" s="1846">
        <v>1</v>
      </c>
      <c r="V21" s="1845">
        <v>1</v>
      </c>
      <c r="W21" s="19">
        <f t="shared" si="3"/>
        <v>1</v>
      </c>
      <c r="X21" s="58">
        <v>0</v>
      </c>
      <c r="Y21" s="1845"/>
      <c r="Z21" s="19" t="e">
        <f t="shared" si="4"/>
        <v>#DIV/0!</v>
      </c>
      <c r="AA21" s="58">
        <v>0</v>
      </c>
      <c r="AB21" s="1845"/>
      <c r="AC21" s="19" t="e">
        <f t="shared" si="5"/>
        <v>#DIV/0!</v>
      </c>
      <c r="AD21" s="1836">
        <f>+V21</f>
        <v>1</v>
      </c>
      <c r="AE21" s="19">
        <f t="shared" si="7"/>
        <v>1</v>
      </c>
      <c r="AF21" s="58">
        <v>0</v>
      </c>
      <c r="AG21" s="1845"/>
      <c r="AH21" s="19" t="e">
        <f t="shared" si="8"/>
        <v>#DIV/0!</v>
      </c>
      <c r="AI21" s="58">
        <v>0</v>
      </c>
      <c r="AJ21" s="1845"/>
      <c r="AK21" s="19" t="e">
        <f t="shared" si="9"/>
        <v>#DIV/0!</v>
      </c>
      <c r="AL21" s="58">
        <v>0</v>
      </c>
      <c r="AM21" s="1845"/>
      <c r="AN21" s="19" t="e">
        <f t="shared" si="10"/>
        <v>#DIV/0!</v>
      </c>
      <c r="AO21" s="1846">
        <v>1</v>
      </c>
      <c r="AP21" s="1845">
        <v>1</v>
      </c>
      <c r="AQ21" s="19">
        <f t="shared" si="11"/>
        <v>1</v>
      </c>
      <c r="AR21" s="58">
        <v>0</v>
      </c>
      <c r="AS21" s="1845"/>
      <c r="AT21" s="19" t="e">
        <f t="shared" si="12"/>
        <v>#DIV/0!</v>
      </c>
      <c r="AU21" s="58">
        <v>0</v>
      </c>
      <c r="AV21" s="1845"/>
      <c r="AW21" s="19" t="e">
        <f t="shared" si="13"/>
        <v>#DIV/0!</v>
      </c>
      <c r="AX21" s="1836">
        <f>(V21+AP21)/2</f>
        <v>1</v>
      </c>
      <c r="AY21" s="19">
        <f t="shared" si="15"/>
        <v>1</v>
      </c>
    </row>
    <row r="22" spans="1:51" s="1802" customFormat="1" ht="77.25" customHeight="1" thickTop="1" thickBot="1">
      <c r="A22" s="2979"/>
      <c r="B22" s="2942"/>
      <c r="C22" s="2855"/>
      <c r="D22" s="1839" t="s">
        <v>124</v>
      </c>
      <c r="E22" s="1847" t="s">
        <v>125</v>
      </c>
      <c r="F22" s="1795" t="s">
        <v>10</v>
      </c>
      <c r="G22" s="1831">
        <v>1</v>
      </c>
      <c r="H22" s="1819"/>
      <c r="I22" s="1831"/>
      <c r="J22" s="1819"/>
      <c r="K22" s="1795" t="s">
        <v>7</v>
      </c>
      <c r="L22" s="58">
        <v>0</v>
      </c>
      <c r="M22" s="1848"/>
      <c r="N22" s="19" t="e">
        <f t="shared" si="0"/>
        <v>#DIV/0!</v>
      </c>
      <c r="O22" s="58">
        <v>0</v>
      </c>
      <c r="P22" s="1848"/>
      <c r="Q22" s="19" t="e">
        <f t="shared" si="1"/>
        <v>#DIV/0!</v>
      </c>
      <c r="R22" s="1849">
        <v>1</v>
      </c>
      <c r="S22" s="1845">
        <v>1</v>
      </c>
      <c r="T22" s="19">
        <f t="shared" si="2"/>
        <v>1</v>
      </c>
      <c r="U22" s="58">
        <v>0</v>
      </c>
      <c r="V22" s="1848"/>
      <c r="W22" s="19" t="e">
        <f t="shared" si="3"/>
        <v>#DIV/0!</v>
      </c>
      <c r="X22" s="58">
        <v>0</v>
      </c>
      <c r="Y22" s="1848"/>
      <c r="Z22" s="19" t="e">
        <f t="shared" si="4"/>
        <v>#DIV/0!</v>
      </c>
      <c r="AA22" s="1849">
        <v>1</v>
      </c>
      <c r="AB22" s="1848">
        <v>1</v>
      </c>
      <c r="AC22" s="19">
        <f t="shared" si="5"/>
        <v>1</v>
      </c>
      <c r="AD22" s="1850">
        <f>(S22+AB22)/2</f>
        <v>1</v>
      </c>
      <c r="AE22" s="19">
        <f t="shared" si="7"/>
        <v>1</v>
      </c>
      <c r="AF22" s="58">
        <v>0</v>
      </c>
      <c r="AG22" s="1848"/>
      <c r="AH22" s="19" t="e">
        <f t="shared" si="8"/>
        <v>#DIV/0!</v>
      </c>
      <c r="AI22" s="58">
        <v>0</v>
      </c>
      <c r="AJ22" s="1848"/>
      <c r="AK22" s="19" t="e">
        <f t="shared" si="9"/>
        <v>#DIV/0!</v>
      </c>
      <c r="AL22" s="1849">
        <v>1</v>
      </c>
      <c r="AM22" s="1848">
        <v>1</v>
      </c>
      <c r="AN22" s="19">
        <f t="shared" si="10"/>
        <v>1</v>
      </c>
      <c r="AO22" s="58">
        <v>0</v>
      </c>
      <c r="AP22" s="1848"/>
      <c r="AQ22" s="19" t="e">
        <f t="shared" si="11"/>
        <v>#DIV/0!</v>
      </c>
      <c r="AR22" s="58">
        <v>0</v>
      </c>
      <c r="AS22" s="1848"/>
      <c r="AT22" s="19" t="e">
        <f t="shared" si="12"/>
        <v>#DIV/0!</v>
      </c>
      <c r="AU22" s="1849">
        <v>1</v>
      </c>
      <c r="AV22" s="1848">
        <v>1</v>
      </c>
      <c r="AW22" s="19">
        <f t="shared" si="13"/>
        <v>1</v>
      </c>
      <c r="AX22" s="1836">
        <f>(S22+AB22+AM22+AV22)/4</f>
        <v>1</v>
      </c>
      <c r="AY22" s="19">
        <f t="shared" si="15"/>
        <v>1</v>
      </c>
    </row>
    <row r="23" spans="1:51" s="1802" customFormat="1" ht="77.25" customHeight="1" thickTop="1" thickBot="1">
      <c r="A23" s="2979"/>
      <c r="B23" s="2942"/>
      <c r="C23" s="2855"/>
      <c r="D23" s="1841" t="s">
        <v>177</v>
      </c>
      <c r="E23" s="1842" t="s">
        <v>127</v>
      </c>
      <c r="F23" s="1803" t="s">
        <v>10</v>
      </c>
      <c r="G23" s="1843">
        <v>0.7</v>
      </c>
      <c r="H23" s="1844"/>
      <c r="I23" s="1843"/>
      <c r="J23" s="1844"/>
      <c r="K23" s="1803" t="s">
        <v>7</v>
      </c>
      <c r="L23" s="1846">
        <v>0.7</v>
      </c>
      <c r="M23" s="1845">
        <v>1</v>
      </c>
      <c r="N23" s="19">
        <f t="shared" si="0"/>
        <v>1.4285714285714286</v>
      </c>
      <c r="O23" s="1846">
        <v>0.7</v>
      </c>
      <c r="P23" s="1845">
        <v>1</v>
      </c>
      <c r="Q23" s="19">
        <f t="shared" si="1"/>
        <v>1.4285714285714286</v>
      </c>
      <c r="R23" s="1846">
        <v>0.7</v>
      </c>
      <c r="S23" s="1845">
        <v>1</v>
      </c>
      <c r="T23" s="19">
        <f t="shared" si="2"/>
        <v>1.4285714285714286</v>
      </c>
      <c r="U23" s="1846">
        <v>0.7</v>
      </c>
      <c r="V23" s="1845">
        <v>1</v>
      </c>
      <c r="W23" s="19">
        <f t="shared" si="3"/>
        <v>1.4285714285714286</v>
      </c>
      <c r="X23" s="1846">
        <v>0.7</v>
      </c>
      <c r="Y23" s="1845">
        <v>1</v>
      </c>
      <c r="Z23" s="19">
        <f t="shared" si="4"/>
        <v>1.4285714285714286</v>
      </c>
      <c r="AA23" s="1846">
        <v>0.7</v>
      </c>
      <c r="AB23" s="1845">
        <v>1</v>
      </c>
      <c r="AC23" s="19">
        <f t="shared" si="5"/>
        <v>1.4285714285714286</v>
      </c>
      <c r="AD23" s="1836">
        <f>(M23+P23+S23+V23+Y23+AB23)/6</f>
        <v>1</v>
      </c>
      <c r="AE23" s="19">
        <f t="shared" si="7"/>
        <v>1.4285714285714286</v>
      </c>
      <c r="AF23" s="1846">
        <v>0.7</v>
      </c>
      <c r="AG23" s="1845">
        <v>1</v>
      </c>
      <c r="AH23" s="19">
        <f t="shared" si="8"/>
        <v>1.4285714285714286</v>
      </c>
      <c r="AI23" s="1846">
        <v>0.7</v>
      </c>
      <c r="AJ23" s="1845">
        <v>1</v>
      </c>
      <c r="AK23" s="19">
        <f t="shared" si="9"/>
        <v>1.4285714285714286</v>
      </c>
      <c r="AL23" s="1846">
        <v>0.7</v>
      </c>
      <c r="AM23" s="1845">
        <v>1</v>
      </c>
      <c r="AN23" s="19">
        <f t="shared" si="10"/>
        <v>1.4285714285714286</v>
      </c>
      <c r="AO23" s="1846">
        <v>0.7</v>
      </c>
      <c r="AP23" s="1845">
        <v>1</v>
      </c>
      <c r="AQ23" s="19">
        <f t="shared" si="11"/>
        <v>1.4285714285714286</v>
      </c>
      <c r="AR23" s="1846">
        <v>0.7</v>
      </c>
      <c r="AS23" s="1845">
        <v>1</v>
      </c>
      <c r="AT23" s="19">
        <f t="shared" si="12"/>
        <v>1.4285714285714286</v>
      </c>
      <c r="AU23" s="1846">
        <v>0.7</v>
      </c>
      <c r="AV23" s="1845">
        <v>1</v>
      </c>
      <c r="AW23" s="19">
        <f t="shared" si="13"/>
        <v>1.4285714285714286</v>
      </c>
      <c r="AX23" s="1836">
        <f>(M23+P23+S23+V23+Y23+AB23+AG23+AJ23+AM23+AP23+AS23+AV23)/12</f>
        <v>1</v>
      </c>
      <c r="AY23" s="19">
        <f t="shared" si="15"/>
        <v>1.4285714285714286</v>
      </c>
    </row>
    <row r="24" spans="1:51" s="1802" customFormat="1" ht="77.25" customHeight="1" thickTop="1" thickBot="1">
      <c r="A24" s="2979"/>
      <c r="B24" s="2942"/>
      <c r="C24" s="2855"/>
      <c r="D24" s="1839" t="s">
        <v>128</v>
      </c>
      <c r="E24" s="1847" t="s">
        <v>129</v>
      </c>
      <c r="F24" s="1795" t="s">
        <v>10</v>
      </c>
      <c r="G24" s="1831">
        <v>1</v>
      </c>
      <c r="H24" s="1819"/>
      <c r="I24" s="1831"/>
      <c r="J24" s="1819"/>
      <c r="K24" s="1795" t="s">
        <v>7</v>
      </c>
      <c r="L24" s="1849">
        <v>0</v>
      </c>
      <c r="M24" s="1848">
        <v>0</v>
      </c>
      <c r="N24" s="19" t="e">
        <f t="shared" si="0"/>
        <v>#DIV/0!</v>
      </c>
      <c r="O24" s="1849">
        <v>0</v>
      </c>
      <c r="P24" s="1848">
        <v>0</v>
      </c>
      <c r="Q24" s="19" t="e">
        <f t="shared" si="1"/>
        <v>#DIV/0!</v>
      </c>
      <c r="R24" s="1849">
        <v>0</v>
      </c>
      <c r="S24" s="1848">
        <v>0</v>
      </c>
      <c r="T24" s="19" t="e">
        <f t="shared" si="2"/>
        <v>#DIV/0!</v>
      </c>
      <c r="U24" s="1849">
        <v>0</v>
      </c>
      <c r="V24" s="1848">
        <v>0</v>
      </c>
      <c r="W24" s="19" t="e">
        <f t="shared" si="3"/>
        <v>#DIV/0!</v>
      </c>
      <c r="X24" s="1849">
        <v>0</v>
      </c>
      <c r="Y24" s="1848">
        <v>0</v>
      </c>
      <c r="Z24" s="19" t="e">
        <f t="shared" si="4"/>
        <v>#DIV/0!</v>
      </c>
      <c r="AA24" s="1849">
        <v>1</v>
      </c>
      <c r="AB24" s="1848">
        <v>1</v>
      </c>
      <c r="AC24" s="19">
        <f t="shared" si="5"/>
        <v>1</v>
      </c>
      <c r="AD24" s="1850">
        <f>(M24+P24+S24+V24+Y24+AB24)/6</f>
        <v>0.16666666666666666</v>
      </c>
      <c r="AE24" s="19">
        <f t="shared" si="7"/>
        <v>0.16666666666666666</v>
      </c>
      <c r="AF24" s="1849">
        <v>0</v>
      </c>
      <c r="AG24" s="1848"/>
      <c r="AH24" s="19"/>
      <c r="AI24" s="1849">
        <v>0</v>
      </c>
      <c r="AJ24" s="1848"/>
      <c r="AK24" s="19"/>
      <c r="AL24" s="1849">
        <v>0</v>
      </c>
      <c r="AM24" s="1848">
        <v>0</v>
      </c>
      <c r="AN24" s="19" t="e">
        <f t="shared" si="10"/>
        <v>#DIV/0!</v>
      </c>
      <c r="AO24" s="1849">
        <v>0</v>
      </c>
      <c r="AP24" s="1848"/>
      <c r="AQ24" s="19"/>
      <c r="AR24" s="1849">
        <v>1</v>
      </c>
      <c r="AS24" s="1848">
        <v>1</v>
      </c>
      <c r="AT24" s="19">
        <f t="shared" si="12"/>
        <v>1</v>
      </c>
      <c r="AU24" s="1849">
        <v>0</v>
      </c>
      <c r="AV24" s="1848">
        <v>0</v>
      </c>
      <c r="AW24" s="19" t="e">
        <f t="shared" si="13"/>
        <v>#DIV/0!</v>
      </c>
      <c r="AX24" s="1836">
        <f>+(AS24+AB24)/2</f>
        <v>1</v>
      </c>
      <c r="AY24" s="19">
        <f t="shared" si="15"/>
        <v>1</v>
      </c>
    </row>
    <row r="25" spans="1:51" s="1802" customFormat="1" ht="77.25" customHeight="1" thickTop="1" thickBot="1">
      <c r="A25" s="2979"/>
      <c r="B25" s="2942"/>
      <c r="C25" s="2855"/>
      <c r="D25" s="1841" t="s">
        <v>179</v>
      </c>
      <c r="E25" s="1842" t="s">
        <v>131</v>
      </c>
      <c r="F25" s="1803" t="s">
        <v>10</v>
      </c>
      <c r="G25" s="1843">
        <v>1</v>
      </c>
      <c r="H25" s="1844"/>
      <c r="I25" s="1843"/>
      <c r="J25" s="1844"/>
      <c r="K25" s="1803" t="s">
        <v>7</v>
      </c>
      <c r="L25" s="1846">
        <v>1</v>
      </c>
      <c r="M25" s="1845">
        <v>1</v>
      </c>
      <c r="N25" s="19">
        <f t="shared" si="0"/>
        <v>1</v>
      </c>
      <c r="O25" s="1846">
        <v>1</v>
      </c>
      <c r="P25" s="1845">
        <v>1</v>
      </c>
      <c r="Q25" s="19">
        <f t="shared" si="1"/>
        <v>1</v>
      </c>
      <c r="R25" s="1846">
        <v>1</v>
      </c>
      <c r="S25" s="1845">
        <v>1</v>
      </c>
      <c r="T25" s="19">
        <f t="shared" si="2"/>
        <v>1</v>
      </c>
      <c r="U25" s="1846">
        <v>1</v>
      </c>
      <c r="V25" s="1845">
        <v>1</v>
      </c>
      <c r="W25" s="19">
        <f t="shared" si="3"/>
        <v>1</v>
      </c>
      <c r="X25" s="1846">
        <v>1</v>
      </c>
      <c r="Y25" s="1845">
        <v>1</v>
      </c>
      <c r="Z25" s="19">
        <f t="shared" si="4"/>
        <v>1</v>
      </c>
      <c r="AA25" s="1846">
        <v>1</v>
      </c>
      <c r="AB25" s="1845">
        <v>1</v>
      </c>
      <c r="AC25" s="19">
        <f t="shared" si="5"/>
        <v>1</v>
      </c>
      <c r="AD25" s="1836">
        <f>(M25+P25+S25+V25+Y25+AB25)/6</f>
        <v>1</v>
      </c>
      <c r="AE25" s="19">
        <f t="shared" si="7"/>
        <v>1</v>
      </c>
      <c r="AF25" s="1846">
        <v>1</v>
      </c>
      <c r="AG25" s="1845">
        <v>1</v>
      </c>
      <c r="AH25" s="19">
        <f t="shared" si="8"/>
        <v>1</v>
      </c>
      <c r="AI25" s="1846">
        <v>1</v>
      </c>
      <c r="AJ25" s="1845">
        <v>1</v>
      </c>
      <c r="AK25" s="19">
        <f t="shared" si="9"/>
        <v>1</v>
      </c>
      <c r="AL25" s="1846">
        <v>1</v>
      </c>
      <c r="AM25" s="1845">
        <v>1</v>
      </c>
      <c r="AN25" s="19">
        <f t="shared" si="10"/>
        <v>1</v>
      </c>
      <c r="AO25" s="1846">
        <v>1</v>
      </c>
      <c r="AP25" s="1845">
        <v>1</v>
      </c>
      <c r="AQ25" s="19">
        <f t="shared" si="11"/>
        <v>1</v>
      </c>
      <c r="AR25" s="1846">
        <v>1</v>
      </c>
      <c r="AS25" s="1845">
        <v>1</v>
      </c>
      <c r="AT25" s="19">
        <f t="shared" si="12"/>
        <v>1</v>
      </c>
      <c r="AU25" s="1846">
        <v>1</v>
      </c>
      <c r="AV25" s="1845">
        <v>1</v>
      </c>
      <c r="AW25" s="19">
        <f t="shared" si="13"/>
        <v>1</v>
      </c>
      <c r="AX25" s="1836">
        <f>(M25+P25+S25+V25+Y25+AB25+AG25+AJ25+AM25+AP25+AS25+AV25)/12</f>
        <v>1</v>
      </c>
      <c r="AY25" s="19">
        <f t="shared" si="15"/>
        <v>1</v>
      </c>
    </row>
    <row r="26" spans="1:51" s="1802" customFormat="1" ht="95.25" customHeight="1" thickTop="1" thickBot="1">
      <c r="A26" s="2979"/>
      <c r="B26" s="2864"/>
      <c r="C26" s="2856"/>
      <c r="D26" s="1839" t="s">
        <v>132</v>
      </c>
      <c r="E26" s="1847" t="s">
        <v>133</v>
      </c>
      <c r="F26" s="1795" t="s">
        <v>10</v>
      </c>
      <c r="G26" s="1831">
        <v>1</v>
      </c>
      <c r="H26" s="1795"/>
      <c r="I26" s="1831"/>
      <c r="J26" s="1795"/>
      <c r="K26" s="1795" t="s">
        <v>7</v>
      </c>
      <c r="L26" s="58">
        <v>0</v>
      </c>
      <c r="M26" s="1848"/>
      <c r="N26" s="19" t="e">
        <f t="shared" si="0"/>
        <v>#DIV/0!</v>
      </c>
      <c r="O26" s="58">
        <v>0</v>
      </c>
      <c r="P26" s="1848"/>
      <c r="Q26" s="19" t="e">
        <f t="shared" si="1"/>
        <v>#DIV/0!</v>
      </c>
      <c r="R26" s="58">
        <v>0</v>
      </c>
      <c r="S26" s="1848"/>
      <c r="T26" s="19" t="e">
        <f t="shared" si="2"/>
        <v>#DIV/0!</v>
      </c>
      <c r="U26" s="58">
        <v>0</v>
      </c>
      <c r="V26" s="1848"/>
      <c r="W26" s="19" t="e">
        <f t="shared" si="3"/>
        <v>#DIV/0!</v>
      </c>
      <c r="X26" s="58">
        <v>0</v>
      </c>
      <c r="Y26" s="1848"/>
      <c r="Z26" s="19" t="e">
        <f t="shared" si="4"/>
        <v>#DIV/0!</v>
      </c>
      <c r="AA26" s="58">
        <v>0</v>
      </c>
      <c r="AB26" s="1848"/>
      <c r="AC26" s="19" t="e">
        <f t="shared" si="5"/>
        <v>#DIV/0!</v>
      </c>
      <c r="AD26" s="1850">
        <f t="shared" si="6"/>
        <v>0</v>
      </c>
      <c r="AE26" s="19">
        <f t="shared" si="7"/>
        <v>0</v>
      </c>
      <c r="AF26" s="58">
        <v>0</v>
      </c>
      <c r="AG26" s="1848"/>
      <c r="AH26" s="19" t="e">
        <f t="shared" si="8"/>
        <v>#DIV/0!</v>
      </c>
      <c r="AI26" s="1849">
        <v>1</v>
      </c>
      <c r="AJ26" s="1848">
        <v>1</v>
      </c>
      <c r="AK26" s="19">
        <f t="shared" si="9"/>
        <v>1</v>
      </c>
      <c r="AL26" s="58">
        <v>0</v>
      </c>
      <c r="AM26" s="1848"/>
      <c r="AN26" s="19" t="e">
        <f t="shared" si="10"/>
        <v>#DIV/0!</v>
      </c>
      <c r="AO26" s="58">
        <v>0</v>
      </c>
      <c r="AP26" s="1848"/>
      <c r="AQ26" s="19" t="e">
        <f t="shared" si="11"/>
        <v>#DIV/0!</v>
      </c>
      <c r="AR26" s="58">
        <v>0</v>
      </c>
      <c r="AS26" s="1848"/>
      <c r="AT26" s="19" t="e">
        <f t="shared" si="12"/>
        <v>#DIV/0!</v>
      </c>
      <c r="AU26" s="58">
        <v>0</v>
      </c>
      <c r="AV26" s="1848"/>
      <c r="AW26" s="19" t="e">
        <f t="shared" si="13"/>
        <v>#DIV/0!</v>
      </c>
      <c r="AX26" s="1836">
        <f>+AJ26</f>
        <v>1</v>
      </c>
      <c r="AY26" s="19">
        <f t="shared" si="15"/>
        <v>1</v>
      </c>
    </row>
    <row r="27" spans="1:51" s="1802" customFormat="1" ht="105.75" customHeight="1" thickTop="1" thickBot="1">
      <c r="A27" s="2980"/>
      <c r="B27" s="1851" t="s">
        <v>418</v>
      </c>
      <c r="C27" s="1803" t="s">
        <v>744</v>
      </c>
      <c r="D27" s="1790" t="s">
        <v>227</v>
      </c>
      <c r="E27" s="1803" t="s">
        <v>139</v>
      </c>
      <c r="F27" s="1803" t="s">
        <v>101</v>
      </c>
      <c r="G27" s="1804">
        <f>+'[4]FIS-24'!$AN$16</f>
        <v>170000000.00000003</v>
      </c>
      <c r="H27" s="1803"/>
      <c r="I27" s="1804"/>
      <c r="J27" s="1803"/>
      <c r="K27" s="1795" t="s">
        <v>140</v>
      </c>
      <c r="L27" s="1801">
        <v>13333333.333333334</v>
      </c>
      <c r="M27" s="1807">
        <v>740974</v>
      </c>
      <c r="N27" s="19">
        <f t="shared" si="0"/>
        <v>5.5573049999999999E-2</v>
      </c>
      <c r="O27" s="1801">
        <v>13333333.333333334</v>
      </c>
      <c r="P27" s="1807">
        <v>8698702</v>
      </c>
      <c r="Q27" s="19">
        <f t="shared" si="1"/>
        <v>0.65240264999999997</v>
      </c>
      <c r="R27" s="1801">
        <v>13333333.333333334</v>
      </c>
      <c r="S27" s="1807">
        <v>6036424</v>
      </c>
      <c r="T27" s="19">
        <f t="shared" si="2"/>
        <v>0.45273179999999996</v>
      </c>
      <c r="U27" s="1801">
        <v>26444444</v>
      </c>
      <c r="V27" s="1807">
        <v>0</v>
      </c>
      <c r="W27" s="19">
        <f t="shared" si="3"/>
        <v>0</v>
      </c>
      <c r="X27" s="1801">
        <v>26444444</v>
      </c>
      <c r="Y27" s="1807"/>
      <c r="Z27" s="19">
        <f t="shared" si="4"/>
        <v>0</v>
      </c>
      <c r="AA27" s="1801">
        <v>26444444</v>
      </c>
      <c r="AB27" s="1807"/>
      <c r="AC27" s="19">
        <f t="shared" si="5"/>
        <v>0</v>
      </c>
      <c r="AD27" s="1801">
        <f t="shared" si="6"/>
        <v>15476100</v>
      </c>
      <c r="AE27" s="19">
        <f t="shared" si="7"/>
        <v>9.1035882352941161E-2</v>
      </c>
      <c r="AF27" s="1801">
        <v>26444444</v>
      </c>
      <c r="AG27" s="1807">
        <v>22113384</v>
      </c>
      <c r="AH27" s="19">
        <f t="shared" si="8"/>
        <v>0.83622041741546915</v>
      </c>
      <c r="AI27" s="1801">
        <v>5571111.520000007</v>
      </c>
      <c r="AJ27" s="1807"/>
      <c r="AK27" s="19">
        <f t="shared" si="9"/>
        <v>0</v>
      </c>
      <c r="AL27" s="1801">
        <v>5571111.520000007</v>
      </c>
      <c r="AM27" s="1807">
        <v>17987674</v>
      </c>
      <c r="AN27" s="19">
        <f t="shared" si="10"/>
        <v>3.2287406086604378</v>
      </c>
      <c r="AO27" s="1801">
        <v>5571111.520000007</v>
      </c>
      <c r="AP27" s="1807">
        <v>71013114</v>
      </c>
      <c r="AQ27" s="19">
        <f t="shared" si="11"/>
        <v>12.746668908900231</v>
      </c>
      <c r="AR27" s="1801">
        <v>3754444.7200000049</v>
      </c>
      <c r="AS27" s="1807">
        <v>1891644</v>
      </c>
      <c r="AT27" s="19">
        <f t="shared" si="12"/>
        <v>0.50384121782994251</v>
      </c>
      <c r="AU27" s="1801">
        <v>3754444.7200000049</v>
      </c>
      <c r="AV27" s="1807">
        <v>59343754</v>
      </c>
      <c r="AW27" s="19">
        <f t="shared" si="13"/>
        <v>15.806266552247951</v>
      </c>
      <c r="AX27" s="1801">
        <f t="shared" si="14"/>
        <v>187825670</v>
      </c>
      <c r="AY27" s="19">
        <f t="shared" si="15"/>
        <v>1.104856882352941</v>
      </c>
    </row>
    <row r="28" spans="1:51" s="22" customFormat="1" ht="22.5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55"/>
      <c r="M28" s="56"/>
      <c r="N28" s="55"/>
      <c r="O28" s="55"/>
      <c r="P28" s="56"/>
      <c r="Q28" s="55"/>
      <c r="R28" s="55"/>
      <c r="S28" s="56"/>
      <c r="T28" s="55"/>
      <c r="U28" s="55"/>
      <c r="V28" s="56"/>
      <c r="W28" s="55"/>
      <c r="X28" s="55"/>
      <c r="Y28" s="56"/>
      <c r="Z28" s="55"/>
      <c r="AA28" s="55"/>
      <c r="AB28" s="56"/>
      <c r="AC28" s="55"/>
      <c r="AD28" s="55"/>
      <c r="AE28" s="55"/>
      <c r="AF28" s="55"/>
      <c r="AG28" s="56"/>
      <c r="AH28" s="55"/>
      <c r="AI28" s="55"/>
      <c r="AJ28" s="56"/>
      <c r="AK28" s="55"/>
      <c r="AL28" s="55"/>
      <c r="AM28" s="56"/>
      <c r="AN28" s="55"/>
      <c r="AO28" s="55"/>
      <c r="AP28" s="56"/>
      <c r="AQ28" s="55"/>
      <c r="AR28" s="55"/>
      <c r="AS28" s="56"/>
      <c r="AT28" s="55"/>
      <c r="AU28" s="55"/>
      <c r="AV28" s="56"/>
      <c r="AW28" s="55"/>
      <c r="AX28" s="55"/>
      <c r="AY28" s="55"/>
    </row>
    <row r="29" spans="1:51" s="1802" customFormat="1" ht="130.5" customHeight="1" thickTop="1" thickBot="1">
      <c r="A29" s="2939" t="s">
        <v>181</v>
      </c>
      <c r="B29" s="2863" t="s">
        <v>314</v>
      </c>
      <c r="C29" s="1847" t="s">
        <v>745</v>
      </c>
      <c r="D29" s="1852" t="s">
        <v>144</v>
      </c>
      <c r="E29" s="1847" t="s">
        <v>145</v>
      </c>
      <c r="F29" s="1847" t="s">
        <v>17</v>
      </c>
      <c r="G29" s="1795">
        <v>340</v>
      </c>
      <c r="H29" s="1847"/>
      <c r="I29" s="1847"/>
      <c r="J29" s="1847"/>
      <c r="K29" s="1847" t="s">
        <v>146</v>
      </c>
      <c r="L29" s="1853">
        <v>0</v>
      </c>
      <c r="M29" s="1854"/>
      <c r="N29" s="19" t="e">
        <f t="shared" si="0"/>
        <v>#DIV/0!</v>
      </c>
      <c r="O29" s="1853">
        <v>0</v>
      </c>
      <c r="P29" s="1854"/>
      <c r="Q29" s="19" t="e">
        <f t="shared" si="1"/>
        <v>#DIV/0!</v>
      </c>
      <c r="R29" s="1853">
        <v>0</v>
      </c>
      <c r="S29" s="1854"/>
      <c r="T29" s="19" t="e">
        <f t="shared" si="2"/>
        <v>#DIV/0!</v>
      </c>
      <c r="U29" s="1855">
        <v>68</v>
      </c>
      <c r="V29" s="1856">
        <v>269</v>
      </c>
      <c r="W29" s="19">
        <f t="shared" si="3"/>
        <v>3.9558823529411766</v>
      </c>
      <c r="X29" s="1853">
        <v>0</v>
      </c>
      <c r="Y29" s="1854"/>
      <c r="Z29" s="19" t="e">
        <f t="shared" si="4"/>
        <v>#DIV/0!</v>
      </c>
      <c r="AA29" s="1853">
        <v>0</v>
      </c>
      <c r="AB29" s="1854"/>
      <c r="AC29" s="19" t="e">
        <f t="shared" si="5"/>
        <v>#DIV/0!</v>
      </c>
      <c r="AD29" s="1855">
        <f t="shared" si="6"/>
        <v>269</v>
      </c>
      <c r="AE29" s="19">
        <f t="shared" si="7"/>
        <v>0.79117647058823526</v>
      </c>
      <c r="AF29" s="1853">
        <v>0</v>
      </c>
      <c r="AG29" s="1854"/>
      <c r="AH29" s="19" t="e">
        <f t="shared" si="8"/>
        <v>#DIV/0!</v>
      </c>
      <c r="AI29" s="1855">
        <v>102</v>
      </c>
      <c r="AJ29" s="1856">
        <v>555</v>
      </c>
      <c r="AK29" s="19">
        <f t="shared" si="9"/>
        <v>5.4411764705882355</v>
      </c>
      <c r="AL29" s="1853">
        <v>0</v>
      </c>
      <c r="AM29" s="1854"/>
      <c r="AN29" s="19" t="e">
        <f t="shared" si="10"/>
        <v>#DIV/0!</v>
      </c>
      <c r="AO29" s="1853">
        <v>0</v>
      </c>
      <c r="AP29" s="1854"/>
      <c r="AQ29" s="19" t="e">
        <f t="shared" si="11"/>
        <v>#DIV/0!</v>
      </c>
      <c r="AR29" s="1853">
        <v>0</v>
      </c>
      <c r="AS29" s="1854"/>
      <c r="AT29" s="19" t="e">
        <f t="shared" si="12"/>
        <v>#DIV/0!</v>
      </c>
      <c r="AU29" s="1855">
        <v>170</v>
      </c>
      <c r="AV29" s="1856">
        <v>949</v>
      </c>
      <c r="AW29" s="19">
        <f t="shared" si="13"/>
        <v>5.5823529411764703</v>
      </c>
      <c r="AX29" s="1817">
        <f t="shared" si="14"/>
        <v>1773</v>
      </c>
      <c r="AY29" s="19">
        <f t="shared" si="15"/>
        <v>5.2147058823529413</v>
      </c>
    </row>
    <row r="30" spans="1:51" s="1802" customFormat="1" ht="100.5" customHeight="1" thickTop="1" thickBot="1">
      <c r="A30" s="2940"/>
      <c r="B30" s="2864"/>
      <c r="C30" s="1803" t="s">
        <v>746</v>
      </c>
      <c r="D30" s="1790" t="s">
        <v>148</v>
      </c>
      <c r="E30" s="1803" t="s">
        <v>149</v>
      </c>
      <c r="F30" s="1803" t="s">
        <v>8</v>
      </c>
      <c r="G30" s="1803">
        <v>10.199999999999999</v>
      </c>
      <c r="H30" s="1803"/>
      <c r="I30" s="1803"/>
      <c r="J30" s="1803"/>
      <c r="K30" s="1803" t="s">
        <v>9</v>
      </c>
      <c r="L30" s="1817">
        <v>10.199999999999999</v>
      </c>
      <c r="M30" s="1818">
        <v>10.3</v>
      </c>
      <c r="N30" s="19">
        <f>+L30/M30</f>
        <v>0.99029126213592222</v>
      </c>
      <c r="O30" s="1817">
        <v>10.199999999999999</v>
      </c>
      <c r="P30" s="1818">
        <v>10.6</v>
      </c>
      <c r="Q30" s="19">
        <f>+O30/P30</f>
        <v>0.96226415094339623</v>
      </c>
      <c r="R30" s="1817">
        <v>10.199999999999999</v>
      </c>
      <c r="S30" s="1818">
        <v>10.5</v>
      </c>
      <c r="T30" s="19">
        <f>+R30/S30</f>
        <v>0.97142857142857131</v>
      </c>
      <c r="U30" s="1817">
        <v>10.199999999999999</v>
      </c>
      <c r="V30" s="1818">
        <v>0</v>
      </c>
      <c r="W30" s="19" t="e">
        <f>+U30/V30</f>
        <v>#DIV/0!</v>
      </c>
      <c r="X30" s="1817">
        <v>10.199999999999999</v>
      </c>
      <c r="Y30" s="1818">
        <v>0</v>
      </c>
      <c r="Z30" s="19" t="e">
        <f>+X30/Y30</f>
        <v>#DIV/0!</v>
      </c>
      <c r="AA30" s="1817">
        <v>10.199999999999999</v>
      </c>
      <c r="AB30" s="1818">
        <v>10.199999999999999</v>
      </c>
      <c r="AC30" s="19">
        <f>+AA30/AB30</f>
        <v>1</v>
      </c>
      <c r="AD30" s="1857">
        <f>(M30+P30+S30+V30+Y30+AB30)/4</f>
        <v>10.399999999999999</v>
      </c>
      <c r="AE30" s="19">
        <f>G30/AD30</f>
        <v>0.98076923076923084</v>
      </c>
      <c r="AF30" s="1817">
        <v>10.199999999999999</v>
      </c>
      <c r="AG30" s="1818">
        <v>10.1</v>
      </c>
      <c r="AH30" s="19">
        <f>+AF30/AG30</f>
        <v>1.0099009900990099</v>
      </c>
      <c r="AI30" s="1817">
        <v>10.199999999999999</v>
      </c>
      <c r="AJ30" s="1818">
        <v>10.1</v>
      </c>
      <c r="AK30" s="19">
        <f>+AI30/AJ30</f>
        <v>1.0099009900990099</v>
      </c>
      <c r="AL30" s="1817">
        <v>10.199999999999999</v>
      </c>
      <c r="AM30" s="1818">
        <v>8.6999999999999993</v>
      </c>
      <c r="AN30" s="19">
        <f>+AL30/AM30</f>
        <v>1.1724137931034484</v>
      </c>
      <c r="AO30" s="1817">
        <v>10.199999999999999</v>
      </c>
      <c r="AP30" s="1818">
        <v>9.0399999999999991</v>
      </c>
      <c r="AQ30" s="19">
        <f>+AO30/AP30</f>
        <v>1.1283185840707965</v>
      </c>
      <c r="AR30" s="1817">
        <v>10.199999999999999</v>
      </c>
      <c r="AS30" s="1818">
        <v>7.74</v>
      </c>
      <c r="AT30" s="19">
        <f>+AR30/AS30</f>
        <v>1.317829457364341</v>
      </c>
      <c r="AU30" s="1817">
        <v>10.199999999999999</v>
      </c>
      <c r="AV30" s="1818">
        <v>10.029999999999999</v>
      </c>
      <c r="AW30" s="19">
        <f>+AU30/AV30</f>
        <v>1.0169491525423728</v>
      </c>
      <c r="AX30" s="1857">
        <f>(M30+P30+S30+V30+Y30+AB30+AG30+AJ30+AM30+AP30+AS30+AV30)/10</f>
        <v>9.7309999999999981</v>
      </c>
      <c r="AY30" s="19">
        <f>G30/AX30</f>
        <v>1.048196485458843</v>
      </c>
    </row>
    <row r="31" spans="1:51" s="1802" customFormat="1" ht="100.5" customHeight="1" thickTop="1" thickBot="1">
      <c r="A31" s="2941"/>
      <c r="B31" s="1858" t="s">
        <v>651</v>
      </c>
      <c r="C31" s="1847" t="s">
        <v>747</v>
      </c>
      <c r="D31" s="1839" t="s">
        <v>319</v>
      </c>
      <c r="E31" s="1847" t="s">
        <v>183</v>
      </c>
      <c r="F31" s="1847" t="s">
        <v>17</v>
      </c>
      <c r="G31" s="1859">
        <v>37</v>
      </c>
      <c r="H31" s="1847"/>
      <c r="I31" s="1859"/>
      <c r="J31" s="1847"/>
      <c r="K31" s="1795" t="s">
        <v>21</v>
      </c>
      <c r="L31" s="1855">
        <v>37</v>
      </c>
      <c r="M31" s="1856">
        <v>37</v>
      </c>
      <c r="N31" s="19">
        <f>+L31/M31</f>
        <v>1</v>
      </c>
      <c r="O31" s="1855">
        <v>37</v>
      </c>
      <c r="P31" s="1856">
        <v>42</v>
      </c>
      <c r="Q31" s="19">
        <f>+O31/P31</f>
        <v>0.88095238095238093</v>
      </c>
      <c r="R31" s="1855">
        <v>37</v>
      </c>
      <c r="S31" s="1856">
        <v>30</v>
      </c>
      <c r="T31" s="19">
        <f>+R31/S31</f>
        <v>1.2333333333333334</v>
      </c>
      <c r="U31" s="1855">
        <v>37</v>
      </c>
      <c r="V31" s="1856">
        <v>37</v>
      </c>
      <c r="W31" s="19">
        <f>+U31/V31</f>
        <v>1</v>
      </c>
      <c r="X31" s="1855">
        <v>37</v>
      </c>
      <c r="Y31" s="1856">
        <v>11</v>
      </c>
      <c r="Z31" s="19">
        <f>+X31/Y31</f>
        <v>3.3636363636363638</v>
      </c>
      <c r="AA31" s="1855">
        <v>37</v>
      </c>
      <c r="AB31" s="1856">
        <v>12</v>
      </c>
      <c r="AC31" s="19">
        <f>+AA31/AB31</f>
        <v>3.0833333333333335</v>
      </c>
      <c r="AD31" s="1860">
        <f>(M31+P31+S31+V31+Y31+AB31)/6</f>
        <v>28.166666666666668</v>
      </c>
      <c r="AE31" s="19">
        <f>G31/AD31</f>
        <v>1.3136094674556213</v>
      </c>
      <c r="AF31" s="1855">
        <v>37</v>
      </c>
      <c r="AG31" s="1856">
        <v>37</v>
      </c>
      <c r="AH31" s="19">
        <f>+AF31/AG31</f>
        <v>1</v>
      </c>
      <c r="AI31" s="1855">
        <v>37</v>
      </c>
      <c r="AJ31" s="1856">
        <v>37</v>
      </c>
      <c r="AK31" s="19">
        <f>+AI31/AJ31</f>
        <v>1</v>
      </c>
      <c r="AL31" s="1855">
        <v>37</v>
      </c>
      <c r="AM31" s="1856">
        <v>41</v>
      </c>
      <c r="AN31" s="19">
        <f>+AL31/AM31</f>
        <v>0.90243902439024393</v>
      </c>
      <c r="AO31" s="1855">
        <v>37</v>
      </c>
      <c r="AP31" s="1856">
        <v>38</v>
      </c>
      <c r="AQ31" s="19">
        <f>+AO31/AP31</f>
        <v>0.97368421052631582</v>
      </c>
      <c r="AR31" s="1855">
        <v>37</v>
      </c>
      <c r="AS31" s="1856">
        <v>42</v>
      </c>
      <c r="AT31" s="19">
        <f>+AR31/AS31</f>
        <v>0.88095238095238093</v>
      </c>
      <c r="AU31" s="1855">
        <v>37</v>
      </c>
      <c r="AV31" s="1856">
        <v>46</v>
      </c>
      <c r="AW31" s="19">
        <f>+AU31/AV31</f>
        <v>0.80434782608695654</v>
      </c>
      <c r="AX31" s="1826">
        <f>(P31+M31+S31+V31+Y31+AB31+AG31+AJ31+AM31+AP31+AS31+AV31)/12</f>
        <v>34.166666666666664</v>
      </c>
      <c r="AY31" s="19">
        <f>G31/AX31</f>
        <v>1.0829268292682928</v>
      </c>
    </row>
    <row r="32" spans="1:51" s="22" customFormat="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861"/>
      <c r="M32" s="1862"/>
      <c r="N32" s="61"/>
      <c r="O32" s="1863"/>
      <c r="P32" s="1864"/>
      <c r="Q32" s="61"/>
      <c r="R32" s="1863"/>
      <c r="S32" s="1864"/>
      <c r="T32" s="61"/>
      <c r="U32" s="1863"/>
      <c r="V32" s="1864"/>
      <c r="W32" s="61"/>
      <c r="X32" s="1863"/>
      <c r="Y32" s="1864"/>
      <c r="Z32" s="61"/>
      <c r="AA32" s="1863"/>
      <c r="AB32" s="1864"/>
      <c r="AC32" s="61"/>
      <c r="AD32" s="61"/>
      <c r="AE32" s="61"/>
      <c r="AF32" s="1863"/>
      <c r="AG32" s="1864"/>
      <c r="AH32" s="61"/>
      <c r="AI32" s="1863"/>
      <c r="AJ32" s="1864"/>
      <c r="AK32" s="61"/>
      <c r="AL32" s="1863"/>
      <c r="AM32" s="1864"/>
      <c r="AN32" s="61"/>
      <c r="AO32" s="1863"/>
      <c r="AP32" s="1864"/>
      <c r="AQ32" s="61"/>
      <c r="AR32" s="1863"/>
      <c r="AS32" s="1864"/>
      <c r="AT32" s="61"/>
      <c r="AU32" s="1863"/>
      <c r="AV32" s="1864"/>
      <c r="AW32" s="61"/>
      <c r="AX32" s="61"/>
      <c r="AY32" s="61"/>
    </row>
    <row r="33" spans="1:51" s="22" customFormat="1" ht="130.5" customHeight="1" thickTop="1" thickBot="1">
      <c r="A33" s="1205" t="s">
        <v>155</v>
      </c>
      <c r="B33" s="1782" t="s">
        <v>156</v>
      </c>
      <c r="C33" s="674" t="s">
        <v>320</v>
      </c>
      <c r="D33" s="1865" t="s">
        <v>158</v>
      </c>
      <c r="E33" s="674" t="s">
        <v>159</v>
      </c>
      <c r="F33" s="674" t="s">
        <v>748</v>
      </c>
      <c r="G33" s="47">
        <v>10</v>
      </c>
      <c r="H33" s="674"/>
      <c r="I33" s="674"/>
      <c r="J33" s="674"/>
      <c r="K33" s="674" t="s">
        <v>27</v>
      </c>
      <c r="L33" s="58">
        <v>0</v>
      </c>
      <c r="M33" s="59"/>
      <c r="N33" s="19" t="e">
        <f t="shared" ref="N33" si="16">+M33/L33</f>
        <v>#DIV/0!</v>
      </c>
      <c r="O33" s="58">
        <v>0</v>
      </c>
      <c r="P33" s="59"/>
      <c r="Q33" s="19" t="e">
        <f t="shared" ref="Q33" si="17">+P33/O33</f>
        <v>#DIV/0!</v>
      </c>
      <c r="R33" s="58">
        <v>0</v>
      </c>
      <c r="S33" s="59"/>
      <c r="T33" s="19" t="e">
        <f t="shared" ref="T33" si="18">+S33/R33</f>
        <v>#DIV/0!</v>
      </c>
      <c r="U33" s="58">
        <v>0</v>
      </c>
      <c r="V33" s="59"/>
      <c r="W33" s="19" t="e">
        <f t="shared" ref="W33" si="19">+V33/U33</f>
        <v>#DIV/0!</v>
      </c>
      <c r="X33" s="1866">
        <v>2</v>
      </c>
      <c r="Y33" s="1867">
        <v>2</v>
      </c>
      <c r="Z33" s="19">
        <f t="shared" ref="Z33" si="20">+Y33/X33</f>
        <v>1</v>
      </c>
      <c r="AA33" s="58">
        <v>0</v>
      </c>
      <c r="AB33" s="59"/>
      <c r="AC33" s="19" t="e">
        <f t="shared" ref="AC33" si="21">+AB33/AA33</f>
        <v>#DIV/0!</v>
      </c>
      <c r="AD33" s="1866">
        <f t="shared" ref="AD33" si="22">+M33+P33+S33+V33+Y33+AB33</f>
        <v>2</v>
      </c>
      <c r="AE33" s="19">
        <f t="shared" ref="AE33" si="23">AD33/G33</f>
        <v>0.2</v>
      </c>
      <c r="AF33" s="1866">
        <v>1</v>
      </c>
      <c r="AG33" s="1867">
        <v>1</v>
      </c>
      <c r="AH33" s="19">
        <f t="shared" ref="AH33" si="24">+AG33/AF33</f>
        <v>1</v>
      </c>
      <c r="AI33" s="1866">
        <v>3</v>
      </c>
      <c r="AJ33" s="1867">
        <v>3</v>
      </c>
      <c r="AK33" s="19">
        <f t="shared" ref="AK33" si="25">+AJ33/AI33</f>
        <v>1</v>
      </c>
      <c r="AL33" s="1866">
        <v>1</v>
      </c>
      <c r="AM33" s="1867">
        <v>1</v>
      </c>
      <c r="AN33" s="19">
        <f t="shared" ref="AN33" si="26">+AM33/AL33</f>
        <v>1</v>
      </c>
      <c r="AO33" s="1866">
        <v>3</v>
      </c>
      <c r="AP33" s="1867">
        <v>3</v>
      </c>
      <c r="AQ33" s="19">
        <f t="shared" ref="AQ33" si="27">+AP33/AO33</f>
        <v>1</v>
      </c>
      <c r="AR33" s="58">
        <v>0</v>
      </c>
      <c r="AS33" s="59"/>
      <c r="AT33" s="19" t="e">
        <f t="shared" ref="AT33" si="28">+AS33/AR33</f>
        <v>#DIV/0!</v>
      </c>
      <c r="AU33" s="58">
        <v>0</v>
      </c>
      <c r="AV33" s="59"/>
      <c r="AW33" s="19" t="e">
        <f t="shared" ref="AW33" si="29">+AV33/AU33</f>
        <v>#DIV/0!</v>
      </c>
      <c r="AX33" s="1866">
        <f t="shared" ref="AX33" si="30">+M33+P33+S33+V33+Y33+AB33+AG33+AJ33+AM33+AP33+AS33+AV33</f>
        <v>10</v>
      </c>
      <c r="AY33" s="19">
        <f t="shared" ref="AY33" si="31">+AX33/G33</f>
        <v>1</v>
      </c>
    </row>
    <row r="34" spans="1:51" ht="17.25" thickTop="1"/>
    <row r="36" spans="1:51">
      <c r="C36" s="64"/>
    </row>
  </sheetData>
  <sheetProtection algorithmName="SHA-512" hashValue="oJBcfr+fydVg03DmNygQL/ppb9iHe6y0wzFCBtQpWPtWJYjxUebaRWaxKV7mb1y9lJm3iX8FI9IDB2h3ICqLaQ==" saltValue="xt1o6OpVmEeqZh6JYUOTtA==" spinCount="100000" sheet="1" objects="1" scenarios="1"/>
  <mergeCells count="36">
    <mergeCell ref="C1:K1"/>
    <mergeCell ref="C2:K2"/>
    <mergeCell ref="C3:K3"/>
    <mergeCell ref="A5:A7"/>
    <mergeCell ref="B5:B7"/>
    <mergeCell ref="C5:C7"/>
    <mergeCell ref="D5:D7"/>
    <mergeCell ref="E5:E7"/>
    <mergeCell ref="F5:F7"/>
    <mergeCell ref="G5:G7"/>
    <mergeCell ref="AR5:AT7"/>
    <mergeCell ref="AU5:AW7"/>
    <mergeCell ref="AX5:AY7"/>
    <mergeCell ref="A8:K8"/>
    <mergeCell ref="A9:A27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A28:K28"/>
    <mergeCell ref="A29:A31"/>
    <mergeCell ref="B29:B30"/>
    <mergeCell ref="A32:K32"/>
    <mergeCell ref="AO5:AQ7"/>
    <mergeCell ref="K5:K7"/>
    <mergeCell ref="L5:N7"/>
    <mergeCell ref="O5:Q7"/>
    <mergeCell ref="R5:T7"/>
    <mergeCell ref="U5:W7"/>
  </mergeCells>
  <conditionalFormatting sqref="AY33 AY29:AY31 AY9:AY27">
    <cfRule type="cellIs" dxfId="4914" priority="66" operator="greaterThan">
      <formula>110%</formula>
    </cfRule>
    <cfRule type="cellIs" dxfId="4913" priority="67" operator="between">
      <formula>100.001%</formula>
      <formula>110%</formula>
    </cfRule>
    <cfRule type="cellIs" dxfId="4912" priority="68" operator="between">
      <formula>70.001%</formula>
      <formula>100%</formula>
    </cfRule>
    <cfRule type="cellIs" dxfId="4911" priority="69" operator="between">
      <formula>0.00001%</formula>
      <formula>70%</formula>
    </cfRule>
    <cfRule type="cellIs" dxfId="4910" priority="70" operator="equal">
      <formula>0</formula>
    </cfRule>
  </conditionalFormatting>
  <conditionalFormatting sqref="AW9:AW27 AW33 AW29:AW31">
    <cfRule type="cellIs" dxfId="4909" priority="61" operator="greaterThan">
      <formula>110%</formula>
    </cfRule>
    <cfRule type="cellIs" dxfId="4908" priority="62" operator="between">
      <formula>100.001%</formula>
      <formula>110%</formula>
    </cfRule>
    <cfRule type="cellIs" dxfId="4907" priority="63" operator="between">
      <formula>70.001%</formula>
      <formula>100%</formula>
    </cfRule>
    <cfRule type="cellIs" dxfId="4906" priority="64" operator="between">
      <formula>0.00001%</formula>
      <formula>70%</formula>
    </cfRule>
    <cfRule type="cellIs" dxfId="4905" priority="65" operator="equal">
      <formula>0</formula>
    </cfRule>
  </conditionalFormatting>
  <conditionalFormatting sqref="AT9:AT27 AT33 AT29:AT31">
    <cfRule type="cellIs" dxfId="4904" priority="56" operator="greaterThan">
      <formula>110%</formula>
    </cfRule>
    <cfRule type="cellIs" dxfId="4903" priority="57" operator="between">
      <formula>100.001%</formula>
      <formula>110%</formula>
    </cfRule>
    <cfRule type="cellIs" dxfId="4902" priority="58" operator="between">
      <formula>70.001%</formula>
      <formula>100%</formula>
    </cfRule>
    <cfRule type="cellIs" dxfId="4901" priority="59" operator="between">
      <formula>0.00001%</formula>
      <formula>70%</formula>
    </cfRule>
    <cfRule type="cellIs" dxfId="4900" priority="60" operator="equal">
      <formula>0</formula>
    </cfRule>
  </conditionalFormatting>
  <conditionalFormatting sqref="AQ9:AQ27 AQ33 AQ29:AQ31">
    <cfRule type="cellIs" dxfId="4899" priority="51" operator="greaterThan">
      <formula>110%</formula>
    </cfRule>
    <cfRule type="cellIs" dxfId="4898" priority="52" operator="between">
      <formula>100.001%</formula>
      <formula>110%</formula>
    </cfRule>
    <cfRule type="cellIs" dxfId="4897" priority="53" operator="between">
      <formula>70.001%</formula>
      <formula>100%</formula>
    </cfRule>
    <cfRule type="cellIs" dxfId="4896" priority="54" operator="between">
      <formula>0.00001%</formula>
      <formula>70%</formula>
    </cfRule>
    <cfRule type="cellIs" dxfId="4895" priority="55" operator="equal">
      <formula>0</formula>
    </cfRule>
  </conditionalFormatting>
  <conditionalFormatting sqref="AN9:AN27 AN33 AN29:AN31">
    <cfRule type="cellIs" dxfId="4894" priority="46" operator="greaterThan">
      <formula>110%</formula>
    </cfRule>
    <cfRule type="cellIs" dxfId="4893" priority="47" operator="between">
      <formula>100.001%</formula>
      <formula>110%</formula>
    </cfRule>
    <cfRule type="cellIs" dxfId="4892" priority="48" operator="between">
      <formula>70.001%</formula>
      <formula>100%</formula>
    </cfRule>
    <cfRule type="cellIs" dxfId="4891" priority="49" operator="between">
      <formula>0.00001%</formula>
      <formula>70%</formula>
    </cfRule>
    <cfRule type="cellIs" dxfId="4890" priority="50" operator="equal">
      <formula>0</formula>
    </cfRule>
  </conditionalFormatting>
  <conditionalFormatting sqref="AK9:AK27 AK33 AK29:AK31">
    <cfRule type="cellIs" dxfId="4889" priority="41" operator="greaterThan">
      <formula>110%</formula>
    </cfRule>
    <cfRule type="cellIs" dxfId="4888" priority="42" operator="between">
      <formula>100.001%</formula>
      <formula>110%</formula>
    </cfRule>
    <cfRule type="cellIs" dxfId="4887" priority="43" operator="between">
      <formula>70.001%</formula>
      <formula>100%</formula>
    </cfRule>
    <cfRule type="cellIs" dxfId="4886" priority="44" operator="between">
      <formula>0.00001%</formula>
      <formula>70%</formula>
    </cfRule>
    <cfRule type="cellIs" dxfId="4885" priority="45" operator="equal">
      <formula>0</formula>
    </cfRule>
  </conditionalFormatting>
  <conditionalFormatting sqref="AH9:AH27 AH33 AH29:AH31">
    <cfRule type="cellIs" dxfId="4884" priority="36" operator="greaterThan">
      <formula>110%</formula>
    </cfRule>
    <cfRule type="cellIs" dxfId="4883" priority="37" operator="between">
      <formula>100.001%</formula>
      <formula>110%</formula>
    </cfRule>
    <cfRule type="cellIs" dxfId="4882" priority="38" operator="between">
      <formula>70.001%</formula>
      <formula>100%</formula>
    </cfRule>
    <cfRule type="cellIs" dxfId="4881" priority="39" operator="between">
      <formula>0.00001%</formula>
      <formula>70%</formula>
    </cfRule>
    <cfRule type="cellIs" dxfId="4880" priority="40" operator="equal">
      <formula>0</formula>
    </cfRule>
  </conditionalFormatting>
  <conditionalFormatting sqref="AE9:AE27 AE33 AE29:AE31">
    <cfRule type="cellIs" dxfId="4879" priority="31" operator="greaterThan">
      <formula>110%</formula>
    </cfRule>
    <cfRule type="cellIs" dxfId="4878" priority="32" operator="between">
      <formula>100.001%</formula>
      <formula>110%</formula>
    </cfRule>
    <cfRule type="cellIs" dxfId="4877" priority="33" operator="between">
      <formula>70.001%</formula>
      <formula>100%</formula>
    </cfRule>
    <cfRule type="cellIs" dxfId="4876" priority="34" operator="between">
      <formula>0.00001%</formula>
      <formula>70%</formula>
    </cfRule>
    <cfRule type="cellIs" dxfId="4875" priority="35" operator="equal">
      <formula>0</formula>
    </cfRule>
  </conditionalFormatting>
  <conditionalFormatting sqref="AC9:AC27 AC33 AC29:AC31">
    <cfRule type="cellIs" dxfId="4874" priority="26" operator="greaterThan">
      <formula>110%</formula>
    </cfRule>
    <cfRule type="cellIs" dxfId="4873" priority="27" operator="between">
      <formula>100.001%</formula>
      <formula>110%</formula>
    </cfRule>
    <cfRule type="cellIs" dxfId="4872" priority="28" operator="between">
      <formula>70.001%</formula>
      <formula>100%</formula>
    </cfRule>
    <cfRule type="cellIs" dxfId="4871" priority="29" operator="between">
      <formula>0.00001%</formula>
      <formula>70%</formula>
    </cfRule>
    <cfRule type="cellIs" dxfId="4870" priority="30" operator="equal">
      <formula>0</formula>
    </cfRule>
  </conditionalFormatting>
  <conditionalFormatting sqref="Z9:Z27 Z33 Z29:Z31">
    <cfRule type="cellIs" dxfId="4869" priority="21" operator="greaterThan">
      <formula>110%</formula>
    </cfRule>
    <cfRule type="cellIs" dxfId="4868" priority="22" operator="between">
      <formula>100.001%</formula>
      <formula>110%</formula>
    </cfRule>
    <cfRule type="cellIs" dxfId="4867" priority="23" operator="between">
      <formula>70.001%</formula>
      <formula>100%</formula>
    </cfRule>
    <cfRule type="cellIs" dxfId="4866" priority="24" operator="between">
      <formula>0.00001%</formula>
      <formula>70%</formula>
    </cfRule>
    <cfRule type="cellIs" dxfId="4865" priority="25" operator="equal">
      <formula>0</formula>
    </cfRule>
  </conditionalFormatting>
  <conditionalFormatting sqref="W9:W27 W33 W29:W31">
    <cfRule type="cellIs" dxfId="4864" priority="16" operator="greaterThan">
      <formula>110%</formula>
    </cfRule>
    <cfRule type="cellIs" dxfId="4863" priority="17" operator="between">
      <formula>100.001%</formula>
      <formula>110%</formula>
    </cfRule>
    <cfRule type="cellIs" dxfId="4862" priority="18" operator="between">
      <formula>70.001%</formula>
      <formula>100%</formula>
    </cfRule>
    <cfRule type="cellIs" dxfId="4861" priority="19" operator="between">
      <formula>0.00001%</formula>
      <formula>70%</formula>
    </cfRule>
    <cfRule type="cellIs" dxfId="4860" priority="20" operator="equal">
      <formula>0</formula>
    </cfRule>
  </conditionalFormatting>
  <conditionalFormatting sqref="T9:T27 T33 T29:T31">
    <cfRule type="cellIs" dxfId="4859" priority="11" operator="greaterThan">
      <formula>110%</formula>
    </cfRule>
    <cfRule type="cellIs" dxfId="4858" priority="12" operator="between">
      <formula>100.001%</formula>
      <formula>110%</formula>
    </cfRule>
    <cfRule type="cellIs" dxfId="4857" priority="13" operator="between">
      <formula>70.001%</formula>
      <formula>100%</formula>
    </cfRule>
    <cfRule type="cellIs" dxfId="4856" priority="14" operator="between">
      <formula>0.00001%</formula>
      <formula>70%</formula>
    </cfRule>
    <cfRule type="cellIs" dxfId="4855" priority="15" operator="equal">
      <formula>0</formula>
    </cfRule>
  </conditionalFormatting>
  <conditionalFormatting sqref="Q9:Q27 Q33 Q29:Q31">
    <cfRule type="cellIs" dxfId="4854" priority="6" operator="greaterThan">
      <formula>110%</formula>
    </cfRule>
    <cfRule type="cellIs" dxfId="4853" priority="7" operator="between">
      <formula>100.001%</formula>
      <formula>110%</formula>
    </cfRule>
    <cfRule type="cellIs" dxfId="4852" priority="8" operator="between">
      <formula>70.001%</formula>
      <formula>100%</formula>
    </cfRule>
    <cfRule type="cellIs" dxfId="4851" priority="9" operator="between">
      <formula>0.00001%</formula>
      <formula>70%</formula>
    </cfRule>
    <cfRule type="cellIs" dxfId="4850" priority="10" operator="equal">
      <formula>0</formula>
    </cfRule>
  </conditionalFormatting>
  <conditionalFormatting sqref="N9:N27 N33 N29:N31">
    <cfRule type="cellIs" dxfId="4849" priority="1" operator="greaterThan">
      <formula>110%</formula>
    </cfRule>
    <cfRule type="cellIs" dxfId="4848" priority="2" operator="between">
      <formula>100.001%</formula>
      <formula>110%</formula>
    </cfRule>
    <cfRule type="cellIs" dxfId="4847" priority="3" operator="between">
      <formula>70.001%</formula>
      <formula>100%</formula>
    </cfRule>
    <cfRule type="cellIs" dxfId="4846" priority="4" operator="between">
      <formula>0.00001%</formula>
      <formula>70%</formula>
    </cfRule>
    <cfRule type="cellIs" dxfId="4845" priority="5" operator="equal">
      <formula>0</formula>
    </cfRule>
  </conditionalFormatting>
  <hyperlinks>
    <hyperlink ref="D11" location="'IN1-3'!Área_de_impresión" display="IN1-3 Recaudo Bruto" xr:uid="{00000000-0004-0000-1B00-000000000000}"/>
    <hyperlink ref="D12" location="'FIS-4'!Área_de_impresión" display="FIS-4 Gestión efectiva en fiscalización tributaria" xr:uid="{00000000-0004-0000-1B00-000001000000}"/>
    <hyperlink ref="D13" location="'FIS-10'!Área_de_impresión" display="FIS-10 Gestión aceptada en fiscalización tributaria" xr:uid="{00000000-0004-0000-1B00-000002000000}"/>
    <hyperlink ref="D14" location="'FIS-27'!Área_de_impresión" display="FIS-27 Reclasificación de no responsables a responsables" xr:uid="{00000000-0004-0000-1B00-000003000000}"/>
    <hyperlink ref="D15" location="'FIS-17'!Área_de_impresión" display="FIS-17 Evacuación de expedientes en fiscalización tributaria" xr:uid="{00000000-0004-0000-1B00-000004000000}"/>
    <hyperlink ref="D16" location="'IN1-4'!Área_de_impresión" display="IN1-4 Recaudo por gestión de cartera" xr:uid="{00000000-0004-0000-1B00-000005000000}"/>
    <hyperlink ref="D17" location="'IN1-5'!Área_de_impresión" display="IN1-5 Inscritos en el Régimen Simple de Tributación - RST" xr:uid="{00000000-0004-0000-1B00-000006000000}"/>
    <hyperlink ref="D18" location="'IN1-6.1'!Área_de_impresión" display="IN1-6.1 Grado de cumplimiento del cronograma de campañas del RST" xr:uid="{00000000-0004-0000-1B00-000007000000}"/>
    <hyperlink ref="D20" location="'JUR-3.1'!Área_de_impresión" display="JUR-3.1 Porcentaje de éxito de litigiosidad" xr:uid="{00000000-0004-0000-1B00-000008000000}"/>
    <hyperlink ref="D21" location="'JUR-3.2'!Área_de_impresión" display="JUR-3.2 Porcentaje  procesos judiciales revisados con mayor riesgo en Ekogui" xr:uid="{00000000-0004-0000-1B00-000009000000}"/>
    <hyperlink ref="D22" location="'JUR-3.3'!Área_de_impresión" display="JUR-3.3 Porcentaje de análisis de jurisprudencia remitidos junto con la copia de la sentencia " xr:uid="{00000000-0004-0000-1B00-00000A000000}"/>
    <hyperlink ref="D23" location="'JUR-3.4'!Área_de_impresión" display="JUR-3.4 Porcentaje  de procesos revisados con VoBo del Jefe " xr:uid="{00000000-0004-0000-1B00-00000B000000}"/>
    <hyperlink ref="D24" location="'JUR-3.5'!Área_de_impresión" display="JUR-3.5 Porcentaje de requerimientos atendidos en oportunidad" xr:uid="{00000000-0004-0000-1B00-00000C000000}"/>
    <hyperlink ref="D25" location="'JUR-3.6'!Área_de_impresión" display="JUR-3.6 Porcentaje funcionarios capacitaciones en cursos virtuales de la ANDJE" xr:uid="{00000000-0004-0000-1B00-00000D000000}"/>
    <hyperlink ref="D26" location="'JUR-4'!Área_de_impresión" display="JUR-4 Porcentaje funcionarios que participaron en el concurso de escritura jurídica" xr:uid="{00000000-0004-0000-1B00-00000E000000}"/>
    <hyperlink ref="D27" location="'FIS-24'!Área_de_impresión" display="FIS-24 Valor Decomisos de mercancías en firme" xr:uid="{00000000-0004-0000-1B00-00000F000000}"/>
    <hyperlink ref="D29" location="'IN1-11'!Área_de_impresión" display="IN1-11  Nivel de cobertura de personas sensibilizadas por el plan de cultura. ACTUALMENTE. Cumplimiento al Plan de Acción de Cultura de la Contribución" xr:uid="{00000000-0004-0000-1B00-000010000000}"/>
    <hyperlink ref="D30" location="'JUR-7'!Área_de_impresión" display="JUR-7 Oportunidad en las decisiones de los recursos tributarios hasta su remisión a notificaciones" xr:uid="{00000000-0004-0000-1B00-000011000000}"/>
    <hyperlink ref="D31" location="'IN1-15'!Área_de_impresión" display="IN1-15 Días en devoluciones ordinarias" xr:uid="{00000000-0004-0000-1B00-000012000000}"/>
    <hyperlink ref="D9" location="'DGRAE-1'!A1" display="DGRAE-1 Nivel de Ejecución del presupuesto " xr:uid="{00000000-0004-0000-1B00-000013000000}"/>
    <hyperlink ref="D10" location="'DGRAE-2'!A1" display="DGRAE-2 Nivel de ejecución del PAA de la Dirección" xr:uid="{00000000-0004-0000-1B00-000014000000}"/>
    <hyperlink ref="D33" location="'DGRAE-25'!A1" display="DGRAE-25 Actividades que componen el  PIC para la Dirección de Gestión" xr:uid="{00000000-0004-0000-1B00-000015000000}"/>
    <hyperlink ref="D19" location="'IN1-8'!Área_de_impresión" display="IN1-8 Contribuyentes habilitados como facturadores electrónicos" xr:uid="{00000000-0004-0000-1B00-000016000000}"/>
    <hyperlink ref="AY2" location="'Consolidado '!A1" display="VOLVER" xr:uid="{00000000-0004-0000-1B00-000017000000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33"/>
  <sheetViews>
    <sheetView topLeftCell="E1" zoomScale="70" zoomScaleNormal="70" workbookViewId="0">
      <selection activeCell="AZ4" sqref="AZ4"/>
    </sheetView>
  </sheetViews>
  <sheetFormatPr baseColWidth="10" defaultColWidth="11.42578125" defaultRowHeight="16.5"/>
  <cols>
    <col min="1" max="1" width="21.28515625" style="8" customWidth="1"/>
    <col min="2" max="2" width="37" style="8" customWidth="1"/>
    <col min="3" max="3" width="59.28515625" style="63" customWidth="1"/>
    <col min="4" max="4" width="27.42578125" style="8" customWidth="1"/>
    <col min="5" max="5" width="71.42578125" style="8" bestFit="1" customWidth="1"/>
    <col min="6" max="6" width="22.5703125" style="8" customWidth="1"/>
    <col min="7" max="7" width="34" style="8" customWidth="1"/>
    <col min="8" max="8" width="8.85546875" style="8" hidden="1" customWidth="1"/>
    <col min="9" max="9" width="30.7109375" style="8" hidden="1" customWidth="1"/>
    <col min="10" max="10" width="10.28515625" style="8" hidden="1" customWidth="1"/>
    <col min="11" max="11" width="25.85546875" style="8" customWidth="1"/>
    <col min="12" max="49" width="21.7109375" style="8" hidden="1" customWidth="1"/>
    <col min="50" max="50" width="24.140625" style="1173" customWidth="1"/>
    <col min="51" max="51" width="21.7109375" style="1173" customWidth="1"/>
    <col min="52" max="52" width="21.7109375" style="8" customWidth="1"/>
    <col min="53" max="16384" width="11.42578125" style="8"/>
  </cols>
  <sheetData>
    <row r="1" spans="1:52" ht="26.25">
      <c r="A1" s="101">
        <v>1234</v>
      </c>
      <c r="B1" s="101"/>
      <c r="C1" s="101" t="s">
        <v>749</v>
      </c>
      <c r="D1" s="101"/>
      <c r="E1" s="101"/>
      <c r="F1" s="101"/>
      <c r="G1" s="101"/>
      <c r="H1" s="101"/>
      <c r="I1" s="101"/>
      <c r="J1" s="101"/>
      <c r="K1" s="101"/>
      <c r="AY1" s="1944" t="s">
        <v>185</v>
      </c>
    </row>
    <row r="2" spans="1:52" ht="18.75" customHeight="1">
      <c r="A2" s="3002" t="s">
        <v>69</v>
      </c>
      <c r="B2" s="3002"/>
      <c r="C2" s="3002"/>
      <c r="D2" s="3002"/>
      <c r="E2" s="3002"/>
      <c r="F2" s="3002"/>
      <c r="G2" s="3002"/>
      <c r="H2" s="3002"/>
      <c r="I2" s="3002"/>
      <c r="J2" s="3002"/>
      <c r="K2" s="3002"/>
    </row>
    <row r="3" spans="1:52">
      <c r="A3" s="2866" t="s">
        <v>750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  <c r="AZ3" s="66">
        <f>+(AY9+AY10+AY11+AY12+AY13+AY14+AY15+AY16+AY17+AY18+AY19+AY24+AY25+AY26+AY27+AY30+AY31+AY33)/18</f>
        <v>0.97308342529066549</v>
      </c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729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83</v>
      </c>
      <c r="B8" s="2839"/>
      <c r="C8" s="2907"/>
      <c r="D8" s="2907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13" t="s">
        <v>86</v>
      </c>
      <c r="O8" s="13" t="s">
        <v>84</v>
      </c>
      <c r="P8" s="14" t="s">
        <v>85</v>
      </c>
      <c r="Q8" s="13" t="s">
        <v>86</v>
      </c>
      <c r="R8" s="16" t="s">
        <v>84</v>
      </c>
      <c r="S8" s="16" t="s">
        <v>85</v>
      </c>
      <c r="T8" s="13" t="s">
        <v>86</v>
      </c>
      <c r="U8" s="16" t="s">
        <v>84</v>
      </c>
      <c r="V8" s="16" t="s">
        <v>85</v>
      </c>
      <c r="W8" s="13" t="s">
        <v>86</v>
      </c>
      <c r="X8" s="16" t="s">
        <v>84</v>
      </c>
      <c r="Y8" s="16" t="s">
        <v>85</v>
      </c>
      <c r="Z8" s="13" t="s">
        <v>86</v>
      </c>
      <c r="AA8" s="16" t="s">
        <v>84</v>
      </c>
      <c r="AB8" s="16" t="s">
        <v>85</v>
      </c>
      <c r="AC8" s="13" t="s">
        <v>86</v>
      </c>
      <c r="AD8" s="16" t="s">
        <v>87</v>
      </c>
      <c r="AE8" s="16" t="s">
        <v>6</v>
      </c>
      <c r="AF8" s="13" t="s">
        <v>84</v>
      </c>
      <c r="AG8" s="14" t="s">
        <v>85</v>
      </c>
      <c r="AH8" s="13" t="s">
        <v>86</v>
      </c>
      <c r="AI8" s="16" t="s">
        <v>84</v>
      </c>
      <c r="AJ8" s="13" t="s">
        <v>85</v>
      </c>
      <c r="AK8" s="13" t="s">
        <v>86</v>
      </c>
      <c r="AL8" s="14" t="s">
        <v>84</v>
      </c>
      <c r="AM8" s="16" t="s">
        <v>85</v>
      </c>
      <c r="AN8" s="13" t="s">
        <v>86</v>
      </c>
      <c r="AO8" s="16" t="s">
        <v>84</v>
      </c>
      <c r="AP8" s="16" t="s">
        <v>85</v>
      </c>
      <c r="AQ8" s="13" t="s">
        <v>86</v>
      </c>
      <c r="AR8" s="16" t="s">
        <v>84</v>
      </c>
      <c r="AS8" s="13" t="s">
        <v>85</v>
      </c>
      <c r="AT8" s="13" t="s">
        <v>86</v>
      </c>
      <c r="AU8" s="13" t="s">
        <v>84</v>
      </c>
      <c r="AV8" s="14" t="s">
        <v>85</v>
      </c>
      <c r="AW8" s="13" t="s">
        <v>86</v>
      </c>
      <c r="AX8" s="13" t="s">
        <v>87</v>
      </c>
      <c r="AY8" s="14" t="s">
        <v>6</v>
      </c>
    </row>
    <row r="9" spans="1:52" s="22" customFormat="1" ht="31.5" thickTop="1" thickBot="1">
      <c r="A9" s="2943" t="s">
        <v>88</v>
      </c>
      <c r="B9" s="2863" t="s">
        <v>89</v>
      </c>
      <c r="C9" s="561" t="s">
        <v>269</v>
      </c>
      <c r="D9" s="17" t="s">
        <v>90</v>
      </c>
      <c r="E9" s="561" t="s">
        <v>91</v>
      </c>
      <c r="F9" s="561" t="s">
        <v>168</v>
      </c>
      <c r="G9" s="1693">
        <f>489166643/1000000</f>
        <v>489.16664300000002</v>
      </c>
      <c r="H9" s="561"/>
      <c r="I9" s="561" t="s">
        <v>98</v>
      </c>
      <c r="J9" s="561"/>
      <c r="K9" s="561" t="s">
        <v>25</v>
      </c>
      <c r="L9" s="1869">
        <v>17718</v>
      </c>
      <c r="M9" s="1869">
        <v>2134</v>
      </c>
      <c r="N9" s="1870">
        <v>0.12</v>
      </c>
      <c r="O9" s="1869">
        <v>1607</v>
      </c>
      <c r="P9" s="1869" t="s">
        <v>751</v>
      </c>
      <c r="Q9" s="1871">
        <v>16.16</v>
      </c>
      <c r="R9" s="1869" t="s">
        <v>752</v>
      </c>
      <c r="S9" s="1869" t="s">
        <v>753</v>
      </c>
      <c r="T9" s="1871">
        <v>1.38</v>
      </c>
      <c r="U9" s="1869" t="s">
        <v>754</v>
      </c>
      <c r="V9" s="1869" t="s">
        <v>755</v>
      </c>
      <c r="W9" s="1870">
        <v>0.06</v>
      </c>
      <c r="X9" s="1869" t="s">
        <v>756</v>
      </c>
      <c r="Y9" s="1869" t="s">
        <v>757</v>
      </c>
      <c r="Z9" s="1870">
        <v>0.54</v>
      </c>
      <c r="AA9" s="1869" t="s">
        <v>758</v>
      </c>
      <c r="AB9" s="1869" t="s">
        <v>759</v>
      </c>
      <c r="AC9" s="1871">
        <v>1.71</v>
      </c>
      <c r="AD9" s="1869" t="s">
        <v>760</v>
      </c>
      <c r="AE9" s="1870">
        <v>0.65</v>
      </c>
      <c r="AF9" s="1869" t="s">
        <v>761</v>
      </c>
      <c r="AG9" s="1869" t="s">
        <v>762</v>
      </c>
      <c r="AH9" s="1872">
        <v>1.01</v>
      </c>
      <c r="AI9" s="1873" t="s">
        <v>763</v>
      </c>
      <c r="AJ9" s="1873" t="s">
        <v>764</v>
      </c>
      <c r="AK9" s="1872">
        <v>1.05</v>
      </c>
      <c r="AL9" s="1873" t="s">
        <v>765</v>
      </c>
      <c r="AM9" s="1873" t="s">
        <v>766</v>
      </c>
      <c r="AN9" s="1874">
        <v>0.94</v>
      </c>
      <c r="AO9" s="1873" t="s">
        <v>767</v>
      </c>
      <c r="AP9" s="1873" t="s">
        <v>768</v>
      </c>
      <c r="AQ9" s="1871">
        <v>1.1499999999999999</v>
      </c>
      <c r="AR9" s="1873" t="s">
        <v>769</v>
      </c>
      <c r="AS9" s="1873" t="s">
        <v>770</v>
      </c>
      <c r="AT9" s="1871">
        <v>1.3</v>
      </c>
      <c r="AU9" s="1873" t="s">
        <v>771</v>
      </c>
      <c r="AV9" s="1873" t="s">
        <v>772</v>
      </c>
      <c r="AW9" s="1871">
        <v>3.34</v>
      </c>
      <c r="AX9" s="1875">
        <f>475948389/1000000</f>
        <v>475.94838900000002</v>
      </c>
      <c r="AY9" s="1876">
        <f>+AX9/G9</f>
        <v>0.97297801436554621</v>
      </c>
    </row>
    <row r="10" spans="1:52" s="22" customFormat="1" ht="31.5" thickTop="1" thickBot="1">
      <c r="A10" s="2944"/>
      <c r="B10" s="3172"/>
      <c r="C10" s="25" t="s">
        <v>773</v>
      </c>
      <c r="D10" s="24" t="s">
        <v>92</v>
      </c>
      <c r="E10" s="25" t="s">
        <v>93</v>
      </c>
      <c r="F10" s="25" t="s">
        <v>17</v>
      </c>
      <c r="G10" s="25">
        <v>7</v>
      </c>
      <c r="H10" s="25"/>
      <c r="I10" s="25" t="s">
        <v>98</v>
      </c>
      <c r="J10" s="25"/>
      <c r="K10" s="25" t="s">
        <v>26</v>
      </c>
      <c r="L10" s="1877" t="s">
        <v>774</v>
      </c>
      <c r="M10" s="1878" t="s">
        <v>775</v>
      </c>
      <c r="N10" s="1874">
        <v>1</v>
      </c>
      <c r="O10" s="1878" t="s">
        <v>776</v>
      </c>
      <c r="P10" s="1878" t="s">
        <v>777</v>
      </c>
      <c r="Q10" s="1879" t="e">
        <v>#DIV/0!</v>
      </c>
      <c r="R10" s="1878" t="s">
        <v>778</v>
      </c>
      <c r="S10" s="1878" t="s">
        <v>777</v>
      </c>
      <c r="T10" s="1879" t="e">
        <v>#DIV/0!</v>
      </c>
      <c r="U10" s="1878" t="s">
        <v>778</v>
      </c>
      <c r="V10" s="1878" t="s">
        <v>777</v>
      </c>
      <c r="W10" s="1879" t="e">
        <v>#DIV/0!</v>
      </c>
      <c r="X10" s="1878" t="s">
        <v>778</v>
      </c>
      <c r="Y10" s="1878" t="s">
        <v>777</v>
      </c>
      <c r="Z10" s="1879" t="e">
        <v>#DIV/0!</v>
      </c>
      <c r="AA10" s="1878" t="s">
        <v>778</v>
      </c>
      <c r="AB10" s="1878" t="s">
        <v>777</v>
      </c>
      <c r="AC10" s="1879" t="e">
        <v>#DIV/0!</v>
      </c>
      <c r="AD10" s="1878">
        <v>3</v>
      </c>
      <c r="AE10" s="1874">
        <v>0.75</v>
      </c>
      <c r="AF10" s="1878" t="s">
        <v>778</v>
      </c>
      <c r="AG10" s="1878" t="s">
        <v>777</v>
      </c>
      <c r="AH10" s="1879" t="e">
        <v>#DIV/0!</v>
      </c>
      <c r="AI10" s="1878" t="s">
        <v>778</v>
      </c>
      <c r="AJ10" s="1878" t="s">
        <v>777</v>
      </c>
      <c r="AK10" s="1879" t="e">
        <v>#DIV/0!</v>
      </c>
      <c r="AL10" s="1878" t="s">
        <v>778</v>
      </c>
      <c r="AM10" s="1878" t="s">
        <v>777</v>
      </c>
      <c r="AN10" s="1879" t="e">
        <v>#DIV/0!</v>
      </c>
      <c r="AO10" s="1880" t="s">
        <v>779</v>
      </c>
      <c r="AP10" s="1880" t="s">
        <v>779</v>
      </c>
      <c r="AQ10" s="1874">
        <v>1</v>
      </c>
      <c r="AR10" s="1880" t="s">
        <v>779</v>
      </c>
      <c r="AS10" s="1880" t="s">
        <v>779</v>
      </c>
      <c r="AT10" s="1874">
        <v>1</v>
      </c>
      <c r="AU10" s="1878" t="s">
        <v>778</v>
      </c>
      <c r="AV10" s="1878" t="s">
        <v>777</v>
      </c>
      <c r="AW10" s="1879" t="e">
        <v>#DIV/0!</v>
      </c>
      <c r="AX10" s="1881">
        <v>7</v>
      </c>
      <c r="AY10" s="1876">
        <f>+AX10/G10</f>
        <v>1</v>
      </c>
    </row>
    <row r="11" spans="1:52" s="22" customFormat="1" ht="31.5" thickTop="1" thickBot="1">
      <c r="A11" s="2944"/>
      <c r="B11" s="2848" t="s">
        <v>94</v>
      </c>
      <c r="C11" s="561" t="s">
        <v>780</v>
      </c>
      <c r="D11" s="17" t="s">
        <v>96</v>
      </c>
      <c r="E11" s="561" t="s">
        <v>97</v>
      </c>
      <c r="F11" s="561" t="s">
        <v>168</v>
      </c>
      <c r="G11" s="18">
        <v>785390</v>
      </c>
      <c r="H11" s="561"/>
      <c r="I11" s="561" t="s">
        <v>98</v>
      </c>
      <c r="J11" s="561"/>
      <c r="K11" s="561" t="s">
        <v>20</v>
      </c>
      <c r="L11" s="1882" t="s">
        <v>781</v>
      </c>
      <c r="M11" s="1883" t="s">
        <v>777</v>
      </c>
      <c r="N11" s="1879" t="e">
        <v>#VALUE!</v>
      </c>
      <c r="O11" s="1883" t="s">
        <v>781</v>
      </c>
      <c r="P11" s="1883" t="s">
        <v>777</v>
      </c>
      <c r="Q11" s="1879" t="e">
        <v>#VALUE!</v>
      </c>
      <c r="R11" s="1883" t="s">
        <v>781</v>
      </c>
      <c r="S11" s="1883" t="s">
        <v>777</v>
      </c>
      <c r="T11" s="1879" t="e">
        <v>#VALUE!</v>
      </c>
      <c r="U11" s="1883" t="s">
        <v>781</v>
      </c>
      <c r="V11" s="1883" t="s">
        <v>777</v>
      </c>
      <c r="W11" s="1879" t="e">
        <v>#VALUE!</v>
      </c>
      <c r="X11" s="1883" t="s">
        <v>781</v>
      </c>
      <c r="Y11" s="1883" t="s">
        <v>777</v>
      </c>
      <c r="Z11" s="1879" t="e">
        <v>#VALUE!</v>
      </c>
      <c r="AA11" s="1883" t="s">
        <v>781</v>
      </c>
      <c r="AB11" s="1883" t="s">
        <v>777</v>
      </c>
      <c r="AC11" s="1879" t="e">
        <v>#VALUE!</v>
      </c>
      <c r="AD11" s="1883" t="s">
        <v>782</v>
      </c>
      <c r="AE11" s="1879" t="e">
        <v>#VALUE!</v>
      </c>
      <c r="AF11" s="1883" t="s">
        <v>781</v>
      </c>
      <c r="AG11" s="1883" t="s">
        <v>777</v>
      </c>
      <c r="AH11" s="1879" t="e">
        <v>#VALUE!</v>
      </c>
      <c r="AI11" s="1883" t="s">
        <v>781</v>
      </c>
      <c r="AJ11" s="1883" t="s">
        <v>777</v>
      </c>
      <c r="AK11" s="1879" t="e">
        <v>#VALUE!</v>
      </c>
      <c r="AL11" s="1883" t="s">
        <v>781</v>
      </c>
      <c r="AM11" s="1883" t="s">
        <v>777</v>
      </c>
      <c r="AN11" s="1879" t="e">
        <v>#VALUE!</v>
      </c>
      <c r="AO11" s="1883" t="s">
        <v>781</v>
      </c>
      <c r="AP11" s="1883" t="s">
        <v>777</v>
      </c>
      <c r="AQ11" s="1879" t="e">
        <v>#VALUE!</v>
      </c>
      <c r="AR11" s="1883" t="s">
        <v>781</v>
      </c>
      <c r="AS11" s="1883" t="s">
        <v>777</v>
      </c>
      <c r="AT11" s="1879" t="e">
        <v>#VALUE!</v>
      </c>
      <c r="AU11" s="1883" t="s">
        <v>781</v>
      </c>
      <c r="AV11" s="1883" t="s">
        <v>777</v>
      </c>
      <c r="AW11" s="1879" t="e">
        <v>#VALUE!</v>
      </c>
      <c r="AX11" s="1884">
        <v>785390</v>
      </c>
      <c r="AY11" s="1876">
        <v>1</v>
      </c>
    </row>
    <row r="12" spans="1:52" s="22" customFormat="1" ht="76.5" thickTop="1" thickBot="1">
      <c r="A12" s="2944"/>
      <c r="B12" s="2849"/>
      <c r="C12" s="3163" t="s">
        <v>731</v>
      </c>
      <c r="D12" s="24" t="s">
        <v>99</v>
      </c>
      <c r="E12" s="25" t="s">
        <v>97</v>
      </c>
      <c r="F12" s="25" t="s">
        <v>101</v>
      </c>
      <c r="G12" s="1885">
        <v>38220000000</v>
      </c>
      <c r="H12" s="25"/>
      <c r="I12" s="1886">
        <v>38220000000</v>
      </c>
      <c r="J12" s="25"/>
      <c r="K12" s="25" t="s">
        <v>732</v>
      </c>
      <c r="L12" s="1887" t="s">
        <v>783</v>
      </c>
      <c r="M12" s="1888" t="s">
        <v>784</v>
      </c>
      <c r="N12" s="1872">
        <v>1.01</v>
      </c>
      <c r="O12" s="1889" t="s">
        <v>785</v>
      </c>
      <c r="P12" s="1889" t="s">
        <v>786</v>
      </c>
      <c r="Q12" s="1874">
        <v>0.82</v>
      </c>
      <c r="R12" s="1889" t="s">
        <v>787</v>
      </c>
      <c r="S12" s="1889" t="s">
        <v>788</v>
      </c>
      <c r="T12" s="1870">
        <v>0.34</v>
      </c>
      <c r="U12" s="1889" t="s">
        <v>789</v>
      </c>
      <c r="V12" s="1889" t="s">
        <v>790</v>
      </c>
      <c r="W12" s="1870">
        <v>0.18</v>
      </c>
      <c r="X12" s="1890" t="s">
        <v>791</v>
      </c>
      <c r="Y12" s="1890" t="s">
        <v>792</v>
      </c>
      <c r="Z12" s="1870">
        <v>0.03</v>
      </c>
      <c r="AA12" s="1890" t="s">
        <v>793</v>
      </c>
      <c r="AB12" s="1890" t="s">
        <v>794</v>
      </c>
      <c r="AC12" s="1871">
        <v>1.1299999999999999</v>
      </c>
      <c r="AD12" s="1890" t="s">
        <v>795</v>
      </c>
      <c r="AE12" s="1870">
        <v>0.31</v>
      </c>
      <c r="AF12" s="1890" t="s">
        <v>793</v>
      </c>
      <c r="AG12" s="1890" t="s">
        <v>796</v>
      </c>
      <c r="AH12" s="1870">
        <v>0.41</v>
      </c>
      <c r="AI12" s="1890" t="s">
        <v>791</v>
      </c>
      <c r="AJ12" s="1890" t="s">
        <v>797</v>
      </c>
      <c r="AK12" s="1870">
        <v>0.46</v>
      </c>
      <c r="AL12" s="1890" t="s">
        <v>791</v>
      </c>
      <c r="AM12" s="1890" t="s">
        <v>798</v>
      </c>
      <c r="AN12" s="1870">
        <v>0.33</v>
      </c>
      <c r="AO12" s="1890" t="s">
        <v>791</v>
      </c>
      <c r="AP12" s="1890" t="s">
        <v>799</v>
      </c>
      <c r="AQ12" s="1871">
        <v>2.37</v>
      </c>
      <c r="AR12" s="1890" t="s">
        <v>800</v>
      </c>
      <c r="AS12" s="1890" t="s">
        <v>801</v>
      </c>
      <c r="AT12" s="1871">
        <v>5.63</v>
      </c>
      <c r="AU12" s="1890" t="s">
        <v>802</v>
      </c>
      <c r="AV12" s="1890" t="s">
        <v>803</v>
      </c>
      <c r="AW12" s="1871">
        <v>1.3</v>
      </c>
      <c r="AX12" s="1885">
        <v>35421515788</v>
      </c>
      <c r="AY12" s="1876">
        <f t="shared" ref="AY12:AY19" si="0">+AX12/G12</f>
        <v>0.92677958628990054</v>
      </c>
    </row>
    <row r="13" spans="1:52" s="22" customFormat="1" ht="76.5" thickTop="1" thickBot="1">
      <c r="A13" s="2944"/>
      <c r="B13" s="2849"/>
      <c r="C13" s="3164"/>
      <c r="D13" s="17" t="s">
        <v>102</v>
      </c>
      <c r="E13" s="561" t="s">
        <v>100</v>
      </c>
      <c r="F13" s="561" t="s">
        <v>168</v>
      </c>
      <c r="G13" s="1891">
        <v>28700000000</v>
      </c>
      <c r="H13" s="561"/>
      <c r="I13" s="47">
        <v>28700000000</v>
      </c>
      <c r="J13" s="561"/>
      <c r="K13" s="561" t="s">
        <v>732</v>
      </c>
      <c r="L13" s="1892" t="s">
        <v>804</v>
      </c>
      <c r="M13" s="1893" t="s">
        <v>805</v>
      </c>
      <c r="N13" s="1871">
        <v>3.78</v>
      </c>
      <c r="O13" s="1893" t="s">
        <v>806</v>
      </c>
      <c r="P13" s="1893" t="s">
        <v>807</v>
      </c>
      <c r="Q13" s="1870">
        <v>0.23</v>
      </c>
      <c r="R13" s="1893" t="s">
        <v>808</v>
      </c>
      <c r="S13" s="1893" t="s">
        <v>809</v>
      </c>
      <c r="T13" s="1870">
        <v>0.53</v>
      </c>
      <c r="U13" s="1893" t="s">
        <v>810</v>
      </c>
      <c r="V13" s="1893" t="s">
        <v>790</v>
      </c>
      <c r="W13" s="1870">
        <v>0.24</v>
      </c>
      <c r="X13" s="1883" t="s">
        <v>811</v>
      </c>
      <c r="Y13" s="1883" t="s">
        <v>812</v>
      </c>
      <c r="Z13" s="1870">
        <v>0.04</v>
      </c>
      <c r="AA13" s="1883" t="s">
        <v>813</v>
      </c>
      <c r="AB13" s="1883" t="s">
        <v>814</v>
      </c>
      <c r="AC13" s="1870">
        <v>0.57999999999999996</v>
      </c>
      <c r="AD13" s="1883" t="s">
        <v>815</v>
      </c>
      <c r="AE13" s="1870">
        <v>0.45</v>
      </c>
      <c r="AF13" s="1883" t="s">
        <v>813</v>
      </c>
      <c r="AG13" s="1883" t="s">
        <v>816</v>
      </c>
      <c r="AH13" s="1872">
        <v>1.01</v>
      </c>
      <c r="AI13" s="1883" t="s">
        <v>813</v>
      </c>
      <c r="AJ13" s="1883" t="s">
        <v>817</v>
      </c>
      <c r="AK13" s="1870">
        <v>0.34</v>
      </c>
      <c r="AL13" s="1883" t="s">
        <v>813</v>
      </c>
      <c r="AM13" s="1883" t="s">
        <v>818</v>
      </c>
      <c r="AN13" s="1870">
        <v>0.35</v>
      </c>
      <c r="AO13" s="1883" t="s">
        <v>811</v>
      </c>
      <c r="AP13" s="1883" t="s">
        <v>819</v>
      </c>
      <c r="AQ13" s="1871">
        <v>1.3</v>
      </c>
      <c r="AR13" s="1883" t="s">
        <v>820</v>
      </c>
      <c r="AS13" s="1883" t="s">
        <v>821</v>
      </c>
      <c r="AT13" s="1870">
        <v>0.51</v>
      </c>
      <c r="AU13" s="1883" t="s">
        <v>822</v>
      </c>
      <c r="AV13" s="1883" t="s">
        <v>823</v>
      </c>
      <c r="AW13" s="1871">
        <v>1.23</v>
      </c>
      <c r="AX13" s="1891">
        <v>23078024931</v>
      </c>
      <c r="AY13" s="1876">
        <f t="shared" si="0"/>
        <v>0.80411236693379795</v>
      </c>
    </row>
    <row r="14" spans="1:52" s="22" customFormat="1" ht="76.5" thickTop="1" thickBot="1">
      <c r="A14" s="2944"/>
      <c r="B14" s="2849"/>
      <c r="C14" s="3164"/>
      <c r="D14" s="24" t="s">
        <v>106</v>
      </c>
      <c r="E14" s="25" t="s">
        <v>173</v>
      </c>
      <c r="F14" s="25" t="s">
        <v>24</v>
      </c>
      <c r="G14" s="25">
        <v>112</v>
      </c>
      <c r="H14" s="25"/>
      <c r="I14" s="25">
        <v>112</v>
      </c>
      <c r="J14" s="25"/>
      <c r="K14" s="25" t="s">
        <v>732</v>
      </c>
      <c r="L14" s="1894" t="s">
        <v>776</v>
      </c>
      <c r="M14" s="1895" t="s">
        <v>824</v>
      </c>
      <c r="N14" s="1879" t="e">
        <v>#DIV/0!</v>
      </c>
      <c r="O14" s="1895" t="s">
        <v>776</v>
      </c>
      <c r="P14" s="1895" t="s">
        <v>825</v>
      </c>
      <c r="Q14" s="1879" t="e">
        <v>#DIV/0!</v>
      </c>
      <c r="R14" s="1895" t="s">
        <v>778</v>
      </c>
      <c r="S14" s="1895" t="s">
        <v>826</v>
      </c>
      <c r="T14" s="1879" t="e">
        <v>#DIV/0!</v>
      </c>
      <c r="U14" s="1895" t="s">
        <v>778</v>
      </c>
      <c r="V14" s="1895" t="s">
        <v>778</v>
      </c>
      <c r="W14" s="1879" t="e">
        <v>#DIV/0!</v>
      </c>
      <c r="X14" s="1895" t="s">
        <v>778</v>
      </c>
      <c r="Y14" s="1895" t="s">
        <v>778</v>
      </c>
      <c r="Z14" s="1879" t="e">
        <v>#DIV/0!</v>
      </c>
      <c r="AA14" s="1895" t="s">
        <v>778</v>
      </c>
      <c r="AB14" s="1895" t="s">
        <v>827</v>
      </c>
      <c r="AC14" s="1879" t="e">
        <v>#DIV/0!</v>
      </c>
      <c r="AD14" s="1895">
        <v>33</v>
      </c>
      <c r="AE14" s="1870">
        <v>0.28999999999999998</v>
      </c>
      <c r="AF14" s="1895" t="s">
        <v>828</v>
      </c>
      <c r="AG14" s="1895" t="s">
        <v>829</v>
      </c>
      <c r="AH14" s="1870">
        <v>0.05</v>
      </c>
      <c r="AI14" s="1895" t="s">
        <v>778</v>
      </c>
      <c r="AJ14" s="1895" t="s">
        <v>830</v>
      </c>
      <c r="AK14" s="1879" t="e">
        <v>#DIV/0!</v>
      </c>
      <c r="AL14" s="1895" t="s">
        <v>778</v>
      </c>
      <c r="AM14" s="1895" t="s">
        <v>830</v>
      </c>
      <c r="AN14" s="1879" t="e">
        <v>#DIV/0!</v>
      </c>
      <c r="AO14" s="1895" t="s">
        <v>778</v>
      </c>
      <c r="AP14" s="1895" t="s">
        <v>830</v>
      </c>
      <c r="AQ14" s="1879" t="e">
        <v>#DIV/0!</v>
      </c>
      <c r="AR14" s="1895" t="s">
        <v>778</v>
      </c>
      <c r="AS14" s="1895" t="s">
        <v>831</v>
      </c>
      <c r="AT14" s="1879" t="e">
        <v>#DIV/0!</v>
      </c>
      <c r="AU14" s="1895" t="s">
        <v>828</v>
      </c>
      <c r="AV14" s="1895" t="s">
        <v>832</v>
      </c>
      <c r="AW14" s="1870">
        <v>0.34</v>
      </c>
      <c r="AX14" s="1896">
        <v>78</v>
      </c>
      <c r="AY14" s="1897">
        <f t="shared" si="0"/>
        <v>0.6964285714285714</v>
      </c>
    </row>
    <row r="15" spans="1:52" s="22" customFormat="1" ht="76.5" thickTop="1" thickBot="1">
      <c r="A15" s="2944"/>
      <c r="B15" s="2849"/>
      <c r="C15" s="3165"/>
      <c r="D15" s="17" t="s">
        <v>104</v>
      </c>
      <c r="E15" s="561" t="s">
        <v>105</v>
      </c>
      <c r="F15" s="561" t="s">
        <v>17</v>
      </c>
      <c r="G15" s="40">
        <v>60</v>
      </c>
      <c r="H15" s="561"/>
      <c r="I15" s="561">
        <v>60</v>
      </c>
      <c r="J15" s="561"/>
      <c r="K15" s="561" t="s">
        <v>732</v>
      </c>
      <c r="L15" s="1898" t="s">
        <v>776</v>
      </c>
      <c r="M15" s="1899" t="s">
        <v>777</v>
      </c>
      <c r="N15" s="1879" t="e">
        <v>#DIV/0!</v>
      </c>
      <c r="O15" s="1899" t="s">
        <v>776</v>
      </c>
      <c r="P15" s="1899" t="s">
        <v>831</v>
      </c>
      <c r="Q15" s="1879" t="e">
        <v>#DIV/0!</v>
      </c>
      <c r="R15" s="1899" t="s">
        <v>833</v>
      </c>
      <c r="S15" s="1899" t="s">
        <v>777</v>
      </c>
      <c r="T15" s="1900">
        <v>0</v>
      </c>
      <c r="U15" s="1899" t="s">
        <v>778</v>
      </c>
      <c r="V15" s="1899" t="s">
        <v>777</v>
      </c>
      <c r="W15" s="1879" t="e">
        <v>#DIV/0!</v>
      </c>
      <c r="X15" s="1899" t="s">
        <v>778</v>
      </c>
      <c r="Y15" s="1899" t="s">
        <v>777</v>
      </c>
      <c r="Z15" s="1879" t="e">
        <v>#DIV/0!</v>
      </c>
      <c r="AA15" s="1899" t="s">
        <v>833</v>
      </c>
      <c r="AB15" s="1899" t="s">
        <v>777</v>
      </c>
      <c r="AC15" s="1900">
        <v>0</v>
      </c>
      <c r="AD15" s="1899">
        <v>8</v>
      </c>
      <c r="AE15" s="1870">
        <v>0.13</v>
      </c>
      <c r="AF15" s="1899" t="s">
        <v>778</v>
      </c>
      <c r="AG15" s="1899" t="s">
        <v>777</v>
      </c>
      <c r="AH15" s="1879" t="e">
        <v>#DIV/0!</v>
      </c>
      <c r="AI15" s="1899" t="s">
        <v>778</v>
      </c>
      <c r="AJ15" s="1899" t="s">
        <v>777</v>
      </c>
      <c r="AK15" s="1879" t="e">
        <v>#DIV/0!</v>
      </c>
      <c r="AL15" s="1899" t="s">
        <v>833</v>
      </c>
      <c r="AM15" s="1899" t="s">
        <v>777</v>
      </c>
      <c r="AN15" s="1900">
        <v>0</v>
      </c>
      <c r="AO15" s="1899" t="s">
        <v>778</v>
      </c>
      <c r="AP15" s="1899" t="s">
        <v>777</v>
      </c>
      <c r="AQ15" s="1879" t="e">
        <v>#DIV/0!</v>
      </c>
      <c r="AR15" s="1899" t="s">
        <v>778</v>
      </c>
      <c r="AS15" s="1899" t="s">
        <v>777</v>
      </c>
      <c r="AT15" s="1879" t="e">
        <v>#DIV/0!</v>
      </c>
      <c r="AU15" s="1899" t="s">
        <v>833</v>
      </c>
      <c r="AV15" s="1899" t="s">
        <v>834</v>
      </c>
      <c r="AW15" s="1871">
        <v>2.73</v>
      </c>
      <c r="AX15" s="1896">
        <v>49</v>
      </c>
      <c r="AY15" s="1876">
        <f t="shared" si="0"/>
        <v>0.81666666666666665</v>
      </c>
    </row>
    <row r="16" spans="1:52" s="22" customFormat="1" ht="61.5" thickTop="1" thickBot="1">
      <c r="A16" s="2944"/>
      <c r="B16" s="2849"/>
      <c r="C16" s="1758" t="s">
        <v>626</v>
      </c>
      <c r="D16" s="1199" t="s">
        <v>109</v>
      </c>
      <c r="E16" s="1758" t="s">
        <v>569</v>
      </c>
      <c r="F16" s="1758" t="s">
        <v>168</v>
      </c>
      <c r="G16" s="1901">
        <v>86304</v>
      </c>
      <c r="H16" s="1758"/>
      <c r="I16" s="1886">
        <v>86304</v>
      </c>
      <c r="J16" s="1902"/>
      <c r="K16" s="1902" t="s">
        <v>21</v>
      </c>
      <c r="L16" s="1903" t="s">
        <v>835</v>
      </c>
      <c r="M16" s="1904" t="s">
        <v>836</v>
      </c>
      <c r="N16" s="1871">
        <v>1.52</v>
      </c>
      <c r="O16" s="1904" t="s">
        <v>837</v>
      </c>
      <c r="P16" s="1904" t="s">
        <v>838</v>
      </c>
      <c r="Q16" s="1870">
        <v>0.61</v>
      </c>
      <c r="R16" s="1904" t="s">
        <v>839</v>
      </c>
      <c r="S16" s="1904" t="s">
        <v>840</v>
      </c>
      <c r="T16" s="1870">
        <v>0.6</v>
      </c>
      <c r="U16" s="1904" t="s">
        <v>841</v>
      </c>
      <c r="V16" s="1904" t="s">
        <v>842</v>
      </c>
      <c r="W16" s="1870">
        <v>0.42</v>
      </c>
      <c r="X16" s="1904" t="s">
        <v>843</v>
      </c>
      <c r="Y16" s="1904" t="s">
        <v>844</v>
      </c>
      <c r="Z16" s="1870">
        <v>0.63</v>
      </c>
      <c r="AA16" s="1904" t="s">
        <v>845</v>
      </c>
      <c r="AB16" s="1904" t="s">
        <v>846</v>
      </c>
      <c r="AC16" s="1874">
        <v>1</v>
      </c>
      <c r="AD16" s="1904" t="s">
        <v>847</v>
      </c>
      <c r="AE16" s="1870">
        <v>0.42</v>
      </c>
      <c r="AF16" s="1904" t="s">
        <v>848</v>
      </c>
      <c r="AG16" s="1904" t="s">
        <v>849</v>
      </c>
      <c r="AH16" s="1872">
        <v>1.08</v>
      </c>
      <c r="AI16" s="1904">
        <v>5.2380000000000004</v>
      </c>
      <c r="AJ16" s="1904">
        <v>3.52</v>
      </c>
      <c r="AK16" s="1870">
        <v>0.67</v>
      </c>
      <c r="AL16" s="1904">
        <v>8.9870000000000001</v>
      </c>
      <c r="AM16" s="1904">
        <v>8.859</v>
      </c>
      <c r="AN16" s="1874">
        <v>0.99</v>
      </c>
      <c r="AO16" s="1905">
        <v>8.1240000000000006</v>
      </c>
      <c r="AP16" s="1904">
        <v>6.1689999999999996</v>
      </c>
      <c r="AQ16" s="1874">
        <v>0.76</v>
      </c>
      <c r="AR16" s="1904">
        <v>6.6760000000000002</v>
      </c>
      <c r="AS16" s="1904">
        <v>6.4539999999999997</v>
      </c>
      <c r="AT16" s="1874">
        <v>0.97</v>
      </c>
      <c r="AU16" s="1904">
        <v>5.8140000000000001</v>
      </c>
      <c r="AV16" s="1904">
        <v>5.399</v>
      </c>
      <c r="AW16" s="1874">
        <v>0.93</v>
      </c>
      <c r="AX16" s="1906">
        <v>73380</v>
      </c>
      <c r="AY16" s="1876">
        <f t="shared" si="0"/>
        <v>0.85025027808676312</v>
      </c>
    </row>
    <row r="17" spans="1:51" s="22" customFormat="1" ht="46.5" thickTop="1" thickBot="1">
      <c r="A17" s="2944"/>
      <c r="B17" s="2849"/>
      <c r="C17" s="389" t="s">
        <v>350</v>
      </c>
      <c r="D17" s="17" t="s">
        <v>111</v>
      </c>
      <c r="E17" s="561" t="s">
        <v>112</v>
      </c>
      <c r="F17" s="561" t="s">
        <v>17</v>
      </c>
      <c r="G17" s="1907">
        <v>161</v>
      </c>
      <c r="H17" s="561"/>
      <c r="I17" s="389">
        <v>243</v>
      </c>
      <c r="J17" s="561"/>
      <c r="K17" s="561" t="s">
        <v>20</v>
      </c>
      <c r="L17" s="1908" t="s">
        <v>777</v>
      </c>
      <c r="M17" s="1909" t="s">
        <v>824</v>
      </c>
      <c r="N17" s="1910" t="e">
        <v>#DIV/0!</v>
      </c>
      <c r="O17" s="1909" t="s">
        <v>777</v>
      </c>
      <c r="P17" s="1909" t="s">
        <v>827</v>
      </c>
      <c r="Q17" s="1910" t="e">
        <v>#DIV/0!</v>
      </c>
      <c r="R17" s="1909" t="s">
        <v>850</v>
      </c>
      <c r="S17" s="1909" t="s">
        <v>851</v>
      </c>
      <c r="T17" s="1872">
        <v>1.05</v>
      </c>
      <c r="U17" s="1909" t="s">
        <v>852</v>
      </c>
      <c r="V17" s="1909" t="s">
        <v>853</v>
      </c>
      <c r="W17" s="1870">
        <v>0.24</v>
      </c>
      <c r="X17" s="1909" t="s">
        <v>854</v>
      </c>
      <c r="Y17" s="1909" t="s">
        <v>855</v>
      </c>
      <c r="Z17" s="1870">
        <v>0.19</v>
      </c>
      <c r="AA17" s="1909" t="s">
        <v>856</v>
      </c>
      <c r="AB17" s="1909" t="s">
        <v>855</v>
      </c>
      <c r="AC17" s="1870">
        <v>0.18</v>
      </c>
      <c r="AD17" s="1909">
        <v>56</v>
      </c>
      <c r="AE17" s="1870">
        <v>0.35</v>
      </c>
      <c r="AF17" s="1909" t="s">
        <v>857</v>
      </c>
      <c r="AG17" s="1909" t="s">
        <v>858</v>
      </c>
      <c r="AH17" s="1870">
        <v>0.44</v>
      </c>
      <c r="AI17" s="1909" t="s">
        <v>859</v>
      </c>
      <c r="AJ17" s="1909" t="s">
        <v>831</v>
      </c>
      <c r="AK17" s="1870">
        <v>0.67</v>
      </c>
      <c r="AL17" s="1909" t="s">
        <v>826</v>
      </c>
      <c r="AM17" s="1909" t="s">
        <v>860</v>
      </c>
      <c r="AN17" s="1871">
        <v>1.6</v>
      </c>
      <c r="AO17" s="1909" t="s">
        <v>853</v>
      </c>
      <c r="AP17" s="1909" t="s">
        <v>861</v>
      </c>
      <c r="AQ17" s="1871">
        <v>3.43</v>
      </c>
      <c r="AR17" s="1909" t="s">
        <v>830</v>
      </c>
      <c r="AS17" s="1909" t="s">
        <v>862</v>
      </c>
      <c r="AT17" s="1871">
        <v>2.2000000000000002</v>
      </c>
      <c r="AU17" s="1909" t="s">
        <v>779</v>
      </c>
      <c r="AV17" s="1909" t="s">
        <v>862</v>
      </c>
      <c r="AW17" s="1871">
        <v>5.5</v>
      </c>
      <c r="AX17" s="1911">
        <v>166</v>
      </c>
      <c r="AY17" s="1912">
        <f t="shared" si="0"/>
        <v>1.031055900621118</v>
      </c>
    </row>
    <row r="18" spans="1:51" s="22" customFormat="1" ht="61.5" thickTop="1" thickBot="1">
      <c r="A18" s="2944"/>
      <c r="B18" s="2849"/>
      <c r="C18" s="25" t="s">
        <v>113</v>
      </c>
      <c r="D18" s="24" t="s">
        <v>114</v>
      </c>
      <c r="E18" s="25" t="s">
        <v>115</v>
      </c>
      <c r="F18" s="25" t="s">
        <v>10</v>
      </c>
      <c r="G18" s="46">
        <v>1</v>
      </c>
      <c r="H18" s="25"/>
      <c r="I18" s="46">
        <v>1</v>
      </c>
      <c r="J18" s="25"/>
      <c r="K18" s="25" t="s">
        <v>20</v>
      </c>
      <c r="L18" s="1913" t="s">
        <v>863</v>
      </c>
      <c r="M18" s="1914" t="s">
        <v>777</v>
      </c>
      <c r="N18" s="1910" t="e">
        <v>#DIV/0!</v>
      </c>
      <c r="O18" s="1914" t="s">
        <v>863</v>
      </c>
      <c r="P18" s="1914" t="s">
        <v>777</v>
      </c>
      <c r="Q18" s="1910" t="e">
        <v>#DIV/0!</v>
      </c>
      <c r="R18" s="1914" t="s">
        <v>864</v>
      </c>
      <c r="S18" s="1914" t="s">
        <v>864</v>
      </c>
      <c r="T18" s="1874">
        <v>1</v>
      </c>
      <c r="U18" s="1914" t="s">
        <v>863</v>
      </c>
      <c r="V18" s="1914" t="s">
        <v>777</v>
      </c>
      <c r="W18" s="1910" t="e">
        <v>#DIV/0!</v>
      </c>
      <c r="X18" s="1914" t="s">
        <v>863</v>
      </c>
      <c r="Y18" s="1914" t="s">
        <v>777</v>
      </c>
      <c r="Z18" s="1910" t="e">
        <v>#DIV/0!</v>
      </c>
      <c r="AA18" s="1914" t="s">
        <v>864</v>
      </c>
      <c r="AB18" s="1914" t="s">
        <v>864</v>
      </c>
      <c r="AC18" s="1874">
        <v>1</v>
      </c>
      <c r="AD18" s="1915">
        <v>0.5</v>
      </c>
      <c r="AE18" s="1870">
        <v>0.5</v>
      </c>
      <c r="AF18" s="1914" t="s">
        <v>863</v>
      </c>
      <c r="AG18" s="1914" t="s">
        <v>777</v>
      </c>
      <c r="AH18" s="1910" t="e">
        <v>#DIV/0!</v>
      </c>
      <c r="AI18" s="1914" t="s">
        <v>863</v>
      </c>
      <c r="AJ18" s="1914" t="s">
        <v>777</v>
      </c>
      <c r="AK18" s="1910" t="e">
        <v>#DIV/0!</v>
      </c>
      <c r="AL18" s="1914" t="s">
        <v>864</v>
      </c>
      <c r="AM18" s="1914" t="s">
        <v>864</v>
      </c>
      <c r="AN18" s="1874">
        <v>1</v>
      </c>
      <c r="AO18" s="1914" t="s">
        <v>863</v>
      </c>
      <c r="AP18" s="1914" t="s">
        <v>777</v>
      </c>
      <c r="AQ18" s="1910" t="e">
        <v>#DIV/0!</v>
      </c>
      <c r="AR18" s="1914" t="s">
        <v>863</v>
      </c>
      <c r="AS18" s="1914" t="s">
        <v>777</v>
      </c>
      <c r="AT18" s="1910" t="e">
        <v>#DIV/0!</v>
      </c>
      <c r="AU18" s="1914" t="s">
        <v>864</v>
      </c>
      <c r="AV18" s="1914" t="s">
        <v>864</v>
      </c>
      <c r="AW18" s="1874">
        <v>1</v>
      </c>
      <c r="AX18" s="1916">
        <v>1</v>
      </c>
      <c r="AY18" s="1876">
        <f t="shared" si="0"/>
        <v>1</v>
      </c>
    </row>
    <row r="19" spans="1:51" s="22" customFormat="1" ht="46.5" thickTop="1" thickBot="1">
      <c r="A19" s="2944"/>
      <c r="B19" s="2849"/>
      <c r="C19" s="389" t="s">
        <v>865</v>
      </c>
      <c r="D19" s="1200" t="s">
        <v>116</v>
      </c>
      <c r="E19" s="1917" t="s">
        <v>117</v>
      </c>
      <c r="F19" s="389" t="s">
        <v>265</v>
      </c>
      <c r="G19" s="1918">
        <v>3253</v>
      </c>
      <c r="H19" s="1918"/>
      <c r="I19" s="1918">
        <v>3253</v>
      </c>
      <c r="J19" s="1917"/>
      <c r="K19" s="389" t="s">
        <v>118</v>
      </c>
      <c r="L19" s="1919" t="s">
        <v>776</v>
      </c>
      <c r="M19" s="1920" t="s">
        <v>866</v>
      </c>
      <c r="N19" s="1910" t="e">
        <v>#DIV/0!</v>
      </c>
      <c r="O19" s="1920" t="s">
        <v>776</v>
      </c>
      <c r="P19" s="1920" t="s">
        <v>867</v>
      </c>
      <c r="Q19" s="1910" t="e">
        <v>#DIV/0!</v>
      </c>
      <c r="R19" s="1920" t="s">
        <v>868</v>
      </c>
      <c r="S19" s="1920" t="s">
        <v>869</v>
      </c>
      <c r="T19" s="1874">
        <v>0.77</v>
      </c>
      <c r="U19" s="1920" t="s">
        <v>870</v>
      </c>
      <c r="V19" s="1920" t="s">
        <v>871</v>
      </c>
      <c r="W19" s="1870">
        <v>0.13</v>
      </c>
      <c r="X19" s="1920" t="s">
        <v>872</v>
      </c>
      <c r="Y19" s="1920" t="s">
        <v>873</v>
      </c>
      <c r="Z19" s="1870">
        <v>0.47</v>
      </c>
      <c r="AA19" s="1920" t="s">
        <v>874</v>
      </c>
      <c r="AB19" s="1920" t="s">
        <v>875</v>
      </c>
      <c r="AC19" s="1874">
        <v>0.74</v>
      </c>
      <c r="AD19" s="1920">
        <v>1.105</v>
      </c>
      <c r="AE19" s="1870">
        <v>0.34</v>
      </c>
      <c r="AF19" s="1920" t="s">
        <v>876</v>
      </c>
      <c r="AG19" s="1920" t="s">
        <v>877</v>
      </c>
      <c r="AH19" s="1874">
        <v>0.91</v>
      </c>
      <c r="AI19" s="1920" t="s">
        <v>878</v>
      </c>
      <c r="AJ19" s="1920" t="s">
        <v>879</v>
      </c>
      <c r="AK19" s="1874">
        <v>0.85</v>
      </c>
      <c r="AL19" s="1920" t="s">
        <v>880</v>
      </c>
      <c r="AM19" s="1920" t="s">
        <v>881</v>
      </c>
      <c r="AN19" s="1874">
        <v>0.85</v>
      </c>
      <c r="AO19" s="1920" t="s">
        <v>882</v>
      </c>
      <c r="AP19" s="1920" t="s">
        <v>883</v>
      </c>
      <c r="AQ19" s="1871">
        <v>2.84</v>
      </c>
      <c r="AR19" s="1920" t="s">
        <v>867</v>
      </c>
      <c r="AS19" s="1920" t="s">
        <v>884</v>
      </c>
      <c r="AT19" s="1871">
        <v>8.74</v>
      </c>
      <c r="AU19" s="1920" t="s">
        <v>885</v>
      </c>
      <c r="AV19" s="1920" t="s">
        <v>886</v>
      </c>
      <c r="AW19" s="1871">
        <v>21.33</v>
      </c>
      <c r="AX19" s="1921">
        <v>4859</v>
      </c>
      <c r="AY19" s="1922">
        <f t="shared" si="0"/>
        <v>1.4936981248078696</v>
      </c>
    </row>
    <row r="20" spans="1:51" s="22" customFormat="1" ht="61.5" thickTop="1" thickBot="1">
      <c r="A20" s="2944"/>
      <c r="B20" s="2849"/>
      <c r="C20" s="3163" t="s">
        <v>119</v>
      </c>
      <c r="D20" s="1199" t="s">
        <v>120</v>
      </c>
      <c r="E20" s="1758" t="s">
        <v>121</v>
      </c>
      <c r="F20" s="1758" t="s">
        <v>10</v>
      </c>
      <c r="G20" s="1923">
        <v>0.64100000000000001</v>
      </c>
      <c r="H20" s="1758"/>
      <c r="I20" s="1758" t="s">
        <v>887</v>
      </c>
      <c r="J20" s="1902"/>
      <c r="K20" s="1758" t="s">
        <v>7</v>
      </c>
      <c r="L20" s="1924" t="s">
        <v>863</v>
      </c>
      <c r="M20" s="1890" t="s">
        <v>777</v>
      </c>
      <c r="N20" s="1925" t="e">
        <v>#DIV/0!</v>
      </c>
      <c r="O20" s="1890" t="s">
        <v>863</v>
      </c>
      <c r="P20" s="1890" t="s">
        <v>777</v>
      </c>
      <c r="Q20" s="1925" t="e">
        <v>#DIV/0!</v>
      </c>
      <c r="R20" s="1890" t="s">
        <v>863</v>
      </c>
      <c r="S20" s="1890" t="s">
        <v>777</v>
      </c>
      <c r="T20" s="1925" t="e">
        <v>#DIV/0!</v>
      </c>
      <c r="U20" s="1890" t="s">
        <v>863</v>
      </c>
      <c r="V20" s="1890" t="s">
        <v>777</v>
      </c>
      <c r="W20" s="1925" t="e">
        <v>#DIV/0!</v>
      </c>
      <c r="X20" s="1890" t="s">
        <v>863</v>
      </c>
      <c r="Y20" s="1890" t="s">
        <v>777</v>
      </c>
      <c r="Z20" s="1925" t="e">
        <v>#DIV/0!</v>
      </c>
      <c r="AA20" s="1890" t="s">
        <v>863</v>
      </c>
      <c r="AB20" s="1890" t="s">
        <v>777</v>
      </c>
      <c r="AC20" s="1925" t="e">
        <v>#DIV/0!</v>
      </c>
      <c r="AD20" s="1890" t="s">
        <v>888</v>
      </c>
      <c r="AE20" s="1900">
        <v>0</v>
      </c>
      <c r="AF20" s="1890" t="s">
        <v>863</v>
      </c>
      <c r="AG20" s="1890" t="s">
        <v>777</v>
      </c>
      <c r="AH20" s="1925" t="e">
        <v>#DIV/0!</v>
      </c>
      <c r="AI20" s="1890" t="s">
        <v>863</v>
      </c>
      <c r="AJ20" s="1890" t="s">
        <v>777</v>
      </c>
      <c r="AK20" s="1925" t="e">
        <v>#DIV/0!</v>
      </c>
      <c r="AL20" s="1890" t="s">
        <v>863</v>
      </c>
      <c r="AM20" s="1890" t="s">
        <v>889</v>
      </c>
      <c r="AN20" s="1925" t="e">
        <v>#DIV/0!</v>
      </c>
      <c r="AO20" s="1890" t="s">
        <v>863</v>
      </c>
      <c r="AP20" s="1890" t="s">
        <v>777</v>
      </c>
      <c r="AQ20" s="1925" t="e">
        <v>#DIV/0!</v>
      </c>
      <c r="AR20" s="1890" t="s">
        <v>863</v>
      </c>
      <c r="AS20" s="1890" t="s">
        <v>890</v>
      </c>
      <c r="AT20" s="1925" t="e">
        <v>#VALUE!</v>
      </c>
      <c r="AU20" s="1890" t="s">
        <v>891</v>
      </c>
      <c r="AV20" s="1890" t="s">
        <v>890</v>
      </c>
      <c r="AW20" s="1925" t="e">
        <v>#VALUE!</v>
      </c>
      <c r="AX20" s="1926"/>
      <c r="AY20" s="1927"/>
    </row>
    <row r="21" spans="1:51" s="22" customFormat="1" ht="46.5" thickTop="1" thickBot="1">
      <c r="A21" s="2944"/>
      <c r="B21" s="2849"/>
      <c r="C21" s="3164"/>
      <c r="D21" s="17" t="s">
        <v>122</v>
      </c>
      <c r="E21" s="561" t="s">
        <v>123</v>
      </c>
      <c r="F21" s="561" t="s">
        <v>10</v>
      </c>
      <c r="G21" s="1928">
        <v>1</v>
      </c>
      <c r="H21" s="561"/>
      <c r="I21" s="51">
        <v>1</v>
      </c>
      <c r="J21" s="561"/>
      <c r="K21" s="389" t="s">
        <v>7</v>
      </c>
      <c r="L21" s="1882" t="s">
        <v>863</v>
      </c>
      <c r="M21" s="1883" t="s">
        <v>777</v>
      </c>
      <c r="N21" s="1879" t="e">
        <v>#DIV/0!</v>
      </c>
      <c r="O21" s="1883" t="s">
        <v>863</v>
      </c>
      <c r="P21" s="1883" t="s">
        <v>777</v>
      </c>
      <c r="Q21" s="1879" t="e">
        <v>#DIV/0!</v>
      </c>
      <c r="R21" s="1883" t="s">
        <v>863</v>
      </c>
      <c r="S21" s="1883" t="s">
        <v>777</v>
      </c>
      <c r="T21" s="1879" t="e">
        <v>#DIV/0!</v>
      </c>
      <c r="U21" s="1883" t="s">
        <v>863</v>
      </c>
      <c r="V21" s="1883" t="s">
        <v>777</v>
      </c>
      <c r="W21" s="1879" t="e">
        <v>#DIV/0!</v>
      </c>
      <c r="X21" s="1883" t="s">
        <v>863</v>
      </c>
      <c r="Y21" s="1883" t="s">
        <v>777</v>
      </c>
      <c r="Z21" s="1879" t="e">
        <v>#DIV/0!</v>
      </c>
      <c r="AA21" s="1883" t="s">
        <v>863</v>
      </c>
      <c r="AB21" s="1883" t="s">
        <v>777</v>
      </c>
      <c r="AC21" s="1879" t="e">
        <v>#DIV/0!</v>
      </c>
      <c r="AD21" s="1929">
        <v>0</v>
      </c>
      <c r="AE21" s="1900">
        <v>0</v>
      </c>
      <c r="AF21" s="1883" t="s">
        <v>863</v>
      </c>
      <c r="AG21" s="1883" t="s">
        <v>777</v>
      </c>
      <c r="AH21" s="1879" t="e">
        <v>#DIV/0!</v>
      </c>
      <c r="AI21" s="1883" t="s">
        <v>863</v>
      </c>
      <c r="AJ21" s="1883" t="s">
        <v>777</v>
      </c>
      <c r="AK21" s="1879" t="e">
        <v>#DIV/0!</v>
      </c>
      <c r="AL21" s="1883" t="s">
        <v>863</v>
      </c>
      <c r="AM21" s="1883" t="s">
        <v>777</v>
      </c>
      <c r="AN21" s="1879" t="e">
        <v>#DIV/0!</v>
      </c>
      <c r="AO21" s="1883" t="s">
        <v>863</v>
      </c>
      <c r="AP21" s="1883" t="s">
        <v>777</v>
      </c>
      <c r="AQ21" s="1879" t="e">
        <v>#DIV/0!</v>
      </c>
      <c r="AR21" s="1883" t="s">
        <v>863</v>
      </c>
      <c r="AS21" s="1883" t="s">
        <v>890</v>
      </c>
      <c r="AT21" s="1879" t="e">
        <v>#VALUE!</v>
      </c>
      <c r="AU21" s="1883" t="s">
        <v>863</v>
      </c>
      <c r="AV21" s="1883" t="s">
        <v>890</v>
      </c>
      <c r="AW21" s="1879" t="e">
        <v>#VALUE!</v>
      </c>
      <c r="AX21" s="1930"/>
      <c r="AY21" s="1927"/>
    </row>
    <row r="22" spans="1:51" s="22" customFormat="1" ht="61.5" thickTop="1" thickBot="1">
      <c r="A22" s="2944"/>
      <c r="B22" s="2849"/>
      <c r="C22" s="3164"/>
      <c r="D22" s="24" t="s">
        <v>124</v>
      </c>
      <c r="E22" s="25" t="s">
        <v>125</v>
      </c>
      <c r="F22" s="25" t="s">
        <v>10</v>
      </c>
      <c r="G22" s="590">
        <v>1</v>
      </c>
      <c r="H22" s="25"/>
      <c r="I22" s="1931">
        <v>1</v>
      </c>
      <c r="J22" s="25"/>
      <c r="K22" s="1758" t="s">
        <v>7</v>
      </c>
      <c r="L22" s="1877" t="s">
        <v>863</v>
      </c>
      <c r="M22" s="1878" t="s">
        <v>777</v>
      </c>
      <c r="N22" s="1879" t="e">
        <v>#DIV/0!</v>
      </c>
      <c r="O22" s="1878" t="s">
        <v>863</v>
      </c>
      <c r="P22" s="1878" t="s">
        <v>777</v>
      </c>
      <c r="Q22" s="1879" t="e">
        <v>#DIV/0!</v>
      </c>
      <c r="R22" s="1878" t="s">
        <v>889</v>
      </c>
      <c r="S22" s="1878" t="s">
        <v>777</v>
      </c>
      <c r="T22" s="1900">
        <v>0</v>
      </c>
      <c r="U22" s="1878" t="s">
        <v>863</v>
      </c>
      <c r="V22" s="1878" t="s">
        <v>777</v>
      </c>
      <c r="W22" s="1879" t="e">
        <v>#DIV/0!</v>
      </c>
      <c r="X22" s="1878" t="s">
        <v>863</v>
      </c>
      <c r="Y22" s="1878" t="s">
        <v>777</v>
      </c>
      <c r="Z22" s="1879" t="e">
        <v>#DIV/0!</v>
      </c>
      <c r="AA22" s="1878" t="s">
        <v>863</v>
      </c>
      <c r="AB22" s="1878" t="s">
        <v>777</v>
      </c>
      <c r="AC22" s="1879" t="e">
        <v>#DIV/0!</v>
      </c>
      <c r="AD22" s="1932">
        <v>0</v>
      </c>
      <c r="AE22" s="1900">
        <v>0</v>
      </c>
      <c r="AF22" s="1878" t="s">
        <v>863</v>
      </c>
      <c r="AG22" s="1878" t="s">
        <v>777</v>
      </c>
      <c r="AH22" s="1879" t="e">
        <v>#DIV/0!</v>
      </c>
      <c r="AI22" s="1878" t="s">
        <v>863</v>
      </c>
      <c r="AJ22" s="1878" t="s">
        <v>777</v>
      </c>
      <c r="AK22" s="1879" t="e">
        <v>#DIV/0!</v>
      </c>
      <c r="AL22" s="1878" t="s">
        <v>889</v>
      </c>
      <c r="AM22" s="1878" t="s">
        <v>777</v>
      </c>
      <c r="AN22" s="1900">
        <v>0</v>
      </c>
      <c r="AO22" s="1878" t="s">
        <v>863</v>
      </c>
      <c r="AP22" s="1878" t="s">
        <v>777</v>
      </c>
      <c r="AQ22" s="1879" t="e">
        <v>#DIV/0!</v>
      </c>
      <c r="AR22" s="1878" t="s">
        <v>863</v>
      </c>
      <c r="AS22" s="1878" t="s">
        <v>777</v>
      </c>
      <c r="AT22" s="1879" t="e">
        <v>#DIV/0!</v>
      </c>
      <c r="AU22" s="1878" t="s">
        <v>889</v>
      </c>
      <c r="AV22" s="1878" t="s">
        <v>777</v>
      </c>
      <c r="AW22" s="1900">
        <v>0</v>
      </c>
      <c r="AX22" s="1930"/>
      <c r="AY22" s="1927"/>
    </row>
    <row r="23" spans="1:51" s="22" customFormat="1" ht="46.5" thickTop="1" thickBot="1">
      <c r="A23" s="2944"/>
      <c r="B23" s="2849"/>
      <c r="C23" s="3164"/>
      <c r="D23" s="17" t="s">
        <v>126</v>
      </c>
      <c r="E23" s="561" t="s">
        <v>127</v>
      </c>
      <c r="F23" s="561" t="s">
        <v>10</v>
      </c>
      <c r="G23" s="51">
        <v>1</v>
      </c>
      <c r="H23" s="561"/>
      <c r="I23" s="51">
        <v>1</v>
      </c>
      <c r="J23" s="561"/>
      <c r="K23" s="389" t="s">
        <v>7</v>
      </c>
      <c r="L23" s="1882" t="s">
        <v>889</v>
      </c>
      <c r="M23" s="1883" t="s">
        <v>777</v>
      </c>
      <c r="N23" s="1900">
        <v>0</v>
      </c>
      <c r="O23" s="1883" t="s">
        <v>889</v>
      </c>
      <c r="P23" s="1883" t="s">
        <v>777</v>
      </c>
      <c r="Q23" s="1900">
        <v>0</v>
      </c>
      <c r="R23" s="1883" t="s">
        <v>889</v>
      </c>
      <c r="S23" s="1883" t="s">
        <v>777</v>
      </c>
      <c r="T23" s="1900">
        <v>0</v>
      </c>
      <c r="U23" s="1883" t="s">
        <v>889</v>
      </c>
      <c r="V23" s="1883" t="s">
        <v>777</v>
      </c>
      <c r="W23" s="1900">
        <v>0</v>
      </c>
      <c r="X23" s="1883" t="s">
        <v>889</v>
      </c>
      <c r="Y23" s="1883" t="s">
        <v>777</v>
      </c>
      <c r="Z23" s="1900">
        <v>0</v>
      </c>
      <c r="AA23" s="1883" t="s">
        <v>889</v>
      </c>
      <c r="AB23" s="1883" t="s">
        <v>777</v>
      </c>
      <c r="AC23" s="1900">
        <v>0</v>
      </c>
      <c r="AD23" s="1929">
        <v>0</v>
      </c>
      <c r="AE23" s="1900">
        <v>0</v>
      </c>
      <c r="AF23" s="1883" t="s">
        <v>889</v>
      </c>
      <c r="AG23" s="1883" t="s">
        <v>777</v>
      </c>
      <c r="AH23" s="1900">
        <v>0</v>
      </c>
      <c r="AI23" s="1883" t="s">
        <v>889</v>
      </c>
      <c r="AJ23" s="1883" t="s">
        <v>777</v>
      </c>
      <c r="AK23" s="1900">
        <v>0</v>
      </c>
      <c r="AL23" s="1883" t="s">
        <v>889</v>
      </c>
      <c r="AM23" s="1883" t="s">
        <v>777</v>
      </c>
      <c r="AN23" s="1900">
        <v>0</v>
      </c>
      <c r="AO23" s="1883" t="s">
        <v>889</v>
      </c>
      <c r="AP23" s="1883" t="s">
        <v>777</v>
      </c>
      <c r="AQ23" s="1900">
        <v>0</v>
      </c>
      <c r="AR23" s="1883" t="s">
        <v>889</v>
      </c>
      <c r="AS23" s="1883" t="s">
        <v>890</v>
      </c>
      <c r="AT23" s="1879" t="e">
        <v>#VALUE!</v>
      </c>
      <c r="AU23" s="1883" t="s">
        <v>889</v>
      </c>
      <c r="AV23" s="1883" t="s">
        <v>890</v>
      </c>
      <c r="AW23" s="1879" t="e">
        <v>#VALUE!</v>
      </c>
      <c r="AX23" s="1896"/>
      <c r="AY23" s="1927"/>
    </row>
    <row r="24" spans="1:51" s="22" customFormat="1" ht="61.5" thickTop="1" thickBot="1">
      <c r="A24" s="2944"/>
      <c r="B24" s="2849"/>
      <c r="C24" s="3164"/>
      <c r="D24" s="1199" t="s">
        <v>128</v>
      </c>
      <c r="E24" s="1758" t="s">
        <v>129</v>
      </c>
      <c r="F24" s="1758" t="s">
        <v>10</v>
      </c>
      <c r="G24" s="1931">
        <v>1</v>
      </c>
      <c r="H24" s="1758"/>
      <c r="I24" s="1931">
        <v>1</v>
      </c>
      <c r="J24" s="1902"/>
      <c r="K24" s="1758" t="s">
        <v>7</v>
      </c>
      <c r="L24" s="1877" t="s">
        <v>889</v>
      </c>
      <c r="M24" s="1878" t="s">
        <v>889</v>
      </c>
      <c r="N24" s="1874">
        <v>1</v>
      </c>
      <c r="O24" s="1878" t="s">
        <v>889</v>
      </c>
      <c r="P24" s="1878" t="s">
        <v>889</v>
      </c>
      <c r="Q24" s="1874">
        <v>1</v>
      </c>
      <c r="R24" s="1878" t="s">
        <v>889</v>
      </c>
      <c r="S24" s="1878" t="s">
        <v>889</v>
      </c>
      <c r="T24" s="1874">
        <v>1</v>
      </c>
      <c r="U24" s="1878" t="s">
        <v>889</v>
      </c>
      <c r="V24" s="1878" t="s">
        <v>889</v>
      </c>
      <c r="W24" s="1874">
        <v>1</v>
      </c>
      <c r="X24" s="1878" t="s">
        <v>889</v>
      </c>
      <c r="Y24" s="1878" t="s">
        <v>889</v>
      </c>
      <c r="Z24" s="1874">
        <v>1</v>
      </c>
      <c r="AA24" s="1878" t="s">
        <v>889</v>
      </c>
      <c r="AB24" s="1878" t="s">
        <v>889</v>
      </c>
      <c r="AC24" s="1874">
        <v>1</v>
      </c>
      <c r="AD24" s="1932">
        <v>1</v>
      </c>
      <c r="AE24" s="1874">
        <v>1</v>
      </c>
      <c r="AF24" s="1878" t="s">
        <v>889</v>
      </c>
      <c r="AG24" s="1878" t="s">
        <v>889</v>
      </c>
      <c r="AH24" s="1874">
        <v>1</v>
      </c>
      <c r="AI24" s="1878" t="s">
        <v>889</v>
      </c>
      <c r="AJ24" s="1878" t="s">
        <v>889</v>
      </c>
      <c r="AK24" s="1874">
        <v>1</v>
      </c>
      <c r="AL24" s="1878" t="s">
        <v>889</v>
      </c>
      <c r="AM24" s="1878" t="s">
        <v>889</v>
      </c>
      <c r="AN24" s="1874">
        <v>1</v>
      </c>
      <c r="AO24" s="1878" t="s">
        <v>889</v>
      </c>
      <c r="AP24" s="1878" t="s">
        <v>889</v>
      </c>
      <c r="AQ24" s="1874">
        <v>1</v>
      </c>
      <c r="AR24" s="1878" t="s">
        <v>889</v>
      </c>
      <c r="AS24" s="1878" t="s">
        <v>889</v>
      </c>
      <c r="AT24" s="1874">
        <v>1</v>
      </c>
      <c r="AU24" s="1878" t="s">
        <v>889</v>
      </c>
      <c r="AV24" s="1878" t="s">
        <v>889</v>
      </c>
      <c r="AW24" s="1874">
        <v>1</v>
      </c>
      <c r="AX24" s="1930">
        <v>1</v>
      </c>
      <c r="AY24" s="1876">
        <v>1</v>
      </c>
    </row>
    <row r="25" spans="1:51" s="22" customFormat="1" ht="61.5" thickTop="1" thickBot="1">
      <c r="A25" s="2944"/>
      <c r="B25" s="2849"/>
      <c r="C25" s="3164"/>
      <c r="D25" s="17" t="s">
        <v>179</v>
      </c>
      <c r="E25" s="561" t="s">
        <v>131</v>
      </c>
      <c r="F25" s="561" t="s">
        <v>10</v>
      </c>
      <c r="G25" s="1928">
        <v>1</v>
      </c>
      <c r="H25" s="561"/>
      <c r="I25" s="51">
        <v>1</v>
      </c>
      <c r="J25" s="561"/>
      <c r="K25" s="389" t="s">
        <v>7</v>
      </c>
      <c r="L25" s="1882" t="s">
        <v>863</v>
      </c>
      <c r="M25" s="1883" t="s">
        <v>777</v>
      </c>
      <c r="N25" s="1879" t="e">
        <v>#DIV/0!</v>
      </c>
      <c r="O25" s="1883" t="s">
        <v>863</v>
      </c>
      <c r="P25" s="1883" t="s">
        <v>777</v>
      </c>
      <c r="Q25" s="1879" t="e">
        <v>#DIV/0!</v>
      </c>
      <c r="R25" s="1883" t="s">
        <v>889</v>
      </c>
      <c r="S25" s="1883" t="s">
        <v>889</v>
      </c>
      <c r="T25" s="1874">
        <v>1</v>
      </c>
      <c r="U25" s="1883" t="s">
        <v>889</v>
      </c>
      <c r="V25" s="1883" t="s">
        <v>889</v>
      </c>
      <c r="W25" s="1874">
        <v>1</v>
      </c>
      <c r="X25" s="1883" t="s">
        <v>889</v>
      </c>
      <c r="Y25" s="1883" t="s">
        <v>889</v>
      </c>
      <c r="Z25" s="1874">
        <v>1</v>
      </c>
      <c r="AA25" s="1883" t="s">
        <v>889</v>
      </c>
      <c r="AB25" s="1883" t="s">
        <v>889</v>
      </c>
      <c r="AC25" s="1874">
        <v>1</v>
      </c>
      <c r="AD25" s="1929">
        <v>0.67</v>
      </c>
      <c r="AE25" s="1870">
        <v>0.67</v>
      </c>
      <c r="AF25" s="1883" t="s">
        <v>889</v>
      </c>
      <c r="AG25" s="1883" t="s">
        <v>889</v>
      </c>
      <c r="AH25" s="1874">
        <v>1</v>
      </c>
      <c r="AI25" s="1883" t="s">
        <v>889</v>
      </c>
      <c r="AJ25" s="1883" t="s">
        <v>889</v>
      </c>
      <c r="AK25" s="1874">
        <v>1</v>
      </c>
      <c r="AL25" s="1883" t="s">
        <v>889</v>
      </c>
      <c r="AM25" s="1883" t="s">
        <v>889</v>
      </c>
      <c r="AN25" s="1874">
        <v>1</v>
      </c>
      <c r="AO25" s="1883" t="s">
        <v>889</v>
      </c>
      <c r="AP25" s="1883" t="s">
        <v>889</v>
      </c>
      <c r="AQ25" s="1874">
        <v>1</v>
      </c>
      <c r="AR25" s="1883" t="s">
        <v>892</v>
      </c>
      <c r="AS25" s="1883" t="s">
        <v>892</v>
      </c>
      <c r="AT25" s="1874">
        <v>1</v>
      </c>
      <c r="AU25" s="1883" t="s">
        <v>892</v>
      </c>
      <c r="AV25" s="1883" t="s">
        <v>889</v>
      </c>
      <c r="AW25" s="1871">
        <v>1.1100000000000001</v>
      </c>
      <c r="AX25" s="1930">
        <v>0.83</v>
      </c>
      <c r="AY25" s="1876">
        <v>0.83</v>
      </c>
    </row>
    <row r="26" spans="1:51" s="22" customFormat="1" ht="61.5" thickTop="1" thickBot="1">
      <c r="A26" s="2944"/>
      <c r="B26" s="2850"/>
      <c r="C26" s="3164"/>
      <c r="D26" s="24" t="s">
        <v>132</v>
      </c>
      <c r="E26" s="25" t="s">
        <v>133</v>
      </c>
      <c r="F26" s="25" t="s">
        <v>10</v>
      </c>
      <c r="G26" s="590">
        <v>1</v>
      </c>
      <c r="H26" s="25"/>
      <c r="I26" s="1931">
        <v>1</v>
      </c>
      <c r="J26" s="25"/>
      <c r="K26" s="1758" t="s">
        <v>7</v>
      </c>
      <c r="L26" s="1877" t="s">
        <v>863</v>
      </c>
      <c r="M26" s="1878" t="s">
        <v>777</v>
      </c>
      <c r="N26" s="1879" t="e">
        <v>#DIV/0!</v>
      </c>
      <c r="O26" s="1878" t="s">
        <v>863</v>
      </c>
      <c r="P26" s="1878" t="s">
        <v>777</v>
      </c>
      <c r="Q26" s="1879" t="e">
        <v>#DIV/0!</v>
      </c>
      <c r="R26" s="1878" t="s">
        <v>863</v>
      </c>
      <c r="S26" s="1878" t="s">
        <v>863</v>
      </c>
      <c r="T26" s="1879" t="e">
        <v>#DIV/0!</v>
      </c>
      <c r="U26" s="1878" t="s">
        <v>863</v>
      </c>
      <c r="V26" s="1878" t="s">
        <v>863</v>
      </c>
      <c r="W26" s="1879" t="e">
        <v>#DIV/0!</v>
      </c>
      <c r="X26" s="1878" t="s">
        <v>863</v>
      </c>
      <c r="Y26" s="1878" t="s">
        <v>863</v>
      </c>
      <c r="Z26" s="1879" t="e">
        <v>#DIV/0!</v>
      </c>
      <c r="AA26" s="1878" t="s">
        <v>863</v>
      </c>
      <c r="AB26" s="1878" t="s">
        <v>863</v>
      </c>
      <c r="AC26" s="1879" t="e">
        <v>#DIV/0!</v>
      </c>
      <c r="AD26" s="1932">
        <v>0</v>
      </c>
      <c r="AE26" s="1900">
        <v>0</v>
      </c>
      <c r="AF26" s="1878" t="s">
        <v>863</v>
      </c>
      <c r="AG26" s="1878" t="s">
        <v>777</v>
      </c>
      <c r="AH26" s="1879" t="e">
        <v>#DIV/0!</v>
      </c>
      <c r="AI26" s="1878" t="s">
        <v>889</v>
      </c>
      <c r="AJ26" s="1878" t="s">
        <v>889</v>
      </c>
      <c r="AK26" s="1874">
        <v>1</v>
      </c>
      <c r="AL26" s="1878" t="s">
        <v>863</v>
      </c>
      <c r="AM26" s="1878" t="s">
        <v>777</v>
      </c>
      <c r="AN26" s="1879" t="e">
        <v>#DIV/0!</v>
      </c>
      <c r="AO26" s="1878" t="s">
        <v>863</v>
      </c>
      <c r="AP26" s="1878" t="s">
        <v>777</v>
      </c>
      <c r="AQ26" s="1879" t="e">
        <v>#DIV/0!</v>
      </c>
      <c r="AR26" s="1878" t="s">
        <v>863</v>
      </c>
      <c r="AS26" s="1878" t="s">
        <v>890</v>
      </c>
      <c r="AT26" s="1879" t="e">
        <v>#VALUE!</v>
      </c>
      <c r="AU26" s="1878" t="s">
        <v>889</v>
      </c>
      <c r="AV26" s="1878" t="s">
        <v>893</v>
      </c>
      <c r="AW26" s="1871">
        <v>1.5</v>
      </c>
      <c r="AX26" s="1930">
        <v>1</v>
      </c>
      <c r="AY26" s="1876">
        <v>1</v>
      </c>
    </row>
    <row r="27" spans="1:51" s="22" customFormat="1" ht="114" thickTop="1" thickBot="1">
      <c r="A27" s="3171"/>
      <c r="B27" s="1169" t="s">
        <v>418</v>
      </c>
      <c r="C27" s="561" t="s">
        <v>894</v>
      </c>
      <c r="D27" s="17" t="s">
        <v>227</v>
      </c>
      <c r="E27" s="561" t="s">
        <v>139</v>
      </c>
      <c r="F27" s="561" t="s">
        <v>101</v>
      </c>
      <c r="G27" s="1891">
        <v>45000000</v>
      </c>
      <c r="H27" s="561"/>
      <c r="I27" s="47">
        <v>66666666.666666664</v>
      </c>
      <c r="J27" s="561"/>
      <c r="K27" s="561" t="s">
        <v>140</v>
      </c>
      <c r="L27" s="1933" t="s">
        <v>895</v>
      </c>
      <c r="M27" s="1933" t="s">
        <v>896</v>
      </c>
      <c r="N27" s="1874">
        <v>0.92</v>
      </c>
      <c r="O27" s="1933" t="s">
        <v>895</v>
      </c>
      <c r="P27" s="1933" t="s">
        <v>897</v>
      </c>
      <c r="Q27" s="1872">
        <v>1.0900000000000001</v>
      </c>
      <c r="R27" s="1933" t="s">
        <v>898</v>
      </c>
      <c r="S27" s="1933" t="s">
        <v>782</v>
      </c>
      <c r="T27" s="1900">
        <v>0</v>
      </c>
      <c r="U27" s="1933" t="s">
        <v>899</v>
      </c>
      <c r="V27" s="1933" t="s">
        <v>782</v>
      </c>
      <c r="W27" s="1900">
        <v>0</v>
      </c>
      <c r="X27" s="1933" t="s">
        <v>899</v>
      </c>
      <c r="Y27" s="1933" t="s">
        <v>782</v>
      </c>
      <c r="Z27" s="1900">
        <v>0</v>
      </c>
      <c r="AA27" s="1933" t="s">
        <v>899</v>
      </c>
      <c r="AB27" s="1933" t="s">
        <v>782</v>
      </c>
      <c r="AC27" s="1900">
        <v>0</v>
      </c>
      <c r="AD27" s="1933" t="s">
        <v>900</v>
      </c>
      <c r="AE27" s="1870">
        <v>0.15</v>
      </c>
      <c r="AF27" s="1933" t="s">
        <v>899</v>
      </c>
      <c r="AG27" s="1933" t="s">
        <v>782</v>
      </c>
      <c r="AH27" s="1900">
        <v>0</v>
      </c>
      <c r="AI27" s="1933" t="s">
        <v>901</v>
      </c>
      <c r="AJ27" s="1933" t="s">
        <v>782</v>
      </c>
      <c r="AK27" s="1900">
        <v>0</v>
      </c>
      <c r="AL27" s="1933" t="s">
        <v>901</v>
      </c>
      <c r="AM27" s="1933" t="s">
        <v>782</v>
      </c>
      <c r="AN27" s="1900">
        <v>0</v>
      </c>
      <c r="AO27" s="1933" t="s">
        <v>902</v>
      </c>
      <c r="AP27" s="1933" t="s">
        <v>903</v>
      </c>
      <c r="AQ27" s="1871">
        <v>5.26</v>
      </c>
      <c r="AR27" s="1933" t="s">
        <v>904</v>
      </c>
      <c r="AS27" s="1933" t="s">
        <v>777</v>
      </c>
      <c r="AT27" s="1900">
        <v>0</v>
      </c>
      <c r="AU27" s="1933" t="s">
        <v>905</v>
      </c>
      <c r="AV27" s="1933" t="s">
        <v>906</v>
      </c>
      <c r="AW27" s="1871">
        <v>21.62</v>
      </c>
      <c r="AX27" s="1934">
        <v>45737518</v>
      </c>
      <c r="AY27" s="1912">
        <f>+AX27/G27</f>
        <v>1.0163892888888888</v>
      </c>
    </row>
    <row r="28" spans="1:51" s="22" customFormat="1" ht="24.75" thickTop="1" thickBot="1">
      <c r="A28" s="314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1935" t="s">
        <v>777</v>
      </c>
      <c r="M28" s="1935" t="s">
        <v>777</v>
      </c>
      <c r="N28" s="1936" t="s">
        <v>777</v>
      </c>
      <c r="O28" s="1935" t="s">
        <v>777</v>
      </c>
      <c r="P28" s="1935" t="s">
        <v>777</v>
      </c>
      <c r="Q28" s="1936" t="s">
        <v>777</v>
      </c>
      <c r="R28" s="1935" t="s">
        <v>777</v>
      </c>
      <c r="S28" s="1935" t="s">
        <v>777</v>
      </c>
      <c r="T28" s="1936" t="s">
        <v>777</v>
      </c>
      <c r="U28" s="1935" t="s">
        <v>777</v>
      </c>
      <c r="V28" s="1935" t="s">
        <v>777</v>
      </c>
      <c r="W28" s="1936" t="s">
        <v>777</v>
      </c>
      <c r="X28" s="1935" t="s">
        <v>777</v>
      </c>
      <c r="Y28" s="1935" t="s">
        <v>777</v>
      </c>
      <c r="Z28" s="1936" t="s">
        <v>777</v>
      </c>
      <c r="AA28" s="1935" t="s">
        <v>777</v>
      </c>
      <c r="AB28" s="1935" t="s">
        <v>777</v>
      </c>
      <c r="AC28" s="1936" t="s">
        <v>777</v>
      </c>
      <c r="AD28" s="1935" t="s">
        <v>777</v>
      </c>
      <c r="AE28" s="1936" t="s">
        <v>777</v>
      </c>
      <c r="AF28" s="1935" t="s">
        <v>777</v>
      </c>
      <c r="AG28" s="1935" t="s">
        <v>777</v>
      </c>
      <c r="AH28" s="1936" t="s">
        <v>777</v>
      </c>
      <c r="AI28" s="1935" t="s">
        <v>777</v>
      </c>
      <c r="AJ28" s="1935" t="s">
        <v>777</v>
      </c>
      <c r="AK28" s="1936" t="s">
        <v>777</v>
      </c>
      <c r="AL28" s="1935" t="s">
        <v>777</v>
      </c>
      <c r="AM28" s="1935" t="s">
        <v>777</v>
      </c>
      <c r="AN28" s="1936" t="s">
        <v>777</v>
      </c>
      <c r="AO28" s="1935" t="s">
        <v>777</v>
      </c>
      <c r="AP28" s="1935" t="s">
        <v>777</v>
      </c>
      <c r="AQ28" s="1936" t="s">
        <v>777</v>
      </c>
      <c r="AR28" s="1935" t="s">
        <v>777</v>
      </c>
      <c r="AS28" s="1935" t="s">
        <v>777</v>
      </c>
      <c r="AT28" s="1936" t="s">
        <v>777</v>
      </c>
      <c r="AU28" s="1935" t="s">
        <v>777</v>
      </c>
      <c r="AV28" s="1935" t="s">
        <v>777</v>
      </c>
      <c r="AW28" s="1936" t="s">
        <v>777</v>
      </c>
      <c r="AX28" s="1937" t="s">
        <v>777</v>
      </c>
      <c r="AY28" s="1937" t="s">
        <v>777</v>
      </c>
    </row>
    <row r="29" spans="1:51" s="958" customFormat="1" ht="106.5" thickTop="1" thickBot="1">
      <c r="A29" s="2940" t="s">
        <v>142</v>
      </c>
      <c r="B29" s="3169" t="s">
        <v>631</v>
      </c>
      <c r="C29" s="418" t="s">
        <v>907</v>
      </c>
      <c r="D29" s="1201" t="s">
        <v>144</v>
      </c>
      <c r="E29" s="418" t="s">
        <v>145</v>
      </c>
      <c r="F29" s="418" t="s">
        <v>17</v>
      </c>
      <c r="G29" s="1780">
        <v>10</v>
      </c>
      <c r="H29" s="691"/>
      <c r="I29" s="692"/>
      <c r="J29" s="691"/>
      <c r="K29" s="418" t="s">
        <v>146</v>
      </c>
      <c r="L29" s="1904" t="s">
        <v>776</v>
      </c>
      <c r="M29" s="1904" t="s">
        <v>777</v>
      </c>
      <c r="N29" s="1879" t="e">
        <v>#DIV/0!</v>
      </c>
      <c r="O29" s="1904" t="s">
        <v>776</v>
      </c>
      <c r="P29" s="1904" t="s">
        <v>777</v>
      </c>
      <c r="Q29" s="1879" t="e">
        <v>#DIV/0!</v>
      </c>
      <c r="R29" s="1904" t="s">
        <v>778</v>
      </c>
      <c r="S29" s="1904" t="s">
        <v>777</v>
      </c>
      <c r="T29" s="1879" t="e">
        <v>#DIV/0!</v>
      </c>
      <c r="U29" s="1904" t="s">
        <v>778</v>
      </c>
      <c r="V29" s="1904" t="s">
        <v>777</v>
      </c>
      <c r="W29" s="1879" t="e">
        <v>#DIV/0!</v>
      </c>
      <c r="X29" s="1904" t="s">
        <v>778</v>
      </c>
      <c r="Y29" s="1904" t="s">
        <v>777</v>
      </c>
      <c r="Z29" s="1879" t="e">
        <v>#DIV/0!</v>
      </c>
      <c r="AA29" s="1904" t="s">
        <v>778</v>
      </c>
      <c r="AB29" s="1904" t="s">
        <v>777</v>
      </c>
      <c r="AC29" s="1879" t="e">
        <v>#DIV/0!</v>
      </c>
      <c r="AD29" s="1904" t="s">
        <v>778</v>
      </c>
      <c r="AE29" s="1900">
        <v>0</v>
      </c>
      <c r="AF29" s="1904" t="s">
        <v>778</v>
      </c>
      <c r="AG29" s="1904" t="s">
        <v>777</v>
      </c>
      <c r="AH29" s="1879" t="e">
        <v>#DIV/0!</v>
      </c>
      <c r="AI29" s="1904" t="s">
        <v>778</v>
      </c>
      <c r="AJ29" s="1904" t="s">
        <v>777</v>
      </c>
      <c r="AK29" s="1879" t="e">
        <v>#DIV/0!</v>
      </c>
      <c r="AL29" s="1904" t="s">
        <v>778</v>
      </c>
      <c r="AM29" s="1904" t="s">
        <v>777</v>
      </c>
      <c r="AN29" s="1879" t="e">
        <v>#DIV/0!</v>
      </c>
      <c r="AO29" s="1904" t="s">
        <v>778</v>
      </c>
      <c r="AP29" s="1904" t="s">
        <v>777</v>
      </c>
      <c r="AQ29" s="1879" t="e">
        <v>#DIV/0!</v>
      </c>
      <c r="AR29" s="1904" t="s">
        <v>778</v>
      </c>
      <c r="AS29" s="1904" t="s">
        <v>777</v>
      </c>
      <c r="AT29" s="1879" t="e">
        <v>#DIV/0!</v>
      </c>
      <c r="AU29" s="1904">
        <v>10</v>
      </c>
      <c r="AV29" s="1904" t="s">
        <v>777</v>
      </c>
      <c r="AW29" s="1900">
        <v>0</v>
      </c>
      <c r="AX29" s="1896" t="s">
        <v>778</v>
      </c>
      <c r="AY29" s="1927"/>
    </row>
    <row r="30" spans="1:51" s="22" customFormat="1" ht="61.5" thickTop="1" thickBot="1">
      <c r="A30" s="2940"/>
      <c r="B30" s="3170"/>
      <c r="C30" s="389" t="s">
        <v>147</v>
      </c>
      <c r="D30" s="17" t="s">
        <v>148</v>
      </c>
      <c r="E30" s="561" t="s">
        <v>149</v>
      </c>
      <c r="F30" s="561" t="s">
        <v>8</v>
      </c>
      <c r="G30" s="1938">
        <v>10.199999999999999</v>
      </c>
      <c r="H30" s="561"/>
      <c r="I30" s="389">
        <v>10.199999999999999</v>
      </c>
      <c r="J30" s="561"/>
      <c r="K30" s="561" t="s">
        <v>9</v>
      </c>
      <c r="L30" s="1939" t="s">
        <v>908</v>
      </c>
      <c r="M30" s="1873" t="s">
        <v>778</v>
      </c>
      <c r="N30" s="1925" t="e">
        <v>#DIV/0!</v>
      </c>
      <c r="O30" s="1873" t="s">
        <v>908</v>
      </c>
      <c r="P30" s="1873" t="s">
        <v>778</v>
      </c>
      <c r="Q30" s="1925" t="e">
        <v>#DIV/0!</v>
      </c>
      <c r="R30" s="1873" t="s">
        <v>908</v>
      </c>
      <c r="S30" s="1873" t="s">
        <v>909</v>
      </c>
      <c r="T30" s="1872">
        <v>1.08</v>
      </c>
      <c r="U30" s="1873" t="s">
        <v>908</v>
      </c>
      <c r="V30" s="1873" t="s">
        <v>778</v>
      </c>
      <c r="W30" s="1925" t="e">
        <v>#DIV/0!</v>
      </c>
      <c r="X30" s="1873" t="s">
        <v>908</v>
      </c>
      <c r="Y30" s="1873" t="s">
        <v>778</v>
      </c>
      <c r="Z30" s="1925" t="e">
        <v>#DIV/0!</v>
      </c>
      <c r="AA30" s="1873" t="s">
        <v>908</v>
      </c>
      <c r="AB30" s="1873" t="s">
        <v>910</v>
      </c>
      <c r="AC30" s="1874">
        <v>0.99</v>
      </c>
      <c r="AD30" s="1873" t="s">
        <v>911</v>
      </c>
      <c r="AE30" s="1870">
        <v>0.52</v>
      </c>
      <c r="AF30" s="1873" t="s">
        <v>912</v>
      </c>
      <c r="AG30" s="1873" t="s">
        <v>913</v>
      </c>
      <c r="AH30" s="1874">
        <v>0.98</v>
      </c>
      <c r="AI30" s="1873" t="s">
        <v>912</v>
      </c>
      <c r="AJ30" s="1873" t="s">
        <v>914</v>
      </c>
      <c r="AK30" s="1925" t="e">
        <v>#VALUE!</v>
      </c>
      <c r="AL30" s="1873" t="s">
        <v>912</v>
      </c>
      <c r="AM30" s="1873" t="s">
        <v>914</v>
      </c>
      <c r="AN30" s="1925" t="e">
        <v>#VALUE!</v>
      </c>
      <c r="AO30" s="1873" t="s">
        <v>912</v>
      </c>
      <c r="AP30" s="1873" t="s">
        <v>914</v>
      </c>
      <c r="AQ30" s="1925" t="e">
        <v>#VALUE!</v>
      </c>
      <c r="AR30" s="1873" t="s">
        <v>912</v>
      </c>
      <c r="AS30" s="1873" t="s">
        <v>777</v>
      </c>
      <c r="AT30" s="1925" t="e">
        <v>#DIV/0!</v>
      </c>
      <c r="AU30" s="1873" t="s">
        <v>912</v>
      </c>
      <c r="AV30" s="1873" t="s">
        <v>777</v>
      </c>
      <c r="AW30" s="1925" t="e">
        <v>#DIV/0!</v>
      </c>
      <c r="AX30" s="1940">
        <v>10</v>
      </c>
      <c r="AY30" s="1912">
        <f>+G30/AX30</f>
        <v>1.02</v>
      </c>
    </row>
    <row r="31" spans="1:51" ht="57.75" thickTop="1" thickBot="1">
      <c r="A31" s="2941"/>
      <c r="B31" s="695" t="s">
        <v>150</v>
      </c>
      <c r="C31" s="25" t="s">
        <v>379</v>
      </c>
      <c r="D31" s="24" t="s">
        <v>152</v>
      </c>
      <c r="E31" s="25" t="s">
        <v>183</v>
      </c>
      <c r="F31" s="25" t="s">
        <v>17</v>
      </c>
      <c r="G31" s="99">
        <v>37</v>
      </c>
      <c r="H31" s="25"/>
      <c r="I31" s="25">
        <v>37</v>
      </c>
      <c r="J31" s="25"/>
      <c r="K31" s="25" t="s">
        <v>21</v>
      </c>
      <c r="L31" s="1877" t="s">
        <v>915</v>
      </c>
      <c r="M31" s="1878" t="s">
        <v>916</v>
      </c>
      <c r="N31" s="1874">
        <v>0.84</v>
      </c>
      <c r="O31" s="1878" t="s">
        <v>915</v>
      </c>
      <c r="P31" s="1878" t="s">
        <v>917</v>
      </c>
      <c r="Q31" s="1874">
        <v>0.82</v>
      </c>
      <c r="R31" s="1878" t="s">
        <v>918</v>
      </c>
      <c r="S31" s="1878" t="s">
        <v>919</v>
      </c>
      <c r="T31" s="1874">
        <v>0.86</v>
      </c>
      <c r="U31" s="1878" t="s">
        <v>918</v>
      </c>
      <c r="V31" s="1878" t="s">
        <v>917</v>
      </c>
      <c r="W31" s="1874">
        <v>0.82</v>
      </c>
      <c r="X31" s="1878" t="s">
        <v>918</v>
      </c>
      <c r="Y31" s="1878" t="s">
        <v>920</v>
      </c>
      <c r="Z31" s="1871">
        <v>1.85</v>
      </c>
      <c r="AA31" s="1878" t="s">
        <v>918</v>
      </c>
      <c r="AB31" s="1878" t="s">
        <v>860</v>
      </c>
      <c r="AC31" s="1871">
        <v>2.31</v>
      </c>
      <c r="AD31" s="1878">
        <v>31</v>
      </c>
      <c r="AE31" s="1871">
        <v>1.19</v>
      </c>
      <c r="AF31" s="1878">
        <v>37</v>
      </c>
      <c r="AG31" s="1878">
        <v>15</v>
      </c>
      <c r="AH31" s="1871">
        <v>2.4700000000000002</v>
      </c>
      <c r="AI31" s="1878">
        <v>37</v>
      </c>
      <c r="AJ31" s="1878">
        <v>32</v>
      </c>
      <c r="AK31" s="1871">
        <v>1.1599999999999999</v>
      </c>
      <c r="AL31" s="1878">
        <v>37</v>
      </c>
      <c r="AM31" s="1878">
        <v>44</v>
      </c>
      <c r="AN31" s="1874">
        <v>0.84</v>
      </c>
      <c r="AO31" s="1878">
        <v>37</v>
      </c>
      <c r="AP31" s="1878">
        <v>43</v>
      </c>
      <c r="AQ31" s="1874">
        <v>0.86</v>
      </c>
      <c r="AR31" s="1878">
        <v>37</v>
      </c>
      <c r="AS31" s="1878">
        <v>47</v>
      </c>
      <c r="AT31" s="1874">
        <v>0.79</v>
      </c>
      <c r="AU31" s="1878">
        <v>37</v>
      </c>
      <c r="AV31" s="1878">
        <v>46</v>
      </c>
      <c r="AW31" s="1874">
        <v>0.8</v>
      </c>
      <c r="AX31" s="1896">
        <v>35</v>
      </c>
      <c r="AY31" s="1912">
        <f>+G31/AX31</f>
        <v>1.0571428571428572</v>
      </c>
    </row>
    <row r="32" spans="1:51" s="22" customFormat="1" ht="24.7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941" t="s">
        <v>777</v>
      </c>
      <c r="M32" s="1941" t="s">
        <v>777</v>
      </c>
      <c r="N32" s="1942" t="s">
        <v>777</v>
      </c>
      <c r="O32" s="1941" t="s">
        <v>777</v>
      </c>
      <c r="P32" s="1941" t="s">
        <v>777</v>
      </c>
      <c r="Q32" s="1942" t="s">
        <v>777</v>
      </c>
      <c r="R32" s="1941" t="s">
        <v>777</v>
      </c>
      <c r="S32" s="1941" t="s">
        <v>777</v>
      </c>
      <c r="T32" s="1942" t="s">
        <v>777</v>
      </c>
      <c r="U32" s="1941" t="s">
        <v>777</v>
      </c>
      <c r="V32" s="1941" t="s">
        <v>777</v>
      </c>
      <c r="W32" s="1942" t="s">
        <v>777</v>
      </c>
      <c r="X32" s="1941" t="s">
        <v>777</v>
      </c>
      <c r="Y32" s="1941" t="s">
        <v>777</v>
      </c>
      <c r="Z32" s="1942" t="s">
        <v>777</v>
      </c>
      <c r="AA32" s="1941" t="s">
        <v>777</v>
      </c>
      <c r="AB32" s="1941" t="s">
        <v>777</v>
      </c>
      <c r="AC32" s="1942" t="s">
        <v>777</v>
      </c>
      <c r="AD32" s="1941" t="s">
        <v>777</v>
      </c>
      <c r="AE32" s="1942" t="s">
        <v>777</v>
      </c>
      <c r="AF32" s="1941" t="s">
        <v>777</v>
      </c>
      <c r="AG32" s="1941" t="s">
        <v>777</v>
      </c>
      <c r="AH32" s="1942" t="s">
        <v>777</v>
      </c>
      <c r="AI32" s="1941" t="s">
        <v>777</v>
      </c>
      <c r="AJ32" s="1941" t="s">
        <v>777</v>
      </c>
      <c r="AK32" s="1942" t="s">
        <v>777</v>
      </c>
      <c r="AL32" s="1941" t="s">
        <v>777</v>
      </c>
      <c r="AM32" s="1941" t="s">
        <v>777</v>
      </c>
      <c r="AN32" s="1942" t="s">
        <v>777</v>
      </c>
      <c r="AO32" s="1941" t="s">
        <v>777</v>
      </c>
      <c r="AP32" s="1941" t="s">
        <v>777</v>
      </c>
      <c r="AQ32" s="1942" t="s">
        <v>777</v>
      </c>
      <c r="AR32" s="1941" t="s">
        <v>777</v>
      </c>
      <c r="AS32" s="1941" t="s">
        <v>777</v>
      </c>
      <c r="AT32" s="1942" t="s">
        <v>777</v>
      </c>
      <c r="AU32" s="1941" t="s">
        <v>777</v>
      </c>
      <c r="AV32" s="1941" t="s">
        <v>777</v>
      </c>
      <c r="AW32" s="1942" t="s">
        <v>777</v>
      </c>
      <c r="AX32" s="1943" t="s">
        <v>777</v>
      </c>
      <c r="AY32" s="1943" t="s">
        <v>777</v>
      </c>
    </row>
    <row r="33" spans="1:51" s="958" customFormat="1" ht="64.5" thickTop="1" thickBot="1">
      <c r="A33" s="1205" t="s">
        <v>155</v>
      </c>
      <c r="B33" s="1782" t="s">
        <v>156</v>
      </c>
      <c r="C33" s="371" t="s">
        <v>184</v>
      </c>
      <c r="D33" s="1198" t="s">
        <v>158</v>
      </c>
      <c r="E33" s="371" t="s">
        <v>159</v>
      </c>
      <c r="F33" s="371" t="s">
        <v>17</v>
      </c>
      <c r="G33" s="1938">
        <v>10</v>
      </c>
      <c r="H33" s="693"/>
      <c r="I33" s="694"/>
      <c r="J33" s="693"/>
      <c r="K33" s="371" t="s">
        <v>27</v>
      </c>
      <c r="L33" s="1899" t="s">
        <v>776</v>
      </c>
      <c r="M33" s="1899" t="s">
        <v>777</v>
      </c>
      <c r="N33" s="1879" t="e">
        <v>#DIV/0!</v>
      </c>
      <c r="O33" s="1899" t="s">
        <v>776</v>
      </c>
      <c r="P33" s="1899" t="s">
        <v>777</v>
      </c>
      <c r="Q33" s="1879" t="e">
        <v>#DIV/0!</v>
      </c>
      <c r="R33" s="1899" t="s">
        <v>778</v>
      </c>
      <c r="S33" s="1899" t="s">
        <v>777</v>
      </c>
      <c r="T33" s="1879" t="e">
        <v>#DIV/0!</v>
      </c>
      <c r="U33" s="1899" t="s">
        <v>778</v>
      </c>
      <c r="V33" s="1899" t="s">
        <v>777</v>
      </c>
      <c r="W33" s="1879" t="e">
        <v>#DIV/0!</v>
      </c>
      <c r="X33" s="1899" t="s">
        <v>779</v>
      </c>
      <c r="Y33" s="1899" t="s">
        <v>779</v>
      </c>
      <c r="Z33" s="1874">
        <v>1</v>
      </c>
      <c r="AA33" s="1899" t="s">
        <v>778</v>
      </c>
      <c r="AB33" s="1899" t="s">
        <v>777</v>
      </c>
      <c r="AC33" s="1879" t="e">
        <v>#DIV/0!</v>
      </c>
      <c r="AD33" s="1899">
        <v>2</v>
      </c>
      <c r="AE33" s="1870">
        <v>0.2</v>
      </c>
      <c r="AF33" s="1899">
        <v>1</v>
      </c>
      <c r="AG33" s="1899">
        <v>1</v>
      </c>
      <c r="AH33" s="1874">
        <v>1</v>
      </c>
      <c r="AI33" s="1899">
        <v>3</v>
      </c>
      <c r="AJ33" s="1899">
        <v>3</v>
      </c>
      <c r="AK33" s="1874">
        <v>1</v>
      </c>
      <c r="AL33" s="1899">
        <v>1</v>
      </c>
      <c r="AM33" s="1899">
        <v>1</v>
      </c>
      <c r="AN33" s="1874">
        <v>1</v>
      </c>
      <c r="AO33" s="1899">
        <v>3</v>
      </c>
      <c r="AP33" s="1899">
        <v>3</v>
      </c>
      <c r="AQ33" s="1874">
        <v>1</v>
      </c>
      <c r="AR33" s="1899" t="s">
        <v>778</v>
      </c>
      <c r="AS33" s="1899" t="s">
        <v>777</v>
      </c>
      <c r="AT33" s="1879" t="e">
        <v>#DIV/0!</v>
      </c>
      <c r="AU33" s="1899" t="s">
        <v>778</v>
      </c>
      <c r="AV33" s="1899" t="s">
        <v>777</v>
      </c>
      <c r="AW33" s="1879" t="e">
        <v>#DIV/0!</v>
      </c>
      <c r="AX33" s="1896">
        <v>10</v>
      </c>
      <c r="AY33" s="1876">
        <f>+AX33/G33</f>
        <v>1</v>
      </c>
    </row>
  </sheetData>
  <sheetProtection algorithmName="SHA-512" hashValue="CAdHTYdJ0jdk5Fxk0pLl2CEAlEZZMJ85Mp+P8pF30q9JMhb4UG9y7+jew42uZ4ZT/uBKFGpC/SPGfvcTRVax1w==" saltValue="1eZiu15w4gojqJZu5kdjyw==" spinCount="100000" sheet="1" objects="1" scenarios="1"/>
  <mergeCells count="35">
    <mergeCell ref="A2:K2"/>
    <mergeCell ref="A3:K3"/>
    <mergeCell ref="A5:A7"/>
    <mergeCell ref="B5:B7"/>
    <mergeCell ref="C5:C7"/>
    <mergeCell ref="D5:D7"/>
    <mergeCell ref="E5:E7"/>
    <mergeCell ref="F5:F7"/>
    <mergeCell ref="G5:G7"/>
    <mergeCell ref="H5:J6"/>
    <mergeCell ref="AU5:AW7"/>
    <mergeCell ref="AX5:AY7"/>
    <mergeCell ref="A8:K8"/>
    <mergeCell ref="A9:A27"/>
    <mergeCell ref="B9:B10"/>
    <mergeCell ref="B11:B26"/>
    <mergeCell ref="C12:C15"/>
    <mergeCell ref="C20:C26"/>
    <mergeCell ref="AA5:AC7"/>
    <mergeCell ref="AD5:AE7"/>
    <mergeCell ref="AF5:AH7"/>
    <mergeCell ref="AI5:AK7"/>
    <mergeCell ref="AL5:AN7"/>
    <mergeCell ref="AO5:AQ7"/>
    <mergeCell ref="K5:K7"/>
    <mergeCell ref="L5:N7"/>
    <mergeCell ref="A28:K28"/>
    <mergeCell ref="A29:A31"/>
    <mergeCell ref="B29:B30"/>
    <mergeCell ref="A32:K32"/>
    <mergeCell ref="AR5:AT7"/>
    <mergeCell ref="O5:Q7"/>
    <mergeCell ref="R5:T7"/>
    <mergeCell ref="U5:W7"/>
    <mergeCell ref="X5:Z7"/>
  </mergeCells>
  <hyperlinks>
    <hyperlink ref="D11" location="'IN1-3'!A1" display="IN1-3 Recaudo Bruto" xr:uid="{00000000-0004-0000-1C00-000000000000}"/>
    <hyperlink ref="D12" location="'FIS-4'!A1" display="FIS-4 Gestión efectiva en fiscalización tributaria" xr:uid="{00000000-0004-0000-1C00-000001000000}"/>
    <hyperlink ref="D13" location="'FIS-10'!A1" display="FIS-10 Gestión aceptada en fiscalización tributaria" xr:uid="{00000000-0004-0000-1C00-000002000000}"/>
    <hyperlink ref="D14" location="'FIS-17'!A1" display="FIS-17 Evacuación de expedientes en fiscalización tributaria" xr:uid="{00000000-0004-0000-1C00-000003000000}"/>
    <hyperlink ref="D15" location="'FIS-27'!A1" display="FIS-27 Reclasificación de no responsables a responsables" xr:uid="{00000000-0004-0000-1C00-000004000000}"/>
    <hyperlink ref="D16" location="'IN1-4'!A1" display="IN1-4 Recaudo por gestión de cartera" xr:uid="{00000000-0004-0000-1C00-000005000000}"/>
    <hyperlink ref="D17" location="'IN1-5'!A1" display="IN1-5 Inscritos en el Régimen Simple de Tributación - RST" xr:uid="{00000000-0004-0000-1C00-000006000000}"/>
    <hyperlink ref="D18" location="'IN1-6.1'!A1" display="IN1-6.1 Grado de cumplimiento del cronograma de campañas del RST" xr:uid="{00000000-0004-0000-1C00-000007000000}"/>
    <hyperlink ref="D19" location="'IN1-8'!A1" display="IN1-8 Contribuyentes habilitados como facturadores electrónicos" xr:uid="{00000000-0004-0000-1C00-000008000000}"/>
    <hyperlink ref="D20" location="'JUR-3.1'!A1" display="JUR-3.1 Porcentaje de éxito de litigiosidad" xr:uid="{00000000-0004-0000-1C00-000009000000}"/>
    <hyperlink ref="D21" location="'JUR-3.2'!A1" display="JUR-3.2 Porcentaje procesos judiciales revisados con mayor riesgo en Ekogui" xr:uid="{00000000-0004-0000-1C00-00000A000000}"/>
    <hyperlink ref="D22" location="'JUR-3.3'!A1" display="JUR-3.3 Porcentaje de análisis de jurisprudencia remitidos junto con la copia de la sentencia " xr:uid="{00000000-0004-0000-1C00-00000B000000}"/>
    <hyperlink ref="D23" location="'JUR-3.4'!A1" display="JUR-3.4 Porcentaje de procesos revisados con VoBo del Jefe " xr:uid="{00000000-0004-0000-1C00-00000C000000}"/>
    <hyperlink ref="D24" location="'JUR-3.5'!A1" display="JUR-3.5 Porcentaje de requerimientos atendidos en oportunidad" xr:uid="{00000000-0004-0000-1C00-00000D000000}"/>
    <hyperlink ref="D25" location="'JUR-3.6'!A1" display="JUR-3.6 Porcentaje funcionarios capacitaciones en cursos virtuales de la ANDJE" xr:uid="{00000000-0004-0000-1C00-00000E000000}"/>
    <hyperlink ref="D26" location="'JUR-4'!A1" display="JUR-4 Porcentaje funcionarios que participaron en el concurso de escritura jurídica" xr:uid="{00000000-0004-0000-1C00-00000F000000}"/>
    <hyperlink ref="D27" location="'FIS-24'!A1" display="FIS-24 Valor Decomisos de mercancías en firme" xr:uid="{00000000-0004-0000-1C00-000010000000}"/>
    <hyperlink ref="D29" location="'IN1-11'!A1" display="IN1-11  Nivel de cobertura de personas sensibilizadas por el plan de cultura. ACTUALMENTE. Cumplimiento al Plan de Acción de Cultura de la Contribución" xr:uid="{00000000-0004-0000-1C00-000011000000}"/>
    <hyperlink ref="D30" location="'JUR-7'!A1" display="JUR-7 Oportunidad en las decisiones de los recursos tributarios hasta su remisión a notificaciones" xr:uid="{00000000-0004-0000-1C00-000012000000}"/>
    <hyperlink ref="D31" location="'IN1-15'!A1" display="'IN1-15'!A1" xr:uid="{00000000-0004-0000-1C00-000013000000}"/>
    <hyperlink ref="D9" location="'DGRAE-1'!A1" display="IDGRAE-1 Nivel de Ejecución del presupuesto " xr:uid="{00000000-0004-0000-1C00-000014000000}"/>
    <hyperlink ref="D10" location="'DGRAE-2'!A1" display="DGRAE-2 Nivel de ejecución del PAA de la Dirección" xr:uid="{00000000-0004-0000-1C00-000015000000}"/>
    <hyperlink ref="D33" location="'DGRAE-25'!A1" display="DGRAE-25 Actividades que componen el  PIC para la Dirección de Gestión" xr:uid="{00000000-0004-0000-1C00-000016000000}"/>
    <hyperlink ref="AY1" location="'Consolidado '!A1" display="VOLVER" xr:uid="{00000000-0004-0000-1C00-000017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35"/>
  <sheetViews>
    <sheetView topLeftCell="D1" zoomScale="80" zoomScaleNormal="80" workbookViewId="0">
      <selection activeCell="AX31" sqref="AX31"/>
    </sheetView>
  </sheetViews>
  <sheetFormatPr baseColWidth="10" defaultColWidth="0" defaultRowHeight="16.5" customHeight="1" zeroHeight="1"/>
  <cols>
    <col min="1" max="1" width="19.140625" customWidth="1"/>
    <col min="2" max="2" width="30.5703125" style="8" customWidth="1"/>
    <col min="3" max="3" width="35" style="63" customWidth="1"/>
    <col min="4" max="4" width="25.85546875" style="8" bestFit="1" customWidth="1"/>
    <col min="5" max="5" width="48.7109375" style="8" customWidth="1"/>
    <col min="6" max="6" width="20.85546875" style="8" customWidth="1"/>
    <col min="7" max="7" width="23.140625" style="63" customWidth="1"/>
    <col min="8" max="8" width="8.85546875" style="8" hidden="1" customWidth="1"/>
    <col min="9" max="9" width="21.140625" style="8" hidden="1" customWidth="1"/>
    <col min="10" max="10" width="10.28515625" style="8" hidden="1" customWidth="1"/>
    <col min="11" max="11" width="27.85546875" style="8" customWidth="1"/>
    <col min="12" max="13" width="21.7109375" style="8" hidden="1" customWidth="1"/>
    <col min="14" max="14" width="21.7109375" style="444" hidden="1" customWidth="1"/>
    <col min="15" max="16" width="21.7109375" style="8" hidden="1" customWidth="1"/>
    <col min="17" max="17" width="21.7109375" style="444" hidden="1" customWidth="1"/>
    <col min="18" max="19" width="21.7109375" style="8" hidden="1" customWidth="1"/>
    <col min="20" max="20" width="21.7109375" style="444" hidden="1" customWidth="1"/>
    <col min="21" max="22" width="21.7109375" style="8" hidden="1" customWidth="1"/>
    <col min="23" max="23" width="21.7109375" style="444" hidden="1" customWidth="1"/>
    <col min="24" max="25" width="21.7109375" style="8" hidden="1" customWidth="1"/>
    <col min="26" max="26" width="21.7109375" style="444" hidden="1" customWidth="1"/>
    <col min="27" max="28" width="21.7109375" style="8" hidden="1" customWidth="1"/>
    <col min="29" max="29" width="21.7109375" style="444" hidden="1" customWidth="1"/>
    <col min="30" max="30" width="21.7109375" style="8" hidden="1" customWidth="1"/>
    <col min="31" max="31" width="21.7109375" style="444" hidden="1" customWidth="1"/>
    <col min="32" max="33" width="21.7109375" style="8" hidden="1" customWidth="1"/>
    <col min="34" max="34" width="21.7109375" style="444" hidden="1" customWidth="1"/>
    <col min="35" max="36" width="21.7109375" style="8" hidden="1" customWidth="1"/>
    <col min="37" max="37" width="21.7109375" style="444" hidden="1" customWidth="1"/>
    <col min="38" max="39" width="21.7109375" style="8" hidden="1" customWidth="1"/>
    <col min="40" max="40" width="21.7109375" style="444" hidden="1" customWidth="1"/>
    <col min="41" max="42" width="21.7109375" style="8" hidden="1" customWidth="1"/>
    <col min="43" max="43" width="21.7109375" style="444" hidden="1" customWidth="1"/>
    <col min="44" max="45" width="21.7109375" style="8" hidden="1" customWidth="1"/>
    <col min="46" max="46" width="21.7109375" style="444" hidden="1" customWidth="1"/>
    <col min="47" max="48" width="21.7109375" style="8" hidden="1" customWidth="1"/>
    <col min="49" max="49" width="21.7109375" style="444" hidden="1" customWidth="1"/>
    <col min="50" max="50" width="21.85546875" style="8" customWidth="1"/>
    <col min="51" max="51" width="11.42578125" style="444" customWidth="1"/>
    <col min="52" max="16384" width="11.42578125" style="8" hidden="1"/>
  </cols>
  <sheetData>
    <row r="1" spans="1:51" ht="26.25">
      <c r="A1" s="101"/>
      <c r="B1" s="101"/>
      <c r="C1" s="443" t="s">
        <v>324</v>
      </c>
      <c r="D1" s="443"/>
      <c r="E1" s="443"/>
      <c r="F1" s="443"/>
      <c r="G1" s="443"/>
      <c r="H1" s="443"/>
      <c r="I1" s="443"/>
      <c r="J1" s="443"/>
      <c r="K1" s="443"/>
    </row>
    <row r="2" spans="1:51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AY2" s="545" t="s">
        <v>185</v>
      </c>
    </row>
    <row r="3" spans="1:51">
      <c r="A3" s="2866" t="s">
        <v>325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  <c r="AY3" s="444">
        <f>+(AY9+AY10+AY11+AY12+AY13+AY14+AY15+AY16+AY17+AY18+AY19+AY20+AY21+AY22+AY23+AY24+AY25+AY26+AY27+AY29+AY30+AY31+AY33)/23</f>
        <v>1.371148310619839</v>
      </c>
    </row>
    <row r="4" spans="1:51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1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23" t="s">
        <v>4</v>
      </c>
      <c r="H5" s="2823" t="s">
        <v>161</v>
      </c>
      <c r="I5" s="2823"/>
      <c r="J5" s="2823"/>
      <c r="K5" s="2823" t="s">
        <v>5</v>
      </c>
      <c r="L5" s="2832" t="s">
        <v>70</v>
      </c>
      <c r="M5" s="2832"/>
      <c r="N5" s="2832"/>
      <c r="O5" s="2832" t="s">
        <v>71</v>
      </c>
      <c r="P5" s="2832"/>
      <c r="Q5" s="2875"/>
      <c r="R5" s="2832" t="s">
        <v>72</v>
      </c>
      <c r="S5" s="2832"/>
      <c r="T5" s="2875"/>
      <c r="U5" s="2832" t="s">
        <v>73</v>
      </c>
      <c r="V5" s="2832"/>
      <c r="W5" s="2875"/>
      <c r="X5" s="2832" t="s">
        <v>74</v>
      </c>
      <c r="Y5" s="2832"/>
      <c r="Z5" s="2875"/>
      <c r="AA5" s="2832" t="s">
        <v>75</v>
      </c>
      <c r="AB5" s="2832"/>
      <c r="AC5" s="2875"/>
      <c r="AD5" s="2832" t="s">
        <v>188</v>
      </c>
      <c r="AE5" s="2832"/>
      <c r="AF5" s="2832" t="s">
        <v>76</v>
      </c>
      <c r="AG5" s="2832"/>
      <c r="AH5" s="2832"/>
      <c r="AI5" s="2832" t="s">
        <v>77</v>
      </c>
      <c r="AJ5" s="2832"/>
      <c r="AK5" s="2875"/>
      <c r="AL5" s="2832" t="s">
        <v>78</v>
      </c>
      <c r="AM5" s="2832"/>
      <c r="AN5" s="2875"/>
      <c r="AO5" s="2832" t="s">
        <v>79</v>
      </c>
      <c r="AP5" s="2832"/>
      <c r="AQ5" s="2875"/>
      <c r="AR5" s="2832" t="s">
        <v>80</v>
      </c>
      <c r="AS5" s="2832"/>
      <c r="AT5" s="2875"/>
      <c r="AU5" s="2832" t="s">
        <v>81</v>
      </c>
      <c r="AV5" s="2832"/>
      <c r="AW5" s="2832"/>
      <c r="AX5" s="2832" t="s">
        <v>82</v>
      </c>
      <c r="AY5" s="2836"/>
    </row>
    <row r="6" spans="1:51" ht="18" thickTop="1" thickBot="1">
      <c r="A6" s="2823"/>
      <c r="B6" s="2823"/>
      <c r="C6" s="2823"/>
      <c r="D6" s="2823"/>
      <c r="E6" s="2823"/>
      <c r="F6" s="2823"/>
      <c r="G6" s="2823"/>
      <c r="H6" s="2823"/>
      <c r="I6" s="2823"/>
      <c r="J6" s="2823"/>
      <c r="K6" s="2823"/>
      <c r="L6" s="2823"/>
      <c r="M6" s="2823"/>
      <c r="N6" s="2823"/>
      <c r="O6" s="2823"/>
      <c r="P6" s="2823"/>
      <c r="Q6" s="2876"/>
      <c r="R6" s="2823"/>
      <c r="S6" s="2823"/>
      <c r="T6" s="2876"/>
      <c r="U6" s="2823"/>
      <c r="V6" s="2823"/>
      <c r="W6" s="2876"/>
      <c r="X6" s="2823"/>
      <c r="Y6" s="2823"/>
      <c r="Z6" s="2876"/>
      <c r="AA6" s="2823"/>
      <c r="AB6" s="2823"/>
      <c r="AC6" s="2876"/>
      <c r="AD6" s="2823"/>
      <c r="AE6" s="2823"/>
      <c r="AF6" s="2823"/>
      <c r="AG6" s="2823"/>
      <c r="AH6" s="2823"/>
      <c r="AI6" s="2823"/>
      <c r="AJ6" s="2823"/>
      <c r="AK6" s="2876"/>
      <c r="AL6" s="2823"/>
      <c r="AM6" s="2823"/>
      <c r="AN6" s="2876"/>
      <c r="AO6" s="2823"/>
      <c r="AP6" s="2823"/>
      <c r="AQ6" s="2876"/>
      <c r="AR6" s="2823"/>
      <c r="AS6" s="2823"/>
      <c r="AT6" s="2876"/>
      <c r="AU6" s="2823"/>
      <c r="AV6" s="2823"/>
      <c r="AW6" s="2823"/>
      <c r="AX6" s="2823"/>
      <c r="AY6" s="2868"/>
    </row>
    <row r="7" spans="1:51" s="12" customFormat="1" ht="18.75" thickTop="1" thickBot="1">
      <c r="A7" s="2823"/>
      <c r="B7" s="2823"/>
      <c r="C7" s="2823"/>
      <c r="D7" s="2823"/>
      <c r="E7" s="2823"/>
      <c r="F7" s="2823"/>
      <c r="G7" s="2823"/>
      <c r="H7" s="68" t="s">
        <v>162</v>
      </c>
      <c r="I7" s="68" t="s">
        <v>163</v>
      </c>
      <c r="J7" s="68" t="s">
        <v>164</v>
      </c>
      <c r="K7" s="2823"/>
      <c r="L7" s="2823"/>
      <c r="M7" s="2823"/>
      <c r="N7" s="2823"/>
      <c r="O7" s="2823"/>
      <c r="P7" s="2823"/>
      <c r="Q7" s="2876"/>
      <c r="R7" s="2823"/>
      <c r="S7" s="2823"/>
      <c r="T7" s="2876"/>
      <c r="U7" s="2823"/>
      <c r="V7" s="2823"/>
      <c r="W7" s="2876"/>
      <c r="X7" s="2823"/>
      <c r="Y7" s="2823"/>
      <c r="Z7" s="2876"/>
      <c r="AA7" s="2823"/>
      <c r="AB7" s="2823"/>
      <c r="AC7" s="2876"/>
      <c r="AD7" s="2823"/>
      <c r="AE7" s="2823"/>
      <c r="AF7" s="2823"/>
      <c r="AG7" s="2823"/>
      <c r="AH7" s="2823"/>
      <c r="AI7" s="2823"/>
      <c r="AJ7" s="2823"/>
      <c r="AK7" s="2876"/>
      <c r="AL7" s="2823"/>
      <c r="AM7" s="2823"/>
      <c r="AN7" s="2876"/>
      <c r="AO7" s="2823"/>
      <c r="AP7" s="2823"/>
      <c r="AQ7" s="2876"/>
      <c r="AR7" s="2823"/>
      <c r="AS7" s="2823"/>
      <c r="AT7" s="2876"/>
      <c r="AU7" s="2823"/>
      <c r="AV7" s="2823"/>
      <c r="AW7" s="2823"/>
      <c r="AX7" s="2823"/>
      <c r="AY7" s="2868"/>
    </row>
    <row r="8" spans="1:51" customFormat="1" ht="22.5" thickTop="1" thickBot="1">
      <c r="A8" s="2869" t="s">
        <v>83</v>
      </c>
      <c r="B8" s="2870"/>
      <c r="C8" s="2870"/>
      <c r="D8" s="2870"/>
      <c r="E8" s="2870"/>
      <c r="F8" s="2870"/>
      <c r="G8" s="2870"/>
      <c r="H8" s="2870"/>
      <c r="I8" s="2870"/>
      <c r="J8" s="2870"/>
      <c r="K8" s="2870"/>
      <c r="L8" s="13" t="s">
        <v>84</v>
      </c>
      <c r="M8" s="13" t="s">
        <v>85</v>
      </c>
      <c r="N8" s="446" t="s">
        <v>86</v>
      </c>
      <c r="O8" s="13" t="s">
        <v>84</v>
      </c>
      <c r="P8" s="13" t="s">
        <v>85</v>
      </c>
      <c r="Q8" s="446" t="s">
        <v>86</v>
      </c>
      <c r="R8" s="13" t="s">
        <v>84</v>
      </c>
      <c r="S8" s="13" t="s">
        <v>85</v>
      </c>
      <c r="T8" s="446" t="s">
        <v>86</v>
      </c>
      <c r="U8" s="13" t="s">
        <v>84</v>
      </c>
      <c r="V8" s="13" t="s">
        <v>85</v>
      </c>
      <c r="W8" s="446" t="s">
        <v>86</v>
      </c>
      <c r="X8" s="13" t="s">
        <v>84</v>
      </c>
      <c r="Y8" s="13" t="s">
        <v>85</v>
      </c>
      <c r="Z8" s="446" t="s">
        <v>86</v>
      </c>
      <c r="AA8" s="13" t="s">
        <v>84</v>
      </c>
      <c r="AB8" s="13" t="s">
        <v>85</v>
      </c>
      <c r="AC8" s="446" t="s">
        <v>86</v>
      </c>
      <c r="AD8" s="13" t="s">
        <v>87</v>
      </c>
      <c r="AE8" s="446" t="s">
        <v>6</v>
      </c>
      <c r="AF8" s="13" t="s">
        <v>84</v>
      </c>
      <c r="AG8" s="13" t="s">
        <v>85</v>
      </c>
      <c r="AH8" s="446" t="s">
        <v>86</v>
      </c>
      <c r="AI8" s="13" t="s">
        <v>84</v>
      </c>
      <c r="AJ8" s="13" t="s">
        <v>85</v>
      </c>
      <c r="AK8" s="446" t="s">
        <v>86</v>
      </c>
      <c r="AL8" s="13" t="s">
        <v>84</v>
      </c>
      <c r="AM8" s="13" t="s">
        <v>85</v>
      </c>
      <c r="AN8" s="446" t="s">
        <v>86</v>
      </c>
      <c r="AO8" s="13" t="s">
        <v>84</v>
      </c>
      <c r="AP8" s="13" t="s">
        <v>85</v>
      </c>
      <c r="AQ8" s="446" t="s">
        <v>86</v>
      </c>
      <c r="AR8" s="13" t="s">
        <v>84</v>
      </c>
      <c r="AS8" s="13" t="s">
        <v>85</v>
      </c>
      <c r="AT8" s="446" t="s">
        <v>86</v>
      </c>
      <c r="AU8" s="13" t="s">
        <v>84</v>
      </c>
      <c r="AV8" s="13" t="s">
        <v>85</v>
      </c>
      <c r="AW8" s="446" t="s">
        <v>86</v>
      </c>
      <c r="AX8" s="13" t="s">
        <v>87</v>
      </c>
      <c r="AY8" s="447" t="s">
        <v>6</v>
      </c>
    </row>
    <row r="9" spans="1:51" s="457" customFormat="1" ht="46.5" thickTop="1" thickBot="1">
      <c r="A9" s="2845" t="s">
        <v>88</v>
      </c>
      <c r="B9" s="2871" t="s">
        <v>166</v>
      </c>
      <c r="C9" s="448" t="s">
        <v>167</v>
      </c>
      <c r="D9" s="449" t="s">
        <v>90</v>
      </c>
      <c r="E9" s="448" t="s">
        <v>91</v>
      </c>
      <c r="F9" s="448" t="s">
        <v>168</v>
      </c>
      <c r="G9" s="450">
        <v>16835.266201999999</v>
      </c>
      <c r="H9" s="448"/>
      <c r="I9" s="448"/>
      <c r="J9" s="448"/>
      <c r="K9" s="448" t="s">
        <v>25</v>
      </c>
      <c r="L9" s="451">
        <v>6332.8738599999997</v>
      </c>
      <c r="M9" s="452">
        <v>1321.472831</v>
      </c>
      <c r="N9" s="453">
        <f>+M9/L9</f>
        <v>0.20866874348259956</v>
      </c>
      <c r="O9" s="451">
        <v>94.845746000000005</v>
      </c>
      <c r="P9" s="452">
        <v>1332.8479669999999</v>
      </c>
      <c r="Q9" s="453">
        <f>+P9/O9</f>
        <v>14.052796495480143</v>
      </c>
      <c r="R9" s="451">
        <v>283.17119300000002</v>
      </c>
      <c r="S9" s="452">
        <v>1357.3654750000001</v>
      </c>
      <c r="T9" s="453">
        <f>+S9/R9</f>
        <v>4.7934447731764864</v>
      </c>
      <c r="U9" s="451">
        <v>215.29307800000001</v>
      </c>
      <c r="V9" s="452">
        <v>1338.594748</v>
      </c>
      <c r="W9" s="453">
        <f>+V9/U9</f>
        <v>6.2175466133658039</v>
      </c>
      <c r="X9" s="451">
        <v>141.823385</v>
      </c>
      <c r="Y9" s="452">
        <v>1330.122801</v>
      </c>
      <c r="Z9" s="453">
        <f>+Y9/X9</f>
        <v>9.3787269356178466</v>
      </c>
      <c r="AA9" s="451">
        <v>8980.3764640000009</v>
      </c>
      <c r="AB9" s="452">
        <v>1353.8997710000001</v>
      </c>
      <c r="AC9" s="453">
        <f>+AB9/AA9</f>
        <v>0.1507620283434033</v>
      </c>
      <c r="AD9" s="454">
        <f t="shared" ref="AD9:AD15" si="0">+M9+P9+S9+V9+Y9+AB9</f>
        <v>8034.3035930000005</v>
      </c>
      <c r="AE9" s="453">
        <f>+AD9/G9</f>
        <v>0.4772305644947592</v>
      </c>
      <c r="AF9" s="451">
        <v>136.27380199999999</v>
      </c>
      <c r="AG9" s="452">
        <v>1356.9954</v>
      </c>
      <c r="AH9" s="453">
        <f>+AG9/AF9</f>
        <v>9.9578596919164273</v>
      </c>
      <c r="AI9" s="451">
        <v>122.679866</v>
      </c>
      <c r="AJ9" s="452">
        <v>1333.2232590000001</v>
      </c>
      <c r="AK9" s="453">
        <f>+AJ9/AI9</f>
        <v>10.867498494007158</v>
      </c>
      <c r="AL9" s="451">
        <v>128.616151</v>
      </c>
      <c r="AM9" s="452">
        <v>1351.660175</v>
      </c>
      <c r="AN9" s="453">
        <f>+AM9/AL9</f>
        <v>10.509256920618002</v>
      </c>
      <c r="AO9" s="451">
        <v>129.43638999999999</v>
      </c>
      <c r="AP9" s="452">
        <v>1371.9898760000001</v>
      </c>
      <c r="AQ9" s="453">
        <f>+AP9/AO9</f>
        <v>10.599722968169926</v>
      </c>
      <c r="AR9" s="455">
        <v>125.303259</v>
      </c>
      <c r="AS9" s="452">
        <v>1375.920605</v>
      </c>
      <c r="AT9" s="453">
        <f>+AS9/AR9</f>
        <v>10.980724810996337</v>
      </c>
      <c r="AU9" s="455">
        <v>144.57300799999999</v>
      </c>
      <c r="AV9" s="456">
        <v>1320.2935709999999</v>
      </c>
      <c r="AW9" s="453">
        <f>+AV9/AU9</f>
        <v>9.1323656418631067</v>
      </c>
      <c r="AX9" s="450">
        <f t="shared" ref="AX9:AX14" si="1">+M9+P9+S9+V9+Y9+AB9+AG9+AJ9+AM9+AP9+AS9+AV9</f>
        <v>16144.386478999999</v>
      </c>
      <c r="AY9" s="453">
        <f>+AX9/G9</f>
        <v>0.9589623523198032</v>
      </c>
    </row>
    <row r="10" spans="1:51" s="465" customFormat="1" ht="256.5" thickTop="1" thickBot="1">
      <c r="A10" s="2846"/>
      <c r="B10" s="2871"/>
      <c r="C10" s="133" t="s">
        <v>169</v>
      </c>
      <c r="D10" s="458" t="s">
        <v>92</v>
      </c>
      <c r="E10" s="459" t="s">
        <v>170</v>
      </c>
      <c r="F10" s="459" t="s">
        <v>17</v>
      </c>
      <c r="G10" s="460">
        <v>2</v>
      </c>
      <c r="H10" s="459" t="s">
        <v>326</v>
      </c>
      <c r="I10" s="461"/>
      <c r="J10" s="461"/>
      <c r="K10" s="459" t="s">
        <v>26</v>
      </c>
      <c r="L10" s="461"/>
      <c r="M10" s="462"/>
      <c r="N10" s="73" t="e">
        <f t="shared" ref="N10:N33" si="2">+M10/L10</f>
        <v>#DIV/0!</v>
      </c>
      <c r="O10" s="461">
        <v>1</v>
      </c>
      <c r="P10" s="462">
        <v>0</v>
      </c>
      <c r="Q10" s="73">
        <f t="shared" ref="Q10:Q33" si="3">+P10/O10</f>
        <v>0</v>
      </c>
      <c r="R10" s="461"/>
      <c r="S10" s="462"/>
      <c r="T10" s="73" t="e">
        <f t="shared" ref="T10:T33" si="4">+S10/R10</f>
        <v>#DIV/0!</v>
      </c>
      <c r="U10" s="461"/>
      <c r="V10" s="462"/>
      <c r="W10" s="73" t="e">
        <f t="shared" ref="W10:W33" si="5">+V10/U10</f>
        <v>#DIV/0!</v>
      </c>
      <c r="X10" s="461">
        <v>1</v>
      </c>
      <c r="Y10" s="462">
        <v>1</v>
      </c>
      <c r="Z10" s="73">
        <f t="shared" ref="Z10:Z33" si="6">+Y10/X10</f>
        <v>1</v>
      </c>
      <c r="AA10" s="461"/>
      <c r="AB10" s="462"/>
      <c r="AC10" s="73" t="e">
        <f>+AB10/AA10</f>
        <v>#DIV/0!</v>
      </c>
      <c r="AD10" s="462">
        <f t="shared" si="0"/>
        <v>1</v>
      </c>
      <c r="AE10" s="73">
        <f>+AD10/G10</f>
        <v>0.5</v>
      </c>
      <c r="AF10" s="461"/>
      <c r="AG10" s="462"/>
      <c r="AH10" s="73" t="e">
        <f t="shared" ref="AH10:AH33" si="7">+AG10/AF10</f>
        <v>#DIV/0!</v>
      </c>
      <c r="AI10" s="461"/>
      <c r="AJ10" s="462"/>
      <c r="AK10" s="73" t="e">
        <f t="shared" ref="AK10:AK33" si="8">+AJ10/AI10</f>
        <v>#DIV/0!</v>
      </c>
      <c r="AL10" s="461"/>
      <c r="AM10" s="462"/>
      <c r="AN10" s="73" t="e">
        <f t="shared" ref="AN10:AN33" si="9">+AM10/AL10</f>
        <v>#DIV/0!</v>
      </c>
      <c r="AO10" s="461"/>
      <c r="AP10" s="462"/>
      <c r="AQ10" s="73" t="e">
        <f t="shared" ref="AQ10:AQ33" si="10">+AP10/AO10</f>
        <v>#DIV/0!</v>
      </c>
      <c r="AR10" s="463"/>
      <c r="AS10" s="462"/>
      <c r="AT10" s="73" t="e">
        <f t="shared" ref="AT10:AT33" si="11">+AS10/AR10</f>
        <v>#DIV/0!</v>
      </c>
      <c r="AU10" s="463">
        <v>0</v>
      </c>
      <c r="AV10" s="464">
        <v>1</v>
      </c>
      <c r="AW10" s="73" t="e">
        <f>+AV10/AU10</f>
        <v>#DIV/0!</v>
      </c>
      <c r="AX10" s="460">
        <f t="shared" si="1"/>
        <v>2</v>
      </c>
      <c r="AY10" s="73">
        <f>+AX10/G10</f>
        <v>1</v>
      </c>
    </row>
    <row r="11" spans="1:51" s="473" customFormat="1" ht="46.5" thickTop="1" thickBot="1">
      <c r="A11" s="2846"/>
      <c r="B11" s="2872" t="s">
        <v>94</v>
      </c>
      <c r="C11" s="466" t="s">
        <v>327</v>
      </c>
      <c r="D11" s="449" t="s">
        <v>96</v>
      </c>
      <c r="E11" s="466" t="s">
        <v>97</v>
      </c>
      <c r="F11" s="466" t="s">
        <v>300</v>
      </c>
      <c r="G11" s="467">
        <v>20354009</v>
      </c>
      <c r="H11" s="466"/>
      <c r="I11" s="466" t="s">
        <v>98</v>
      </c>
      <c r="J11" s="468"/>
      <c r="K11" s="466" t="s">
        <v>20</v>
      </c>
      <c r="L11" s="469" t="s">
        <v>98</v>
      </c>
      <c r="M11" s="454"/>
      <c r="N11" s="453" t="e">
        <f>+M11/L11</f>
        <v>#VALUE!</v>
      </c>
      <c r="O11" s="469">
        <v>0</v>
      </c>
      <c r="P11" s="454"/>
      <c r="Q11" s="453" t="e">
        <f>+P11/O11</f>
        <v>#DIV/0!</v>
      </c>
      <c r="R11" s="469">
        <v>0</v>
      </c>
      <c r="S11" s="454"/>
      <c r="T11" s="453" t="e">
        <f>+S11/R11</f>
        <v>#DIV/0!</v>
      </c>
      <c r="U11" s="469">
        <v>0</v>
      </c>
      <c r="V11" s="454"/>
      <c r="W11" s="453" t="e">
        <f>+V11/U11</f>
        <v>#DIV/0!</v>
      </c>
      <c r="X11" s="469">
        <v>0</v>
      </c>
      <c r="Y11" s="454"/>
      <c r="Z11" s="453" t="e">
        <f>+Y11/X11</f>
        <v>#DIV/0!</v>
      </c>
      <c r="AA11" s="469">
        <v>0</v>
      </c>
      <c r="AB11" s="454"/>
      <c r="AC11" s="453" t="e">
        <f>+AB11/AA11</f>
        <v>#DIV/0!</v>
      </c>
      <c r="AD11" s="454">
        <f t="shared" si="0"/>
        <v>0</v>
      </c>
      <c r="AE11" s="453">
        <f>+AD11/G11</f>
        <v>0</v>
      </c>
      <c r="AF11" s="469">
        <v>0</v>
      </c>
      <c r="AG11" s="454"/>
      <c r="AH11" s="453" t="e">
        <f>+AG11/AF11</f>
        <v>#DIV/0!</v>
      </c>
      <c r="AI11" s="469">
        <v>0</v>
      </c>
      <c r="AJ11" s="454"/>
      <c r="AK11" s="453" t="e">
        <f>+AJ11/AI11</f>
        <v>#DIV/0!</v>
      </c>
      <c r="AL11" s="469">
        <v>0</v>
      </c>
      <c r="AM11" s="454"/>
      <c r="AN11" s="453" t="e">
        <f>+AM11/AL11</f>
        <v>#DIV/0!</v>
      </c>
      <c r="AO11" s="469">
        <v>0</v>
      </c>
      <c r="AP11" s="454"/>
      <c r="AQ11" s="453" t="e">
        <f>+AP11/AO11</f>
        <v>#DIV/0!</v>
      </c>
      <c r="AR11" s="470">
        <v>0</v>
      </c>
      <c r="AS11" s="454"/>
      <c r="AT11" s="453" t="e">
        <f>+AS11/AR11</f>
        <v>#DIV/0!</v>
      </c>
      <c r="AU11" s="470">
        <v>0</v>
      </c>
      <c r="AV11" s="471">
        <v>20354009</v>
      </c>
      <c r="AW11" s="453" t="e">
        <f>+AV11/AU11</f>
        <v>#DIV/0!</v>
      </c>
      <c r="AX11" s="472">
        <f t="shared" si="1"/>
        <v>20354009</v>
      </c>
      <c r="AY11" s="453">
        <f>+AX11/G11</f>
        <v>1</v>
      </c>
    </row>
    <row r="12" spans="1:51" s="482" customFormat="1" ht="76.5" thickTop="1" thickBot="1">
      <c r="A12" s="2846"/>
      <c r="B12" s="2872"/>
      <c r="C12" s="2873" t="s">
        <v>328</v>
      </c>
      <c r="D12" s="171" t="s">
        <v>99</v>
      </c>
      <c r="E12" s="474" t="s">
        <v>302</v>
      </c>
      <c r="F12" s="474" t="s">
        <v>101</v>
      </c>
      <c r="G12" s="475">
        <v>1029000000000</v>
      </c>
      <c r="H12" s="474"/>
      <c r="I12" s="476">
        <v>1029000000000</v>
      </c>
      <c r="J12" s="477"/>
      <c r="K12" s="133" t="s">
        <v>172</v>
      </c>
      <c r="L12" s="112">
        <v>82320000000</v>
      </c>
      <c r="M12" s="113">
        <v>35116889765</v>
      </c>
      <c r="N12" s="73">
        <f t="shared" si="2"/>
        <v>0.42659001172254618</v>
      </c>
      <c r="O12" s="112">
        <v>82320000000</v>
      </c>
      <c r="P12" s="113">
        <v>63485055104</v>
      </c>
      <c r="Q12" s="73">
        <f t="shared" si="3"/>
        <v>0.77119843420796885</v>
      </c>
      <c r="R12" s="112">
        <v>82320000000</v>
      </c>
      <c r="S12" s="113">
        <v>40017542041</v>
      </c>
      <c r="T12" s="73">
        <f t="shared" si="4"/>
        <v>0.4861217449101069</v>
      </c>
      <c r="U12" s="112">
        <v>92610000000</v>
      </c>
      <c r="V12" s="113">
        <v>21294502400</v>
      </c>
      <c r="W12" s="73">
        <f t="shared" si="5"/>
        <v>0.22993739768923444</v>
      </c>
      <c r="X12" s="112">
        <v>102900000000</v>
      </c>
      <c r="Y12" s="113">
        <v>19024923542</v>
      </c>
      <c r="Z12" s="73">
        <f t="shared" si="6"/>
        <v>0.18488749797862003</v>
      </c>
      <c r="AA12" s="112">
        <v>102900000000</v>
      </c>
      <c r="AB12" s="113">
        <v>32875124850</v>
      </c>
      <c r="AC12" s="73">
        <f t="shared" ref="AC12:AC33" si="12">+AB12/AA12</f>
        <v>0.31948615014577258</v>
      </c>
      <c r="AD12" s="113">
        <f t="shared" si="0"/>
        <v>211814037702</v>
      </c>
      <c r="AE12" s="73">
        <f t="shared" ref="AE12:AE33" si="13">+AD12/G12</f>
        <v>0.20584454587172013</v>
      </c>
      <c r="AF12" s="112">
        <v>102900000000</v>
      </c>
      <c r="AG12" s="113">
        <v>96845362646</v>
      </c>
      <c r="AH12" s="73">
        <f t="shared" si="7"/>
        <v>0.94115998684159374</v>
      </c>
      <c r="AI12" s="112">
        <v>102900000000</v>
      </c>
      <c r="AJ12" s="113">
        <v>115045098588</v>
      </c>
      <c r="AK12" s="73">
        <f t="shared" si="8"/>
        <v>1.1180281689795919</v>
      </c>
      <c r="AL12" s="112">
        <v>102900000000</v>
      </c>
      <c r="AM12" s="113">
        <v>59177546496</v>
      </c>
      <c r="AN12" s="73">
        <f t="shared" si="9"/>
        <v>0.57509763358600585</v>
      </c>
      <c r="AO12" s="112">
        <v>102900000000</v>
      </c>
      <c r="AP12" s="113">
        <v>168592796441</v>
      </c>
      <c r="AQ12" s="73">
        <f t="shared" si="10"/>
        <v>1.6384139595821186</v>
      </c>
      <c r="AR12" s="478">
        <v>41160000000</v>
      </c>
      <c r="AS12" s="479">
        <v>485716192638</v>
      </c>
      <c r="AT12" s="73">
        <f t="shared" si="11"/>
        <v>11.800684952332361</v>
      </c>
      <c r="AU12" s="478">
        <v>30870000000</v>
      </c>
      <c r="AV12" s="480">
        <v>113173992336</v>
      </c>
      <c r="AW12" s="73">
        <f t="shared" ref="AW12:AW29" si="14">+AV12/AU12</f>
        <v>3.6661481158406222</v>
      </c>
      <c r="AX12" s="481">
        <f t="shared" si="1"/>
        <v>1250365026847</v>
      </c>
      <c r="AY12" s="73">
        <f t="shared" ref="AY12:AY29" si="15">+AX12/G12</f>
        <v>1.2151263623391642</v>
      </c>
    </row>
    <row r="13" spans="1:51" s="457" customFormat="1" ht="31.5" thickTop="1" thickBot="1">
      <c r="A13" s="2846"/>
      <c r="B13" s="2872"/>
      <c r="C13" s="2873"/>
      <c r="D13" s="449" t="s">
        <v>303</v>
      </c>
      <c r="E13" s="466" t="s">
        <v>302</v>
      </c>
      <c r="F13" s="466" t="s">
        <v>168</v>
      </c>
      <c r="G13" s="450">
        <v>56000</v>
      </c>
      <c r="H13" s="466"/>
      <c r="I13" s="466">
        <v>56000</v>
      </c>
      <c r="J13" s="468"/>
      <c r="K13" s="466" t="s">
        <v>304</v>
      </c>
      <c r="L13" s="469">
        <v>2800</v>
      </c>
      <c r="M13" s="454">
        <v>69.406999999999996</v>
      </c>
      <c r="N13" s="453">
        <f t="shared" si="2"/>
        <v>2.4788214285714285E-2</v>
      </c>
      <c r="O13" s="469">
        <v>2800</v>
      </c>
      <c r="P13" s="483">
        <v>2791</v>
      </c>
      <c r="Q13" s="453">
        <f t="shared" si="3"/>
        <v>0.99678571428571427</v>
      </c>
      <c r="R13" s="469">
        <v>3360</v>
      </c>
      <c r="S13" s="483">
        <v>11298.323</v>
      </c>
      <c r="T13" s="453">
        <f t="shared" si="4"/>
        <v>3.3625961309523809</v>
      </c>
      <c r="U13" s="469">
        <v>5600</v>
      </c>
      <c r="V13" s="454">
        <v>24.620000999999998</v>
      </c>
      <c r="W13" s="453">
        <f t="shared" si="5"/>
        <v>4.3964287499999996E-3</v>
      </c>
      <c r="X13" s="469">
        <v>5600</v>
      </c>
      <c r="Y13" s="454">
        <v>52.045000000000002</v>
      </c>
      <c r="Z13" s="453">
        <f t="shared" si="6"/>
        <v>9.2937499999999999E-3</v>
      </c>
      <c r="AA13" s="469">
        <v>5600</v>
      </c>
      <c r="AB13" s="483">
        <v>3863.6930000000002</v>
      </c>
      <c r="AC13" s="453">
        <f t="shared" si="12"/>
        <v>0.68994517857142856</v>
      </c>
      <c r="AD13" s="454">
        <f t="shared" si="0"/>
        <v>18099.088001</v>
      </c>
      <c r="AE13" s="453">
        <f t="shared" si="13"/>
        <v>0.32319800001785715</v>
      </c>
      <c r="AF13" s="469">
        <v>5600</v>
      </c>
      <c r="AG13" s="454">
        <v>0</v>
      </c>
      <c r="AH13" s="453">
        <f t="shared" si="7"/>
        <v>0</v>
      </c>
      <c r="AI13" s="469">
        <v>5600</v>
      </c>
      <c r="AJ13" s="483">
        <v>6701.6133849999997</v>
      </c>
      <c r="AK13" s="453">
        <f t="shared" si="8"/>
        <v>1.1967166758928571</v>
      </c>
      <c r="AL13" s="469">
        <v>5600</v>
      </c>
      <c r="AM13" s="483">
        <v>4227.7922900000003</v>
      </c>
      <c r="AN13" s="453">
        <f t="shared" si="9"/>
        <v>0.75496290892857154</v>
      </c>
      <c r="AO13" s="469">
        <v>5600</v>
      </c>
      <c r="AP13" s="483">
        <v>32.500999999999998</v>
      </c>
      <c r="AQ13" s="453">
        <f t="shared" si="10"/>
        <v>5.8037499999999999E-3</v>
      </c>
      <c r="AR13" s="470">
        <v>5600</v>
      </c>
      <c r="AS13" s="484">
        <v>117.164</v>
      </c>
      <c r="AT13" s="453">
        <f t="shared" si="11"/>
        <v>2.0922142857142858E-2</v>
      </c>
      <c r="AU13" s="470">
        <v>2240</v>
      </c>
      <c r="AV13" s="471">
        <v>50900.630029</v>
      </c>
      <c r="AW13" s="453">
        <f t="shared" si="14"/>
        <v>22.723495548660715</v>
      </c>
      <c r="AX13" s="450">
        <f t="shared" si="1"/>
        <v>80078.788704999999</v>
      </c>
      <c r="AY13" s="453">
        <f t="shared" si="15"/>
        <v>1.4299783697321429</v>
      </c>
    </row>
    <row r="14" spans="1:51" s="487" customFormat="1" ht="76.5" thickTop="1" thickBot="1">
      <c r="A14" s="2846"/>
      <c r="B14" s="2872"/>
      <c r="C14" s="2873"/>
      <c r="D14" s="171" t="s">
        <v>102</v>
      </c>
      <c r="E14" s="474" t="s">
        <v>274</v>
      </c>
      <c r="F14" s="474" t="s">
        <v>101</v>
      </c>
      <c r="G14" s="475">
        <v>777700000000</v>
      </c>
      <c r="H14" s="474"/>
      <c r="I14" s="476">
        <v>777700000000</v>
      </c>
      <c r="J14" s="477"/>
      <c r="K14" s="133" t="s">
        <v>172</v>
      </c>
      <c r="L14" s="485">
        <v>62216000000</v>
      </c>
      <c r="M14" s="486">
        <v>39410908000</v>
      </c>
      <c r="N14" s="73">
        <f t="shared" si="2"/>
        <v>0.63345293815095793</v>
      </c>
      <c r="O14" s="485">
        <v>62216000000</v>
      </c>
      <c r="P14" s="486">
        <v>109160979174</v>
      </c>
      <c r="Q14" s="73">
        <f t="shared" si="3"/>
        <v>1.7545483344155843</v>
      </c>
      <c r="R14" s="485">
        <v>62216000000</v>
      </c>
      <c r="S14" s="486">
        <v>24106163000</v>
      </c>
      <c r="T14" s="73">
        <f t="shared" si="4"/>
        <v>0.38745922270798511</v>
      </c>
      <c r="U14" s="485">
        <v>69993000000</v>
      </c>
      <c r="V14" s="486">
        <v>25567152380</v>
      </c>
      <c r="W14" s="73">
        <f t="shared" si="5"/>
        <v>0.3652815621562156</v>
      </c>
      <c r="X14" s="485">
        <v>77770000000</v>
      </c>
      <c r="Y14" s="486">
        <v>46879252519</v>
      </c>
      <c r="Z14" s="73">
        <f t="shared" si="6"/>
        <v>0.60279352602545966</v>
      </c>
      <c r="AA14" s="485">
        <v>77770000000</v>
      </c>
      <c r="AB14" s="486">
        <v>20178252300</v>
      </c>
      <c r="AC14" s="73">
        <f t="shared" si="12"/>
        <v>0.25946061849042046</v>
      </c>
      <c r="AD14" s="113">
        <f t="shared" si="0"/>
        <v>265302707373</v>
      </c>
      <c r="AE14" s="73">
        <f t="shared" si="13"/>
        <v>0.34113759466760962</v>
      </c>
      <c r="AF14" s="485">
        <v>77770000000</v>
      </c>
      <c r="AG14" s="486">
        <v>29226092375</v>
      </c>
      <c r="AH14" s="73">
        <f t="shared" si="7"/>
        <v>0.37580162498392694</v>
      </c>
      <c r="AI14" s="485">
        <v>77770000000</v>
      </c>
      <c r="AJ14" s="486">
        <v>27203479549</v>
      </c>
      <c r="AK14" s="73">
        <f t="shared" si="8"/>
        <v>0.34979400217307444</v>
      </c>
      <c r="AL14" s="485">
        <v>77770000000</v>
      </c>
      <c r="AM14" s="486">
        <v>38844738599</v>
      </c>
      <c r="AN14" s="73">
        <f t="shared" si="9"/>
        <v>0.49948230164587887</v>
      </c>
      <c r="AO14" s="485">
        <v>77770000000</v>
      </c>
      <c r="AP14" s="486">
        <v>111017941905</v>
      </c>
      <c r="AQ14" s="73">
        <f t="shared" si="10"/>
        <v>1.4275162904076122</v>
      </c>
      <c r="AR14" s="478">
        <v>31108000000</v>
      </c>
      <c r="AS14" s="486">
        <v>171527848215</v>
      </c>
      <c r="AT14" s="73">
        <f t="shared" si="11"/>
        <v>5.513946515848013</v>
      </c>
      <c r="AU14" s="478">
        <v>23331000000</v>
      </c>
      <c r="AV14" s="480">
        <v>208310327624</v>
      </c>
      <c r="AW14" s="73">
        <f t="shared" si="14"/>
        <v>8.9284783174317432</v>
      </c>
      <c r="AX14" s="475">
        <f t="shared" si="1"/>
        <v>851433135640</v>
      </c>
      <c r="AY14" s="73">
        <f t="shared" si="15"/>
        <v>1.0948092267455316</v>
      </c>
    </row>
    <row r="15" spans="1:51" s="457" customFormat="1" ht="76.5" thickTop="1" thickBot="1">
      <c r="A15" s="2846"/>
      <c r="B15" s="2872"/>
      <c r="C15" s="2873"/>
      <c r="D15" s="449" t="s">
        <v>104</v>
      </c>
      <c r="E15" s="466" t="s">
        <v>105</v>
      </c>
      <c r="F15" s="466" t="s">
        <v>24</v>
      </c>
      <c r="G15" s="488">
        <v>400</v>
      </c>
      <c r="H15" s="466"/>
      <c r="I15" s="466">
        <v>400</v>
      </c>
      <c r="J15" s="468"/>
      <c r="K15" s="489" t="s">
        <v>172</v>
      </c>
      <c r="L15" s="490">
        <v>0</v>
      </c>
      <c r="M15" s="491">
        <v>3</v>
      </c>
      <c r="N15" s="453" t="e">
        <f t="shared" si="2"/>
        <v>#DIV/0!</v>
      </c>
      <c r="O15" s="490">
        <v>0</v>
      </c>
      <c r="P15" s="491">
        <v>1</v>
      </c>
      <c r="Q15" s="453" t="e">
        <f t="shared" si="3"/>
        <v>#DIV/0!</v>
      </c>
      <c r="R15" s="490">
        <v>100</v>
      </c>
      <c r="S15" s="491">
        <v>6</v>
      </c>
      <c r="T15" s="453">
        <f t="shared" si="4"/>
        <v>0.06</v>
      </c>
      <c r="U15" s="490">
        <v>0</v>
      </c>
      <c r="V15" s="491">
        <v>0</v>
      </c>
      <c r="W15" s="453" t="e">
        <f t="shared" si="5"/>
        <v>#DIV/0!</v>
      </c>
      <c r="X15" s="490">
        <v>0</v>
      </c>
      <c r="Y15" s="491">
        <v>0</v>
      </c>
      <c r="Z15" s="453" t="e">
        <f t="shared" si="6"/>
        <v>#DIV/0!</v>
      </c>
      <c r="AA15" s="490">
        <v>100</v>
      </c>
      <c r="AB15" s="491">
        <v>0</v>
      </c>
      <c r="AC15" s="453">
        <f t="shared" si="12"/>
        <v>0</v>
      </c>
      <c r="AD15" s="491">
        <f t="shared" si="0"/>
        <v>10</v>
      </c>
      <c r="AE15" s="453">
        <f t="shared" si="13"/>
        <v>2.5000000000000001E-2</v>
      </c>
      <c r="AF15" s="490">
        <v>0</v>
      </c>
      <c r="AG15" s="491">
        <v>0</v>
      </c>
      <c r="AH15" s="453" t="e">
        <f t="shared" si="7"/>
        <v>#DIV/0!</v>
      </c>
      <c r="AI15" s="490">
        <v>0</v>
      </c>
      <c r="AJ15" s="491">
        <v>0</v>
      </c>
      <c r="AK15" s="453" t="e">
        <f t="shared" si="8"/>
        <v>#DIV/0!</v>
      </c>
      <c r="AL15" s="490">
        <v>100</v>
      </c>
      <c r="AM15" s="491">
        <v>0</v>
      </c>
      <c r="AN15" s="453">
        <f t="shared" si="9"/>
        <v>0</v>
      </c>
      <c r="AO15" s="490">
        <v>0</v>
      </c>
      <c r="AP15" s="491">
        <v>0</v>
      </c>
      <c r="AQ15" s="453" t="e">
        <f t="shared" si="10"/>
        <v>#DIV/0!</v>
      </c>
      <c r="AR15" s="492">
        <v>0</v>
      </c>
      <c r="AS15" s="491">
        <v>0</v>
      </c>
      <c r="AT15" s="453" t="e">
        <f t="shared" si="11"/>
        <v>#DIV/0!</v>
      </c>
      <c r="AU15" s="492">
        <v>100</v>
      </c>
      <c r="AV15" s="493">
        <v>400</v>
      </c>
      <c r="AW15" s="453">
        <f t="shared" si="14"/>
        <v>4</v>
      </c>
      <c r="AX15" s="488">
        <f>M15+P15+S15+V15+Y15+AB15+AG15+AJ15+AM15+AP15+AS15+AV15</f>
        <v>410</v>
      </c>
      <c r="AY15" s="453">
        <f t="shared" si="15"/>
        <v>1.0249999999999999</v>
      </c>
    </row>
    <row r="16" spans="1:51" s="487" customFormat="1" ht="76.5" thickTop="1" thickBot="1">
      <c r="A16" s="2846"/>
      <c r="B16" s="2872"/>
      <c r="C16" s="2873"/>
      <c r="D16" s="171" t="s">
        <v>106</v>
      </c>
      <c r="E16" s="474" t="s">
        <v>329</v>
      </c>
      <c r="F16" s="474" t="s">
        <v>24</v>
      </c>
      <c r="G16" s="460">
        <v>509</v>
      </c>
      <c r="H16" s="474"/>
      <c r="I16" s="474">
        <v>509</v>
      </c>
      <c r="J16" s="477"/>
      <c r="K16" s="133" t="s">
        <v>172</v>
      </c>
      <c r="L16" s="494">
        <v>0</v>
      </c>
      <c r="M16" s="495">
        <v>67</v>
      </c>
      <c r="N16" s="73" t="e">
        <f t="shared" si="2"/>
        <v>#DIV/0!</v>
      </c>
      <c r="O16" s="494">
        <v>0</v>
      </c>
      <c r="P16" s="495">
        <v>28</v>
      </c>
      <c r="Q16" s="73" t="e">
        <f t="shared" si="3"/>
        <v>#DIV/0!</v>
      </c>
      <c r="R16" s="494">
        <v>0</v>
      </c>
      <c r="S16" s="495">
        <v>22</v>
      </c>
      <c r="T16" s="73" t="e">
        <f t="shared" si="4"/>
        <v>#DIV/0!</v>
      </c>
      <c r="U16" s="494">
        <v>0</v>
      </c>
      <c r="V16" s="495">
        <v>0</v>
      </c>
      <c r="W16" s="73" t="e">
        <f t="shared" si="5"/>
        <v>#DIV/0!</v>
      </c>
      <c r="X16" s="494">
        <v>0</v>
      </c>
      <c r="Y16" s="495">
        <v>0</v>
      </c>
      <c r="Z16" s="73" t="e">
        <f t="shared" si="6"/>
        <v>#DIV/0!</v>
      </c>
      <c r="AA16" s="494">
        <v>0</v>
      </c>
      <c r="AB16" s="495">
        <v>36</v>
      </c>
      <c r="AC16" s="73" t="e">
        <f t="shared" si="12"/>
        <v>#DIV/0!</v>
      </c>
      <c r="AD16" s="496">
        <v>103</v>
      </c>
      <c r="AE16" s="73">
        <f t="shared" si="13"/>
        <v>0.20235756385068762</v>
      </c>
      <c r="AF16" s="494">
        <v>255</v>
      </c>
      <c r="AG16" s="495">
        <v>45</v>
      </c>
      <c r="AH16" s="73">
        <f t="shared" si="7"/>
        <v>0.17647058823529413</v>
      </c>
      <c r="AI16" s="494">
        <v>0</v>
      </c>
      <c r="AJ16" s="495">
        <v>27</v>
      </c>
      <c r="AK16" s="73" t="e">
        <f t="shared" si="8"/>
        <v>#DIV/0!</v>
      </c>
      <c r="AL16" s="494">
        <v>0</v>
      </c>
      <c r="AM16" s="495">
        <v>29</v>
      </c>
      <c r="AN16" s="73" t="e">
        <f t="shared" si="9"/>
        <v>#DIV/0!</v>
      </c>
      <c r="AO16" s="494">
        <v>0</v>
      </c>
      <c r="AP16" s="495">
        <v>81</v>
      </c>
      <c r="AQ16" s="73" t="e">
        <f t="shared" si="10"/>
        <v>#DIV/0!</v>
      </c>
      <c r="AR16" s="497">
        <v>0</v>
      </c>
      <c r="AS16" s="498">
        <v>125</v>
      </c>
      <c r="AT16" s="73" t="e">
        <f t="shared" si="11"/>
        <v>#DIV/0!</v>
      </c>
      <c r="AU16" s="497">
        <v>254</v>
      </c>
      <c r="AV16" s="499">
        <v>35</v>
      </c>
      <c r="AW16" s="73">
        <f t="shared" si="14"/>
        <v>0.13779527559055119</v>
      </c>
      <c r="AX16" s="460">
        <f>M16+P16+S16+V16+Y16+AB16+AG16+AJ16+AM16+AP16+AS16+AV16</f>
        <v>495</v>
      </c>
      <c r="AY16" s="73">
        <f t="shared" si="15"/>
        <v>0.9724950884086444</v>
      </c>
    </row>
    <row r="17" spans="1:51" s="457" customFormat="1" ht="46.5" thickTop="1" thickBot="1">
      <c r="A17" s="2846"/>
      <c r="B17" s="2872"/>
      <c r="C17" s="489" t="s">
        <v>330</v>
      </c>
      <c r="D17" s="449" t="s">
        <v>109</v>
      </c>
      <c r="E17" s="489" t="s">
        <v>110</v>
      </c>
      <c r="F17" s="489" t="s">
        <v>168</v>
      </c>
      <c r="G17" s="500">
        <v>4715568</v>
      </c>
      <c r="H17" s="489"/>
      <c r="I17" s="501">
        <v>4715568</v>
      </c>
      <c r="J17" s="489"/>
      <c r="K17" s="489" t="s">
        <v>21</v>
      </c>
      <c r="L17" s="469">
        <v>0</v>
      </c>
      <c r="M17" s="454">
        <v>0</v>
      </c>
      <c r="N17" s="453" t="e">
        <f t="shared" si="2"/>
        <v>#DIV/0!</v>
      </c>
      <c r="O17" s="502">
        <v>0</v>
      </c>
      <c r="P17" s="503">
        <v>0</v>
      </c>
      <c r="Q17" s="453" t="e">
        <f t="shared" si="3"/>
        <v>#DIV/0!</v>
      </c>
      <c r="R17" s="469">
        <v>1130578.19273156</v>
      </c>
      <c r="S17" s="504">
        <v>1279530.7724580001</v>
      </c>
      <c r="T17" s="453">
        <f t="shared" si="4"/>
        <v>1.1317490295532411</v>
      </c>
      <c r="U17" s="469">
        <v>350223.17769433849</v>
      </c>
      <c r="V17" s="504">
        <v>192807.68381799999</v>
      </c>
      <c r="W17" s="453">
        <f t="shared" si="5"/>
        <v>0.55052805210475031</v>
      </c>
      <c r="X17" s="469">
        <v>531295.46626016835</v>
      </c>
      <c r="Y17" s="504">
        <v>324916.34720099997</v>
      </c>
      <c r="Z17" s="453">
        <f t="shared" si="6"/>
        <v>0.61155490275140567</v>
      </c>
      <c r="AA17" s="469">
        <v>371289.43659579213</v>
      </c>
      <c r="AB17" s="504">
        <v>293758.105346</v>
      </c>
      <c r="AC17" s="453">
        <f t="shared" si="12"/>
        <v>0.79118357914879933</v>
      </c>
      <c r="AD17" s="454">
        <f>+M17+P17+S17+V17+Y17+AB17</f>
        <v>2091012.908823</v>
      </c>
      <c r="AE17" s="453">
        <f t="shared" si="13"/>
        <v>0.44342758047874614</v>
      </c>
      <c r="AF17" s="469">
        <v>372069.3755354131</v>
      </c>
      <c r="AG17" s="504">
        <v>345384.308173</v>
      </c>
      <c r="AH17" s="453">
        <f t="shared" si="7"/>
        <v>0.92827932338152552</v>
      </c>
      <c r="AI17" s="469">
        <v>356639.02849777316</v>
      </c>
      <c r="AJ17" s="504">
        <v>238663.82102500001</v>
      </c>
      <c r="AK17" s="453">
        <f t="shared" si="8"/>
        <v>0.66920275672097462</v>
      </c>
      <c r="AL17" s="469">
        <v>544043.15760373475</v>
      </c>
      <c r="AM17" s="504">
        <v>418861.20783099998</v>
      </c>
      <c r="AN17" s="453">
        <f t="shared" si="9"/>
        <v>0.76990437610849671</v>
      </c>
      <c r="AO17" s="469">
        <v>431426.22622587602</v>
      </c>
      <c r="AP17" s="504">
        <v>415393.433219</v>
      </c>
      <c r="AQ17" s="453">
        <f t="shared" si="10"/>
        <v>0.96283769499334526</v>
      </c>
      <c r="AR17" s="470">
        <v>357004.51385609654</v>
      </c>
      <c r="AS17" s="504">
        <v>423623.03713200003</v>
      </c>
      <c r="AT17" s="453">
        <f t="shared" si="11"/>
        <v>1.1866041483799179</v>
      </c>
      <c r="AU17" s="470">
        <v>270999.45948787016</v>
      </c>
      <c r="AV17" s="471">
        <v>354856.6</v>
      </c>
      <c r="AW17" s="453">
        <f t="shared" si="14"/>
        <v>1.3094365600234092</v>
      </c>
      <c r="AX17" s="500">
        <f>+M17+P17+S17+V17+Y17+AB17+AG17+AJ17+AM17+AP17+AS17+AV17</f>
        <v>4287795.316203</v>
      </c>
      <c r="AY17" s="453">
        <f t="shared" si="15"/>
        <v>0.90928501427675312</v>
      </c>
    </row>
    <row r="18" spans="1:51" s="487" customFormat="1" ht="76.5" thickTop="1" thickBot="1">
      <c r="A18" s="2846"/>
      <c r="B18" s="2872"/>
      <c r="C18" s="474" t="s">
        <v>331</v>
      </c>
      <c r="D18" s="171" t="s">
        <v>111</v>
      </c>
      <c r="E18" s="474" t="s">
        <v>112</v>
      </c>
      <c r="F18" s="474" t="s">
        <v>17</v>
      </c>
      <c r="G18" s="460">
        <v>9696</v>
      </c>
      <c r="H18" s="474"/>
      <c r="I18" s="474">
        <v>14331</v>
      </c>
      <c r="J18" s="474"/>
      <c r="K18" s="474" t="s">
        <v>20</v>
      </c>
      <c r="L18" s="494">
        <v>808</v>
      </c>
      <c r="M18" s="495">
        <v>5010</v>
      </c>
      <c r="N18" s="73">
        <f t="shared" si="2"/>
        <v>6.2004950495049505</v>
      </c>
      <c r="O18" s="494">
        <v>808</v>
      </c>
      <c r="P18" s="495">
        <v>409</v>
      </c>
      <c r="Q18" s="73">
        <f t="shared" si="3"/>
        <v>0.50618811881188119</v>
      </c>
      <c r="R18" s="494">
        <v>808</v>
      </c>
      <c r="S18" s="495">
        <v>312</v>
      </c>
      <c r="T18" s="73">
        <f t="shared" si="4"/>
        <v>0.38613861386138615</v>
      </c>
      <c r="U18" s="494">
        <v>808</v>
      </c>
      <c r="V18" s="495">
        <v>246</v>
      </c>
      <c r="W18" s="73">
        <f t="shared" si="5"/>
        <v>0.30445544554455445</v>
      </c>
      <c r="X18" s="494">
        <v>808</v>
      </c>
      <c r="Y18" s="495">
        <v>262</v>
      </c>
      <c r="Z18" s="73">
        <f t="shared" si="6"/>
        <v>0.32425742574257427</v>
      </c>
      <c r="AA18" s="494">
        <v>808</v>
      </c>
      <c r="AB18" s="495">
        <v>500</v>
      </c>
      <c r="AC18" s="73">
        <f t="shared" si="12"/>
        <v>0.61881188118811881</v>
      </c>
      <c r="AD18" s="496">
        <f>+M18+P18+S18+V18+Y18+AB18</f>
        <v>6739</v>
      </c>
      <c r="AE18" s="73">
        <f t="shared" si="13"/>
        <v>0.69502887788778878</v>
      </c>
      <c r="AF18" s="494">
        <v>808</v>
      </c>
      <c r="AG18" s="495">
        <v>1363</v>
      </c>
      <c r="AH18" s="73">
        <f>+AG18/AF18</f>
        <v>1.6868811881188119</v>
      </c>
      <c r="AI18" s="494">
        <v>808</v>
      </c>
      <c r="AJ18" s="495">
        <v>436</v>
      </c>
      <c r="AK18" s="73">
        <f t="shared" si="8"/>
        <v>0.53960396039603964</v>
      </c>
      <c r="AL18" s="494">
        <v>808</v>
      </c>
      <c r="AM18" s="495">
        <v>588</v>
      </c>
      <c r="AN18" s="73">
        <f t="shared" si="9"/>
        <v>0.7277227722772277</v>
      </c>
      <c r="AO18" s="494">
        <v>808</v>
      </c>
      <c r="AP18" s="495">
        <v>409</v>
      </c>
      <c r="AQ18" s="73">
        <f t="shared" si="10"/>
        <v>0.50618811881188119</v>
      </c>
      <c r="AR18" s="497">
        <v>808</v>
      </c>
      <c r="AS18" s="495">
        <v>299</v>
      </c>
      <c r="AT18" s="73">
        <f t="shared" si="11"/>
        <v>0.37004950495049505</v>
      </c>
      <c r="AU18" s="497">
        <v>808</v>
      </c>
      <c r="AV18" s="499">
        <v>290</v>
      </c>
      <c r="AW18" s="73">
        <f t="shared" si="14"/>
        <v>0.3589108910891089</v>
      </c>
      <c r="AX18" s="505">
        <f>+M18+P18+S18+V18+Y18+AB18+AG18+AJ18+AM18+AP18+AS18+AV18</f>
        <v>10124</v>
      </c>
      <c r="AY18" s="73">
        <f t="shared" si="15"/>
        <v>1.0441419141914192</v>
      </c>
    </row>
    <row r="19" spans="1:51" s="457" customFormat="1" ht="76.5" thickTop="1" thickBot="1">
      <c r="A19" s="2846"/>
      <c r="B19" s="2872"/>
      <c r="C19" s="489" t="s">
        <v>332</v>
      </c>
      <c r="D19" s="449" t="s">
        <v>114</v>
      </c>
      <c r="E19" s="489" t="s">
        <v>115</v>
      </c>
      <c r="F19" s="489" t="s">
        <v>10</v>
      </c>
      <c r="G19" s="506">
        <v>1</v>
      </c>
      <c r="H19" s="489"/>
      <c r="I19" s="506">
        <v>1</v>
      </c>
      <c r="J19" s="507"/>
      <c r="K19" s="489" t="s">
        <v>20</v>
      </c>
      <c r="L19" s="508"/>
      <c r="M19" s="509"/>
      <c r="N19" s="453" t="e">
        <f t="shared" si="2"/>
        <v>#DIV/0!</v>
      </c>
      <c r="O19" s="508"/>
      <c r="P19" s="509"/>
      <c r="Q19" s="453" t="e">
        <f t="shared" si="3"/>
        <v>#DIV/0!</v>
      </c>
      <c r="R19" s="508">
        <v>0.25</v>
      </c>
      <c r="S19" s="509">
        <v>0.25</v>
      </c>
      <c r="T19" s="453">
        <f t="shared" si="4"/>
        <v>1</v>
      </c>
      <c r="U19" s="508"/>
      <c r="V19" s="509"/>
      <c r="W19" s="453" t="e">
        <f t="shared" si="5"/>
        <v>#DIV/0!</v>
      </c>
      <c r="X19" s="508"/>
      <c r="Y19" s="509"/>
      <c r="Z19" s="453" t="e">
        <f t="shared" si="6"/>
        <v>#DIV/0!</v>
      </c>
      <c r="AA19" s="508">
        <v>0.25</v>
      </c>
      <c r="AB19" s="509">
        <v>0.25</v>
      </c>
      <c r="AC19" s="453">
        <f t="shared" si="12"/>
        <v>1</v>
      </c>
      <c r="AD19" s="509">
        <f>+AB19+S19</f>
        <v>0.5</v>
      </c>
      <c r="AE19" s="453">
        <f t="shared" si="13"/>
        <v>0.5</v>
      </c>
      <c r="AF19" s="508"/>
      <c r="AG19" s="509"/>
      <c r="AH19" s="453" t="e">
        <f t="shared" si="7"/>
        <v>#DIV/0!</v>
      </c>
      <c r="AI19" s="508"/>
      <c r="AJ19" s="509"/>
      <c r="AK19" s="453" t="e">
        <f t="shared" si="8"/>
        <v>#DIV/0!</v>
      </c>
      <c r="AL19" s="508">
        <v>0.25</v>
      </c>
      <c r="AM19" s="509">
        <v>0.25</v>
      </c>
      <c r="AN19" s="453">
        <f t="shared" si="9"/>
        <v>1</v>
      </c>
      <c r="AO19" s="508"/>
      <c r="AP19" s="509"/>
      <c r="AQ19" s="453" t="e">
        <f t="shared" si="10"/>
        <v>#DIV/0!</v>
      </c>
      <c r="AR19" s="510"/>
      <c r="AS19" s="509"/>
      <c r="AT19" s="453" t="e">
        <f t="shared" si="11"/>
        <v>#DIV/0!</v>
      </c>
      <c r="AU19" s="510">
        <v>0.25</v>
      </c>
      <c r="AV19" s="511">
        <v>0.25</v>
      </c>
      <c r="AW19" s="453">
        <f t="shared" si="14"/>
        <v>1</v>
      </c>
      <c r="AX19" s="512">
        <f>+AV19+AM19+AB19+S19</f>
        <v>1</v>
      </c>
      <c r="AY19" s="453">
        <f t="shared" si="15"/>
        <v>1</v>
      </c>
    </row>
    <row r="20" spans="1:51" s="487" customFormat="1" ht="46.5" thickTop="1" thickBot="1">
      <c r="A20" s="2846"/>
      <c r="B20" s="2872"/>
      <c r="C20" s="474" t="s">
        <v>333</v>
      </c>
      <c r="D20" s="171" t="s">
        <v>116</v>
      </c>
      <c r="E20" s="474" t="s">
        <v>334</v>
      </c>
      <c r="F20" s="474" t="s">
        <v>17</v>
      </c>
      <c r="G20" s="513">
        <v>132679</v>
      </c>
      <c r="H20" s="474"/>
      <c r="I20" s="474">
        <v>132679</v>
      </c>
      <c r="J20" s="474"/>
      <c r="K20" s="474" t="s">
        <v>118</v>
      </c>
      <c r="L20" s="494">
        <v>0</v>
      </c>
      <c r="M20" s="495"/>
      <c r="N20" s="73" t="e">
        <f t="shared" si="2"/>
        <v>#DIV/0!</v>
      </c>
      <c r="O20" s="514">
        <v>0</v>
      </c>
      <c r="P20" s="496"/>
      <c r="Q20" s="73" t="e">
        <f t="shared" si="3"/>
        <v>#DIV/0!</v>
      </c>
      <c r="R20" s="494">
        <v>25209</v>
      </c>
      <c r="S20" s="495">
        <v>34855</v>
      </c>
      <c r="T20" s="73">
        <f t="shared" si="4"/>
        <v>1.3826411202348368</v>
      </c>
      <c r="U20" s="494">
        <v>20473</v>
      </c>
      <c r="V20" s="495">
        <v>2527</v>
      </c>
      <c r="W20" s="73">
        <f t="shared" si="5"/>
        <v>0.12343086015728032</v>
      </c>
      <c r="X20" s="494">
        <v>5948</v>
      </c>
      <c r="Y20" s="495">
        <v>1946</v>
      </c>
      <c r="Z20" s="73">
        <f t="shared" si="6"/>
        <v>0.32716879623402823</v>
      </c>
      <c r="AA20" s="494">
        <v>6692</v>
      </c>
      <c r="AB20" s="495">
        <v>6264</v>
      </c>
      <c r="AC20" s="73">
        <f t="shared" si="12"/>
        <v>0.93604303646144649</v>
      </c>
      <c r="AD20" s="496">
        <f>+M20+P20+S20+V20+Y20+AB20</f>
        <v>45592</v>
      </c>
      <c r="AE20" s="73">
        <f t="shared" si="13"/>
        <v>0.34362634629443994</v>
      </c>
      <c r="AF20" s="494">
        <v>12338</v>
      </c>
      <c r="AG20" s="495">
        <v>1938</v>
      </c>
      <c r="AH20" s="73">
        <f t="shared" si="7"/>
        <v>0.15707570108607555</v>
      </c>
      <c r="AI20" s="494">
        <v>18839</v>
      </c>
      <c r="AJ20" s="495">
        <v>18519</v>
      </c>
      <c r="AK20" s="73">
        <f t="shared" si="8"/>
        <v>0.98301396040129518</v>
      </c>
      <c r="AL20" s="494">
        <v>25572</v>
      </c>
      <c r="AM20" s="495">
        <v>8973</v>
      </c>
      <c r="AN20" s="73">
        <f t="shared" si="9"/>
        <v>0.35089160018770532</v>
      </c>
      <c r="AO20" s="494">
        <v>9988</v>
      </c>
      <c r="AP20" s="495">
        <v>23061</v>
      </c>
      <c r="AQ20" s="73">
        <f t="shared" si="10"/>
        <v>2.3088706447737284</v>
      </c>
      <c r="AR20" s="497">
        <v>6867</v>
      </c>
      <c r="AS20" s="495">
        <v>11100</v>
      </c>
      <c r="AT20" s="73">
        <f t="shared" si="11"/>
        <v>1.6164263870685889</v>
      </c>
      <c r="AU20" s="497">
        <v>753</v>
      </c>
      <c r="AV20" s="499">
        <v>23681</v>
      </c>
      <c r="AW20" s="73">
        <f t="shared" si="14"/>
        <v>31.448871181938912</v>
      </c>
      <c r="AX20" s="505">
        <f>+M20+P20+S20+V20+Y20+AB20+AG20+AJ20+AM20+AP20+AS20+AV20</f>
        <v>132864</v>
      </c>
      <c r="AY20" s="304">
        <f t="shared" si="15"/>
        <v>1.0013943427369818</v>
      </c>
    </row>
    <row r="21" spans="1:51" s="457" customFormat="1" ht="76.5" thickTop="1" thickBot="1">
      <c r="A21" s="2846"/>
      <c r="B21" s="2872"/>
      <c r="C21" s="2874" t="s">
        <v>335</v>
      </c>
      <c r="D21" s="515" t="s">
        <v>120</v>
      </c>
      <c r="E21" s="489" t="s">
        <v>218</v>
      </c>
      <c r="F21" s="489" t="s">
        <v>10</v>
      </c>
      <c r="G21" s="516">
        <v>0.64100000000000001</v>
      </c>
      <c r="H21" s="489"/>
      <c r="I21" s="517" t="s">
        <v>312</v>
      </c>
      <c r="J21" s="489"/>
      <c r="K21" s="489" t="s">
        <v>7</v>
      </c>
      <c r="L21" s="518">
        <v>0.64100000000000001</v>
      </c>
      <c r="M21" s="509">
        <v>0.33</v>
      </c>
      <c r="N21" s="453">
        <f t="shared" si="2"/>
        <v>0.51482059282371295</v>
      </c>
      <c r="O21" s="518">
        <v>0.64100000000000001</v>
      </c>
      <c r="P21" s="509">
        <v>1</v>
      </c>
      <c r="Q21" s="453">
        <f t="shared" si="3"/>
        <v>1.5600624024960998</v>
      </c>
      <c r="R21" s="518">
        <v>0.64100000000000001</v>
      </c>
      <c r="S21" s="509">
        <v>0.66</v>
      </c>
      <c r="T21" s="453">
        <f t="shared" si="4"/>
        <v>1.0296411856474259</v>
      </c>
      <c r="U21" s="518"/>
      <c r="V21" s="509"/>
      <c r="W21" s="453" t="e">
        <f t="shared" si="5"/>
        <v>#DIV/0!</v>
      </c>
      <c r="X21" s="518"/>
      <c r="Y21" s="509"/>
      <c r="Z21" s="453" t="e">
        <f t="shared" si="6"/>
        <v>#DIV/0!</v>
      </c>
      <c r="AA21" s="518"/>
      <c r="AB21" s="509"/>
      <c r="AC21" s="453" t="e">
        <f t="shared" si="12"/>
        <v>#DIV/0!</v>
      </c>
      <c r="AD21" s="509">
        <f>AVERAGE(M21,P21,S21,V21,Y21,AB21)</f>
        <v>0.66333333333333344</v>
      </c>
      <c r="AE21" s="453">
        <f t="shared" si="13"/>
        <v>1.0348413936557463</v>
      </c>
      <c r="AF21" s="518">
        <v>0.64100000000000001</v>
      </c>
      <c r="AG21" s="509">
        <v>0.59799999999999998</v>
      </c>
      <c r="AH21" s="453">
        <f t="shared" si="7"/>
        <v>0.93291731669266764</v>
      </c>
      <c r="AI21" s="518">
        <v>0.64100000000000001</v>
      </c>
      <c r="AJ21" s="519">
        <v>0.5333</v>
      </c>
      <c r="AK21" s="453">
        <f t="shared" si="8"/>
        <v>0.83198127925117005</v>
      </c>
      <c r="AL21" s="518">
        <v>0.64100000000000001</v>
      </c>
      <c r="AM21" s="509">
        <v>0.6875</v>
      </c>
      <c r="AN21" s="453">
        <f t="shared" si="9"/>
        <v>1.0725429017160686</v>
      </c>
      <c r="AO21" s="518">
        <v>0.64100000000000001</v>
      </c>
      <c r="AP21" s="509">
        <v>0.4375</v>
      </c>
      <c r="AQ21" s="453">
        <f t="shared" si="10"/>
        <v>0.68252730109204363</v>
      </c>
      <c r="AR21" s="518">
        <v>0.64100000000000001</v>
      </c>
      <c r="AS21" s="509">
        <v>0.5</v>
      </c>
      <c r="AT21" s="453">
        <f t="shared" si="11"/>
        <v>0.78003120124804992</v>
      </c>
      <c r="AU21" s="518">
        <v>0.64100000000000001</v>
      </c>
      <c r="AV21" s="511">
        <v>0.5</v>
      </c>
      <c r="AW21" s="453">
        <f t="shared" si="14"/>
        <v>0.78003120124804992</v>
      </c>
      <c r="AX21" s="508">
        <f>75/129</f>
        <v>0.58139534883720934</v>
      </c>
      <c r="AY21" s="453">
        <f t="shared" si="15"/>
        <v>0.90701302470703482</v>
      </c>
    </row>
    <row r="22" spans="1:51" s="487" customFormat="1" ht="61.5" thickTop="1" thickBot="1">
      <c r="A22" s="2846"/>
      <c r="B22" s="2872"/>
      <c r="C22" s="2874"/>
      <c r="D22" s="520" t="s">
        <v>175</v>
      </c>
      <c r="E22" s="133" t="s">
        <v>123</v>
      </c>
      <c r="F22" s="133" t="s">
        <v>10</v>
      </c>
      <c r="G22" s="521">
        <v>1</v>
      </c>
      <c r="H22" s="133"/>
      <c r="I22" s="521">
        <v>1</v>
      </c>
      <c r="J22" s="133"/>
      <c r="K22" s="133" t="s">
        <v>7</v>
      </c>
      <c r="L22" s="522">
        <v>0</v>
      </c>
      <c r="M22" s="523"/>
      <c r="N22" s="73" t="e">
        <f t="shared" si="2"/>
        <v>#DIV/0!</v>
      </c>
      <c r="O22" s="522">
        <v>0</v>
      </c>
      <c r="P22" s="523"/>
      <c r="Q22" s="73" t="e">
        <f t="shared" si="3"/>
        <v>#DIV/0!</v>
      </c>
      <c r="R22" s="522">
        <v>0</v>
      </c>
      <c r="S22" s="523"/>
      <c r="T22" s="73" t="e">
        <f t="shared" si="4"/>
        <v>#DIV/0!</v>
      </c>
      <c r="U22" s="522">
        <v>0</v>
      </c>
      <c r="V22" s="523"/>
      <c r="W22" s="73" t="e">
        <f t="shared" si="5"/>
        <v>#DIV/0!</v>
      </c>
      <c r="X22" s="522">
        <v>0</v>
      </c>
      <c r="Y22" s="523"/>
      <c r="Z22" s="73" t="e">
        <f t="shared" si="6"/>
        <v>#DIV/0!</v>
      </c>
      <c r="AA22" s="522">
        <v>1</v>
      </c>
      <c r="AB22" s="523">
        <v>0</v>
      </c>
      <c r="AC22" s="73">
        <f t="shared" si="12"/>
        <v>0</v>
      </c>
      <c r="AD22" s="523">
        <f>(+M22+P22+S22+V22+Y22+AB22)/6</f>
        <v>0</v>
      </c>
      <c r="AE22" s="73">
        <f t="shared" si="13"/>
        <v>0</v>
      </c>
      <c r="AF22" s="522">
        <v>1</v>
      </c>
      <c r="AG22" s="523">
        <v>0</v>
      </c>
      <c r="AH22" s="73">
        <f t="shared" si="7"/>
        <v>0</v>
      </c>
      <c r="AI22" s="522">
        <v>1</v>
      </c>
      <c r="AJ22" s="523">
        <v>0.2</v>
      </c>
      <c r="AK22" s="73">
        <f t="shared" si="8"/>
        <v>0.2</v>
      </c>
      <c r="AL22" s="522">
        <v>1</v>
      </c>
      <c r="AM22" s="523">
        <v>0.2</v>
      </c>
      <c r="AN22" s="73">
        <f t="shared" si="9"/>
        <v>0.2</v>
      </c>
      <c r="AO22" s="522">
        <v>1</v>
      </c>
      <c r="AP22" s="523">
        <v>0.2</v>
      </c>
      <c r="AQ22" s="73">
        <f t="shared" si="10"/>
        <v>0.2</v>
      </c>
      <c r="AR22" s="524">
        <v>1</v>
      </c>
      <c r="AS22" s="523">
        <v>0.2</v>
      </c>
      <c r="AT22" s="73">
        <f t="shared" si="11"/>
        <v>0.2</v>
      </c>
      <c r="AU22" s="524">
        <v>1</v>
      </c>
      <c r="AV22" s="525">
        <v>0.2</v>
      </c>
      <c r="AW22" s="73">
        <f t="shared" si="14"/>
        <v>0.2</v>
      </c>
      <c r="AX22" s="522">
        <f t="shared" ref="AX22:AX25" si="16">AVERAGE(M22,P22,S22,V22,Y22,AB22,AG22,AJ22,AM22,AP22,AS22,AV22)</f>
        <v>0.14285714285714285</v>
      </c>
      <c r="AY22" s="73">
        <f t="shared" si="15"/>
        <v>0.14285714285714285</v>
      </c>
    </row>
    <row r="23" spans="1:51" s="457" customFormat="1" ht="61.5" thickTop="1" thickBot="1">
      <c r="A23" s="2846"/>
      <c r="B23" s="2872"/>
      <c r="C23" s="2874"/>
      <c r="D23" s="515" t="s">
        <v>124</v>
      </c>
      <c r="E23" s="489" t="s">
        <v>176</v>
      </c>
      <c r="F23" s="489" t="s">
        <v>10</v>
      </c>
      <c r="G23" s="506">
        <v>1</v>
      </c>
      <c r="H23" s="489"/>
      <c r="I23" s="506">
        <v>1</v>
      </c>
      <c r="J23" s="489"/>
      <c r="K23" s="489" t="s">
        <v>7</v>
      </c>
      <c r="L23" s="508">
        <v>1</v>
      </c>
      <c r="M23" s="509">
        <v>1</v>
      </c>
      <c r="N23" s="453">
        <f t="shared" si="2"/>
        <v>1</v>
      </c>
      <c r="O23" s="508">
        <v>1</v>
      </c>
      <c r="P23" s="509">
        <v>1</v>
      </c>
      <c r="Q23" s="453">
        <f t="shared" si="3"/>
        <v>1</v>
      </c>
      <c r="R23" s="508">
        <v>1</v>
      </c>
      <c r="S23" s="509">
        <v>1</v>
      </c>
      <c r="T23" s="453">
        <f t="shared" si="4"/>
        <v>1</v>
      </c>
      <c r="U23" s="508"/>
      <c r="V23" s="509"/>
      <c r="W23" s="453" t="e">
        <f t="shared" si="5"/>
        <v>#DIV/0!</v>
      </c>
      <c r="X23" s="508"/>
      <c r="Y23" s="509"/>
      <c r="Z23" s="453" t="e">
        <f t="shared" si="6"/>
        <v>#DIV/0!</v>
      </c>
      <c r="AA23" s="508"/>
      <c r="AB23" s="509"/>
      <c r="AC23" s="453" t="e">
        <f t="shared" si="12"/>
        <v>#DIV/0!</v>
      </c>
      <c r="AD23" s="509">
        <f>AVERAGE(M23,P23,S23,V23,Y23,AB23)</f>
        <v>1</v>
      </c>
      <c r="AE23" s="453">
        <f t="shared" si="13"/>
        <v>1</v>
      </c>
      <c r="AF23" s="508">
        <v>1</v>
      </c>
      <c r="AG23" s="509">
        <v>1</v>
      </c>
      <c r="AH23" s="453">
        <f t="shared" si="7"/>
        <v>1</v>
      </c>
      <c r="AI23" s="508">
        <v>1</v>
      </c>
      <c r="AJ23" s="509">
        <v>1</v>
      </c>
      <c r="AK23" s="453">
        <f t="shared" si="8"/>
        <v>1</v>
      </c>
      <c r="AL23" s="508">
        <v>1</v>
      </c>
      <c r="AM23" s="509">
        <v>1</v>
      </c>
      <c r="AN23" s="453">
        <f t="shared" si="9"/>
        <v>1</v>
      </c>
      <c r="AO23" s="508">
        <v>1</v>
      </c>
      <c r="AP23" s="509">
        <v>1</v>
      </c>
      <c r="AQ23" s="453">
        <f t="shared" si="10"/>
        <v>1</v>
      </c>
      <c r="AR23" s="510">
        <v>1</v>
      </c>
      <c r="AS23" s="509">
        <v>1</v>
      </c>
      <c r="AT23" s="453">
        <f t="shared" si="11"/>
        <v>1</v>
      </c>
      <c r="AU23" s="510">
        <v>1</v>
      </c>
      <c r="AV23" s="511">
        <v>1</v>
      </c>
      <c r="AW23" s="453">
        <f t="shared" si="14"/>
        <v>1</v>
      </c>
      <c r="AX23" s="512">
        <f t="shared" si="16"/>
        <v>1</v>
      </c>
      <c r="AY23" s="453">
        <f t="shared" si="15"/>
        <v>1</v>
      </c>
    </row>
    <row r="24" spans="1:51" s="487" customFormat="1" ht="46.5" thickTop="1" thickBot="1">
      <c r="A24" s="2846"/>
      <c r="B24" s="2872"/>
      <c r="C24" s="2874"/>
      <c r="D24" s="520" t="s">
        <v>177</v>
      </c>
      <c r="E24" s="133" t="s">
        <v>127</v>
      </c>
      <c r="F24" s="133" t="s">
        <v>10</v>
      </c>
      <c r="G24" s="521">
        <v>0.2</v>
      </c>
      <c r="H24" s="133"/>
      <c r="I24" s="521">
        <v>1</v>
      </c>
      <c r="J24" s="133"/>
      <c r="K24" s="133" t="s">
        <v>7</v>
      </c>
      <c r="L24" s="522">
        <v>0.2</v>
      </c>
      <c r="M24" s="523">
        <v>0.2</v>
      </c>
      <c r="N24" s="73">
        <f t="shared" si="2"/>
        <v>1</v>
      </c>
      <c r="O24" s="522">
        <v>0.2</v>
      </c>
      <c r="P24" s="523">
        <v>0.2</v>
      </c>
      <c r="Q24" s="73">
        <f t="shared" si="3"/>
        <v>1</v>
      </c>
      <c r="R24" s="522">
        <v>0.2</v>
      </c>
      <c r="S24" s="523">
        <v>0.2</v>
      </c>
      <c r="T24" s="73">
        <f t="shared" si="4"/>
        <v>1</v>
      </c>
      <c r="U24" s="522">
        <v>0.2</v>
      </c>
      <c r="V24" s="523">
        <v>0.2</v>
      </c>
      <c r="W24" s="73">
        <f t="shared" si="5"/>
        <v>1</v>
      </c>
      <c r="X24" s="522">
        <v>0.2</v>
      </c>
      <c r="Y24" s="523">
        <v>0.2</v>
      </c>
      <c r="Z24" s="73">
        <f t="shared" si="6"/>
        <v>1</v>
      </c>
      <c r="AA24" s="522">
        <v>0.2</v>
      </c>
      <c r="AB24" s="523">
        <v>0.2</v>
      </c>
      <c r="AC24" s="73">
        <f t="shared" si="12"/>
        <v>1</v>
      </c>
      <c r="AD24" s="523">
        <f>(+M24+P24+S24+V24+Y24+AB24)/6</f>
        <v>0.19999999999999998</v>
      </c>
      <c r="AE24" s="73">
        <f t="shared" si="13"/>
        <v>0.99999999999999989</v>
      </c>
      <c r="AF24" s="522">
        <v>0.2</v>
      </c>
      <c r="AG24" s="523">
        <v>0.2</v>
      </c>
      <c r="AH24" s="73">
        <f t="shared" si="7"/>
        <v>1</v>
      </c>
      <c r="AI24" s="522">
        <v>0.2</v>
      </c>
      <c r="AJ24" s="523">
        <v>0.2</v>
      </c>
      <c r="AK24" s="73">
        <f t="shared" si="8"/>
        <v>1</v>
      </c>
      <c r="AL24" s="522">
        <v>0.2</v>
      </c>
      <c r="AM24" s="523">
        <v>0.2</v>
      </c>
      <c r="AN24" s="73">
        <f t="shared" si="9"/>
        <v>1</v>
      </c>
      <c r="AO24" s="522">
        <v>0.2</v>
      </c>
      <c r="AP24" s="523">
        <v>0.2</v>
      </c>
      <c r="AQ24" s="73">
        <f t="shared" si="10"/>
        <v>1</v>
      </c>
      <c r="AR24" s="524">
        <v>0.2</v>
      </c>
      <c r="AS24" s="523">
        <v>0.2</v>
      </c>
      <c r="AT24" s="73">
        <f t="shared" si="11"/>
        <v>1</v>
      </c>
      <c r="AU24" s="524">
        <v>0.2</v>
      </c>
      <c r="AV24" s="525">
        <v>0.2</v>
      </c>
      <c r="AW24" s="73">
        <f t="shared" si="14"/>
        <v>1</v>
      </c>
      <c r="AX24" s="526">
        <f t="shared" si="16"/>
        <v>0.19999999999999998</v>
      </c>
      <c r="AY24" s="73">
        <f t="shared" si="15"/>
        <v>0.99999999999999989</v>
      </c>
    </row>
    <row r="25" spans="1:51" s="457" customFormat="1" ht="91.5" thickTop="1" thickBot="1">
      <c r="A25" s="2846"/>
      <c r="B25" s="2872"/>
      <c r="C25" s="2874"/>
      <c r="D25" s="515" t="s">
        <v>128</v>
      </c>
      <c r="E25" s="489" t="s">
        <v>220</v>
      </c>
      <c r="F25" s="489" t="s">
        <v>10</v>
      </c>
      <c r="G25" s="506">
        <v>1</v>
      </c>
      <c r="H25" s="489"/>
      <c r="I25" s="506">
        <v>1</v>
      </c>
      <c r="J25" s="489"/>
      <c r="K25" s="489" t="s">
        <v>7</v>
      </c>
      <c r="L25" s="508">
        <v>1</v>
      </c>
      <c r="M25" s="509"/>
      <c r="N25" s="453">
        <f t="shared" si="2"/>
        <v>0</v>
      </c>
      <c r="O25" s="508">
        <v>1</v>
      </c>
      <c r="P25" s="509"/>
      <c r="Q25" s="453">
        <f t="shared" si="3"/>
        <v>0</v>
      </c>
      <c r="R25" s="508">
        <v>1</v>
      </c>
      <c r="S25" s="509"/>
      <c r="T25" s="453">
        <f t="shared" si="4"/>
        <v>0</v>
      </c>
      <c r="U25" s="508">
        <v>1</v>
      </c>
      <c r="V25" s="509"/>
      <c r="W25" s="453">
        <f t="shared" si="5"/>
        <v>0</v>
      </c>
      <c r="X25" s="508">
        <v>1</v>
      </c>
      <c r="Y25" s="509"/>
      <c r="Z25" s="453">
        <f t="shared" si="6"/>
        <v>0</v>
      </c>
      <c r="AA25" s="508">
        <v>1</v>
      </c>
      <c r="AB25" s="509"/>
      <c r="AC25" s="453">
        <f t="shared" si="12"/>
        <v>0</v>
      </c>
      <c r="AD25" s="509">
        <f>(+M25+P25+S25+V25+Y25+AB25)/6</f>
        <v>0</v>
      </c>
      <c r="AE25" s="453">
        <f t="shared" si="13"/>
        <v>0</v>
      </c>
      <c r="AF25" s="508">
        <v>1</v>
      </c>
      <c r="AG25" s="509"/>
      <c r="AH25" s="453">
        <f t="shared" si="7"/>
        <v>0</v>
      </c>
      <c r="AI25" s="508">
        <v>1</v>
      </c>
      <c r="AJ25" s="509"/>
      <c r="AK25" s="453">
        <f t="shared" si="8"/>
        <v>0</v>
      </c>
      <c r="AL25" s="508">
        <v>1</v>
      </c>
      <c r="AM25" s="509"/>
      <c r="AN25" s="453">
        <f t="shared" si="9"/>
        <v>0</v>
      </c>
      <c r="AO25" s="508">
        <v>1</v>
      </c>
      <c r="AP25" s="509">
        <v>1</v>
      </c>
      <c r="AQ25" s="453">
        <f t="shared" si="10"/>
        <v>1</v>
      </c>
      <c r="AR25" s="510">
        <v>1</v>
      </c>
      <c r="AS25" s="509"/>
      <c r="AT25" s="453">
        <f t="shared" si="11"/>
        <v>0</v>
      </c>
      <c r="AU25" s="510">
        <v>1</v>
      </c>
      <c r="AV25" s="511"/>
      <c r="AW25" s="453">
        <f t="shared" si="14"/>
        <v>0</v>
      </c>
      <c r="AX25" s="512">
        <f t="shared" si="16"/>
        <v>1</v>
      </c>
      <c r="AY25" s="453">
        <f t="shared" si="15"/>
        <v>1</v>
      </c>
    </row>
    <row r="26" spans="1:51" s="487" customFormat="1" ht="61.5" thickTop="1" thickBot="1">
      <c r="A26" s="2846"/>
      <c r="B26" s="2872"/>
      <c r="C26" s="2874"/>
      <c r="D26" s="520" t="s">
        <v>179</v>
      </c>
      <c r="E26" s="133" t="s">
        <v>131</v>
      </c>
      <c r="F26" s="133" t="s">
        <v>10</v>
      </c>
      <c r="G26" s="521">
        <v>1</v>
      </c>
      <c r="H26" s="133"/>
      <c r="I26" s="521">
        <v>1</v>
      </c>
      <c r="J26" s="133"/>
      <c r="K26" s="133" t="s">
        <v>7</v>
      </c>
      <c r="L26" s="522">
        <v>0</v>
      </c>
      <c r="M26" s="523"/>
      <c r="N26" s="73" t="e">
        <f t="shared" si="2"/>
        <v>#DIV/0!</v>
      </c>
      <c r="O26" s="522">
        <v>0</v>
      </c>
      <c r="P26" s="523"/>
      <c r="Q26" s="73" t="e">
        <f t="shared" si="3"/>
        <v>#DIV/0!</v>
      </c>
      <c r="R26" s="522">
        <v>0.1</v>
      </c>
      <c r="S26" s="523"/>
      <c r="T26" s="73">
        <f t="shared" si="4"/>
        <v>0</v>
      </c>
      <c r="U26" s="522">
        <v>0.2</v>
      </c>
      <c r="V26" s="523"/>
      <c r="W26" s="73">
        <f t="shared" si="5"/>
        <v>0</v>
      </c>
      <c r="X26" s="522">
        <v>0.3</v>
      </c>
      <c r="Y26" s="527">
        <f>7/76</f>
        <v>9.2105263157894732E-2</v>
      </c>
      <c r="Z26" s="73">
        <f t="shared" si="6"/>
        <v>0.30701754385964913</v>
      </c>
      <c r="AA26" s="522">
        <v>0.4</v>
      </c>
      <c r="AB26" s="523">
        <v>0.19736842105263158</v>
      </c>
      <c r="AC26" s="73">
        <f t="shared" si="12"/>
        <v>0.49342105263157893</v>
      </c>
      <c r="AD26" s="523">
        <f>+AB26</f>
        <v>0.19736842105263158</v>
      </c>
      <c r="AE26" s="73">
        <f t="shared" si="13"/>
        <v>0.19736842105263158</v>
      </c>
      <c r="AF26" s="522">
        <v>0.5</v>
      </c>
      <c r="AG26" s="528">
        <v>0.32894736842105265</v>
      </c>
      <c r="AH26" s="73">
        <f t="shared" si="7"/>
        <v>0.65789473684210531</v>
      </c>
      <c r="AI26" s="522">
        <v>0.6</v>
      </c>
      <c r="AJ26" s="523">
        <v>0.43421052631578949</v>
      </c>
      <c r="AK26" s="73">
        <f t="shared" si="8"/>
        <v>0.72368421052631582</v>
      </c>
      <c r="AL26" s="522">
        <v>0.7</v>
      </c>
      <c r="AM26" s="523">
        <v>0.53947368421052633</v>
      </c>
      <c r="AN26" s="73">
        <f t="shared" si="9"/>
        <v>0.7706766917293234</v>
      </c>
      <c r="AO26" s="522">
        <v>0.8</v>
      </c>
      <c r="AP26" s="523">
        <v>0.65789473684210531</v>
      </c>
      <c r="AQ26" s="73">
        <f t="shared" si="10"/>
        <v>0.82236842105263164</v>
      </c>
      <c r="AR26" s="524">
        <v>0.9</v>
      </c>
      <c r="AS26" s="523">
        <v>0.75</v>
      </c>
      <c r="AT26" s="73">
        <f t="shared" si="11"/>
        <v>0.83333333333333326</v>
      </c>
      <c r="AU26" s="524">
        <v>1</v>
      </c>
      <c r="AV26" s="525">
        <v>0.77631578947368418</v>
      </c>
      <c r="AW26" s="73">
        <f>+AV26/AU26</f>
        <v>0.77631578947368418</v>
      </c>
      <c r="AX26" s="529">
        <v>0.77629999999999999</v>
      </c>
      <c r="AY26" s="73">
        <f t="shared" si="15"/>
        <v>0.77629999999999999</v>
      </c>
    </row>
    <row r="27" spans="1:51" s="457" customFormat="1" ht="61.5" thickTop="1" thickBot="1">
      <c r="A27" s="2847"/>
      <c r="B27" s="2872"/>
      <c r="C27" s="2874"/>
      <c r="D27" s="515" t="s">
        <v>132</v>
      </c>
      <c r="E27" s="489" t="s">
        <v>133</v>
      </c>
      <c r="F27" s="489" t="s">
        <v>10</v>
      </c>
      <c r="G27" s="506">
        <v>1</v>
      </c>
      <c r="H27" s="530"/>
      <c r="I27" s="506">
        <v>1</v>
      </c>
      <c r="J27" s="530"/>
      <c r="K27" s="489" t="s">
        <v>7</v>
      </c>
      <c r="L27" s="508">
        <v>0</v>
      </c>
      <c r="M27" s="509"/>
      <c r="N27" s="453" t="e">
        <f t="shared" si="2"/>
        <v>#DIV/0!</v>
      </c>
      <c r="O27" s="508">
        <v>0</v>
      </c>
      <c r="P27" s="509"/>
      <c r="Q27" s="453" t="e">
        <f t="shared" si="3"/>
        <v>#DIV/0!</v>
      </c>
      <c r="R27" s="508">
        <v>0</v>
      </c>
      <c r="S27" s="509"/>
      <c r="T27" s="453" t="e">
        <f t="shared" si="4"/>
        <v>#DIV/0!</v>
      </c>
      <c r="U27" s="508">
        <v>0</v>
      </c>
      <c r="V27" s="509"/>
      <c r="W27" s="453" t="e">
        <f t="shared" si="5"/>
        <v>#DIV/0!</v>
      </c>
      <c r="X27" s="508">
        <v>0</v>
      </c>
      <c r="Y27" s="509"/>
      <c r="Z27" s="453" t="e">
        <f t="shared" si="6"/>
        <v>#DIV/0!</v>
      </c>
      <c r="AA27" s="508">
        <v>1</v>
      </c>
      <c r="AB27" s="509">
        <v>1</v>
      </c>
      <c r="AC27" s="453">
        <f t="shared" si="12"/>
        <v>1</v>
      </c>
      <c r="AD27" s="509">
        <f>(+M27+P27+S27+V27+Y27+AB27)</f>
        <v>1</v>
      </c>
      <c r="AE27" s="453">
        <f t="shared" si="13"/>
        <v>1</v>
      </c>
      <c r="AF27" s="508">
        <v>0</v>
      </c>
      <c r="AG27" s="509"/>
      <c r="AH27" s="453" t="e">
        <f t="shared" si="7"/>
        <v>#DIV/0!</v>
      </c>
      <c r="AI27" s="508">
        <v>0</v>
      </c>
      <c r="AJ27" s="509"/>
      <c r="AK27" s="453" t="e">
        <f t="shared" si="8"/>
        <v>#DIV/0!</v>
      </c>
      <c r="AL27" s="508">
        <v>0</v>
      </c>
      <c r="AM27" s="509"/>
      <c r="AN27" s="453" t="e">
        <f t="shared" si="9"/>
        <v>#DIV/0!</v>
      </c>
      <c r="AO27" s="508">
        <v>0</v>
      </c>
      <c r="AP27" s="509"/>
      <c r="AQ27" s="453" t="e">
        <f t="shared" si="10"/>
        <v>#DIV/0!</v>
      </c>
      <c r="AR27" s="510">
        <v>0</v>
      </c>
      <c r="AS27" s="509"/>
      <c r="AT27" s="453" t="e">
        <f t="shared" si="11"/>
        <v>#DIV/0!</v>
      </c>
      <c r="AU27" s="510">
        <v>0</v>
      </c>
      <c r="AV27" s="511"/>
      <c r="AW27" s="453" t="e">
        <f t="shared" si="14"/>
        <v>#DIV/0!</v>
      </c>
      <c r="AX27" s="508">
        <f>(+M27+P27+S27+V27+Y27+AB27+AG27+AJ27+AM27+AP27+AS27+AV27)</f>
        <v>1</v>
      </c>
      <c r="AY27" s="453">
        <f>+AX27/G27</f>
        <v>1</v>
      </c>
    </row>
    <row r="28" spans="1:51" s="534" customFormat="1" ht="22.5" thickTop="1" thickBot="1">
      <c r="A28" s="2877" t="s">
        <v>141</v>
      </c>
      <c r="B28" s="2877"/>
      <c r="C28" s="2877"/>
      <c r="D28" s="2877"/>
      <c r="E28" s="2877"/>
      <c r="F28" s="2877"/>
      <c r="G28" s="2877"/>
      <c r="H28" s="2877"/>
      <c r="I28" s="2877"/>
      <c r="J28" s="2877"/>
      <c r="K28" s="2878"/>
      <c r="L28" s="531"/>
      <c r="M28" s="532"/>
      <c r="N28" s="532"/>
      <c r="O28" s="532"/>
      <c r="P28" s="532"/>
      <c r="Q28" s="532"/>
      <c r="R28" s="532"/>
      <c r="S28" s="532"/>
      <c r="T28" s="532"/>
      <c r="U28" s="532"/>
      <c r="V28" s="532"/>
      <c r="W28" s="532"/>
      <c r="X28" s="532"/>
      <c r="Y28" s="532"/>
      <c r="Z28" s="532"/>
      <c r="AA28" s="532"/>
      <c r="AB28" s="532"/>
      <c r="AC28" s="532"/>
      <c r="AD28" s="532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3"/>
    </row>
    <row r="29" spans="1:51" s="487" customFormat="1" ht="106.5" thickTop="1" thickBot="1">
      <c r="A29" s="2879" t="s">
        <v>181</v>
      </c>
      <c r="B29" s="2872" t="s">
        <v>314</v>
      </c>
      <c r="C29" s="474" t="s">
        <v>336</v>
      </c>
      <c r="D29" s="171" t="s">
        <v>144</v>
      </c>
      <c r="E29" s="474" t="s">
        <v>145</v>
      </c>
      <c r="F29" s="474" t="s">
        <v>17</v>
      </c>
      <c r="G29" s="474">
        <v>1200</v>
      </c>
      <c r="H29" s="474"/>
      <c r="I29" s="474" t="s">
        <v>316</v>
      </c>
      <c r="J29" s="474"/>
      <c r="K29" s="474" t="s">
        <v>146</v>
      </c>
      <c r="L29" s="514">
        <v>0</v>
      </c>
      <c r="M29" s="496"/>
      <c r="N29" s="73" t="e">
        <f t="shared" si="2"/>
        <v>#DIV/0!</v>
      </c>
      <c r="O29" s="514">
        <v>0</v>
      </c>
      <c r="P29" s="496"/>
      <c r="Q29" s="73" t="e">
        <f t="shared" si="3"/>
        <v>#DIV/0!</v>
      </c>
      <c r="R29" s="514">
        <v>0</v>
      </c>
      <c r="S29" s="496"/>
      <c r="T29" s="73" t="e">
        <f t="shared" si="4"/>
        <v>#DIV/0!</v>
      </c>
      <c r="U29" s="514">
        <v>110</v>
      </c>
      <c r="V29" s="496">
        <v>507</v>
      </c>
      <c r="W29" s="73">
        <f t="shared" si="5"/>
        <v>4.6090909090909093</v>
      </c>
      <c r="X29" s="514">
        <v>0</v>
      </c>
      <c r="Y29" s="496">
        <v>810</v>
      </c>
      <c r="Z29" s="73" t="e">
        <f t="shared" si="6"/>
        <v>#DIV/0!</v>
      </c>
      <c r="AA29" s="514">
        <v>0</v>
      </c>
      <c r="AB29" s="496">
        <v>611</v>
      </c>
      <c r="AC29" s="73" t="e">
        <f t="shared" si="12"/>
        <v>#DIV/0!</v>
      </c>
      <c r="AD29" s="496">
        <f>+M29+P29+S29+V29+Y29+AB29</f>
        <v>1928</v>
      </c>
      <c r="AE29" s="73">
        <f t="shared" si="13"/>
        <v>1.6066666666666667</v>
      </c>
      <c r="AF29" s="514">
        <v>0</v>
      </c>
      <c r="AG29" s="496">
        <v>2922</v>
      </c>
      <c r="AH29" s="73" t="e">
        <f t="shared" si="7"/>
        <v>#DIV/0!</v>
      </c>
      <c r="AI29" s="514">
        <v>390</v>
      </c>
      <c r="AJ29" s="496">
        <v>2944</v>
      </c>
      <c r="AK29" s="73">
        <f t="shared" si="8"/>
        <v>7.5487179487179485</v>
      </c>
      <c r="AL29" s="514">
        <v>0</v>
      </c>
      <c r="AM29" s="496">
        <v>897</v>
      </c>
      <c r="AN29" s="73" t="e">
        <f t="shared" si="9"/>
        <v>#DIV/0!</v>
      </c>
      <c r="AO29" s="514">
        <v>0</v>
      </c>
      <c r="AP29" s="496">
        <v>2589</v>
      </c>
      <c r="AQ29" s="73" t="e">
        <f t="shared" si="10"/>
        <v>#DIV/0!</v>
      </c>
      <c r="AR29" s="497">
        <v>0</v>
      </c>
      <c r="AS29" s="496">
        <v>721</v>
      </c>
      <c r="AT29" s="73" t="e">
        <f t="shared" si="11"/>
        <v>#DIV/0!</v>
      </c>
      <c r="AU29" s="497">
        <v>700</v>
      </c>
      <c r="AV29" s="499">
        <v>0</v>
      </c>
      <c r="AW29" s="73">
        <f t="shared" si="14"/>
        <v>0</v>
      </c>
      <c r="AX29" s="505">
        <f>+M29+P29+S29+V29+Y29+AB29+AG29+AJ29+AM29+AP29+AS29+AV29</f>
        <v>12001</v>
      </c>
      <c r="AY29" s="73">
        <f t="shared" si="15"/>
        <v>10.000833333333333</v>
      </c>
    </row>
    <row r="30" spans="1:51" s="457" customFormat="1" ht="61.5" thickTop="1" thickBot="1">
      <c r="A30" s="2880"/>
      <c r="B30" s="2872"/>
      <c r="C30" s="489" t="s">
        <v>337</v>
      </c>
      <c r="D30" s="449" t="s">
        <v>148</v>
      </c>
      <c r="E30" s="489" t="s">
        <v>149</v>
      </c>
      <c r="F30" s="489" t="s">
        <v>8</v>
      </c>
      <c r="G30" s="535">
        <v>10.199999999999999</v>
      </c>
      <c r="H30" s="489"/>
      <c r="I30" s="489">
        <v>10.199999999999999</v>
      </c>
      <c r="J30" s="489"/>
      <c r="K30" s="489" t="s">
        <v>9</v>
      </c>
      <c r="L30" s="490">
        <v>10.199999999999999</v>
      </c>
      <c r="M30" s="536">
        <v>10.3</v>
      </c>
      <c r="N30" s="453">
        <f>+L30/M30</f>
        <v>0.99029126213592222</v>
      </c>
      <c r="O30" s="490">
        <v>10.199999999999999</v>
      </c>
      <c r="P30" s="536">
        <v>10.3</v>
      </c>
      <c r="Q30" s="453">
        <f>+O30/P30</f>
        <v>0.99029126213592222</v>
      </c>
      <c r="R30" s="490">
        <v>10.199999999999999</v>
      </c>
      <c r="S30" s="536">
        <v>10.199999999999999</v>
      </c>
      <c r="T30" s="453">
        <f>+R30/S30</f>
        <v>1</v>
      </c>
      <c r="U30" s="490">
        <v>10.199999999999999</v>
      </c>
      <c r="V30" s="536"/>
      <c r="W30" s="453" t="e">
        <f>+U30/V30</f>
        <v>#DIV/0!</v>
      </c>
      <c r="X30" s="490">
        <v>10.199999999999999</v>
      </c>
      <c r="Y30" s="536"/>
      <c r="Z30" s="453" t="e">
        <f>+X30/Y30</f>
        <v>#DIV/0!</v>
      </c>
      <c r="AA30" s="490">
        <v>10.199999999999999</v>
      </c>
      <c r="AB30" s="536">
        <v>10.199999999999999</v>
      </c>
      <c r="AC30" s="453">
        <f>+AA30/AB30</f>
        <v>1</v>
      </c>
      <c r="AD30" s="491">
        <f>(+M30+P30+S30+V30+Y30+AB30)/6</f>
        <v>6.833333333333333</v>
      </c>
      <c r="AE30" s="453">
        <f>+G30/AD30</f>
        <v>1.4926829268292683</v>
      </c>
      <c r="AF30" s="490">
        <v>10.199999999999999</v>
      </c>
      <c r="AG30" s="536">
        <v>10.199999999999999</v>
      </c>
      <c r="AH30" s="453">
        <f>+AF30/AG30</f>
        <v>1</v>
      </c>
      <c r="AI30" s="490">
        <v>10.199999999999999</v>
      </c>
      <c r="AJ30" s="536">
        <v>10.199999999999999</v>
      </c>
      <c r="AK30" s="453">
        <f>+AI30/AJ30</f>
        <v>1</v>
      </c>
      <c r="AL30" s="490">
        <v>10.199999999999999</v>
      </c>
      <c r="AM30" s="536">
        <v>10.199999999999999</v>
      </c>
      <c r="AN30" s="453">
        <f>+AL30/AM30</f>
        <v>1</v>
      </c>
      <c r="AO30" s="490">
        <v>10.199999999999999</v>
      </c>
      <c r="AP30" s="536">
        <v>10.199999999999999</v>
      </c>
      <c r="AQ30" s="453">
        <f>+AO30/AP30</f>
        <v>1</v>
      </c>
      <c r="AR30" s="492">
        <v>10.199999999999999</v>
      </c>
      <c r="AS30" s="536">
        <v>10.199999999999999</v>
      </c>
      <c r="AT30" s="453">
        <f>+AR30/AS30</f>
        <v>1</v>
      </c>
      <c r="AU30" s="492">
        <v>10.199999999999999</v>
      </c>
      <c r="AV30" s="493">
        <v>10.199999999999999</v>
      </c>
      <c r="AW30" s="453">
        <f>+AU30/AV30</f>
        <v>1</v>
      </c>
      <c r="AX30" s="535">
        <f>AVERAGE(M30,P30,S30,V30,Y30,AB30,AG30,AJ30,AM30,AP30,AS30,AV30)</f>
        <v>10.220000000000002</v>
      </c>
      <c r="AY30" s="453">
        <f>+G30/AX30</f>
        <v>0.99804305283757311</v>
      </c>
    </row>
    <row r="31" spans="1:51" s="487" customFormat="1" ht="76.5" thickTop="1" thickBot="1">
      <c r="A31" s="2881"/>
      <c r="B31" s="537" t="s">
        <v>150</v>
      </c>
      <c r="C31" s="474" t="s">
        <v>338</v>
      </c>
      <c r="D31" s="171" t="s">
        <v>319</v>
      </c>
      <c r="E31" s="474" t="s">
        <v>339</v>
      </c>
      <c r="F31" s="474" t="s">
        <v>17</v>
      </c>
      <c r="G31" s="460">
        <v>37</v>
      </c>
      <c r="H31" s="474"/>
      <c r="I31" s="474">
        <v>37</v>
      </c>
      <c r="J31" s="474"/>
      <c r="K31" s="474" t="s">
        <v>21</v>
      </c>
      <c r="L31" s="514">
        <v>0</v>
      </c>
      <c r="M31" s="496"/>
      <c r="N31" s="73" t="e">
        <f>+L31/M31</f>
        <v>#DIV/0!</v>
      </c>
      <c r="O31" s="514">
        <v>0</v>
      </c>
      <c r="P31" s="496"/>
      <c r="Q31" s="73" t="e">
        <f>+O31/P31</f>
        <v>#DIV/0!</v>
      </c>
      <c r="R31" s="514">
        <v>37</v>
      </c>
      <c r="S31" s="496">
        <v>37</v>
      </c>
      <c r="T31" s="73">
        <f>+R31/S31</f>
        <v>1</v>
      </c>
      <c r="U31" s="514">
        <v>37</v>
      </c>
      <c r="V31" s="496">
        <v>38</v>
      </c>
      <c r="W31" s="73">
        <f>+U31/V31</f>
        <v>0.97368421052631582</v>
      </c>
      <c r="X31" s="514">
        <v>37</v>
      </c>
      <c r="Y31" s="496">
        <v>28</v>
      </c>
      <c r="Z31" s="73">
        <f>+X31/Y31</f>
        <v>1.3214285714285714</v>
      </c>
      <c r="AA31" s="514">
        <v>37</v>
      </c>
      <c r="AB31" s="496">
        <v>36</v>
      </c>
      <c r="AC31" s="73">
        <f>+AA31/AB31</f>
        <v>1.0277777777777777</v>
      </c>
      <c r="AD31" s="496">
        <f>(+M31+P31+S31+V31+Y31+AB31)/4</f>
        <v>34.75</v>
      </c>
      <c r="AE31" s="73">
        <f>+G31/AD31</f>
        <v>1.064748201438849</v>
      </c>
      <c r="AF31" s="514">
        <v>37</v>
      </c>
      <c r="AG31" s="496">
        <v>35</v>
      </c>
      <c r="AH31" s="73">
        <f>+AF31/AG31</f>
        <v>1.0571428571428572</v>
      </c>
      <c r="AI31" s="514">
        <v>37</v>
      </c>
      <c r="AJ31" s="496">
        <v>35</v>
      </c>
      <c r="AK31" s="73">
        <f>+AI31/AJ31</f>
        <v>1.0571428571428572</v>
      </c>
      <c r="AL31" s="514">
        <v>37</v>
      </c>
      <c r="AM31" s="496">
        <v>43</v>
      </c>
      <c r="AN31" s="73">
        <f>+AL31/AM31</f>
        <v>0.86046511627906974</v>
      </c>
      <c r="AO31" s="514">
        <v>37</v>
      </c>
      <c r="AP31" s="496">
        <v>37</v>
      </c>
      <c r="AQ31" s="73">
        <f>+AO31/AP31</f>
        <v>1</v>
      </c>
      <c r="AR31" s="497">
        <v>37</v>
      </c>
      <c r="AS31" s="496">
        <v>36</v>
      </c>
      <c r="AT31" s="73">
        <f>+AR31/AS31</f>
        <v>1.0277777777777777</v>
      </c>
      <c r="AU31" s="497">
        <v>37</v>
      </c>
      <c r="AV31" s="499">
        <v>24</v>
      </c>
      <c r="AW31" s="73">
        <f>+AU31/AV31</f>
        <v>1.5416666666666667</v>
      </c>
      <c r="AX31" s="538">
        <f>(+M31+P31+S31+V31+Y31+AB31+AG31+AJ31+AM31+AP31+AS31+AV31)/10</f>
        <v>34.9</v>
      </c>
      <c r="AY31" s="73">
        <f>+G31/AX31</f>
        <v>1.0601719197707737</v>
      </c>
    </row>
    <row r="32" spans="1:51" s="534" customFormat="1" ht="22.5" thickTop="1" thickBot="1">
      <c r="A32" s="2882" t="s">
        <v>154</v>
      </c>
      <c r="B32" s="2882"/>
      <c r="C32" s="2882"/>
      <c r="D32" s="2882"/>
      <c r="E32" s="2882"/>
      <c r="F32" s="2882"/>
      <c r="G32" s="2882"/>
      <c r="H32" s="2882"/>
      <c r="I32" s="2882"/>
      <c r="J32" s="2882"/>
      <c r="K32" s="2883"/>
      <c r="L32" s="539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  <c r="AE32" s="540"/>
      <c r="AF32" s="540"/>
      <c r="AG32" s="540"/>
      <c r="AH32" s="540"/>
      <c r="AI32" s="540"/>
      <c r="AJ32" s="540"/>
      <c r="AK32" s="540"/>
      <c r="AL32" s="540"/>
      <c r="AM32" s="540"/>
      <c r="AN32" s="540"/>
      <c r="AO32" s="540"/>
      <c r="AP32" s="540"/>
      <c r="AQ32" s="540"/>
      <c r="AR32" s="540"/>
      <c r="AS32" s="540"/>
      <c r="AT32" s="540"/>
      <c r="AU32" s="540"/>
      <c r="AV32" s="540"/>
      <c r="AW32" s="540"/>
      <c r="AX32" s="540"/>
      <c r="AY32" s="541"/>
    </row>
    <row r="33" spans="1:51" s="457" customFormat="1" ht="64.5" thickTop="1" thickBot="1">
      <c r="A33" s="542" t="s">
        <v>155</v>
      </c>
      <c r="B33" s="543" t="s">
        <v>156</v>
      </c>
      <c r="C33" s="489" t="s">
        <v>184</v>
      </c>
      <c r="D33" s="449" t="s">
        <v>158</v>
      </c>
      <c r="E33" s="489" t="s">
        <v>159</v>
      </c>
      <c r="F33" s="489" t="s">
        <v>17</v>
      </c>
      <c r="G33" s="544">
        <v>16</v>
      </c>
      <c r="H33" s="489"/>
      <c r="I33" s="489"/>
      <c r="J33" s="489"/>
      <c r="K33" s="489" t="s">
        <v>27</v>
      </c>
      <c r="L33" s="490">
        <v>0</v>
      </c>
      <c r="M33" s="491"/>
      <c r="N33" s="453" t="e">
        <f t="shared" si="2"/>
        <v>#DIV/0!</v>
      </c>
      <c r="O33" s="490">
        <v>1</v>
      </c>
      <c r="P33" s="491">
        <v>1</v>
      </c>
      <c r="Q33" s="453">
        <f t="shared" si="3"/>
        <v>1</v>
      </c>
      <c r="R33" s="490">
        <v>0</v>
      </c>
      <c r="S33" s="491">
        <v>0</v>
      </c>
      <c r="T33" s="453" t="e">
        <f t="shared" si="4"/>
        <v>#DIV/0!</v>
      </c>
      <c r="U33" s="490">
        <v>0</v>
      </c>
      <c r="V33" s="491">
        <v>0</v>
      </c>
      <c r="W33" s="453" t="e">
        <f t="shared" si="5"/>
        <v>#DIV/0!</v>
      </c>
      <c r="X33" s="490">
        <v>2</v>
      </c>
      <c r="Y33" s="491">
        <v>2</v>
      </c>
      <c r="Z33" s="453">
        <f t="shared" si="6"/>
        <v>1</v>
      </c>
      <c r="AA33" s="490">
        <v>0</v>
      </c>
      <c r="AB33" s="491">
        <v>0</v>
      </c>
      <c r="AC33" s="453" t="e">
        <f t="shared" si="12"/>
        <v>#DIV/0!</v>
      </c>
      <c r="AD33" s="491">
        <f>(+M33+P33+S33+V33+Y33+AB33)</f>
        <v>3</v>
      </c>
      <c r="AE33" s="453">
        <f t="shared" si="13"/>
        <v>0.1875</v>
      </c>
      <c r="AF33" s="490">
        <v>1</v>
      </c>
      <c r="AG33" s="491">
        <v>1</v>
      </c>
      <c r="AH33" s="453">
        <f t="shared" si="7"/>
        <v>1</v>
      </c>
      <c r="AI33" s="490">
        <v>5</v>
      </c>
      <c r="AJ33" s="491">
        <v>5</v>
      </c>
      <c r="AK33" s="453">
        <f t="shared" si="8"/>
        <v>1</v>
      </c>
      <c r="AL33" s="490">
        <v>3</v>
      </c>
      <c r="AM33" s="491">
        <v>3</v>
      </c>
      <c r="AN33" s="453">
        <f t="shared" si="9"/>
        <v>1</v>
      </c>
      <c r="AO33" s="490">
        <v>4</v>
      </c>
      <c r="AP33" s="491">
        <v>4</v>
      </c>
      <c r="AQ33" s="453">
        <f t="shared" si="10"/>
        <v>1</v>
      </c>
      <c r="AR33" s="492">
        <v>0</v>
      </c>
      <c r="AS33" s="491">
        <v>0</v>
      </c>
      <c r="AT33" s="453" t="e">
        <f t="shared" si="11"/>
        <v>#DIV/0!</v>
      </c>
      <c r="AU33" s="492">
        <v>0</v>
      </c>
      <c r="AV33" s="493">
        <v>0</v>
      </c>
      <c r="AW33" s="453" t="e">
        <f>+AV33/AU33</f>
        <v>#DIV/0!</v>
      </c>
      <c r="AX33" s="544">
        <f>+AP33+AM33+AJ33+AG33+Y33+P33</f>
        <v>16</v>
      </c>
      <c r="AY33" s="453">
        <f>+AX33/G33</f>
        <v>1</v>
      </c>
    </row>
    <row r="34" spans="1:51" ht="17.25" hidden="1" thickTop="1">
      <c r="A34" s="8"/>
    </row>
    <row r="35" spans="1:51" ht="17.25" thickTop="1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</sheetData>
  <sheetProtection algorithmName="SHA-512" hashValue="pRQgilhFTS8vswrGHzcI1nKBdpR5J1SUjNr9XKqhFOALoAYbnW8ddO6BW+4VskmVOKyRMbwmu+K6KHb16Y2xCA==" saltValue="nBL3No0ZRlhHNWCwy+dTsw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10:H10" name="Rango1"/>
    <protectedRange algorithmName="SHA-512" hashValue="Uds9cYMsxnQI1SjFHe8NNqfDC/fFeray9QhmtAdG/GCgT0L97QBkFAQ9tCw5vTy3J/lQFdDpBTyQoZDg0KZNmQ==" saltValue="0HoWkw5WsZ+PdZDtJpkerg==" spinCount="100000" sqref="K10" name="Rango1_1"/>
  </protectedRanges>
  <mergeCells count="35">
    <mergeCell ref="A28:K28"/>
    <mergeCell ref="A29:A31"/>
    <mergeCell ref="B29:B30"/>
    <mergeCell ref="A32:K32"/>
    <mergeCell ref="AR5:AT7"/>
    <mergeCell ref="O5:Q7"/>
    <mergeCell ref="R5:T7"/>
    <mergeCell ref="U5:W7"/>
    <mergeCell ref="X5:Z7"/>
    <mergeCell ref="AU5:AW7"/>
    <mergeCell ref="AX5:AY7"/>
    <mergeCell ref="A8:K8"/>
    <mergeCell ref="A9:A27"/>
    <mergeCell ref="B9:B10"/>
    <mergeCell ref="B11:B27"/>
    <mergeCell ref="C12:C16"/>
    <mergeCell ref="C21:C27"/>
    <mergeCell ref="AA5:AC7"/>
    <mergeCell ref="AD5:AE7"/>
    <mergeCell ref="AF5:AH7"/>
    <mergeCell ref="AI5:AK7"/>
    <mergeCell ref="AL5:AN7"/>
    <mergeCell ref="AO5:AQ7"/>
    <mergeCell ref="K5:K7"/>
    <mergeCell ref="L5:N7"/>
    <mergeCell ref="A2:K2"/>
    <mergeCell ref="A3:K3"/>
    <mergeCell ref="A5:A7"/>
    <mergeCell ref="B5:B7"/>
    <mergeCell ref="C5:C7"/>
    <mergeCell ref="D5:D7"/>
    <mergeCell ref="E5:E7"/>
    <mergeCell ref="F5:F7"/>
    <mergeCell ref="G5:G7"/>
    <mergeCell ref="H5:J6"/>
  </mergeCells>
  <conditionalFormatting sqref="N11 N9">
    <cfRule type="cellIs" dxfId="11079" priority="311" operator="greaterThan">
      <formula>110%</formula>
    </cfRule>
    <cfRule type="cellIs" dxfId="11078" priority="312" operator="between">
      <formula>100.001%</formula>
      <formula>110%</formula>
    </cfRule>
    <cfRule type="cellIs" dxfId="11077" priority="313" operator="between">
      <formula>70.001%</formula>
      <formula>100%</formula>
    </cfRule>
    <cfRule type="cellIs" dxfId="11076" priority="314" operator="between">
      <formula>0.00001%</formula>
      <formula>70%</formula>
    </cfRule>
    <cfRule type="cellIs" dxfId="11075" priority="315" operator="equal">
      <formula>0</formula>
    </cfRule>
  </conditionalFormatting>
  <conditionalFormatting sqref="N12:N21 N10">
    <cfRule type="cellIs" dxfId="11074" priority="306" operator="greaterThan">
      <formula>110%</formula>
    </cfRule>
    <cfRule type="cellIs" dxfId="11073" priority="307" operator="between">
      <formula>100.001%</formula>
      <formula>110%</formula>
    </cfRule>
    <cfRule type="cellIs" dxfId="11072" priority="308" operator="between">
      <formula>70.001%</formula>
      <formula>100%</formula>
    </cfRule>
    <cfRule type="cellIs" dxfId="11071" priority="309" operator="between">
      <formula>0.00001%</formula>
      <formula>70%</formula>
    </cfRule>
    <cfRule type="cellIs" dxfId="11070" priority="310" operator="equal">
      <formula>0</formula>
    </cfRule>
  </conditionalFormatting>
  <conditionalFormatting sqref="N22:N27">
    <cfRule type="cellIs" dxfId="11069" priority="301" operator="greaterThan">
      <formula>110%</formula>
    </cfRule>
    <cfRule type="cellIs" dxfId="11068" priority="302" operator="between">
      <formula>100.001%</formula>
      <formula>110%</formula>
    </cfRule>
    <cfRule type="cellIs" dxfId="11067" priority="303" operator="between">
      <formula>70.001%</formula>
      <formula>100%</formula>
    </cfRule>
    <cfRule type="cellIs" dxfId="11066" priority="304" operator="between">
      <formula>0.00001%</formula>
      <formula>70%</formula>
    </cfRule>
    <cfRule type="cellIs" dxfId="11065" priority="305" operator="equal">
      <formula>0%</formula>
    </cfRule>
  </conditionalFormatting>
  <conditionalFormatting sqref="N33 N29:N31">
    <cfRule type="cellIs" dxfId="11064" priority="296" operator="greaterThan">
      <formula>110%</formula>
    </cfRule>
    <cfRule type="cellIs" dxfId="11063" priority="297" operator="between">
      <formula>100.001%</formula>
      <formula>110%</formula>
    </cfRule>
    <cfRule type="cellIs" dxfId="11062" priority="298" operator="between">
      <formula>70.001%</formula>
      <formula>100%</formula>
    </cfRule>
    <cfRule type="cellIs" dxfId="11061" priority="299" operator="between">
      <formula>0.00001%</formula>
      <formula>70%</formula>
    </cfRule>
    <cfRule type="cellIs" dxfId="11060" priority="300" operator="equal">
      <formula>0</formula>
    </cfRule>
  </conditionalFormatting>
  <conditionalFormatting sqref="Q11 Q9">
    <cfRule type="cellIs" dxfId="11059" priority="291" operator="greaterThan">
      <formula>110%</formula>
    </cfRule>
    <cfRule type="cellIs" dxfId="11058" priority="292" operator="between">
      <formula>100.001%</formula>
      <formula>110%</formula>
    </cfRule>
    <cfRule type="cellIs" dxfId="11057" priority="293" operator="between">
      <formula>70.001%</formula>
      <formula>100%</formula>
    </cfRule>
    <cfRule type="cellIs" dxfId="11056" priority="294" operator="between">
      <formula>0.00001%</formula>
      <formula>70%</formula>
    </cfRule>
    <cfRule type="cellIs" dxfId="11055" priority="295" operator="equal">
      <formula>0</formula>
    </cfRule>
  </conditionalFormatting>
  <conditionalFormatting sqref="Q12:Q21 Q10">
    <cfRule type="cellIs" dxfId="11054" priority="286" operator="greaterThan">
      <formula>110%</formula>
    </cfRule>
    <cfRule type="cellIs" dxfId="11053" priority="287" operator="between">
      <formula>100.001%</formula>
      <formula>110%</formula>
    </cfRule>
    <cfRule type="cellIs" dxfId="11052" priority="288" operator="between">
      <formula>70.001%</formula>
      <formula>100%</formula>
    </cfRule>
    <cfRule type="cellIs" dxfId="11051" priority="289" operator="between">
      <formula>0.00001%</formula>
      <formula>70%</formula>
    </cfRule>
    <cfRule type="cellIs" dxfId="11050" priority="290" operator="equal">
      <formula>0</formula>
    </cfRule>
  </conditionalFormatting>
  <conditionalFormatting sqref="Q22:Q27">
    <cfRule type="cellIs" dxfId="11049" priority="281" operator="greaterThan">
      <formula>110%</formula>
    </cfRule>
    <cfRule type="cellIs" dxfId="11048" priority="282" operator="between">
      <formula>100.001%</formula>
      <formula>110%</formula>
    </cfRule>
    <cfRule type="cellIs" dxfId="11047" priority="283" operator="between">
      <formula>70.001%</formula>
      <formula>100%</formula>
    </cfRule>
    <cfRule type="cellIs" dxfId="11046" priority="284" operator="between">
      <formula>0.00001%</formula>
      <formula>70%</formula>
    </cfRule>
    <cfRule type="cellIs" dxfId="11045" priority="285" operator="equal">
      <formula>0</formula>
    </cfRule>
  </conditionalFormatting>
  <conditionalFormatting sqref="Q33 Q29:Q31">
    <cfRule type="cellIs" dxfId="11044" priority="276" operator="greaterThan">
      <formula>110%</formula>
    </cfRule>
    <cfRule type="cellIs" dxfId="11043" priority="277" operator="between">
      <formula>100.001%</formula>
      <formula>110%</formula>
    </cfRule>
    <cfRule type="cellIs" dxfId="11042" priority="278" operator="between">
      <formula>70.001%</formula>
      <formula>100%</formula>
    </cfRule>
    <cfRule type="cellIs" dxfId="11041" priority="279" operator="between">
      <formula>0.00001%</formula>
      <formula>70%</formula>
    </cfRule>
    <cfRule type="cellIs" dxfId="11040" priority="280" operator="equal">
      <formula>0</formula>
    </cfRule>
  </conditionalFormatting>
  <conditionalFormatting sqref="T11 T9">
    <cfRule type="cellIs" dxfId="11039" priority="271" operator="greaterThan">
      <formula>110%</formula>
    </cfRule>
    <cfRule type="cellIs" dxfId="11038" priority="272" operator="between">
      <formula>100.001%</formula>
      <formula>110%</formula>
    </cfRule>
    <cfRule type="cellIs" dxfId="11037" priority="273" operator="between">
      <formula>70.001%</formula>
      <formula>100%</formula>
    </cfRule>
    <cfRule type="cellIs" dxfId="11036" priority="274" operator="between">
      <formula>0.00001%</formula>
      <formula>70%</formula>
    </cfRule>
    <cfRule type="cellIs" dxfId="11035" priority="275" operator="equal">
      <formula>0</formula>
    </cfRule>
  </conditionalFormatting>
  <conditionalFormatting sqref="T12:T21 T10">
    <cfRule type="cellIs" dxfId="11034" priority="266" operator="greaterThan">
      <formula>110%</formula>
    </cfRule>
    <cfRule type="cellIs" dxfId="11033" priority="267" operator="between">
      <formula>100.001%</formula>
      <formula>110%</formula>
    </cfRule>
    <cfRule type="cellIs" dxfId="11032" priority="268" operator="between">
      <formula>70.001%</formula>
      <formula>100%</formula>
    </cfRule>
    <cfRule type="cellIs" dxfId="11031" priority="269" operator="between">
      <formula>0.00001%</formula>
      <formula>70%</formula>
    </cfRule>
    <cfRule type="cellIs" dxfId="11030" priority="270" operator="equal">
      <formula>0</formula>
    </cfRule>
  </conditionalFormatting>
  <conditionalFormatting sqref="T22:T27">
    <cfRule type="cellIs" dxfId="11029" priority="261" operator="greaterThan">
      <formula>110%</formula>
    </cfRule>
    <cfRule type="cellIs" dxfId="11028" priority="262" operator="between">
      <formula>100.001%</formula>
      <formula>110%</formula>
    </cfRule>
    <cfRule type="cellIs" dxfId="11027" priority="263" operator="between">
      <formula>70.001%</formula>
      <formula>100%</formula>
    </cfRule>
    <cfRule type="cellIs" dxfId="11026" priority="264" operator="between">
      <formula>0.00001%</formula>
      <formula>70%</formula>
    </cfRule>
    <cfRule type="cellIs" dxfId="11025" priority="265" operator="equal">
      <formula>0</formula>
    </cfRule>
  </conditionalFormatting>
  <conditionalFormatting sqref="T33 T29:T31">
    <cfRule type="cellIs" dxfId="11024" priority="256" operator="greaterThan">
      <formula>110%</formula>
    </cfRule>
    <cfRule type="cellIs" dxfId="11023" priority="257" operator="between">
      <formula>100.001%</formula>
      <formula>110%</formula>
    </cfRule>
    <cfRule type="cellIs" dxfId="11022" priority="258" operator="between">
      <formula>70.001%</formula>
      <formula>100%</formula>
    </cfRule>
    <cfRule type="cellIs" dxfId="11021" priority="259" operator="between">
      <formula>0.00001%</formula>
      <formula>70%</formula>
    </cfRule>
    <cfRule type="cellIs" dxfId="11020" priority="260" operator="equal">
      <formula>0</formula>
    </cfRule>
  </conditionalFormatting>
  <conditionalFormatting sqref="W11 W9">
    <cfRule type="cellIs" dxfId="11019" priority="251" operator="greaterThan">
      <formula>110%</formula>
    </cfRule>
    <cfRule type="cellIs" dxfId="11018" priority="252" operator="between">
      <formula>100.001%</formula>
      <formula>110%</formula>
    </cfRule>
    <cfRule type="cellIs" dxfId="11017" priority="253" operator="between">
      <formula>70.001%</formula>
      <formula>100%</formula>
    </cfRule>
    <cfRule type="cellIs" dxfId="11016" priority="254" operator="between">
      <formula>0.00001%</formula>
      <formula>70%</formula>
    </cfRule>
    <cfRule type="cellIs" dxfId="11015" priority="255" operator="equal">
      <formula>0</formula>
    </cfRule>
  </conditionalFormatting>
  <conditionalFormatting sqref="W12:W21 W10">
    <cfRule type="cellIs" dxfId="11014" priority="246" operator="greaterThan">
      <formula>110%</formula>
    </cfRule>
    <cfRule type="cellIs" dxfId="11013" priority="247" operator="between">
      <formula>100.001%</formula>
      <formula>110%</formula>
    </cfRule>
    <cfRule type="cellIs" dxfId="11012" priority="248" operator="between">
      <formula>70.001%</formula>
      <formula>100%</formula>
    </cfRule>
    <cfRule type="cellIs" dxfId="11011" priority="249" operator="between">
      <formula>0.00001%</formula>
      <formula>70%</formula>
    </cfRule>
    <cfRule type="cellIs" dxfId="11010" priority="250" operator="equal">
      <formula>0</formula>
    </cfRule>
  </conditionalFormatting>
  <conditionalFormatting sqref="W22:W27">
    <cfRule type="cellIs" dxfId="11009" priority="241" operator="greaterThan">
      <formula>110%</formula>
    </cfRule>
    <cfRule type="cellIs" dxfId="11008" priority="242" operator="between">
      <formula>100.001%</formula>
      <formula>110%</formula>
    </cfRule>
    <cfRule type="cellIs" dxfId="11007" priority="243" operator="between">
      <formula>70.001%</formula>
      <formula>100%</formula>
    </cfRule>
    <cfRule type="cellIs" dxfId="11006" priority="244" operator="between">
      <formula>0.00001%</formula>
      <formula>70%</formula>
    </cfRule>
    <cfRule type="cellIs" dxfId="11005" priority="245" operator="equal">
      <formula>0</formula>
    </cfRule>
  </conditionalFormatting>
  <conditionalFormatting sqref="W33 W29:W31">
    <cfRule type="cellIs" dxfId="11004" priority="236" operator="greaterThan">
      <formula>110%</formula>
    </cfRule>
    <cfRule type="cellIs" dxfId="11003" priority="237" operator="between">
      <formula>100.001%</formula>
      <formula>110%</formula>
    </cfRule>
    <cfRule type="cellIs" dxfId="11002" priority="238" operator="between">
      <formula>70.001%</formula>
      <formula>100%</formula>
    </cfRule>
    <cfRule type="cellIs" dxfId="11001" priority="239" operator="between">
      <formula>0.00001%</formula>
      <formula>70%</formula>
    </cfRule>
    <cfRule type="cellIs" dxfId="11000" priority="240" operator="equal">
      <formula>0</formula>
    </cfRule>
  </conditionalFormatting>
  <conditionalFormatting sqref="Z11 Z9">
    <cfRule type="cellIs" dxfId="10999" priority="231" operator="greaterThan">
      <formula>110%</formula>
    </cfRule>
    <cfRule type="cellIs" dxfId="10998" priority="232" operator="between">
      <formula>100.001%</formula>
      <formula>110%</formula>
    </cfRule>
    <cfRule type="cellIs" dxfId="10997" priority="233" operator="between">
      <formula>70.001%</formula>
      <formula>100%</formula>
    </cfRule>
    <cfRule type="cellIs" dxfId="10996" priority="234" operator="between">
      <formula>0.00001%</formula>
      <formula>70%</formula>
    </cfRule>
    <cfRule type="cellIs" dxfId="10995" priority="235" operator="equal">
      <formula>0</formula>
    </cfRule>
  </conditionalFormatting>
  <conditionalFormatting sqref="Z12:Z21 Z10">
    <cfRule type="cellIs" dxfId="10994" priority="226" operator="greaterThan">
      <formula>110%</formula>
    </cfRule>
    <cfRule type="cellIs" dxfId="10993" priority="227" operator="between">
      <formula>100.001%</formula>
      <formula>110%</formula>
    </cfRule>
    <cfRule type="cellIs" dxfId="10992" priority="228" operator="between">
      <formula>70.001%</formula>
      <formula>100%</formula>
    </cfRule>
    <cfRule type="cellIs" dxfId="10991" priority="229" operator="between">
      <formula>0.00001%</formula>
      <formula>70%</formula>
    </cfRule>
    <cfRule type="cellIs" dxfId="10990" priority="230" operator="equal">
      <formula>0</formula>
    </cfRule>
  </conditionalFormatting>
  <conditionalFormatting sqref="Z22:Z25 Z27">
    <cfRule type="cellIs" dxfId="10989" priority="221" operator="greaterThan">
      <formula>110%</formula>
    </cfRule>
    <cfRule type="cellIs" dxfId="10988" priority="222" operator="between">
      <formula>100.001%</formula>
      <formula>110%</formula>
    </cfRule>
    <cfRule type="cellIs" dxfId="10987" priority="223" operator="between">
      <formula>70.001%</formula>
      <formula>100%</formula>
    </cfRule>
    <cfRule type="cellIs" dxfId="10986" priority="224" operator="between">
      <formula>0.00001%</formula>
      <formula>70%</formula>
    </cfRule>
    <cfRule type="cellIs" dxfId="10985" priority="225" operator="equal">
      <formula>0</formula>
    </cfRule>
  </conditionalFormatting>
  <conditionalFormatting sqref="Z33 Z29:Z31">
    <cfRule type="cellIs" dxfId="10984" priority="216" operator="greaterThan">
      <formula>110%</formula>
    </cfRule>
    <cfRule type="cellIs" dxfId="10983" priority="217" operator="between">
      <formula>100.001%</formula>
      <formula>110%</formula>
    </cfRule>
    <cfRule type="cellIs" dxfId="10982" priority="218" operator="between">
      <formula>70.001%</formula>
      <formula>100%</formula>
    </cfRule>
    <cfRule type="cellIs" dxfId="10981" priority="219" operator="between">
      <formula>0.00001%</formula>
      <formula>70%</formula>
    </cfRule>
    <cfRule type="cellIs" dxfId="10980" priority="220" operator="equal">
      <formula>0</formula>
    </cfRule>
  </conditionalFormatting>
  <conditionalFormatting sqref="AC11 AC9">
    <cfRule type="cellIs" dxfId="10979" priority="211" operator="greaterThan">
      <formula>110%</formula>
    </cfRule>
    <cfRule type="cellIs" dxfId="10978" priority="212" operator="between">
      <formula>100.001%</formula>
      <formula>110%</formula>
    </cfRule>
    <cfRule type="cellIs" dxfId="10977" priority="213" operator="between">
      <formula>70.001%</formula>
      <formula>100%</formula>
    </cfRule>
    <cfRule type="cellIs" dxfId="10976" priority="214" operator="between">
      <formula>0.00001%</formula>
      <formula>70%</formula>
    </cfRule>
    <cfRule type="cellIs" dxfId="10975" priority="215" operator="equal">
      <formula>0</formula>
    </cfRule>
  </conditionalFormatting>
  <conditionalFormatting sqref="AC12:AC21 AC10">
    <cfRule type="cellIs" dxfId="10974" priority="206" operator="greaterThan">
      <formula>110%</formula>
    </cfRule>
    <cfRule type="cellIs" dxfId="10973" priority="207" operator="between">
      <formula>100.001%</formula>
      <formula>110%</formula>
    </cfRule>
    <cfRule type="cellIs" dxfId="10972" priority="208" operator="between">
      <formula>70.001%</formula>
      <formula>100%</formula>
    </cfRule>
    <cfRule type="cellIs" dxfId="10971" priority="209" operator="between">
      <formula>0.00001%</formula>
      <formula>70%</formula>
    </cfRule>
    <cfRule type="cellIs" dxfId="10970" priority="210" operator="equal">
      <formula>0</formula>
    </cfRule>
  </conditionalFormatting>
  <conditionalFormatting sqref="AC22:AC25 AC27">
    <cfRule type="cellIs" dxfId="10969" priority="201" operator="greaterThan">
      <formula>110%</formula>
    </cfRule>
    <cfRule type="cellIs" dxfId="10968" priority="202" operator="between">
      <formula>100.001%</formula>
      <formula>110%</formula>
    </cfRule>
    <cfRule type="cellIs" dxfId="10967" priority="203" operator="between">
      <formula>70.001%</formula>
      <formula>100%</formula>
    </cfRule>
    <cfRule type="cellIs" dxfId="10966" priority="204" operator="between">
      <formula>0.00001%</formula>
      <formula>70%</formula>
    </cfRule>
    <cfRule type="cellIs" dxfId="10965" priority="205" operator="equal">
      <formula>0</formula>
    </cfRule>
  </conditionalFormatting>
  <conditionalFormatting sqref="AC33 AC29:AC31">
    <cfRule type="cellIs" dxfId="10964" priority="196" operator="greaterThan">
      <formula>110%</formula>
    </cfRule>
    <cfRule type="cellIs" dxfId="10963" priority="197" operator="between">
      <formula>100.001%</formula>
      <formula>110%</formula>
    </cfRule>
    <cfRule type="cellIs" dxfId="10962" priority="198" operator="between">
      <formula>70.001%</formula>
      <formula>100%</formula>
    </cfRule>
    <cfRule type="cellIs" dxfId="10961" priority="199" operator="between">
      <formula>0.00001%</formula>
      <formula>70%</formula>
    </cfRule>
    <cfRule type="cellIs" dxfId="10960" priority="200" operator="equal">
      <formula>0</formula>
    </cfRule>
  </conditionalFormatting>
  <conditionalFormatting sqref="AE33 AE9:AE25 AE29:AE31 AE27">
    <cfRule type="cellIs" dxfId="10959" priority="191" operator="greaterThan">
      <formula>110%</formula>
    </cfRule>
    <cfRule type="cellIs" dxfId="10958" priority="192" operator="between">
      <formula>100.001%</formula>
      <formula>110%</formula>
    </cfRule>
    <cfRule type="cellIs" dxfId="10957" priority="193" operator="between">
      <formula>70.001%</formula>
      <formula>100%</formula>
    </cfRule>
    <cfRule type="cellIs" dxfId="10956" priority="194" operator="between">
      <formula>0.00001%</formula>
      <formula>70%</formula>
    </cfRule>
    <cfRule type="cellIs" dxfId="10955" priority="195" operator="equal">
      <formula>0</formula>
    </cfRule>
  </conditionalFormatting>
  <conditionalFormatting sqref="AH11 AH9">
    <cfRule type="cellIs" dxfId="10954" priority="186" operator="greaterThan">
      <formula>110%</formula>
    </cfRule>
    <cfRule type="cellIs" dxfId="10953" priority="187" operator="between">
      <formula>100.001%</formula>
      <formula>110%</formula>
    </cfRule>
    <cfRule type="cellIs" dxfId="10952" priority="188" operator="between">
      <formula>70.001%</formula>
      <formula>100%</formula>
    </cfRule>
    <cfRule type="cellIs" dxfId="10951" priority="189" operator="between">
      <formula>0.00001%</formula>
      <formula>70%</formula>
    </cfRule>
    <cfRule type="cellIs" dxfId="10950" priority="190" operator="equal">
      <formula>0</formula>
    </cfRule>
  </conditionalFormatting>
  <conditionalFormatting sqref="AH12:AH21 AH10">
    <cfRule type="cellIs" dxfId="10949" priority="181" operator="greaterThan">
      <formula>110%</formula>
    </cfRule>
    <cfRule type="cellIs" dxfId="10948" priority="182" operator="between">
      <formula>100.001%</formula>
      <formula>110%</formula>
    </cfRule>
    <cfRule type="cellIs" dxfId="10947" priority="183" operator="between">
      <formula>70.001%</formula>
      <formula>100%</formula>
    </cfRule>
    <cfRule type="cellIs" dxfId="10946" priority="184" operator="between">
      <formula>0.00001%</formula>
      <formula>70%</formula>
    </cfRule>
    <cfRule type="cellIs" dxfId="10945" priority="185" operator="equal">
      <formula>0</formula>
    </cfRule>
  </conditionalFormatting>
  <conditionalFormatting sqref="AH22:AH25 AH27">
    <cfRule type="cellIs" dxfId="10944" priority="176" operator="greaterThan">
      <formula>110%</formula>
    </cfRule>
    <cfRule type="cellIs" dxfId="10943" priority="177" operator="between">
      <formula>100.001%</formula>
      <formula>110%</formula>
    </cfRule>
    <cfRule type="cellIs" dxfId="10942" priority="178" operator="between">
      <formula>70.001%</formula>
      <formula>100%</formula>
    </cfRule>
    <cfRule type="cellIs" dxfId="10941" priority="179" operator="between">
      <formula>0.00001%</formula>
      <formula>70%</formula>
    </cfRule>
    <cfRule type="cellIs" dxfId="10940" priority="180" operator="equal">
      <formula>0</formula>
    </cfRule>
  </conditionalFormatting>
  <conditionalFormatting sqref="AH33 AH29:AH31">
    <cfRule type="cellIs" dxfId="10939" priority="171" operator="greaterThan">
      <formula>110%</formula>
    </cfRule>
    <cfRule type="cellIs" dxfId="10938" priority="172" operator="between">
      <formula>100.001%</formula>
      <formula>110%</formula>
    </cfRule>
    <cfRule type="cellIs" dxfId="10937" priority="173" operator="between">
      <formula>70.001%</formula>
      <formula>100%</formula>
    </cfRule>
    <cfRule type="cellIs" dxfId="10936" priority="174" operator="between">
      <formula>0.00001%</formula>
      <formula>70%</formula>
    </cfRule>
    <cfRule type="cellIs" dxfId="10935" priority="175" operator="equal">
      <formula>0</formula>
    </cfRule>
  </conditionalFormatting>
  <conditionalFormatting sqref="AK11 AK9">
    <cfRule type="cellIs" dxfId="10934" priority="166" operator="greaterThan">
      <formula>110%</formula>
    </cfRule>
    <cfRule type="cellIs" dxfId="10933" priority="167" operator="between">
      <formula>100.001%</formula>
      <formula>110%</formula>
    </cfRule>
    <cfRule type="cellIs" dxfId="10932" priority="168" operator="between">
      <formula>70.001%</formula>
      <formula>100%</formula>
    </cfRule>
    <cfRule type="cellIs" dxfId="10931" priority="169" operator="between">
      <formula>0.00001%</formula>
      <formula>70%</formula>
    </cfRule>
    <cfRule type="cellIs" dxfId="10930" priority="170" operator="equal">
      <formula>0</formula>
    </cfRule>
  </conditionalFormatting>
  <conditionalFormatting sqref="AK12:AK21 AK10">
    <cfRule type="cellIs" dxfId="10929" priority="161" operator="greaterThan">
      <formula>110%</formula>
    </cfRule>
    <cfRule type="cellIs" dxfId="10928" priority="162" operator="between">
      <formula>100.001%</formula>
      <formula>110%</formula>
    </cfRule>
    <cfRule type="cellIs" dxfId="10927" priority="163" operator="between">
      <formula>70.001%</formula>
      <formula>100%</formula>
    </cfRule>
    <cfRule type="cellIs" dxfId="10926" priority="164" operator="between">
      <formula>0.00001%</formula>
      <formula>70%</formula>
    </cfRule>
    <cfRule type="cellIs" dxfId="10925" priority="165" operator="equal">
      <formula>0</formula>
    </cfRule>
  </conditionalFormatting>
  <conditionalFormatting sqref="AK22:AK25 AK27">
    <cfRule type="cellIs" dxfId="10924" priority="156" operator="greaterThan">
      <formula>110%</formula>
    </cfRule>
    <cfRule type="cellIs" dxfId="10923" priority="157" operator="between">
      <formula>100.001%</formula>
      <formula>110%</formula>
    </cfRule>
    <cfRule type="cellIs" dxfId="10922" priority="158" operator="between">
      <formula>70.001%</formula>
      <formula>100%</formula>
    </cfRule>
    <cfRule type="cellIs" dxfId="10921" priority="159" operator="between">
      <formula>0.00001%</formula>
      <formula>70%</formula>
    </cfRule>
    <cfRule type="cellIs" dxfId="10920" priority="160" operator="equal">
      <formula>0</formula>
    </cfRule>
  </conditionalFormatting>
  <conditionalFormatting sqref="AK33 AK29:AK31">
    <cfRule type="cellIs" dxfId="10919" priority="151" operator="greaterThan">
      <formula>110%</formula>
    </cfRule>
    <cfRule type="cellIs" dxfId="10918" priority="152" operator="between">
      <formula>100.001%</formula>
      <formula>110%</formula>
    </cfRule>
    <cfRule type="cellIs" dxfId="10917" priority="153" operator="between">
      <formula>70.001%</formula>
      <formula>100%</formula>
    </cfRule>
    <cfRule type="cellIs" dxfId="10916" priority="154" operator="between">
      <formula>0.00001%</formula>
      <formula>70%</formula>
    </cfRule>
    <cfRule type="cellIs" dxfId="10915" priority="155" operator="equal">
      <formula>0</formula>
    </cfRule>
  </conditionalFormatting>
  <conditionalFormatting sqref="AN11 AN9">
    <cfRule type="cellIs" dxfId="10914" priority="146" operator="greaterThan">
      <formula>110%</formula>
    </cfRule>
    <cfRule type="cellIs" dxfId="10913" priority="147" operator="between">
      <formula>100.001%</formula>
      <formula>110%</formula>
    </cfRule>
    <cfRule type="cellIs" dxfId="10912" priority="148" operator="between">
      <formula>70.001%</formula>
      <formula>100%</formula>
    </cfRule>
    <cfRule type="cellIs" dxfId="10911" priority="149" operator="between">
      <formula>0.00001%</formula>
      <formula>70%</formula>
    </cfRule>
    <cfRule type="cellIs" dxfId="10910" priority="150" operator="equal">
      <formula>0</formula>
    </cfRule>
  </conditionalFormatting>
  <conditionalFormatting sqref="AN12:AN21 AN10">
    <cfRule type="cellIs" dxfId="10909" priority="141" operator="greaterThan">
      <formula>110%</formula>
    </cfRule>
    <cfRule type="cellIs" dxfId="10908" priority="142" operator="between">
      <formula>100.001%</formula>
      <formula>110%</formula>
    </cfRule>
    <cfRule type="cellIs" dxfId="10907" priority="143" operator="between">
      <formula>70.001%</formula>
      <formula>100%</formula>
    </cfRule>
    <cfRule type="cellIs" dxfId="10906" priority="144" operator="between">
      <formula>0.00001%</formula>
      <formula>70%</formula>
    </cfRule>
    <cfRule type="cellIs" dxfId="10905" priority="145" operator="equal">
      <formula>0</formula>
    </cfRule>
  </conditionalFormatting>
  <conditionalFormatting sqref="AN22:AN25 AN27">
    <cfRule type="cellIs" dxfId="10904" priority="136" operator="greaterThan">
      <formula>110%</formula>
    </cfRule>
    <cfRule type="cellIs" dxfId="10903" priority="137" operator="between">
      <formula>100.001%</formula>
      <formula>110%</formula>
    </cfRule>
    <cfRule type="cellIs" dxfId="10902" priority="138" operator="between">
      <formula>70.001%</formula>
      <formula>100%</formula>
    </cfRule>
    <cfRule type="cellIs" dxfId="10901" priority="139" operator="between">
      <formula>0.00001%</formula>
      <formula>70%</formula>
    </cfRule>
    <cfRule type="cellIs" dxfId="10900" priority="140" operator="equal">
      <formula>0</formula>
    </cfRule>
  </conditionalFormatting>
  <conditionalFormatting sqref="AN33 AN29:AN31">
    <cfRule type="cellIs" dxfId="10899" priority="131" operator="greaterThan">
      <formula>110%</formula>
    </cfRule>
    <cfRule type="cellIs" dxfId="10898" priority="132" operator="between">
      <formula>100.001%</formula>
      <formula>110%</formula>
    </cfRule>
    <cfRule type="cellIs" dxfId="10897" priority="133" operator="between">
      <formula>70.001%</formula>
      <formula>100%</formula>
    </cfRule>
    <cfRule type="cellIs" dxfId="10896" priority="134" operator="between">
      <formula>0.00001%</formula>
      <formula>70%</formula>
    </cfRule>
    <cfRule type="cellIs" dxfId="10895" priority="135" operator="equal">
      <formula>0</formula>
    </cfRule>
  </conditionalFormatting>
  <conditionalFormatting sqref="AQ11 AQ9">
    <cfRule type="cellIs" dxfId="10894" priority="126" operator="greaterThan">
      <formula>110%</formula>
    </cfRule>
    <cfRule type="cellIs" dxfId="10893" priority="127" operator="between">
      <formula>100.001%</formula>
      <formula>110%</formula>
    </cfRule>
    <cfRule type="cellIs" dxfId="10892" priority="128" operator="between">
      <formula>70.001%</formula>
      <formula>100%</formula>
    </cfRule>
    <cfRule type="cellIs" dxfId="10891" priority="129" operator="between">
      <formula>0.00001%</formula>
      <formula>70%</formula>
    </cfRule>
    <cfRule type="cellIs" dxfId="10890" priority="130" operator="equal">
      <formula>0</formula>
    </cfRule>
  </conditionalFormatting>
  <conditionalFormatting sqref="AQ12:AQ21 AQ10">
    <cfRule type="cellIs" dxfId="10889" priority="121" operator="greaterThan">
      <formula>110%</formula>
    </cfRule>
    <cfRule type="cellIs" dxfId="10888" priority="122" operator="between">
      <formula>100.001%</formula>
      <formula>110%</formula>
    </cfRule>
    <cfRule type="cellIs" dxfId="10887" priority="123" operator="between">
      <formula>70.001%</formula>
      <formula>100%</formula>
    </cfRule>
    <cfRule type="cellIs" dxfId="10886" priority="124" operator="between">
      <formula>0.00001%</formula>
      <formula>70%</formula>
    </cfRule>
    <cfRule type="cellIs" dxfId="10885" priority="125" operator="equal">
      <formula>0</formula>
    </cfRule>
  </conditionalFormatting>
  <conditionalFormatting sqref="AQ22:AQ25 AQ27">
    <cfRule type="cellIs" dxfId="10884" priority="116" operator="greaterThan">
      <formula>110%</formula>
    </cfRule>
    <cfRule type="cellIs" dxfId="10883" priority="117" operator="between">
      <formula>100.001%</formula>
      <formula>110%</formula>
    </cfRule>
    <cfRule type="cellIs" dxfId="10882" priority="118" operator="between">
      <formula>70.001%</formula>
      <formula>100%</formula>
    </cfRule>
    <cfRule type="cellIs" dxfId="10881" priority="119" operator="between">
      <formula>0.00001%</formula>
      <formula>70%</formula>
    </cfRule>
    <cfRule type="cellIs" dxfId="10880" priority="120" operator="equal">
      <formula>0</formula>
    </cfRule>
  </conditionalFormatting>
  <conditionalFormatting sqref="AQ33 AQ29:AQ31">
    <cfRule type="cellIs" dxfId="10879" priority="111" operator="greaterThan">
      <formula>110%</formula>
    </cfRule>
    <cfRule type="cellIs" dxfId="10878" priority="112" operator="between">
      <formula>100.001%</formula>
      <formula>110%</formula>
    </cfRule>
    <cfRule type="cellIs" dxfId="10877" priority="113" operator="between">
      <formula>70.001%</formula>
      <formula>100%</formula>
    </cfRule>
    <cfRule type="cellIs" dxfId="10876" priority="114" operator="between">
      <formula>0.00001%</formula>
      <formula>70%</formula>
    </cfRule>
    <cfRule type="cellIs" dxfId="10875" priority="115" operator="equal">
      <formula>0</formula>
    </cfRule>
  </conditionalFormatting>
  <conditionalFormatting sqref="AT11 AT9">
    <cfRule type="cellIs" dxfId="10874" priority="106" operator="greaterThan">
      <formula>110%</formula>
    </cfRule>
    <cfRule type="cellIs" dxfId="10873" priority="107" operator="between">
      <formula>100.001%</formula>
      <formula>110%</formula>
    </cfRule>
    <cfRule type="cellIs" dxfId="10872" priority="108" operator="between">
      <formula>70.001%</formula>
      <formula>100%</formula>
    </cfRule>
    <cfRule type="cellIs" dxfId="10871" priority="109" operator="between">
      <formula>0.00001%</formula>
      <formula>70%</formula>
    </cfRule>
    <cfRule type="cellIs" dxfId="10870" priority="110" operator="equal">
      <formula>0</formula>
    </cfRule>
  </conditionalFormatting>
  <conditionalFormatting sqref="AT12:AT21 AT10">
    <cfRule type="cellIs" dxfId="10869" priority="101" operator="greaterThan">
      <formula>110%</formula>
    </cfRule>
    <cfRule type="cellIs" dxfId="10868" priority="102" operator="between">
      <formula>100.001%</formula>
      <formula>110%</formula>
    </cfRule>
    <cfRule type="cellIs" dxfId="10867" priority="103" operator="between">
      <formula>70.001%</formula>
      <formula>100%</formula>
    </cfRule>
    <cfRule type="cellIs" dxfId="10866" priority="104" operator="between">
      <formula>0.00001%</formula>
      <formula>70%</formula>
    </cfRule>
    <cfRule type="cellIs" dxfId="10865" priority="105" operator="equal">
      <formula>0</formula>
    </cfRule>
  </conditionalFormatting>
  <conditionalFormatting sqref="AT22:AT25 AT27">
    <cfRule type="cellIs" dxfId="10864" priority="96" operator="greaterThan">
      <formula>110%</formula>
    </cfRule>
    <cfRule type="cellIs" dxfId="10863" priority="97" operator="between">
      <formula>100.001%</formula>
      <formula>110%</formula>
    </cfRule>
    <cfRule type="cellIs" dxfId="10862" priority="98" operator="between">
      <formula>70.001%</formula>
      <formula>100%</formula>
    </cfRule>
    <cfRule type="cellIs" dxfId="10861" priority="99" operator="between">
      <formula>0.00001%</formula>
      <formula>70%</formula>
    </cfRule>
    <cfRule type="cellIs" dxfId="10860" priority="100" operator="equal">
      <formula>0</formula>
    </cfRule>
  </conditionalFormatting>
  <conditionalFormatting sqref="AT33 AT29:AT31">
    <cfRule type="cellIs" dxfId="10859" priority="91" operator="greaterThan">
      <formula>110%</formula>
    </cfRule>
    <cfRule type="cellIs" dxfId="10858" priority="92" operator="between">
      <formula>100.001%</formula>
      <formula>110%</formula>
    </cfRule>
    <cfRule type="cellIs" dxfId="10857" priority="93" operator="between">
      <formula>70.001%</formula>
      <formula>100%</formula>
    </cfRule>
    <cfRule type="cellIs" dxfId="10856" priority="94" operator="between">
      <formula>0.00001%</formula>
      <formula>70%</formula>
    </cfRule>
    <cfRule type="cellIs" dxfId="10855" priority="95" operator="equal">
      <formula>0</formula>
    </cfRule>
  </conditionalFormatting>
  <conditionalFormatting sqref="AW11 AW9">
    <cfRule type="cellIs" dxfId="10854" priority="86" operator="greaterThan">
      <formula>110%</formula>
    </cfRule>
    <cfRule type="cellIs" dxfId="10853" priority="87" operator="between">
      <formula>100.001%</formula>
      <formula>110%</formula>
    </cfRule>
    <cfRule type="cellIs" dxfId="10852" priority="88" operator="between">
      <formula>70.001%</formula>
      <formula>100%</formula>
    </cfRule>
    <cfRule type="cellIs" dxfId="10851" priority="89" operator="between">
      <formula>0.00001%</formula>
      <formula>70%</formula>
    </cfRule>
    <cfRule type="cellIs" dxfId="10850" priority="90" operator="equal">
      <formula>0</formula>
    </cfRule>
  </conditionalFormatting>
  <conditionalFormatting sqref="AW12:AW21 AW10">
    <cfRule type="cellIs" dxfId="10849" priority="81" operator="greaterThan">
      <formula>110%</formula>
    </cfRule>
    <cfRule type="cellIs" dxfId="10848" priority="82" operator="between">
      <formula>100.001%</formula>
      <formula>110%</formula>
    </cfRule>
    <cfRule type="cellIs" dxfId="10847" priority="83" operator="between">
      <formula>70.001%</formula>
      <formula>100%</formula>
    </cfRule>
    <cfRule type="cellIs" dxfId="10846" priority="84" operator="between">
      <formula>0.00001%</formula>
      <formula>70%</formula>
    </cfRule>
    <cfRule type="cellIs" dxfId="10845" priority="85" operator="equal">
      <formula>0</formula>
    </cfRule>
  </conditionalFormatting>
  <conditionalFormatting sqref="AW22:AW25 AW27">
    <cfRule type="cellIs" dxfId="10844" priority="76" operator="greaterThan">
      <formula>110%</formula>
    </cfRule>
    <cfRule type="cellIs" dxfId="10843" priority="77" operator="between">
      <formula>100.001%</formula>
      <formula>110%</formula>
    </cfRule>
    <cfRule type="cellIs" dxfId="10842" priority="78" operator="between">
      <formula>70.001%</formula>
      <formula>100%</formula>
    </cfRule>
    <cfRule type="cellIs" dxfId="10841" priority="79" operator="between">
      <formula>0.00001%</formula>
      <formula>70%</formula>
    </cfRule>
    <cfRule type="cellIs" dxfId="10840" priority="80" operator="equal">
      <formula>0</formula>
    </cfRule>
  </conditionalFormatting>
  <conditionalFormatting sqref="AW33 AW29:AW31">
    <cfRule type="cellIs" dxfId="10839" priority="71" operator="greaterThan">
      <formula>110%</formula>
    </cfRule>
    <cfRule type="cellIs" dxfId="10838" priority="72" operator="between">
      <formula>100.001%</formula>
      <formula>110%</formula>
    </cfRule>
    <cfRule type="cellIs" dxfId="10837" priority="73" operator="between">
      <formula>70.001%</formula>
      <formula>100%</formula>
    </cfRule>
    <cfRule type="cellIs" dxfId="10836" priority="74" operator="between">
      <formula>0.00001%</formula>
      <formula>70%</formula>
    </cfRule>
    <cfRule type="cellIs" dxfId="10835" priority="75" operator="equal">
      <formula>0</formula>
    </cfRule>
  </conditionalFormatting>
  <conditionalFormatting sqref="AY11 AY9">
    <cfRule type="cellIs" dxfId="10834" priority="66" operator="greaterThan">
      <formula>110%</formula>
    </cfRule>
    <cfRule type="cellIs" dxfId="10833" priority="67" operator="between">
      <formula>100.001%</formula>
      <formula>110%</formula>
    </cfRule>
    <cfRule type="cellIs" dxfId="10832" priority="68" operator="between">
      <formula>70.001%</formula>
      <formula>100%</formula>
    </cfRule>
    <cfRule type="cellIs" dxfId="10831" priority="69" operator="between">
      <formula>0.00001%</formula>
      <formula>70%</formula>
    </cfRule>
    <cfRule type="cellIs" dxfId="10830" priority="70" operator="equal">
      <formula>0</formula>
    </cfRule>
  </conditionalFormatting>
  <conditionalFormatting sqref="AY12:AY21 AY10">
    <cfRule type="cellIs" dxfId="10829" priority="61" operator="greaterThan">
      <formula>110%</formula>
    </cfRule>
    <cfRule type="cellIs" dxfId="10828" priority="62" operator="between">
      <formula>100.001%</formula>
      <formula>110%</formula>
    </cfRule>
    <cfRule type="cellIs" dxfId="10827" priority="63" operator="between">
      <formula>70.001%</formula>
      <formula>100%</formula>
    </cfRule>
    <cfRule type="cellIs" dxfId="10826" priority="64" operator="between">
      <formula>0.00001%</formula>
      <formula>70%</formula>
    </cfRule>
    <cfRule type="cellIs" dxfId="10825" priority="65" operator="equal">
      <formula>0</formula>
    </cfRule>
  </conditionalFormatting>
  <conditionalFormatting sqref="AY22:AY25 AY27">
    <cfRule type="cellIs" dxfId="10824" priority="56" operator="greaterThan">
      <formula>110%</formula>
    </cfRule>
    <cfRule type="cellIs" dxfId="10823" priority="57" operator="between">
      <formula>100.001%</formula>
      <formula>110%</formula>
    </cfRule>
    <cfRule type="cellIs" dxfId="10822" priority="58" operator="between">
      <formula>70.001%</formula>
      <formula>100%</formula>
    </cfRule>
    <cfRule type="cellIs" dxfId="10821" priority="59" operator="between">
      <formula>0.00001%</formula>
      <formula>70%</formula>
    </cfRule>
    <cfRule type="cellIs" dxfId="10820" priority="60" operator="equal">
      <formula>0</formula>
    </cfRule>
  </conditionalFormatting>
  <conditionalFormatting sqref="AY33 AY29:AY31">
    <cfRule type="cellIs" dxfId="10819" priority="51" operator="greaterThan">
      <formula>110%</formula>
    </cfRule>
    <cfRule type="cellIs" dxfId="10818" priority="52" operator="between">
      <formula>100.001%</formula>
      <formula>110%</formula>
    </cfRule>
    <cfRule type="cellIs" dxfId="10817" priority="53" operator="between">
      <formula>70.001%</formula>
      <formula>100%</formula>
    </cfRule>
    <cfRule type="cellIs" dxfId="10816" priority="54" operator="between">
      <formula>0.00001%</formula>
      <formula>70%</formula>
    </cfRule>
    <cfRule type="cellIs" dxfId="10815" priority="55" operator="equal">
      <formula>0</formula>
    </cfRule>
  </conditionalFormatting>
  <conditionalFormatting sqref="Z26">
    <cfRule type="cellIs" dxfId="10814" priority="46" operator="greaterThan">
      <formula>110%</formula>
    </cfRule>
    <cfRule type="cellIs" dxfId="10813" priority="47" operator="between">
      <formula>100.001%</formula>
      <formula>110%</formula>
    </cfRule>
    <cfRule type="cellIs" dxfId="10812" priority="48" operator="between">
      <formula>70.001%</formula>
      <formula>100%</formula>
    </cfRule>
    <cfRule type="cellIs" dxfId="10811" priority="49" operator="between">
      <formula>0.00001%</formula>
      <formula>70%</formula>
    </cfRule>
    <cfRule type="cellIs" dxfId="10810" priority="50" operator="equal">
      <formula>0</formula>
    </cfRule>
  </conditionalFormatting>
  <conditionalFormatting sqref="AC26">
    <cfRule type="cellIs" dxfId="10809" priority="41" operator="greaterThan">
      <formula>110%</formula>
    </cfRule>
    <cfRule type="cellIs" dxfId="10808" priority="42" operator="between">
      <formula>100.001%</formula>
      <formula>110%</formula>
    </cfRule>
    <cfRule type="cellIs" dxfId="10807" priority="43" operator="between">
      <formula>70.001%</formula>
      <formula>100%</formula>
    </cfRule>
    <cfRule type="cellIs" dxfId="10806" priority="44" operator="between">
      <formula>0.00001%</formula>
      <formula>70%</formula>
    </cfRule>
    <cfRule type="cellIs" dxfId="10805" priority="45" operator="equal">
      <formula>0</formula>
    </cfRule>
  </conditionalFormatting>
  <conditionalFormatting sqref="AE26">
    <cfRule type="cellIs" dxfId="10804" priority="36" operator="greaterThan">
      <formula>110%</formula>
    </cfRule>
    <cfRule type="cellIs" dxfId="10803" priority="37" operator="between">
      <formula>100.001%</formula>
      <formula>110%</formula>
    </cfRule>
    <cfRule type="cellIs" dxfId="10802" priority="38" operator="between">
      <formula>70.001%</formula>
      <formula>100%</formula>
    </cfRule>
    <cfRule type="cellIs" dxfId="10801" priority="39" operator="between">
      <formula>0.00001%</formula>
      <formula>70%</formula>
    </cfRule>
    <cfRule type="cellIs" dxfId="10800" priority="40" operator="equal">
      <formula>0</formula>
    </cfRule>
  </conditionalFormatting>
  <conditionalFormatting sqref="AH26">
    <cfRule type="cellIs" dxfId="10799" priority="31" operator="greaterThan">
      <formula>110%</formula>
    </cfRule>
    <cfRule type="cellIs" dxfId="10798" priority="32" operator="between">
      <formula>100.001%</formula>
      <formula>110%</formula>
    </cfRule>
    <cfRule type="cellIs" dxfId="10797" priority="33" operator="between">
      <formula>70.001%</formula>
      <formula>100%</formula>
    </cfRule>
    <cfRule type="cellIs" dxfId="10796" priority="34" operator="between">
      <formula>0.00001%</formula>
      <formula>70%</formula>
    </cfRule>
    <cfRule type="cellIs" dxfId="10795" priority="35" operator="equal">
      <formula>0</formula>
    </cfRule>
  </conditionalFormatting>
  <conditionalFormatting sqref="AK26">
    <cfRule type="cellIs" dxfId="10794" priority="26" operator="greaterThan">
      <formula>110%</formula>
    </cfRule>
    <cfRule type="cellIs" dxfId="10793" priority="27" operator="between">
      <formula>100.001%</formula>
      <formula>110%</formula>
    </cfRule>
    <cfRule type="cellIs" dxfId="10792" priority="28" operator="between">
      <formula>70.001%</formula>
      <formula>100%</formula>
    </cfRule>
    <cfRule type="cellIs" dxfId="10791" priority="29" operator="between">
      <formula>0.00001%</formula>
      <formula>70%</formula>
    </cfRule>
    <cfRule type="cellIs" dxfId="10790" priority="30" operator="equal">
      <formula>0</formula>
    </cfRule>
  </conditionalFormatting>
  <conditionalFormatting sqref="AN26">
    <cfRule type="cellIs" dxfId="10789" priority="21" operator="greaterThan">
      <formula>110%</formula>
    </cfRule>
    <cfRule type="cellIs" dxfId="10788" priority="22" operator="between">
      <formula>100.001%</formula>
      <formula>110%</formula>
    </cfRule>
    <cfRule type="cellIs" dxfId="10787" priority="23" operator="between">
      <formula>70.001%</formula>
      <formula>100%</formula>
    </cfRule>
    <cfRule type="cellIs" dxfId="10786" priority="24" operator="between">
      <formula>0.00001%</formula>
      <formula>70%</formula>
    </cfRule>
    <cfRule type="cellIs" dxfId="10785" priority="25" operator="equal">
      <formula>0</formula>
    </cfRule>
  </conditionalFormatting>
  <conditionalFormatting sqref="AQ26">
    <cfRule type="cellIs" dxfId="10784" priority="16" operator="greaterThan">
      <formula>110%</formula>
    </cfRule>
    <cfRule type="cellIs" dxfId="10783" priority="17" operator="between">
      <formula>100.001%</formula>
      <formula>110%</formula>
    </cfRule>
    <cfRule type="cellIs" dxfId="10782" priority="18" operator="between">
      <formula>70.001%</formula>
      <formula>100%</formula>
    </cfRule>
    <cfRule type="cellIs" dxfId="10781" priority="19" operator="between">
      <formula>0.00001%</formula>
      <formula>70%</formula>
    </cfRule>
    <cfRule type="cellIs" dxfId="10780" priority="20" operator="equal">
      <formula>0</formula>
    </cfRule>
  </conditionalFormatting>
  <conditionalFormatting sqref="AT26">
    <cfRule type="cellIs" dxfId="10779" priority="11" operator="greaterThan">
      <formula>110%</formula>
    </cfRule>
    <cfRule type="cellIs" dxfId="10778" priority="12" operator="between">
      <formula>100.001%</formula>
      <formula>110%</formula>
    </cfRule>
    <cfRule type="cellIs" dxfId="10777" priority="13" operator="between">
      <formula>70.001%</formula>
      <formula>100%</formula>
    </cfRule>
    <cfRule type="cellIs" dxfId="10776" priority="14" operator="between">
      <formula>0.00001%</formula>
      <formula>70%</formula>
    </cfRule>
    <cfRule type="cellIs" dxfId="10775" priority="15" operator="equal">
      <formula>0</formula>
    </cfRule>
  </conditionalFormatting>
  <conditionalFormatting sqref="AW26">
    <cfRule type="cellIs" dxfId="10774" priority="6" operator="greaterThan">
      <formula>110%</formula>
    </cfRule>
    <cfRule type="cellIs" dxfId="10773" priority="7" operator="between">
      <formula>100.001%</formula>
      <formula>110%</formula>
    </cfRule>
    <cfRule type="cellIs" dxfId="10772" priority="8" operator="between">
      <formula>70.001%</formula>
      <formula>100%</formula>
    </cfRule>
    <cfRule type="cellIs" dxfId="10771" priority="9" operator="between">
      <formula>0.00001%</formula>
      <formula>70%</formula>
    </cfRule>
    <cfRule type="cellIs" dxfId="10770" priority="10" operator="equal">
      <formula>0</formula>
    </cfRule>
  </conditionalFormatting>
  <conditionalFormatting sqref="AY26">
    <cfRule type="cellIs" dxfId="10769" priority="1" operator="greaterThan">
      <formula>110%</formula>
    </cfRule>
    <cfRule type="cellIs" dxfId="10768" priority="2" operator="between">
      <formula>100.001%</formula>
      <formula>110%</formula>
    </cfRule>
    <cfRule type="cellIs" dxfId="10767" priority="3" operator="between">
      <formula>70.001%</formula>
      <formula>100%</formula>
    </cfRule>
    <cfRule type="cellIs" dxfId="10766" priority="4" operator="between">
      <formula>0.00001%</formula>
      <formula>70%</formula>
    </cfRule>
    <cfRule type="cellIs" dxfId="10765" priority="5" operator="equal">
      <formula>0</formula>
    </cfRule>
  </conditionalFormatting>
  <hyperlinks>
    <hyperlink ref="D11" location="'IN1-3'!A1" display="IN1-3 Recaudo Bruto" xr:uid="{00000000-0004-0000-0200-000000000000}"/>
    <hyperlink ref="D12" location="'FIS-4'!A1" display="FIS-4 Gestión efectiva en fiscalización tributaria" xr:uid="{00000000-0004-0000-0200-000001000000}"/>
    <hyperlink ref="D13" location="'FIS-6'!A1" display="FIS-6 Gestión efectiva de Fiscalización Internacional" xr:uid="{00000000-0004-0000-0200-000002000000}"/>
    <hyperlink ref="D14" location="'FIS-10'!Área_de_impresión" display="FIS-10 Gestión aceptada en fiscalización tributaria" xr:uid="{00000000-0004-0000-0200-000003000000}"/>
    <hyperlink ref="D15" location="'FIS-27'!A1" display="FIS-27 Reclasificación de no responsables a responsables" xr:uid="{00000000-0004-0000-0200-000004000000}"/>
    <hyperlink ref="D16" location="'FIS-17'!A1" display="FIS-17 Evacuación de expedientes en fiscalización tributaria" xr:uid="{00000000-0004-0000-0200-000005000000}"/>
    <hyperlink ref="D17" location="'IN1-4'!A1" display="IN1-4 Recaudo por gestión de cartera" xr:uid="{00000000-0004-0000-0200-000006000000}"/>
    <hyperlink ref="D18" location="'IN1-5'!A1" display="IN1-5 Inscritos en el Régimen Simple de Tributación - RST" xr:uid="{00000000-0004-0000-0200-000007000000}"/>
    <hyperlink ref="D19" location="'IN1-6-1'!A1" display="IN1-6.1 Grado de cumplimiento del cronograma de campañas del RST" xr:uid="{00000000-0004-0000-0200-000008000000}"/>
    <hyperlink ref="D20" location="'IN1-8'!A1" display="IN1-8 Contribuyentes habilitados como facturadores electrónicos" xr:uid="{00000000-0004-0000-0200-000009000000}"/>
    <hyperlink ref="D21" location="'JUR-3.1'!A1" display="JUR-3.1 Porcentaje de éxito de litigiosidad" xr:uid="{00000000-0004-0000-0200-00000A000000}"/>
    <hyperlink ref="D22" location="'JUR-3.2'!A1" display="JUR-3.2 Porcentaje  procesos judiciales revisados con mayor riesgo en Ekogui" xr:uid="{00000000-0004-0000-0200-00000B000000}"/>
    <hyperlink ref="D23" location="'JUR-3.3'!A1" display="JUR-3.3 Porcentaje de análisis de jurisprudencia remitidos junto con la copia de la sentencia " xr:uid="{00000000-0004-0000-0200-00000C000000}"/>
    <hyperlink ref="D24" location="'JUR3-4'!A1" display="JUR-3.4 Porcentaje  de procesos revisados con VoBo del Jefe " xr:uid="{00000000-0004-0000-0200-00000D000000}"/>
    <hyperlink ref="D25" location="JUR.3.5!A1" display="JUR-3.5 Porcentaje de requerimientos atendidos en oportunidad" xr:uid="{00000000-0004-0000-0200-00000E000000}"/>
    <hyperlink ref="D26" location="'JUR-3.6'!A1" display="JUR-3.6 Porcentaje funcionarios capacitaciones en cursos virtuales de la ANDJE" xr:uid="{00000000-0004-0000-0200-00000F000000}"/>
    <hyperlink ref="D27" location="'JUR-4'!A1" display="JUR-4 Porcentaje funcionarios que participaron en el concurso de escritura jurídica" xr:uid="{00000000-0004-0000-0200-000010000000}"/>
    <hyperlink ref="D29" location="'IN1-11'!A1" display="IN1-11  Nivel de cobertura de personas sensibilizadas por el plan de cultura. ACTUALMENTE. Cumplimiento al Plan de Acción de Cultura de la Contribución" xr:uid="{00000000-0004-0000-0200-000011000000}"/>
    <hyperlink ref="D30" location="'JUR-7'!A1" display="JUR-7 Oportunidad en las decisiones de los recursos tributarios hasta su remisión a notificaciones" xr:uid="{00000000-0004-0000-0200-000012000000}"/>
    <hyperlink ref="D31" location="'IN1-15'!A1" display="IN1-15 Días en devoluciones ordinarias" xr:uid="{00000000-0004-0000-0200-000013000000}"/>
    <hyperlink ref="D35" location="'IN1-11'!A1" display="IN1-11  Nivel de cobertura de personas sensibilizadas por el plan de cultura. ACTUALMENTE. Cumplimiento al Plan de Acción de Cultura de la Contribución" xr:uid="{00000000-0004-0000-0200-000014000000}"/>
    <hyperlink ref="D36" location="'JUR-7'!A1" display="JUR-7  Oportunidad en las decisiones de los recursos Tributarios hasta su remisión a notificaciones" xr:uid="{00000000-0004-0000-0200-000015000000}"/>
    <hyperlink ref="D37" location="'ADU-17'!A1" display="ADU-17 Encuentros Aduana - Empresa" xr:uid="{00000000-0004-0000-0200-000016000000}"/>
    <hyperlink ref="D38" location="'POLFA-8'!A1" display="POLFA-8 Porcentaje de cumplimiento programa semilleros de la legalidad" xr:uid="{00000000-0004-0000-0200-000017000000}"/>
    <hyperlink ref="D39" location="'IN1-15'!A1" display="IN1-15 Días en devoluciones ordinarias" xr:uid="{00000000-0004-0000-0200-000018000000}"/>
    <hyperlink ref="D9" location="'DGRAE-1'!Área_de_impresión" display="DGRAE-1 Nivel de Ejecución del presupuesto " xr:uid="{00000000-0004-0000-0200-000019000000}"/>
    <hyperlink ref="D33" location="'DGRAE-25'!Área_de_impresión" display="DGRAE-25 Actividades que componen el  PIC para la Dirección de Gestión" xr:uid="{00000000-0004-0000-0200-00001A000000}"/>
    <hyperlink ref="D10" location="'DGRAE-2'!A1" display="DGRAE-2 Nivel de ejecución del PAA de la Dirección" xr:uid="{00000000-0004-0000-0200-00001B000000}"/>
    <hyperlink ref="AY2" location="'Consolidado '!A1" display="VOLVER" xr:uid="{00000000-0004-0000-0200-00001C000000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34"/>
  <sheetViews>
    <sheetView topLeftCell="E1" zoomScale="60" zoomScaleNormal="60" workbookViewId="0">
      <selection activeCell="AZ4" sqref="AZ4"/>
    </sheetView>
  </sheetViews>
  <sheetFormatPr baseColWidth="10" defaultColWidth="11.42578125" defaultRowHeight="16.5"/>
  <cols>
    <col min="1" max="1" width="23.85546875" style="8" customWidth="1"/>
    <col min="2" max="2" width="35.5703125" style="8" customWidth="1"/>
    <col min="3" max="3" width="59.28515625" style="63" customWidth="1"/>
    <col min="4" max="4" width="25.85546875" style="8" bestFit="1" customWidth="1"/>
    <col min="5" max="5" width="71" style="8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49" width="21.7109375" style="8" hidden="1" customWidth="1"/>
    <col min="50" max="51" width="21.7109375" style="8" customWidth="1"/>
    <col min="52" max="16384" width="11.42578125" style="8"/>
  </cols>
  <sheetData>
    <row r="1" spans="1:52" ht="26.25">
      <c r="A1" s="101" t="s">
        <v>370</v>
      </c>
      <c r="B1" s="101"/>
      <c r="C1" s="2885" t="s">
        <v>921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65" t="s">
        <v>185</v>
      </c>
    </row>
    <row r="3" spans="1:52">
      <c r="A3" s="107" t="s">
        <v>922</v>
      </c>
      <c r="B3" s="108"/>
      <c r="C3" s="2867" t="s">
        <v>923</v>
      </c>
      <c r="D3" s="2867"/>
      <c r="E3" s="2867"/>
      <c r="F3" s="2867"/>
      <c r="G3" s="2867"/>
      <c r="H3" s="2867"/>
      <c r="I3" s="2867"/>
      <c r="J3" s="2867"/>
      <c r="K3" s="2867"/>
      <c r="AZ3" s="69">
        <f>+(AY9+AY10+AY11+AY12+AY13+AY14+AY15+AY16+AY17+AY18+AY19+AY20+AY21+AY22+AY23+AY24+AY25+AY26+AY27+AY29+AY30+AY31+AY33)/23</f>
        <v>1.335678951218104</v>
      </c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729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165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13" t="s">
        <v>86</v>
      </c>
      <c r="O8" s="13" t="s">
        <v>84</v>
      </c>
      <c r="P8" s="14" t="s">
        <v>85</v>
      </c>
      <c r="Q8" s="13" t="s">
        <v>86</v>
      </c>
      <c r="R8" s="16" t="s">
        <v>84</v>
      </c>
      <c r="S8" s="16" t="s">
        <v>85</v>
      </c>
      <c r="T8" s="13" t="s">
        <v>86</v>
      </c>
      <c r="U8" s="16" t="s">
        <v>84</v>
      </c>
      <c r="V8" s="16" t="s">
        <v>85</v>
      </c>
      <c r="W8" s="13" t="s">
        <v>86</v>
      </c>
      <c r="X8" s="16" t="s">
        <v>84</v>
      </c>
      <c r="Y8" s="16" t="s">
        <v>85</v>
      </c>
      <c r="Z8" s="13" t="s">
        <v>86</v>
      </c>
      <c r="AA8" s="16" t="s">
        <v>84</v>
      </c>
      <c r="AB8" s="16" t="s">
        <v>85</v>
      </c>
      <c r="AC8" s="13" t="s">
        <v>86</v>
      </c>
      <c r="AD8" s="16" t="s">
        <v>87</v>
      </c>
      <c r="AE8" s="16" t="s">
        <v>6</v>
      </c>
      <c r="AF8" s="13" t="s">
        <v>84</v>
      </c>
      <c r="AG8" s="14" t="s">
        <v>85</v>
      </c>
      <c r="AH8" s="13" t="s">
        <v>86</v>
      </c>
      <c r="AI8" s="16" t="s">
        <v>84</v>
      </c>
      <c r="AJ8" s="13" t="s">
        <v>85</v>
      </c>
      <c r="AK8" s="13" t="s">
        <v>86</v>
      </c>
      <c r="AL8" s="14" t="s">
        <v>84</v>
      </c>
      <c r="AM8" s="16" t="s">
        <v>85</v>
      </c>
      <c r="AN8" s="13" t="s">
        <v>86</v>
      </c>
      <c r="AO8" s="16" t="s">
        <v>84</v>
      </c>
      <c r="AP8" s="16" t="s">
        <v>85</v>
      </c>
      <c r="AQ8" s="13" t="s">
        <v>86</v>
      </c>
      <c r="AR8" s="16" t="s">
        <v>84</v>
      </c>
      <c r="AS8" s="13" t="s">
        <v>85</v>
      </c>
      <c r="AT8" s="13" t="s">
        <v>86</v>
      </c>
      <c r="AU8" s="13" t="s">
        <v>84</v>
      </c>
      <c r="AV8" s="14" t="s">
        <v>85</v>
      </c>
      <c r="AW8" s="13" t="s">
        <v>86</v>
      </c>
      <c r="AX8" s="13" t="s">
        <v>87</v>
      </c>
      <c r="AY8" s="14" t="s">
        <v>6</v>
      </c>
    </row>
    <row r="9" spans="1:52" customFormat="1" ht="31.5" thickTop="1" thickBot="1">
      <c r="A9" s="2943" t="s">
        <v>924</v>
      </c>
      <c r="B9" s="3119" t="s">
        <v>89</v>
      </c>
      <c r="C9" s="25" t="s">
        <v>167</v>
      </c>
      <c r="D9" s="24" t="s">
        <v>90</v>
      </c>
      <c r="E9" s="25" t="s">
        <v>91</v>
      </c>
      <c r="F9" s="25" t="s">
        <v>168</v>
      </c>
      <c r="G9" s="436">
        <f>143449894/1000000</f>
        <v>143.449894</v>
      </c>
      <c r="H9" s="98"/>
      <c r="I9" s="671"/>
      <c r="J9" s="98"/>
      <c r="K9" s="25" t="s">
        <v>25</v>
      </c>
      <c r="L9" s="583">
        <v>9.6980000000000004</v>
      </c>
      <c r="M9" s="584">
        <v>9.6999999999999993</v>
      </c>
      <c r="N9" s="19">
        <f>+M9/L9</f>
        <v>1.0002062280882655</v>
      </c>
      <c r="O9" s="583">
        <v>9.6280000000000001</v>
      </c>
      <c r="P9" s="584">
        <v>9.6300000000000008</v>
      </c>
      <c r="Q9" s="19">
        <f>+P9/O9</f>
        <v>1.0002077274615704</v>
      </c>
      <c r="R9" s="583">
        <v>55.314779999999999</v>
      </c>
      <c r="S9" s="584">
        <v>55.31</v>
      </c>
      <c r="T9" s="19">
        <f>+S9/R9</f>
        <v>0.99991358548293974</v>
      </c>
      <c r="U9" s="583">
        <v>14.628</v>
      </c>
      <c r="V9" s="584">
        <v>14.63</v>
      </c>
      <c r="W9" s="19">
        <f>+V9/U9</f>
        <v>1.0001367240907848</v>
      </c>
      <c r="X9" s="583">
        <v>10.327999999999999</v>
      </c>
      <c r="Y9" s="584">
        <v>10.33</v>
      </c>
      <c r="Z9" s="19">
        <f>+Y9/X9</f>
        <v>1.0001936483346243</v>
      </c>
      <c r="AA9" s="583">
        <v>9.6280000000000001</v>
      </c>
      <c r="AB9" s="584">
        <v>9.6300000000000008</v>
      </c>
      <c r="AC9" s="19">
        <f>+AB9/AA9</f>
        <v>1.0002077274615704</v>
      </c>
      <c r="AD9" s="565">
        <v>109</v>
      </c>
      <c r="AE9" s="19">
        <f>AD9/G9</f>
        <v>0.75984719793518984</v>
      </c>
      <c r="AF9" s="583">
        <v>9.6280000000000001</v>
      </c>
      <c r="AG9" s="584">
        <v>9.6300000000000008</v>
      </c>
      <c r="AH9" s="19">
        <f>+AG9/AF9</f>
        <v>1.0002077274615704</v>
      </c>
      <c r="AI9" s="583">
        <v>9.6280000000000001</v>
      </c>
      <c r="AJ9" s="584">
        <v>9.6300000000000008</v>
      </c>
      <c r="AK9" s="19">
        <f>+AJ9/AI9</f>
        <v>1.0002077274615704</v>
      </c>
      <c r="AL9" s="583">
        <v>9.6280000000000001</v>
      </c>
      <c r="AM9" s="584">
        <v>9.6300000000000008</v>
      </c>
      <c r="AN9" s="19">
        <f>+AM9/AL9</f>
        <v>1.0002077274615704</v>
      </c>
      <c r="AO9" s="583">
        <v>9.6280000000000001</v>
      </c>
      <c r="AP9" s="584">
        <v>9.6300000000000008</v>
      </c>
      <c r="AQ9" s="19">
        <f>+AP9/AO9</f>
        <v>1.0002077274615704</v>
      </c>
      <c r="AR9" s="583">
        <v>9.6280000000000001</v>
      </c>
      <c r="AS9" s="584">
        <v>9.6300000000000008</v>
      </c>
      <c r="AT9" s="19">
        <f>+AS9/AR9</f>
        <v>1.0002077274615704</v>
      </c>
      <c r="AU9" s="583">
        <v>9.9220000000000006</v>
      </c>
      <c r="AV9" s="584">
        <v>9.9</v>
      </c>
      <c r="AW9" s="19">
        <f>+AV9/AU9</f>
        <v>0.99778270509977829</v>
      </c>
      <c r="AX9" s="565">
        <f>141414279/1000000</f>
        <v>141.41427899999999</v>
      </c>
      <c r="AY9" s="19">
        <f>+AX9/G9</f>
        <v>0.98580957473555186</v>
      </c>
    </row>
    <row r="10" spans="1:52" customFormat="1" ht="31.5" thickTop="1" thickBot="1">
      <c r="A10" s="2944"/>
      <c r="B10" s="3161"/>
      <c r="C10" s="561" t="s">
        <v>270</v>
      </c>
      <c r="D10" s="17" t="s">
        <v>92</v>
      </c>
      <c r="E10" s="561" t="s">
        <v>93</v>
      </c>
      <c r="F10" s="561" t="s">
        <v>17</v>
      </c>
      <c r="G10" s="1945">
        <v>3</v>
      </c>
      <c r="H10" s="85"/>
      <c r="I10" s="674"/>
      <c r="J10" s="85"/>
      <c r="K10" s="561" t="s">
        <v>26</v>
      </c>
      <c r="L10" s="58">
        <v>0</v>
      </c>
      <c r="M10" s="59"/>
      <c r="N10" s="19" t="e">
        <f>+M10/L10</f>
        <v>#DIV/0!</v>
      </c>
      <c r="O10" s="58">
        <v>1</v>
      </c>
      <c r="P10" s="59">
        <v>1</v>
      </c>
      <c r="Q10" s="19">
        <f>+P10/O10</f>
        <v>1</v>
      </c>
      <c r="R10" s="58">
        <v>0</v>
      </c>
      <c r="S10" s="59"/>
      <c r="T10" s="19" t="e">
        <f>+S10/R10</f>
        <v>#DIV/0!</v>
      </c>
      <c r="U10" s="58">
        <v>0</v>
      </c>
      <c r="V10" s="59"/>
      <c r="W10" s="19" t="e">
        <f>+V10/U10</f>
        <v>#DIV/0!</v>
      </c>
      <c r="X10" s="58">
        <v>2</v>
      </c>
      <c r="Y10" s="59">
        <v>2</v>
      </c>
      <c r="Z10" s="19">
        <f>+Y10/X10</f>
        <v>1</v>
      </c>
      <c r="AA10" s="58">
        <v>0</v>
      </c>
      <c r="AB10" s="59"/>
      <c r="AC10" s="19" t="e">
        <f>+AB10/AA10</f>
        <v>#DIV/0!</v>
      </c>
      <c r="AD10" s="60">
        <f>+M10+P10+S10+V10+Y10+AB10</f>
        <v>3</v>
      </c>
      <c r="AE10" s="19">
        <f>AD10/G10</f>
        <v>1</v>
      </c>
      <c r="AF10" s="58">
        <v>0</v>
      </c>
      <c r="AG10" s="59"/>
      <c r="AH10" s="19" t="e">
        <f>+AG10/AF10</f>
        <v>#DIV/0!</v>
      </c>
      <c r="AI10" s="58">
        <v>0</v>
      </c>
      <c r="AJ10" s="59"/>
      <c r="AK10" s="19" t="e">
        <f>+AJ10/AI10</f>
        <v>#DIV/0!</v>
      </c>
      <c r="AL10" s="58">
        <v>0</v>
      </c>
      <c r="AM10" s="59"/>
      <c r="AN10" s="19" t="e">
        <f>+AM10/AL10</f>
        <v>#DIV/0!</v>
      </c>
      <c r="AO10" s="58">
        <v>0</v>
      </c>
      <c r="AP10" s="59"/>
      <c r="AQ10" s="19" t="e">
        <f>+AP10/AO10</f>
        <v>#DIV/0!</v>
      </c>
      <c r="AR10" s="58">
        <v>0</v>
      </c>
      <c r="AS10" s="59"/>
      <c r="AT10" s="19" t="e">
        <f>+AS10/AR10</f>
        <v>#DIV/0!</v>
      </c>
      <c r="AU10" s="58">
        <v>0</v>
      </c>
      <c r="AV10" s="59"/>
      <c r="AW10" s="19" t="e">
        <f>+AV10/AU10</f>
        <v>#DIV/0!</v>
      </c>
      <c r="AX10" s="60">
        <f>+M10+P10+S10+V10+Y10+AB10+AG10+AJ10+AM10+AP10+AS10+AV10</f>
        <v>3</v>
      </c>
      <c r="AY10" s="19">
        <f>+AX10/G10</f>
        <v>1</v>
      </c>
    </row>
    <row r="11" spans="1:52" s="22" customFormat="1" ht="31.5" thickTop="1" thickBot="1">
      <c r="A11" s="2944"/>
      <c r="B11" s="2908" t="s">
        <v>94</v>
      </c>
      <c r="C11" s="25" t="s">
        <v>95</v>
      </c>
      <c r="D11" s="24" t="s">
        <v>673</v>
      </c>
      <c r="E11" s="25" t="s">
        <v>97</v>
      </c>
      <c r="F11" s="25" t="s">
        <v>168</v>
      </c>
      <c r="G11" s="26">
        <v>440323</v>
      </c>
      <c r="H11" s="98"/>
      <c r="I11" s="671"/>
      <c r="J11" s="98"/>
      <c r="K11" s="25" t="s">
        <v>20</v>
      </c>
      <c r="L11" s="583">
        <v>36685</v>
      </c>
      <c r="M11" s="583">
        <v>36685</v>
      </c>
      <c r="N11" s="19">
        <f>+M11/L11</f>
        <v>1</v>
      </c>
      <c r="O11" s="583">
        <v>36685</v>
      </c>
      <c r="P11" s="583">
        <v>36685</v>
      </c>
      <c r="Q11" s="19">
        <f>+P11/O11</f>
        <v>1</v>
      </c>
      <c r="R11" s="583">
        <v>36685</v>
      </c>
      <c r="S11" s="583">
        <v>36685</v>
      </c>
      <c r="T11" s="19">
        <f>+S11/R11</f>
        <v>1</v>
      </c>
      <c r="U11" s="583">
        <v>36685</v>
      </c>
      <c r="V11" s="583">
        <v>36685</v>
      </c>
      <c r="W11" s="19">
        <f>+V11/U11</f>
        <v>1</v>
      </c>
      <c r="X11" s="583">
        <v>36685</v>
      </c>
      <c r="Y11" s="583">
        <v>36685</v>
      </c>
      <c r="Z11" s="19">
        <f>+Y11/X11</f>
        <v>1</v>
      </c>
      <c r="AA11" s="583">
        <v>36685</v>
      </c>
      <c r="AB11" s="583">
        <v>36685</v>
      </c>
      <c r="AC11" s="19">
        <f>+AB11/AA11</f>
        <v>1</v>
      </c>
      <c r="AD11" s="565">
        <f>+M11+P11+S11+V11+Y11+AB11</f>
        <v>220110</v>
      </c>
      <c r="AE11" s="19">
        <f>AD11/G11</f>
        <v>0.49988304040443038</v>
      </c>
      <c r="AF11" s="583">
        <v>36685</v>
      </c>
      <c r="AG11" s="583">
        <v>36685</v>
      </c>
      <c r="AH11" s="19">
        <f>+AG11/AF11</f>
        <v>1</v>
      </c>
      <c r="AI11" s="583">
        <v>36685</v>
      </c>
      <c r="AJ11" s="583">
        <v>36685</v>
      </c>
      <c r="AK11" s="19">
        <f>+AJ11/AI11</f>
        <v>1</v>
      </c>
      <c r="AL11" s="583">
        <v>36685</v>
      </c>
      <c r="AM11" s="583">
        <v>36685</v>
      </c>
      <c r="AN11" s="19">
        <f>+AM11/AL11</f>
        <v>1</v>
      </c>
      <c r="AO11" s="583">
        <v>36685</v>
      </c>
      <c r="AP11" s="583">
        <v>36685</v>
      </c>
      <c r="AQ11" s="19">
        <f>+AP11/AO11</f>
        <v>1</v>
      </c>
      <c r="AR11" s="583">
        <v>36685</v>
      </c>
      <c r="AS11" s="583">
        <v>36685</v>
      </c>
      <c r="AT11" s="19">
        <f>+AS11/AR11</f>
        <v>1</v>
      </c>
      <c r="AU11" s="583">
        <v>36688</v>
      </c>
      <c r="AV11" s="583">
        <v>36688</v>
      </c>
      <c r="AW11" s="19">
        <f>+AV11/AU11</f>
        <v>1</v>
      </c>
      <c r="AX11" s="565">
        <v>440323</v>
      </c>
      <c r="AY11" s="19">
        <f>+AX11/G11</f>
        <v>1</v>
      </c>
    </row>
    <row r="12" spans="1:52" s="22" customFormat="1" ht="76.5" thickTop="1" thickBot="1">
      <c r="A12" s="2944"/>
      <c r="B12" s="2909"/>
      <c r="C12" s="2928" t="s">
        <v>925</v>
      </c>
      <c r="D12" s="17" t="s">
        <v>926</v>
      </c>
      <c r="E12" s="561" t="s">
        <v>100</v>
      </c>
      <c r="F12" s="561" t="s">
        <v>101</v>
      </c>
      <c r="G12" s="33">
        <v>45570000000</v>
      </c>
      <c r="H12" s="96"/>
      <c r="I12" s="96"/>
      <c r="J12" s="96"/>
      <c r="K12" s="561" t="s">
        <v>172</v>
      </c>
      <c r="L12" s="563">
        <v>3645600000</v>
      </c>
      <c r="M12" s="564">
        <v>1633630000</v>
      </c>
      <c r="N12" s="19">
        <v>0.44811005047180164</v>
      </c>
      <c r="O12" s="563">
        <v>3645600000</v>
      </c>
      <c r="P12" s="564">
        <v>3141119358</v>
      </c>
      <c r="Q12" s="19">
        <v>0.86161931040158002</v>
      </c>
      <c r="R12" s="563">
        <v>3645600000</v>
      </c>
      <c r="S12" s="564">
        <v>327866000</v>
      </c>
      <c r="T12" s="19">
        <v>8.9934715821812602E-2</v>
      </c>
      <c r="U12" s="563">
        <v>4101300000</v>
      </c>
      <c r="V12" s="564"/>
      <c r="W12" s="19">
        <v>0</v>
      </c>
      <c r="X12" s="563">
        <v>4557000000</v>
      </c>
      <c r="Y12" s="564">
        <v>137645000</v>
      </c>
      <c r="Z12" s="19">
        <v>3.0205178845731841E-2</v>
      </c>
      <c r="AA12" s="563">
        <v>4557000000</v>
      </c>
      <c r="AB12" s="564">
        <v>759266000</v>
      </c>
      <c r="AC12" s="19">
        <v>0.16661531709457977</v>
      </c>
      <c r="AD12" s="562">
        <v>5999526358</v>
      </c>
      <c r="AE12" s="19">
        <v>0.13165517572964669</v>
      </c>
      <c r="AF12" s="563">
        <v>4557000000</v>
      </c>
      <c r="AG12" s="564">
        <v>7657631971</v>
      </c>
      <c r="AH12" s="19">
        <v>1.6804107902128593</v>
      </c>
      <c r="AI12" s="563">
        <v>4557000000</v>
      </c>
      <c r="AJ12" s="564">
        <v>865768000</v>
      </c>
      <c r="AK12" s="19">
        <v>0.18998639455782312</v>
      </c>
      <c r="AL12" s="563">
        <v>4557000000</v>
      </c>
      <c r="AM12" s="564">
        <v>2964248000</v>
      </c>
      <c r="AN12" s="19">
        <v>0.65048233486943163</v>
      </c>
      <c r="AO12" s="563">
        <v>4557000000</v>
      </c>
      <c r="AP12" s="564">
        <v>14999348203</v>
      </c>
      <c r="AQ12" s="19">
        <v>3.2914962043010751</v>
      </c>
      <c r="AR12" s="563">
        <v>1822800000</v>
      </c>
      <c r="AS12" s="564">
        <v>13344326321</v>
      </c>
      <c r="AT12" s="19">
        <v>7.3207846834540264</v>
      </c>
      <c r="AU12" s="563">
        <v>1367100000</v>
      </c>
      <c r="AV12" s="564">
        <v>9117095643</v>
      </c>
      <c r="AW12" s="19">
        <v>6.668931053324556</v>
      </c>
      <c r="AX12" s="565">
        <f>+M12+P12+S12+V12+Y12+AB12+AG12+AJ12+AM12+AP12+AS12+AV12</f>
        <v>54947944496</v>
      </c>
      <c r="AY12" s="19">
        <v>1.2057920670616633</v>
      </c>
    </row>
    <row r="13" spans="1:52" s="22" customFormat="1" ht="76.5" thickTop="1" thickBot="1">
      <c r="A13" s="2944"/>
      <c r="B13" s="2909"/>
      <c r="C13" s="2929"/>
      <c r="D13" s="24" t="s">
        <v>927</v>
      </c>
      <c r="E13" s="25" t="s">
        <v>527</v>
      </c>
      <c r="F13" s="25" t="s">
        <v>101</v>
      </c>
      <c r="G13" s="30">
        <v>34400000000</v>
      </c>
      <c r="H13" s="386"/>
      <c r="I13" s="386"/>
      <c r="J13" s="386"/>
      <c r="K13" s="25" t="s">
        <v>172</v>
      </c>
      <c r="L13" s="583">
        <v>2752000000</v>
      </c>
      <c r="M13" s="584">
        <v>1153667000</v>
      </c>
      <c r="N13" s="19">
        <v>0.41921039244186048</v>
      </c>
      <c r="O13" s="583">
        <v>2752000000</v>
      </c>
      <c r="P13" s="584">
        <v>3186933358</v>
      </c>
      <c r="Q13" s="19">
        <v>1.1580426446220931</v>
      </c>
      <c r="R13" s="583">
        <v>2752000000</v>
      </c>
      <c r="S13" s="584">
        <v>900187000</v>
      </c>
      <c r="T13" s="19">
        <v>0.32710283430232556</v>
      </c>
      <c r="U13" s="583">
        <v>3096000000</v>
      </c>
      <c r="V13" s="584">
        <v>14133000</v>
      </c>
      <c r="W13" s="19">
        <v>4.5649224806201547E-3</v>
      </c>
      <c r="X13" s="583">
        <v>3440000000</v>
      </c>
      <c r="Y13" s="584">
        <v>137645000</v>
      </c>
      <c r="Z13" s="19">
        <v>4.0013081395348836E-2</v>
      </c>
      <c r="AA13" s="583">
        <v>3440000000</v>
      </c>
      <c r="AB13" s="584">
        <v>737726000</v>
      </c>
      <c r="AC13" s="19">
        <v>0.21445523255813953</v>
      </c>
      <c r="AD13" s="565">
        <v>6130291358</v>
      </c>
      <c r="AE13" s="19">
        <v>0.17820614412790697</v>
      </c>
      <c r="AF13" s="583">
        <v>3440000000</v>
      </c>
      <c r="AG13" s="584">
        <v>3816814971</v>
      </c>
      <c r="AH13" s="19">
        <v>1.109539235755814</v>
      </c>
      <c r="AI13" s="583">
        <v>3440000000</v>
      </c>
      <c r="AJ13" s="584">
        <v>1603359000</v>
      </c>
      <c r="AK13" s="19">
        <v>0.46609273255813954</v>
      </c>
      <c r="AL13" s="583">
        <v>3440000000</v>
      </c>
      <c r="AM13" s="584">
        <v>1407831000</v>
      </c>
      <c r="AN13" s="19">
        <v>0.40925319767441859</v>
      </c>
      <c r="AO13" s="583">
        <v>3440000000</v>
      </c>
      <c r="AP13" s="584">
        <v>9646718203</v>
      </c>
      <c r="AQ13" s="19">
        <v>2.8042785473837211</v>
      </c>
      <c r="AR13" s="583">
        <v>1376000000</v>
      </c>
      <c r="AS13" s="584">
        <v>4796552650</v>
      </c>
      <c r="AT13" s="19">
        <v>3.4858667514534885</v>
      </c>
      <c r="AU13" s="583">
        <v>1032000000</v>
      </c>
      <c r="AV13" s="584">
        <v>8482875520</v>
      </c>
      <c r="AW13" s="19">
        <v>8.219840620155038</v>
      </c>
      <c r="AX13" s="565">
        <f>+M13+P13+S13+V13+Y13+AB13+AG13+AJ13+AM13+AP13+AS13+AV13</f>
        <v>35884442702</v>
      </c>
      <c r="AY13" s="19">
        <v>1.043152404127907</v>
      </c>
    </row>
    <row r="14" spans="1:52" s="22" customFormat="1" ht="76.5" thickTop="1" thickBot="1">
      <c r="A14" s="2944"/>
      <c r="B14" s="2909"/>
      <c r="C14" s="2929"/>
      <c r="D14" s="17" t="s">
        <v>928</v>
      </c>
      <c r="E14" s="561" t="s">
        <v>105</v>
      </c>
      <c r="F14" s="561" t="s">
        <v>24</v>
      </c>
      <c r="G14" s="561">
        <v>60</v>
      </c>
      <c r="H14" s="85"/>
      <c r="I14" s="674"/>
      <c r="J14" s="85"/>
      <c r="K14" s="561" t="s">
        <v>172</v>
      </c>
      <c r="L14" s="1752">
        <v>0</v>
      </c>
      <c r="M14" s="36"/>
      <c r="N14" s="19" t="e">
        <v>#DIV/0!</v>
      </c>
      <c r="O14" s="1752">
        <v>0</v>
      </c>
      <c r="P14" s="36"/>
      <c r="Q14" s="19" t="e">
        <v>#DIV/0!</v>
      </c>
      <c r="R14" s="1752">
        <v>15</v>
      </c>
      <c r="S14" s="36">
        <v>21</v>
      </c>
      <c r="T14" s="19">
        <v>1.4</v>
      </c>
      <c r="U14" s="1752">
        <v>0</v>
      </c>
      <c r="V14" s="36"/>
      <c r="W14" s="19" t="e">
        <v>#DIV/0!</v>
      </c>
      <c r="X14" s="1752">
        <v>0</v>
      </c>
      <c r="Y14" s="36"/>
      <c r="Z14" s="19" t="e">
        <v>#DIV/0!</v>
      </c>
      <c r="AA14" s="1752">
        <v>15</v>
      </c>
      <c r="AB14" s="36"/>
      <c r="AC14" s="19">
        <v>0</v>
      </c>
      <c r="AD14" s="37">
        <v>21</v>
      </c>
      <c r="AE14" s="19">
        <v>0.35</v>
      </c>
      <c r="AF14" s="1752">
        <v>0</v>
      </c>
      <c r="AG14" s="36"/>
      <c r="AH14" s="19" t="e">
        <v>#DIV/0!</v>
      </c>
      <c r="AI14" s="1752">
        <v>0</v>
      </c>
      <c r="AJ14" s="36"/>
      <c r="AK14" s="19" t="e">
        <v>#DIV/0!</v>
      </c>
      <c r="AL14" s="1752">
        <v>15</v>
      </c>
      <c r="AM14" s="36">
        <v>1</v>
      </c>
      <c r="AN14" s="19">
        <v>6.6666666666666666E-2</v>
      </c>
      <c r="AO14" s="1752">
        <v>0</v>
      </c>
      <c r="AP14" s="36"/>
      <c r="AQ14" s="19" t="e">
        <v>#DIV/0!</v>
      </c>
      <c r="AR14" s="1752">
        <v>0</v>
      </c>
      <c r="AS14" s="36">
        <v>5</v>
      </c>
      <c r="AT14" s="19" t="e">
        <v>#DIV/0!</v>
      </c>
      <c r="AU14" s="1752">
        <v>15</v>
      </c>
      <c r="AV14" s="36">
        <v>57</v>
      </c>
      <c r="AW14" s="19">
        <v>3.8</v>
      </c>
      <c r="AX14" s="60">
        <v>79</v>
      </c>
      <c r="AY14" s="19">
        <v>1.3166666666666667</v>
      </c>
    </row>
    <row r="15" spans="1:52" s="22" customFormat="1" ht="76.5" thickTop="1" thickBot="1">
      <c r="A15" s="2944"/>
      <c r="B15" s="2909"/>
      <c r="C15" s="2930"/>
      <c r="D15" s="24" t="s">
        <v>106</v>
      </c>
      <c r="E15" s="25" t="s">
        <v>107</v>
      </c>
      <c r="F15" s="25" t="s">
        <v>24</v>
      </c>
      <c r="G15" s="25">
        <v>52</v>
      </c>
      <c r="H15" s="98"/>
      <c r="I15" s="671"/>
      <c r="J15" s="98"/>
      <c r="K15" s="25" t="s">
        <v>172</v>
      </c>
      <c r="L15" s="1747">
        <v>0</v>
      </c>
      <c r="M15" s="34">
        <v>10</v>
      </c>
      <c r="N15" s="19" t="e">
        <v>#DIV/0!</v>
      </c>
      <c r="O15" s="1747">
        <v>0</v>
      </c>
      <c r="P15" s="34">
        <v>1</v>
      </c>
      <c r="Q15" s="19" t="e">
        <v>#DIV/0!</v>
      </c>
      <c r="R15" s="1747">
        <v>0</v>
      </c>
      <c r="S15" s="34">
        <v>0</v>
      </c>
      <c r="T15" s="19" t="e">
        <v>#DIV/0!</v>
      </c>
      <c r="U15" s="1747">
        <v>0</v>
      </c>
      <c r="V15" s="34"/>
      <c r="W15" s="19" t="e">
        <v>#DIV/0!</v>
      </c>
      <c r="X15" s="1747">
        <v>0</v>
      </c>
      <c r="Y15" s="34"/>
      <c r="Z15" s="19" t="e">
        <v>#DIV/0!</v>
      </c>
      <c r="AA15" s="1747">
        <v>0</v>
      </c>
      <c r="AB15" s="34"/>
      <c r="AC15" s="19" t="e">
        <v>#DIV/0!</v>
      </c>
      <c r="AD15" s="35">
        <v>11</v>
      </c>
      <c r="AE15" s="19">
        <v>0.21153846153846154</v>
      </c>
      <c r="AF15" s="1747">
        <v>26</v>
      </c>
      <c r="AG15" s="34">
        <v>23</v>
      </c>
      <c r="AH15" s="19">
        <v>0.88461538461538458</v>
      </c>
      <c r="AI15" s="1747">
        <v>0</v>
      </c>
      <c r="AJ15" s="34">
        <v>6</v>
      </c>
      <c r="AK15" s="19" t="e">
        <v>#DIV/0!</v>
      </c>
      <c r="AL15" s="1747">
        <v>0</v>
      </c>
      <c r="AM15" s="34">
        <v>9</v>
      </c>
      <c r="AN15" s="19" t="e">
        <v>#DIV/0!</v>
      </c>
      <c r="AO15" s="1747">
        <v>0</v>
      </c>
      <c r="AP15" s="34">
        <v>2</v>
      </c>
      <c r="AQ15" s="19" t="e">
        <v>#DIV/0!</v>
      </c>
      <c r="AR15" s="1747">
        <v>0</v>
      </c>
      <c r="AS15" s="34">
        <v>5</v>
      </c>
      <c r="AT15" s="19" t="e">
        <v>#DIV/0!</v>
      </c>
      <c r="AU15" s="1747">
        <v>26</v>
      </c>
      <c r="AV15" s="34">
        <v>29</v>
      </c>
      <c r="AW15" s="19">
        <v>1.1153846153846154</v>
      </c>
      <c r="AX15" s="29">
        <v>52</v>
      </c>
      <c r="AY15" s="19">
        <v>1</v>
      </c>
    </row>
    <row r="16" spans="1:52" s="22" customFormat="1" ht="46.5" thickTop="1" thickBot="1">
      <c r="A16" s="2944"/>
      <c r="B16" s="2909"/>
      <c r="C16" s="561" t="s">
        <v>626</v>
      </c>
      <c r="D16" s="17" t="s">
        <v>568</v>
      </c>
      <c r="E16" s="561" t="s">
        <v>529</v>
      </c>
      <c r="F16" s="561" t="s">
        <v>168</v>
      </c>
      <c r="G16" s="33">
        <v>70816</v>
      </c>
      <c r="H16" s="85"/>
      <c r="I16" s="674"/>
      <c r="J16" s="85"/>
      <c r="K16" s="561" t="s">
        <v>21</v>
      </c>
      <c r="L16" s="573">
        <v>0</v>
      </c>
      <c r="M16" s="681"/>
      <c r="N16" s="19" t="e">
        <v>#DIV/0!</v>
      </c>
      <c r="O16" s="573">
        <v>0</v>
      </c>
      <c r="P16" s="681"/>
      <c r="Q16" s="19" t="e">
        <v>#DIV/0!</v>
      </c>
      <c r="R16" s="573">
        <v>16505.859504925713</v>
      </c>
      <c r="S16" s="681">
        <v>19384.2</v>
      </c>
      <c r="T16" s="19">
        <v>1.174382951352235</v>
      </c>
      <c r="U16" s="573">
        <v>5094.2024261136485</v>
      </c>
      <c r="V16" s="681">
        <v>1906.8</v>
      </c>
      <c r="W16" s="19">
        <v>0.37430785832644892</v>
      </c>
      <c r="X16" s="573">
        <v>8423.141491815446</v>
      </c>
      <c r="Y16" s="681">
        <v>5084.2</v>
      </c>
      <c r="Z16" s="19">
        <v>0.60359902596201054</v>
      </c>
      <c r="AA16" s="573">
        <v>5298.8594228680549</v>
      </c>
      <c r="AB16" s="681">
        <v>5213.7</v>
      </c>
      <c r="AC16" s="19">
        <v>0.98392872577435508</v>
      </c>
      <c r="AD16" s="682">
        <v>31588.9</v>
      </c>
      <c r="AE16" s="19">
        <v>0.44607009715318574</v>
      </c>
      <c r="AF16" s="573">
        <v>5349.3550970730221</v>
      </c>
      <c r="AG16" s="681">
        <v>4394.3</v>
      </c>
      <c r="AH16" s="19">
        <v>0.82146350733089413</v>
      </c>
      <c r="AI16" s="573">
        <v>5854.4595121656566</v>
      </c>
      <c r="AJ16" s="681">
        <v>3827.5</v>
      </c>
      <c r="AK16" s="19">
        <v>0.65377512510700542</v>
      </c>
      <c r="AL16" s="573">
        <v>7880.2438221908096</v>
      </c>
      <c r="AM16" s="681">
        <v>7364.7</v>
      </c>
      <c r="AN16" s="19">
        <v>0.93457768137338137</v>
      </c>
      <c r="AO16" s="573">
        <v>7562.9132936718061</v>
      </c>
      <c r="AP16" s="681">
        <v>6807.2</v>
      </c>
      <c r="AQ16" s="19">
        <v>0.90007643029516915</v>
      </c>
      <c r="AR16" s="573">
        <v>5075.4232511108257</v>
      </c>
      <c r="AS16" s="681">
        <v>7152.4</v>
      </c>
      <c r="AT16" s="19">
        <v>1.409222373411833</v>
      </c>
      <c r="AU16" s="573">
        <v>3771.9389101292168</v>
      </c>
      <c r="AV16" s="681">
        <v>6925.6</v>
      </c>
      <c r="AW16" s="19">
        <v>1.8360848796893021</v>
      </c>
      <c r="AX16" s="562">
        <v>68060.600000000006</v>
      </c>
      <c r="AY16" s="19">
        <v>0.96109071396294632</v>
      </c>
    </row>
    <row r="17" spans="1:51" s="22" customFormat="1" ht="46.5" thickTop="1" thickBot="1">
      <c r="A17" s="2944"/>
      <c r="B17" s="2909"/>
      <c r="C17" s="25" t="s">
        <v>733</v>
      </c>
      <c r="D17" s="24" t="s">
        <v>660</v>
      </c>
      <c r="E17" s="25" t="s">
        <v>112</v>
      </c>
      <c r="F17" s="25" t="s">
        <v>17</v>
      </c>
      <c r="G17" s="1946">
        <v>301</v>
      </c>
      <c r="H17" s="98"/>
      <c r="I17" s="671"/>
      <c r="J17" s="98"/>
      <c r="K17" s="25" t="s">
        <v>20</v>
      </c>
      <c r="L17" s="1747">
        <v>0</v>
      </c>
      <c r="M17" s="34"/>
      <c r="N17" s="19" t="e">
        <f t="shared" ref="N17:N27" si="0">+M17/L17</f>
        <v>#DIV/0!</v>
      </c>
      <c r="O17" s="1747">
        <v>0</v>
      </c>
      <c r="P17" s="34"/>
      <c r="Q17" s="19" t="e">
        <f t="shared" ref="Q17:Q27" si="1">+P17/O17</f>
        <v>#DIV/0!</v>
      </c>
      <c r="R17" s="1747">
        <v>0</v>
      </c>
      <c r="S17" s="34"/>
      <c r="T17" s="19" t="e">
        <f t="shared" ref="T17:T27" si="2">+S17/R17</f>
        <v>#DIV/0!</v>
      </c>
      <c r="U17" s="1747">
        <v>0</v>
      </c>
      <c r="V17" s="34"/>
      <c r="W17" s="19" t="e">
        <f t="shared" ref="W17:W27" si="3">+V17/U17</f>
        <v>#DIV/0!</v>
      </c>
      <c r="X17" s="1747">
        <v>0</v>
      </c>
      <c r="Y17" s="34"/>
      <c r="Z17" s="19" t="e">
        <f t="shared" ref="Z17:Z27" si="4">+Y17/X17</f>
        <v>#DIV/0!</v>
      </c>
      <c r="AA17" s="1747">
        <v>0</v>
      </c>
      <c r="AB17" s="34"/>
      <c r="AC17" s="19" t="e">
        <f t="shared" ref="AC17:AC27" si="5">+AB17/AA17</f>
        <v>#DIV/0!</v>
      </c>
      <c r="AD17" s="35">
        <f>+S17+V17+Y17+AB17</f>
        <v>0</v>
      </c>
      <c r="AE17" s="19">
        <f t="shared" ref="AE17:AE27" si="6">AD17/G17</f>
        <v>0</v>
      </c>
      <c r="AF17" s="1747">
        <v>0</v>
      </c>
      <c r="AG17" s="34"/>
      <c r="AH17" s="19" t="e">
        <f t="shared" ref="AH17:AH27" si="7">+AG17/AF17</f>
        <v>#DIV/0!</v>
      </c>
      <c r="AI17" s="1747">
        <v>0</v>
      </c>
      <c r="AJ17" s="34"/>
      <c r="AK17" s="19" t="e">
        <f t="shared" ref="AK17:AK27" si="8">+AJ17/AI17</f>
        <v>#DIV/0!</v>
      </c>
      <c r="AL17" s="1747">
        <v>0</v>
      </c>
      <c r="AM17" s="34"/>
      <c r="AN17" s="19" t="e">
        <f t="shared" ref="AN17:AN27" si="9">+AM17/AL17</f>
        <v>#DIV/0!</v>
      </c>
      <c r="AO17" s="1747">
        <v>293</v>
      </c>
      <c r="AP17" s="34">
        <v>151</v>
      </c>
      <c r="AQ17" s="19">
        <f t="shared" ref="AQ17:AQ27" si="10">+AP17/AO17</f>
        <v>0.51535836177474403</v>
      </c>
      <c r="AR17" s="1747">
        <v>0</v>
      </c>
      <c r="AS17" s="34"/>
      <c r="AT17" s="19" t="e">
        <f t="shared" ref="AT17:AT27" si="11">+AS17/AR17</f>
        <v>#DIV/0!</v>
      </c>
      <c r="AU17" s="1747">
        <v>8</v>
      </c>
      <c r="AV17" s="34">
        <v>8</v>
      </c>
      <c r="AW17" s="19">
        <f t="shared" ref="AW17:AW27" si="12">+AV17/AU17</f>
        <v>1</v>
      </c>
      <c r="AX17" s="29">
        <f>+S17+V17+Y17+AB17+AG17+AJ17+AM17+AP17+AS17-AV17</f>
        <v>143</v>
      </c>
      <c r="AY17" s="19">
        <f t="shared" ref="AY17:AY27" si="13">+AX17/G17</f>
        <v>0.47508305647840532</v>
      </c>
    </row>
    <row r="18" spans="1:51" s="22" customFormat="1" ht="61.5" thickTop="1" thickBot="1">
      <c r="A18" s="2944"/>
      <c r="B18" s="2909"/>
      <c r="C18" s="25" t="s">
        <v>675</v>
      </c>
      <c r="D18" s="17" t="s">
        <v>114</v>
      </c>
      <c r="E18" s="561" t="s">
        <v>115</v>
      </c>
      <c r="F18" s="561" t="s">
        <v>10</v>
      </c>
      <c r="G18" s="48">
        <v>1</v>
      </c>
      <c r="H18" s="85"/>
      <c r="I18" s="674"/>
      <c r="J18" s="85"/>
      <c r="K18" s="561" t="s">
        <v>20</v>
      </c>
      <c r="L18" s="49">
        <v>0</v>
      </c>
      <c r="M18" s="50"/>
      <c r="N18" s="19" t="e">
        <f t="shared" si="0"/>
        <v>#DIV/0!</v>
      </c>
      <c r="O18" s="49">
        <v>0</v>
      </c>
      <c r="P18" s="50"/>
      <c r="Q18" s="19" t="e">
        <f t="shared" si="1"/>
        <v>#DIV/0!</v>
      </c>
      <c r="R18" s="49">
        <v>0.25</v>
      </c>
      <c r="S18" s="50">
        <v>0.25</v>
      </c>
      <c r="T18" s="19">
        <f t="shared" si="2"/>
        <v>1</v>
      </c>
      <c r="U18" s="49">
        <v>0</v>
      </c>
      <c r="V18" s="50"/>
      <c r="W18" s="19" t="e">
        <f t="shared" si="3"/>
        <v>#DIV/0!</v>
      </c>
      <c r="X18" s="49">
        <v>0</v>
      </c>
      <c r="Y18" s="50"/>
      <c r="Z18" s="19" t="e">
        <f t="shared" si="4"/>
        <v>#DIV/0!</v>
      </c>
      <c r="AA18" s="49">
        <v>0.25</v>
      </c>
      <c r="AB18" s="50">
        <v>0.25</v>
      </c>
      <c r="AC18" s="19">
        <f t="shared" si="5"/>
        <v>1</v>
      </c>
      <c r="AD18" s="51">
        <f>+S18+AB18</f>
        <v>0.5</v>
      </c>
      <c r="AE18" s="19">
        <f t="shared" si="6"/>
        <v>0.5</v>
      </c>
      <c r="AF18" s="49">
        <v>0</v>
      </c>
      <c r="AG18" s="50"/>
      <c r="AH18" s="19" t="e">
        <f t="shared" si="7"/>
        <v>#DIV/0!</v>
      </c>
      <c r="AI18" s="49">
        <v>0</v>
      </c>
      <c r="AJ18" s="50"/>
      <c r="AK18" s="19" t="e">
        <f t="shared" si="8"/>
        <v>#DIV/0!</v>
      </c>
      <c r="AL18" s="49">
        <v>0.25</v>
      </c>
      <c r="AM18" s="50">
        <v>0.25</v>
      </c>
      <c r="AN18" s="19">
        <f t="shared" si="9"/>
        <v>1</v>
      </c>
      <c r="AO18" s="49">
        <v>0</v>
      </c>
      <c r="AP18" s="50"/>
      <c r="AQ18" s="19" t="e">
        <f t="shared" si="10"/>
        <v>#DIV/0!</v>
      </c>
      <c r="AR18" s="49">
        <v>0</v>
      </c>
      <c r="AS18" s="50"/>
      <c r="AT18" s="19" t="e">
        <f t="shared" si="11"/>
        <v>#DIV/0!</v>
      </c>
      <c r="AU18" s="49">
        <v>0.25</v>
      </c>
      <c r="AV18" s="50">
        <v>0.25</v>
      </c>
      <c r="AW18" s="19">
        <f t="shared" si="12"/>
        <v>1</v>
      </c>
      <c r="AX18" s="1947">
        <f>+S18+AB18+AM18+AV18</f>
        <v>1</v>
      </c>
      <c r="AY18" s="19">
        <f t="shared" si="13"/>
        <v>1</v>
      </c>
    </row>
    <row r="19" spans="1:51" s="22" customFormat="1" ht="46.5" thickTop="1" thickBot="1">
      <c r="A19" s="2944"/>
      <c r="B19" s="2909"/>
      <c r="C19" s="25" t="s">
        <v>734</v>
      </c>
      <c r="D19" s="24" t="s">
        <v>116</v>
      </c>
      <c r="E19" s="25" t="s">
        <v>117</v>
      </c>
      <c r="F19" s="25" t="s">
        <v>17</v>
      </c>
      <c r="G19" s="1946">
        <v>5799</v>
      </c>
      <c r="H19" s="98"/>
      <c r="I19" s="671"/>
      <c r="J19" s="98"/>
      <c r="K19" s="25" t="s">
        <v>118</v>
      </c>
      <c r="L19" s="577">
        <v>0</v>
      </c>
      <c r="M19" s="578"/>
      <c r="N19" s="19" t="e">
        <f t="shared" si="0"/>
        <v>#DIV/0!</v>
      </c>
      <c r="O19" s="577">
        <v>0</v>
      </c>
      <c r="P19" s="578"/>
      <c r="Q19" s="19" t="e">
        <f t="shared" si="1"/>
        <v>#DIV/0!</v>
      </c>
      <c r="R19" s="577">
        <v>1102</v>
      </c>
      <c r="S19" s="578"/>
      <c r="T19" s="19">
        <f t="shared" si="2"/>
        <v>0</v>
      </c>
      <c r="U19" s="577">
        <v>895</v>
      </c>
      <c r="V19" s="578"/>
      <c r="W19" s="19">
        <f t="shared" si="3"/>
        <v>0</v>
      </c>
      <c r="X19" s="577">
        <v>260</v>
      </c>
      <c r="Y19" s="578">
        <v>614</v>
      </c>
      <c r="Z19" s="19">
        <f t="shared" si="4"/>
        <v>2.3615384615384616</v>
      </c>
      <c r="AA19" s="577">
        <v>292</v>
      </c>
      <c r="AB19" s="578">
        <v>76</v>
      </c>
      <c r="AC19" s="19">
        <f t="shared" si="5"/>
        <v>0.26027397260273971</v>
      </c>
      <c r="AD19" s="1498">
        <f>+S19+V19+Y19+AB19</f>
        <v>690</v>
      </c>
      <c r="AE19" s="19">
        <f t="shared" si="6"/>
        <v>0.11898603207449561</v>
      </c>
      <c r="AF19" s="577">
        <v>539</v>
      </c>
      <c r="AG19" s="578">
        <v>394</v>
      </c>
      <c r="AH19" s="19">
        <f t="shared" si="7"/>
        <v>0.73098330241187381</v>
      </c>
      <c r="AI19" s="577">
        <v>823</v>
      </c>
      <c r="AJ19" s="578">
        <v>443</v>
      </c>
      <c r="AK19" s="19">
        <f t="shared" si="8"/>
        <v>0.53827460510328073</v>
      </c>
      <c r="AL19" s="577">
        <v>1118</v>
      </c>
      <c r="AM19" s="578">
        <v>634</v>
      </c>
      <c r="AN19" s="19">
        <f t="shared" si="9"/>
        <v>0.56708407871198574</v>
      </c>
      <c r="AO19" s="577">
        <v>437</v>
      </c>
      <c r="AP19" s="578">
        <v>468</v>
      </c>
      <c r="AQ19" s="19">
        <f t="shared" si="10"/>
        <v>1.0709382151029749</v>
      </c>
      <c r="AR19" s="577">
        <v>300</v>
      </c>
      <c r="AS19" s="578">
        <v>2935</v>
      </c>
      <c r="AT19" s="19">
        <f t="shared" si="11"/>
        <v>9.7833333333333332</v>
      </c>
      <c r="AU19" s="577">
        <v>33</v>
      </c>
      <c r="AV19" s="578">
        <v>985</v>
      </c>
      <c r="AW19" s="19">
        <f t="shared" si="12"/>
        <v>29.848484848484848</v>
      </c>
      <c r="AX19" s="29">
        <f>+S19+V19+Y19+AB19+AG19+AJ19+AM19+AP19+AS19+AV19</f>
        <v>6549</v>
      </c>
      <c r="AY19" s="19">
        <f t="shared" si="13"/>
        <v>1.1293326435592344</v>
      </c>
    </row>
    <row r="20" spans="1:51" s="22" customFormat="1" ht="61.5" thickTop="1" thickBot="1">
      <c r="A20" s="2944"/>
      <c r="B20" s="2909"/>
      <c r="C20" s="2928" t="s">
        <v>119</v>
      </c>
      <c r="D20" s="17" t="s">
        <v>120</v>
      </c>
      <c r="E20" s="561" t="s">
        <v>121</v>
      </c>
      <c r="F20" s="561" t="s">
        <v>10</v>
      </c>
      <c r="G20" s="872">
        <v>0.64100000000000001</v>
      </c>
      <c r="H20" s="85"/>
      <c r="I20" s="674"/>
      <c r="J20" s="85"/>
      <c r="K20" s="561" t="s">
        <v>7</v>
      </c>
      <c r="L20" s="49">
        <v>0</v>
      </c>
      <c r="M20" s="50"/>
      <c r="N20" s="19" t="e">
        <f t="shared" si="0"/>
        <v>#DIV/0!</v>
      </c>
      <c r="O20" s="49">
        <v>0</v>
      </c>
      <c r="P20" s="50"/>
      <c r="Q20" s="19" t="e">
        <f t="shared" si="1"/>
        <v>#DIV/0!</v>
      </c>
      <c r="R20" s="49">
        <v>0</v>
      </c>
      <c r="S20" s="50"/>
      <c r="T20" s="19" t="e">
        <f t="shared" si="2"/>
        <v>#DIV/0!</v>
      </c>
      <c r="U20" s="49">
        <v>0</v>
      </c>
      <c r="V20" s="50"/>
      <c r="W20" s="19" t="e">
        <f t="shared" si="3"/>
        <v>#DIV/0!</v>
      </c>
      <c r="X20" s="49">
        <v>0</v>
      </c>
      <c r="Y20" s="50"/>
      <c r="Z20" s="19" t="e">
        <f t="shared" si="4"/>
        <v>#DIV/0!</v>
      </c>
      <c r="AA20" s="49">
        <v>0</v>
      </c>
      <c r="AB20" s="50"/>
      <c r="AC20" s="19" t="e">
        <f t="shared" si="5"/>
        <v>#DIV/0!</v>
      </c>
      <c r="AD20" s="1500">
        <f t="shared" ref="AD20:AD27" si="14">+M20+P20+S20+V20+Y20+AB20</f>
        <v>0</v>
      </c>
      <c r="AE20" s="19">
        <f t="shared" si="6"/>
        <v>0</v>
      </c>
      <c r="AF20" s="49">
        <v>0</v>
      </c>
      <c r="AG20" s="50"/>
      <c r="AH20" s="19" t="e">
        <f t="shared" si="7"/>
        <v>#DIV/0!</v>
      </c>
      <c r="AI20" s="49">
        <v>0</v>
      </c>
      <c r="AJ20" s="50"/>
      <c r="AK20" s="19" t="e">
        <f t="shared" si="8"/>
        <v>#DIV/0!</v>
      </c>
      <c r="AL20" s="49">
        <v>0</v>
      </c>
      <c r="AM20" s="50"/>
      <c r="AN20" s="19" t="e">
        <f t="shared" si="9"/>
        <v>#DIV/0!</v>
      </c>
      <c r="AO20" s="49">
        <v>0</v>
      </c>
      <c r="AP20" s="50"/>
      <c r="AQ20" s="19" t="e">
        <f t="shared" si="10"/>
        <v>#DIV/0!</v>
      </c>
      <c r="AR20" s="49">
        <v>0</v>
      </c>
      <c r="AS20" s="50"/>
      <c r="AT20" s="19" t="e">
        <f t="shared" si="11"/>
        <v>#DIV/0!</v>
      </c>
      <c r="AU20" s="49">
        <v>0.64100000000000001</v>
      </c>
      <c r="AV20" s="50">
        <v>0.69230000000000003</v>
      </c>
      <c r="AW20" s="19">
        <f t="shared" si="12"/>
        <v>1.08003120124805</v>
      </c>
      <c r="AX20" s="51">
        <f t="shared" ref="AX20" si="15">+M20+P20+S20+V20+Y20+AB20+AG20+AJ20+AM20+AP20+AS20+AV20</f>
        <v>0.69230000000000003</v>
      </c>
      <c r="AY20" s="19">
        <f t="shared" si="13"/>
        <v>1.08003120124805</v>
      </c>
    </row>
    <row r="21" spans="1:51" s="22" customFormat="1" ht="61.5" thickTop="1" thickBot="1">
      <c r="A21" s="2944"/>
      <c r="B21" s="2909"/>
      <c r="C21" s="2929"/>
      <c r="D21" s="24" t="s">
        <v>412</v>
      </c>
      <c r="E21" s="25" t="s">
        <v>123</v>
      </c>
      <c r="F21" s="25" t="s">
        <v>10</v>
      </c>
      <c r="G21" s="591">
        <v>1</v>
      </c>
      <c r="H21" s="98"/>
      <c r="I21" s="671"/>
      <c r="J21" s="98"/>
      <c r="K21" s="25" t="s">
        <v>7</v>
      </c>
      <c r="L21" s="44">
        <v>0</v>
      </c>
      <c r="M21" s="45"/>
      <c r="N21" s="19" t="e">
        <f t="shared" si="0"/>
        <v>#DIV/0!</v>
      </c>
      <c r="O21" s="44">
        <v>0</v>
      </c>
      <c r="P21" s="45"/>
      <c r="Q21" s="19" t="e">
        <f t="shared" si="1"/>
        <v>#DIV/0!</v>
      </c>
      <c r="R21" s="44">
        <v>0</v>
      </c>
      <c r="S21" s="45"/>
      <c r="T21" s="19" t="e">
        <f t="shared" si="2"/>
        <v>#DIV/0!</v>
      </c>
      <c r="U21" s="44">
        <v>1</v>
      </c>
      <c r="V21" s="45">
        <v>1</v>
      </c>
      <c r="W21" s="19">
        <f t="shared" si="3"/>
        <v>1</v>
      </c>
      <c r="X21" s="44">
        <v>0</v>
      </c>
      <c r="Y21" s="45"/>
      <c r="Z21" s="19" t="e">
        <f t="shared" si="4"/>
        <v>#DIV/0!</v>
      </c>
      <c r="AA21" s="44">
        <v>0</v>
      </c>
      <c r="AB21" s="45"/>
      <c r="AC21" s="19" t="e">
        <f t="shared" si="5"/>
        <v>#DIV/0!</v>
      </c>
      <c r="AD21" s="46">
        <f>V21</f>
        <v>1</v>
      </c>
      <c r="AE21" s="19">
        <f t="shared" si="6"/>
        <v>1</v>
      </c>
      <c r="AF21" s="44">
        <v>0</v>
      </c>
      <c r="AG21" s="45"/>
      <c r="AH21" s="19" t="e">
        <f t="shared" si="7"/>
        <v>#DIV/0!</v>
      </c>
      <c r="AI21" s="44">
        <v>0</v>
      </c>
      <c r="AJ21" s="45"/>
      <c r="AK21" s="19" t="e">
        <f t="shared" si="8"/>
        <v>#DIV/0!</v>
      </c>
      <c r="AL21" s="44">
        <v>0</v>
      </c>
      <c r="AM21" s="45"/>
      <c r="AN21" s="19" t="e">
        <f t="shared" si="9"/>
        <v>#DIV/0!</v>
      </c>
      <c r="AO21" s="44">
        <v>1</v>
      </c>
      <c r="AP21" s="45">
        <v>1</v>
      </c>
      <c r="AQ21" s="19">
        <f t="shared" si="10"/>
        <v>1</v>
      </c>
      <c r="AR21" s="44">
        <v>0</v>
      </c>
      <c r="AS21" s="45"/>
      <c r="AT21" s="19" t="e">
        <f t="shared" si="11"/>
        <v>#DIV/0!</v>
      </c>
      <c r="AU21" s="44">
        <v>0</v>
      </c>
      <c r="AV21" s="45"/>
      <c r="AW21" s="19" t="e">
        <f t="shared" si="12"/>
        <v>#DIV/0!</v>
      </c>
      <c r="AX21" s="46">
        <f>(V21+AP21)/2</f>
        <v>1</v>
      </c>
      <c r="AY21" s="19">
        <f t="shared" si="13"/>
        <v>1</v>
      </c>
    </row>
    <row r="22" spans="1:51" s="22" customFormat="1" ht="61.5" thickTop="1" thickBot="1">
      <c r="A22" s="2944"/>
      <c r="B22" s="2909"/>
      <c r="C22" s="2929"/>
      <c r="D22" s="17" t="s">
        <v>413</v>
      </c>
      <c r="E22" s="561" t="s">
        <v>125</v>
      </c>
      <c r="F22" s="561" t="s">
        <v>10</v>
      </c>
      <c r="G22" s="49">
        <v>1</v>
      </c>
      <c r="H22" s="85"/>
      <c r="I22" s="674"/>
      <c r="J22" s="85"/>
      <c r="K22" s="561" t="s">
        <v>7</v>
      </c>
      <c r="L22" s="49">
        <v>1</v>
      </c>
      <c r="M22" s="50">
        <v>1</v>
      </c>
      <c r="N22" s="19">
        <f t="shared" si="0"/>
        <v>1</v>
      </c>
      <c r="O22" s="49">
        <v>1</v>
      </c>
      <c r="P22" s="50">
        <v>1</v>
      </c>
      <c r="Q22" s="19">
        <f t="shared" si="1"/>
        <v>1</v>
      </c>
      <c r="R22" s="49">
        <v>1</v>
      </c>
      <c r="S22" s="50">
        <v>1</v>
      </c>
      <c r="T22" s="19">
        <f t="shared" si="2"/>
        <v>1</v>
      </c>
      <c r="U22" s="49">
        <v>1</v>
      </c>
      <c r="V22" s="50">
        <v>1</v>
      </c>
      <c r="W22" s="19">
        <f t="shared" si="3"/>
        <v>1</v>
      </c>
      <c r="X22" s="49">
        <v>1</v>
      </c>
      <c r="Y22" s="50">
        <v>1</v>
      </c>
      <c r="Z22" s="19">
        <f t="shared" si="4"/>
        <v>1</v>
      </c>
      <c r="AA22" s="49">
        <v>1</v>
      </c>
      <c r="AB22" s="50">
        <v>1</v>
      </c>
      <c r="AC22" s="19">
        <f t="shared" si="5"/>
        <v>1</v>
      </c>
      <c r="AD22" s="51">
        <f>(S22+AB22)/2</f>
        <v>1</v>
      </c>
      <c r="AE22" s="19">
        <f t="shared" si="6"/>
        <v>1</v>
      </c>
      <c r="AF22" s="49">
        <v>1</v>
      </c>
      <c r="AG22" s="50">
        <v>1</v>
      </c>
      <c r="AH22" s="19">
        <f t="shared" si="7"/>
        <v>1</v>
      </c>
      <c r="AI22" s="49">
        <v>1</v>
      </c>
      <c r="AJ22" s="50">
        <v>1</v>
      </c>
      <c r="AK22" s="19">
        <f t="shared" si="8"/>
        <v>1</v>
      </c>
      <c r="AL22" s="49">
        <v>1</v>
      </c>
      <c r="AM22" s="50">
        <v>1</v>
      </c>
      <c r="AN22" s="19">
        <f t="shared" si="9"/>
        <v>1</v>
      </c>
      <c r="AO22" s="49">
        <v>1</v>
      </c>
      <c r="AP22" s="50">
        <v>1</v>
      </c>
      <c r="AQ22" s="19">
        <f t="shared" si="10"/>
        <v>1</v>
      </c>
      <c r="AR22" s="49">
        <v>1</v>
      </c>
      <c r="AS22" s="50">
        <v>1</v>
      </c>
      <c r="AT22" s="19">
        <f t="shared" si="11"/>
        <v>1</v>
      </c>
      <c r="AU22" s="49">
        <v>1</v>
      </c>
      <c r="AV22" s="50">
        <v>1</v>
      </c>
      <c r="AW22" s="19">
        <f t="shared" si="12"/>
        <v>1</v>
      </c>
      <c r="AX22" s="46">
        <f>(M22+P22+S22+V22+Y22+AB22+AG22+AJ22+AM22+AP22+AS22+AV22)/12</f>
        <v>1</v>
      </c>
      <c r="AY22" s="19">
        <f t="shared" si="13"/>
        <v>1</v>
      </c>
    </row>
    <row r="23" spans="1:51" s="22" customFormat="1" ht="46.5" thickTop="1" thickBot="1">
      <c r="A23" s="2944"/>
      <c r="B23" s="2909"/>
      <c r="C23" s="2929"/>
      <c r="D23" s="24" t="s">
        <v>414</v>
      </c>
      <c r="E23" s="25" t="s">
        <v>127</v>
      </c>
      <c r="F23" s="25" t="s">
        <v>10</v>
      </c>
      <c r="G23" s="44">
        <v>0.6</v>
      </c>
      <c r="H23" s="98"/>
      <c r="I23" s="671"/>
      <c r="J23" s="98"/>
      <c r="K23" s="25" t="s">
        <v>7</v>
      </c>
      <c r="L23" s="44">
        <v>0.6</v>
      </c>
      <c r="M23" s="45">
        <v>1</v>
      </c>
      <c r="N23" s="19">
        <f t="shared" si="0"/>
        <v>1.6666666666666667</v>
      </c>
      <c r="O23" s="44">
        <v>0.6</v>
      </c>
      <c r="P23" s="45">
        <v>1</v>
      </c>
      <c r="Q23" s="19">
        <f t="shared" si="1"/>
        <v>1.6666666666666667</v>
      </c>
      <c r="R23" s="44">
        <v>0.6</v>
      </c>
      <c r="S23" s="45">
        <v>1</v>
      </c>
      <c r="T23" s="19">
        <f t="shared" si="2"/>
        <v>1.6666666666666667</v>
      </c>
      <c r="U23" s="44">
        <v>0.6</v>
      </c>
      <c r="V23" s="45">
        <v>1</v>
      </c>
      <c r="W23" s="19">
        <f t="shared" si="3"/>
        <v>1.6666666666666667</v>
      </c>
      <c r="X23" s="44">
        <v>0.6</v>
      </c>
      <c r="Y23" s="45">
        <v>1</v>
      </c>
      <c r="Z23" s="19">
        <f t="shared" si="4"/>
        <v>1.6666666666666667</v>
      </c>
      <c r="AA23" s="44">
        <v>0.6</v>
      </c>
      <c r="AB23" s="45">
        <v>1</v>
      </c>
      <c r="AC23" s="19">
        <f t="shared" si="5"/>
        <v>1.6666666666666667</v>
      </c>
      <c r="AD23" s="46">
        <f>(M23+P23+S23+V23+Y23+AB23)/6</f>
        <v>1</v>
      </c>
      <c r="AE23" s="19">
        <f t="shared" si="6"/>
        <v>1.6666666666666667</v>
      </c>
      <c r="AF23" s="44">
        <v>0.6</v>
      </c>
      <c r="AG23" s="45">
        <v>1</v>
      </c>
      <c r="AH23" s="19">
        <f t="shared" si="7"/>
        <v>1.6666666666666667</v>
      </c>
      <c r="AI23" s="44">
        <v>0.6</v>
      </c>
      <c r="AJ23" s="45">
        <v>1</v>
      </c>
      <c r="AK23" s="19">
        <f t="shared" si="8"/>
        <v>1.6666666666666667</v>
      </c>
      <c r="AL23" s="44">
        <v>0.6</v>
      </c>
      <c r="AM23" s="45">
        <v>1</v>
      </c>
      <c r="AN23" s="19">
        <f t="shared" si="9"/>
        <v>1.6666666666666667</v>
      </c>
      <c r="AO23" s="44">
        <v>0.6</v>
      </c>
      <c r="AP23" s="45">
        <v>1</v>
      </c>
      <c r="AQ23" s="19">
        <f t="shared" si="10"/>
        <v>1.6666666666666667</v>
      </c>
      <c r="AR23" s="44">
        <v>0.6</v>
      </c>
      <c r="AS23" s="45"/>
      <c r="AT23" s="19">
        <f t="shared" si="11"/>
        <v>0</v>
      </c>
      <c r="AU23" s="44">
        <v>0.6</v>
      </c>
      <c r="AV23" s="45"/>
      <c r="AW23" s="19">
        <f t="shared" si="12"/>
        <v>0</v>
      </c>
      <c r="AX23" s="46">
        <f>(M23+P23+S23+V23+Y23+AB23+AG23+AJ23+AM23+AP23+AS23+AV23)/12</f>
        <v>0.83333333333333337</v>
      </c>
      <c r="AY23" s="19">
        <f t="shared" si="13"/>
        <v>1.3888888888888891</v>
      </c>
    </row>
    <row r="24" spans="1:51" s="22" customFormat="1" ht="61.5" thickTop="1" thickBot="1">
      <c r="A24" s="2944"/>
      <c r="B24" s="2909"/>
      <c r="C24" s="2929"/>
      <c r="D24" s="17" t="s">
        <v>128</v>
      </c>
      <c r="E24" s="561" t="s">
        <v>129</v>
      </c>
      <c r="F24" s="561" t="s">
        <v>10</v>
      </c>
      <c r="G24" s="49">
        <v>1</v>
      </c>
      <c r="H24" s="85"/>
      <c r="I24" s="674"/>
      <c r="J24" s="85"/>
      <c r="K24" s="561" t="s">
        <v>7</v>
      </c>
      <c r="L24" s="49"/>
      <c r="M24" s="50"/>
      <c r="N24" s="19" t="e">
        <f t="shared" si="0"/>
        <v>#DIV/0!</v>
      </c>
      <c r="O24" s="49"/>
      <c r="P24" s="50"/>
      <c r="Q24" s="19" t="e">
        <f t="shared" si="1"/>
        <v>#DIV/0!</v>
      </c>
      <c r="R24" s="49"/>
      <c r="S24" s="50"/>
      <c r="T24" s="19" t="e">
        <f t="shared" si="2"/>
        <v>#DIV/0!</v>
      </c>
      <c r="U24" s="49"/>
      <c r="V24" s="50"/>
      <c r="W24" s="19" t="e">
        <f t="shared" si="3"/>
        <v>#DIV/0!</v>
      </c>
      <c r="X24" s="49">
        <v>1</v>
      </c>
      <c r="Y24" s="50">
        <v>1</v>
      </c>
      <c r="Z24" s="19">
        <f t="shared" si="4"/>
        <v>1</v>
      </c>
      <c r="AA24" s="49"/>
      <c r="AB24" s="50"/>
      <c r="AC24" s="19" t="e">
        <f t="shared" si="5"/>
        <v>#DIV/0!</v>
      </c>
      <c r="AD24" s="51">
        <v>1</v>
      </c>
      <c r="AE24" s="19">
        <f t="shared" si="6"/>
        <v>1</v>
      </c>
      <c r="AF24" s="49">
        <v>1</v>
      </c>
      <c r="AG24" s="50">
        <v>1</v>
      </c>
      <c r="AH24" s="19">
        <f t="shared" si="7"/>
        <v>1</v>
      </c>
      <c r="AI24" s="49"/>
      <c r="AJ24" s="50"/>
      <c r="AK24" s="19" t="e">
        <f t="shared" si="8"/>
        <v>#DIV/0!</v>
      </c>
      <c r="AL24" s="49">
        <v>1</v>
      </c>
      <c r="AM24" s="50">
        <v>1</v>
      </c>
      <c r="AN24" s="19">
        <f t="shared" si="9"/>
        <v>1</v>
      </c>
      <c r="AO24" s="49"/>
      <c r="AP24" s="50"/>
      <c r="AQ24" s="19" t="e">
        <f t="shared" si="10"/>
        <v>#DIV/0!</v>
      </c>
      <c r="AR24" s="49"/>
      <c r="AS24" s="50"/>
      <c r="AT24" s="19" t="e">
        <f t="shared" si="11"/>
        <v>#DIV/0!</v>
      </c>
      <c r="AU24" s="49"/>
      <c r="AV24" s="50"/>
      <c r="AW24" s="19" t="e">
        <f t="shared" si="12"/>
        <v>#DIV/0!</v>
      </c>
      <c r="AX24" s="51">
        <v>1</v>
      </c>
      <c r="AY24" s="19">
        <f t="shared" si="13"/>
        <v>1</v>
      </c>
    </row>
    <row r="25" spans="1:51" s="22" customFormat="1" ht="61.5" thickTop="1" thickBot="1">
      <c r="A25" s="2944"/>
      <c r="B25" s="2909"/>
      <c r="C25" s="2929"/>
      <c r="D25" s="24" t="s">
        <v>179</v>
      </c>
      <c r="E25" s="25" t="s">
        <v>131</v>
      </c>
      <c r="F25" s="25" t="s">
        <v>10</v>
      </c>
      <c r="G25" s="44">
        <v>1</v>
      </c>
      <c r="H25" s="98"/>
      <c r="I25" s="671"/>
      <c r="J25" s="98"/>
      <c r="K25" s="25" t="s">
        <v>7</v>
      </c>
      <c r="L25" s="44"/>
      <c r="M25" s="45"/>
      <c r="N25" s="19" t="e">
        <f t="shared" si="0"/>
        <v>#DIV/0!</v>
      </c>
      <c r="O25" s="44"/>
      <c r="P25" s="45"/>
      <c r="Q25" s="19" t="e">
        <f t="shared" si="1"/>
        <v>#DIV/0!</v>
      </c>
      <c r="R25" s="44"/>
      <c r="S25" s="45"/>
      <c r="T25" s="19" t="e">
        <f t="shared" si="2"/>
        <v>#DIV/0!</v>
      </c>
      <c r="U25" s="44"/>
      <c r="V25" s="45"/>
      <c r="W25" s="19" t="e">
        <f t="shared" si="3"/>
        <v>#DIV/0!</v>
      </c>
      <c r="X25" s="44"/>
      <c r="Y25" s="45"/>
      <c r="Z25" s="19" t="e">
        <f t="shared" si="4"/>
        <v>#DIV/0!</v>
      </c>
      <c r="AA25" s="44"/>
      <c r="AB25" s="45"/>
      <c r="AC25" s="19" t="e">
        <f t="shared" si="5"/>
        <v>#DIV/0!</v>
      </c>
      <c r="AD25" s="46">
        <v>1</v>
      </c>
      <c r="AE25" s="19">
        <f t="shared" si="6"/>
        <v>1</v>
      </c>
      <c r="AF25" s="44"/>
      <c r="AG25" s="45"/>
      <c r="AH25" s="19" t="e">
        <f t="shared" si="7"/>
        <v>#DIV/0!</v>
      </c>
      <c r="AI25" s="44"/>
      <c r="AJ25" s="45"/>
      <c r="AK25" s="19" t="e">
        <f t="shared" si="8"/>
        <v>#DIV/0!</v>
      </c>
      <c r="AL25" s="44"/>
      <c r="AM25" s="45"/>
      <c r="AN25" s="19" t="e">
        <f t="shared" si="9"/>
        <v>#DIV/0!</v>
      </c>
      <c r="AO25" s="44"/>
      <c r="AP25" s="45"/>
      <c r="AQ25" s="19" t="e">
        <f t="shared" si="10"/>
        <v>#DIV/0!</v>
      </c>
      <c r="AR25" s="44"/>
      <c r="AS25" s="45"/>
      <c r="AT25" s="19" t="e">
        <f t="shared" si="11"/>
        <v>#DIV/0!</v>
      </c>
      <c r="AU25" s="44">
        <v>1</v>
      </c>
      <c r="AV25" s="45">
        <v>1.0832999999999999</v>
      </c>
      <c r="AW25" s="19">
        <f t="shared" si="12"/>
        <v>1.0832999999999999</v>
      </c>
      <c r="AX25" s="46">
        <v>1.0832999999999999</v>
      </c>
      <c r="AY25" s="19">
        <f t="shared" si="13"/>
        <v>1.0832999999999999</v>
      </c>
    </row>
    <row r="26" spans="1:51" s="22" customFormat="1" ht="61.5" thickTop="1" thickBot="1">
      <c r="A26" s="2944"/>
      <c r="B26" s="2909"/>
      <c r="C26" s="2930"/>
      <c r="D26" s="17" t="s">
        <v>562</v>
      </c>
      <c r="E26" s="561" t="s">
        <v>133</v>
      </c>
      <c r="F26" s="561" t="s">
        <v>10</v>
      </c>
      <c r="G26" s="49">
        <v>1</v>
      </c>
      <c r="H26" s="85"/>
      <c r="I26" s="674"/>
      <c r="J26" s="85"/>
      <c r="K26" s="561" t="s">
        <v>7</v>
      </c>
      <c r="L26" s="49">
        <v>0</v>
      </c>
      <c r="M26" s="50"/>
      <c r="N26" s="19" t="e">
        <f t="shared" si="0"/>
        <v>#DIV/0!</v>
      </c>
      <c r="O26" s="49">
        <v>0</v>
      </c>
      <c r="P26" s="50"/>
      <c r="Q26" s="19" t="e">
        <f t="shared" si="1"/>
        <v>#DIV/0!</v>
      </c>
      <c r="R26" s="49">
        <v>0</v>
      </c>
      <c r="S26" s="50"/>
      <c r="T26" s="19" t="e">
        <f t="shared" si="2"/>
        <v>#DIV/0!</v>
      </c>
      <c r="U26" s="49">
        <v>0</v>
      </c>
      <c r="V26" s="50"/>
      <c r="W26" s="19" t="e">
        <f t="shared" si="3"/>
        <v>#DIV/0!</v>
      </c>
      <c r="X26" s="49">
        <v>0</v>
      </c>
      <c r="Y26" s="50"/>
      <c r="Z26" s="19" t="e">
        <f t="shared" si="4"/>
        <v>#DIV/0!</v>
      </c>
      <c r="AA26" s="49">
        <v>1</v>
      </c>
      <c r="AB26" s="50">
        <v>1</v>
      </c>
      <c r="AC26" s="19">
        <f t="shared" si="5"/>
        <v>1</v>
      </c>
      <c r="AD26" s="51">
        <f t="shared" si="14"/>
        <v>1</v>
      </c>
      <c r="AE26" s="19">
        <f t="shared" si="6"/>
        <v>1</v>
      </c>
      <c r="AF26" s="49">
        <v>0</v>
      </c>
      <c r="AG26" s="50"/>
      <c r="AH26" s="19" t="e">
        <f t="shared" si="7"/>
        <v>#DIV/0!</v>
      </c>
      <c r="AI26" s="49"/>
      <c r="AJ26" s="50"/>
      <c r="AK26" s="19" t="e">
        <f t="shared" si="8"/>
        <v>#DIV/0!</v>
      </c>
      <c r="AL26" s="49">
        <v>0</v>
      </c>
      <c r="AM26" s="50"/>
      <c r="AN26" s="19" t="e">
        <f t="shared" si="9"/>
        <v>#DIV/0!</v>
      </c>
      <c r="AO26" s="49">
        <v>0</v>
      </c>
      <c r="AP26" s="50"/>
      <c r="AQ26" s="19" t="e">
        <f t="shared" si="10"/>
        <v>#DIV/0!</v>
      </c>
      <c r="AR26" s="49">
        <v>0</v>
      </c>
      <c r="AS26" s="50"/>
      <c r="AT26" s="19" t="e">
        <f t="shared" si="11"/>
        <v>#DIV/0!</v>
      </c>
      <c r="AU26" s="49"/>
      <c r="AV26" s="50"/>
      <c r="AW26" s="19" t="e">
        <f t="shared" si="12"/>
        <v>#DIV/0!</v>
      </c>
      <c r="AX26" s="46">
        <f>AB26</f>
        <v>1</v>
      </c>
      <c r="AY26" s="19">
        <f t="shared" si="13"/>
        <v>1</v>
      </c>
    </row>
    <row r="27" spans="1:51" s="22" customFormat="1" ht="114" thickTop="1" thickBot="1">
      <c r="A27" s="2945"/>
      <c r="B27" s="1204" t="s">
        <v>137</v>
      </c>
      <c r="C27" s="25" t="s">
        <v>284</v>
      </c>
      <c r="D27" s="24" t="s">
        <v>138</v>
      </c>
      <c r="E27" s="25" t="s">
        <v>139</v>
      </c>
      <c r="F27" s="25" t="s">
        <v>101</v>
      </c>
      <c r="G27" s="1948">
        <f>+'[4]FIS-24'!$AQ$16</f>
        <v>130000000.00000001</v>
      </c>
      <c r="H27" s="98"/>
      <c r="I27" s="671"/>
      <c r="J27" s="98"/>
      <c r="K27" s="25" t="s">
        <v>140</v>
      </c>
      <c r="L27" s="1949">
        <v>10000000</v>
      </c>
      <c r="M27" s="1950">
        <v>2803787</v>
      </c>
      <c r="N27" s="19">
        <f t="shared" si="0"/>
        <v>0.28037869999999998</v>
      </c>
      <c r="O27" s="1949">
        <v>10000000</v>
      </c>
      <c r="P27" s="1950">
        <v>949920</v>
      </c>
      <c r="Q27" s="19">
        <f t="shared" si="1"/>
        <v>9.4991999999999993E-2</v>
      </c>
      <c r="R27" s="1949">
        <v>10000000</v>
      </c>
      <c r="S27" s="1950">
        <v>450420</v>
      </c>
      <c r="T27" s="19">
        <f t="shared" si="2"/>
        <v>4.5041999999999999E-2</v>
      </c>
      <c r="U27" s="1949">
        <v>19833333</v>
      </c>
      <c r="V27" s="1950"/>
      <c r="W27" s="19">
        <f t="shared" si="3"/>
        <v>0</v>
      </c>
      <c r="X27" s="1949">
        <v>19833333</v>
      </c>
      <c r="Y27" s="1950"/>
      <c r="Z27" s="19">
        <f t="shared" si="4"/>
        <v>0</v>
      </c>
      <c r="AA27" s="1949">
        <v>19833333</v>
      </c>
      <c r="AB27" s="1950">
        <v>7538744</v>
      </c>
      <c r="AC27" s="19">
        <f t="shared" si="5"/>
        <v>0.38010474588411336</v>
      </c>
      <c r="AD27" s="1951">
        <f t="shared" si="14"/>
        <v>11742871</v>
      </c>
      <c r="AE27" s="19">
        <f t="shared" si="6"/>
        <v>9.0329776923076907E-2</v>
      </c>
      <c r="AF27" s="1949">
        <v>19833333</v>
      </c>
      <c r="AG27" s="1950">
        <v>10954163</v>
      </c>
      <c r="AH27" s="19">
        <f t="shared" si="7"/>
        <v>0.55231074877833186</v>
      </c>
      <c r="AI27" s="1949">
        <v>4753333.6400000034</v>
      </c>
      <c r="AJ27" s="1950">
        <v>1167555</v>
      </c>
      <c r="AK27" s="19">
        <f t="shared" si="8"/>
        <v>0.2456286657799176</v>
      </c>
      <c r="AL27" s="1949">
        <v>4753333.6400000034</v>
      </c>
      <c r="AM27" s="1950">
        <v>964080</v>
      </c>
      <c r="AN27" s="19">
        <f t="shared" si="9"/>
        <v>0.20282186629760737</v>
      </c>
      <c r="AO27" s="1949">
        <v>4753333.6400000034</v>
      </c>
      <c r="AP27" s="1950">
        <v>4462740</v>
      </c>
      <c r="AQ27" s="19">
        <f t="shared" si="10"/>
        <v>0.93886529707180344</v>
      </c>
      <c r="AR27" s="1949">
        <v>3203333.5400000024</v>
      </c>
      <c r="AS27" s="1950">
        <v>50833481</v>
      </c>
      <c r="AT27" s="19">
        <f t="shared" si="11"/>
        <v>15.868931650495552</v>
      </c>
      <c r="AU27" s="1949">
        <v>3203333.5400000024</v>
      </c>
      <c r="AV27" s="1950">
        <v>57436951</v>
      </c>
      <c r="AW27" s="19">
        <f t="shared" si="12"/>
        <v>17.930368562244677</v>
      </c>
      <c r="AX27" s="565">
        <f t="shared" ref="AX27" si="16">+M27+P27+S27+V27+Y27+AB27+AG27+AJ27+AM27+AP27+AS27+AV27</f>
        <v>137561841</v>
      </c>
      <c r="AY27" s="19">
        <f t="shared" si="13"/>
        <v>1.0581680076923077</v>
      </c>
    </row>
    <row r="28" spans="1:51" s="22" customFormat="1" ht="22.5" thickTop="1" thickBot="1">
      <c r="A28" s="2857" t="s">
        <v>425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55"/>
      <c r="M28" s="56"/>
      <c r="N28" s="1952"/>
      <c r="O28" s="55"/>
      <c r="P28" s="56"/>
      <c r="Q28" s="1952"/>
      <c r="R28" s="55"/>
      <c r="S28" s="56"/>
      <c r="T28" s="1952"/>
      <c r="U28" s="55"/>
      <c r="V28" s="56"/>
      <c r="W28" s="1952"/>
      <c r="X28" s="55"/>
      <c r="Y28" s="56"/>
      <c r="Z28" s="1952"/>
      <c r="AA28" s="55"/>
      <c r="AB28" s="56"/>
      <c r="AC28" s="1952"/>
      <c r="AD28" s="55"/>
      <c r="AE28" s="1952"/>
      <c r="AF28" s="55"/>
      <c r="AG28" s="56"/>
      <c r="AH28" s="1952"/>
      <c r="AI28" s="55"/>
      <c r="AJ28" s="56"/>
      <c r="AK28" s="1952"/>
      <c r="AL28" s="55"/>
      <c r="AM28" s="56"/>
      <c r="AN28" s="1952"/>
      <c r="AO28" s="55"/>
      <c r="AP28" s="56"/>
      <c r="AQ28" s="1952"/>
      <c r="AR28" s="55"/>
      <c r="AS28" s="56"/>
      <c r="AT28" s="1952"/>
      <c r="AU28" s="55"/>
      <c r="AV28" s="56"/>
      <c r="AW28" s="1952"/>
      <c r="AX28" s="1952"/>
      <c r="AY28" s="1952"/>
    </row>
    <row r="29" spans="1:51" s="22" customFormat="1" ht="106.5" thickTop="1" thickBot="1">
      <c r="A29" s="2905" t="s">
        <v>181</v>
      </c>
      <c r="B29" s="2981" t="s">
        <v>314</v>
      </c>
      <c r="C29" s="371" t="s">
        <v>907</v>
      </c>
      <c r="D29" s="1198" t="s">
        <v>144</v>
      </c>
      <c r="E29" s="371" t="s">
        <v>145</v>
      </c>
      <c r="F29" s="371" t="s">
        <v>17</v>
      </c>
      <c r="G29" s="1953">
        <v>120</v>
      </c>
      <c r="H29" s="693"/>
      <c r="I29" s="694"/>
      <c r="J29" s="693"/>
      <c r="K29" s="371" t="s">
        <v>146</v>
      </c>
      <c r="L29" s="58">
        <v>0</v>
      </c>
      <c r="M29" s="59"/>
      <c r="N29" s="19" t="e">
        <f t="shared" ref="N29" si="17">+M29/L29</f>
        <v>#DIV/0!</v>
      </c>
      <c r="O29" s="58">
        <v>0</v>
      </c>
      <c r="P29" s="59"/>
      <c r="Q29" s="19" t="e">
        <f t="shared" ref="Q29" si="18">+P29/O29</f>
        <v>#DIV/0!</v>
      </c>
      <c r="R29" s="58">
        <v>0</v>
      </c>
      <c r="S29" s="59"/>
      <c r="T29" s="19" t="e">
        <f t="shared" ref="T29" si="19">+S29/R29</f>
        <v>#DIV/0!</v>
      </c>
      <c r="U29" s="58">
        <v>24</v>
      </c>
      <c r="V29" s="59">
        <v>25</v>
      </c>
      <c r="W29" s="19">
        <f t="shared" ref="W29" si="20">+V29/U29</f>
        <v>1.0416666666666667</v>
      </c>
      <c r="X29" s="58">
        <v>0</v>
      </c>
      <c r="Y29" s="59">
        <v>384</v>
      </c>
      <c r="Z29" s="19" t="e">
        <f t="shared" ref="Z29" si="21">+Y29/X29</f>
        <v>#DIV/0!</v>
      </c>
      <c r="AA29" s="58">
        <v>0</v>
      </c>
      <c r="AB29" s="59"/>
      <c r="AC29" s="19" t="e">
        <f t="shared" ref="AC29" si="22">+AB29/AA29</f>
        <v>#DIV/0!</v>
      </c>
      <c r="AD29" s="60">
        <f t="shared" ref="AD29" si="23">+M29+P29+S29+V29+Y29+AB29</f>
        <v>409</v>
      </c>
      <c r="AE29" s="19">
        <f t="shared" ref="AE29" si="24">AD29/G29</f>
        <v>3.4083333333333332</v>
      </c>
      <c r="AF29" s="58">
        <v>0</v>
      </c>
      <c r="AG29" s="59"/>
      <c r="AH29" s="19" t="e">
        <f t="shared" ref="AH29" si="25">+AG29/AF29</f>
        <v>#DIV/0!</v>
      </c>
      <c r="AI29" s="58">
        <v>36</v>
      </c>
      <c r="AJ29" s="59">
        <v>69</v>
      </c>
      <c r="AK29" s="19">
        <f t="shared" ref="AK29" si="26">+AJ29/AI29</f>
        <v>1.9166666666666667</v>
      </c>
      <c r="AL29" s="58">
        <v>0</v>
      </c>
      <c r="AM29" s="59"/>
      <c r="AN29" s="19" t="e">
        <f t="shared" ref="AN29" si="27">+AM29/AL29</f>
        <v>#DIV/0!</v>
      </c>
      <c r="AO29" s="58">
        <v>0</v>
      </c>
      <c r="AP29" s="59"/>
      <c r="AQ29" s="19" t="e">
        <f t="shared" ref="AQ29" si="28">+AP29/AO29</f>
        <v>#DIV/0!</v>
      </c>
      <c r="AR29" s="58">
        <v>60</v>
      </c>
      <c r="AS29" s="59">
        <v>159</v>
      </c>
      <c r="AT29" s="19">
        <f t="shared" ref="AT29" si="29">+AS29/AR29</f>
        <v>2.65</v>
      </c>
      <c r="AU29" s="58">
        <v>60</v>
      </c>
      <c r="AV29" s="59">
        <v>136</v>
      </c>
      <c r="AW29" s="19">
        <f t="shared" ref="AW29" si="30">+AV29/AU29</f>
        <v>2.2666666666666666</v>
      </c>
      <c r="AX29" s="60">
        <f t="shared" ref="AX29" si="31">+M29+P29+S29+V29+Y29+AB29+AG29+AJ29+AM29+AP29+AS29+AV29</f>
        <v>773</v>
      </c>
      <c r="AY29" s="19">
        <f t="shared" ref="AY29" si="32">+AX29/G29</f>
        <v>6.4416666666666664</v>
      </c>
    </row>
    <row r="30" spans="1:51" s="22" customFormat="1" ht="61.5" thickTop="1" thickBot="1">
      <c r="A30" s="2906"/>
      <c r="B30" s="3162"/>
      <c r="C30" s="67" t="s">
        <v>147</v>
      </c>
      <c r="D30" s="1201" t="s">
        <v>666</v>
      </c>
      <c r="E30" s="418" t="s">
        <v>149</v>
      </c>
      <c r="F30" s="418" t="s">
        <v>8</v>
      </c>
      <c r="G30" s="1954">
        <v>10.199999999999999</v>
      </c>
      <c r="H30" s="691"/>
      <c r="I30" s="692"/>
      <c r="J30" s="691"/>
      <c r="K30" s="418" t="s">
        <v>9</v>
      </c>
      <c r="L30" s="27">
        <v>10.199999999999999</v>
      </c>
      <c r="M30" s="28">
        <v>9</v>
      </c>
      <c r="N30" s="19">
        <f>+L30/M30</f>
        <v>1.1333333333333333</v>
      </c>
      <c r="O30" s="27">
        <v>10.199999999999999</v>
      </c>
      <c r="P30" s="28">
        <v>9</v>
      </c>
      <c r="Q30" s="19">
        <f>+O30/P30</f>
        <v>1.1333333333333333</v>
      </c>
      <c r="R30" s="27">
        <v>10.199999999999999</v>
      </c>
      <c r="S30" s="28">
        <v>9</v>
      </c>
      <c r="T30" s="19">
        <f>+R30/S30</f>
        <v>1.1333333333333333</v>
      </c>
      <c r="U30" s="27">
        <v>10.199999999999999</v>
      </c>
      <c r="V30" s="28">
        <v>9</v>
      </c>
      <c r="W30" s="19">
        <f>+U30/V30</f>
        <v>1.1333333333333333</v>
      </c>
      <c r="X30" s="27">
        <v>10.199999999999999</v>
      </c>
      <c r="Y30" s="28">
        <v>9</v>
      </c>
      <c r="Z30" s="19">
        <f>+X30/Y30</f>
        <v>1.1333333333333333</v>
      </c>
      <c r="AA30" s="27">
        <v>10.199999999999999</v>
      </c>
      <c r="AB30" s="28">
        <v>9</v>
      </c>
      <c r="AC30" s="19">
        <f>+AA30/AB30</f>
        <v>1.1333333333333333</v>
      </c>
      <c r="AD30" s="1781">
        <f>+(M30+P30+S30+V30+Y30+AB30)/6</f>
        <v>9</v>
      </c>
      <c r="AE30" s="19">
        <f>G30/AD30</f>
        <v>1.1333333333333333</v>
      </c>
      <c r="AF30" s="27">
        <v>10.199999999999999</v>
      </c>
      <c r="AG30" s="28">
        <v>9</v>
      </c>
      <c r="AH30" s="19">
        <f>+AF30/AG30</f>
        <v>1.1333333333333333</v>
      </c>
      <c r="AI30" s="27">
        <v>10.199999999999999</v>
      </c>
      <c r="AJ30" s="28">
        <v>9</v>
      </c>
      <c r="AK30" s="19">
        <f>+AI30/AJ30</f>
        <v>1.1333333333333333</v>
      </c>
      <c r="AL30" s="27">
        <v>10.199999999999999</v>
      </c>
      <c r="AM30" s="28">
        <v>9</v>
      </c>
      <c r="AN30" s="19">
        <f>+AL30/AM30</f>
        <v>1.1333333333333333</v>
      </c>
      <c r="AO30" s="27">
        <v>10.199999999999999</v>
      </c>
      <c r="AP30" s="28">
        <v>9</v>
      </c>
      <c r="AQ30" s="19">
        <f>+AO30/AP30</f>
        <v>1.1333333333333333</v>
      </c>
      <c r="AR30" s="27">
        <v>10.199999999999999</v>
      </c>
      <c r="AS30" s="28">
        <v>9</v>
      </c>
      <c r="AT30" s="19">
        <f>+AR30/AS30</f>
        <v>1.1333333333333333</v>
      </c>
      <c r="AU30" s="27">
        <v>10.199999999999999</v>
      </c>
      <c r="AV30" s="28">
        <v>9</v>
      </c>
      <c r="AW30" s="19">
        <f>+AU30/AV30</f>
        <v>1.1333333333333333</v>
      </c>
      <c r="AX30" s="29">
        <f>+(M30+P30+S30+V30+Y30+AB30+AG30+AJ30+AM30+AP30+AS30+AV30)/12</f>
        <v>9</v>
      </c>
      <c r="AY30" s="19">
        <f>G30/AX30</f>
        <v>1.1333333333333333</v>
      </c>
    </row>
    <row r="31" spans="1:51" s="22" customFormat="1" ht="57.75" thickTop="1" thickBot="1">
      <c r="A31" s="2906"/>
      <c r="B31" s="97" t="s">
        <v>150</v>
      </c>
      <c r="C31" s="371" t="s">
        <v>151</v>
      </c>
      <c r="D31" s="1198" t="s">
        <v>599</v>
      </c>
      <c r="E31" s="371" t="s">
        <v>153</v>
      </c>
      <c r="F31" s="371" t="s">
        <v>17</v>
      </c>
      <c r="G31" s="1955">
        <v>37</v>
      </c>
      <c r="H31" s="693"/>
      <c r="I31" s="694"/>
      <c r="J31" s="693"/>
      <c r="K31" s="371" t="s">
        <v>21</v>
      </c>
      <c r="L31" s="58">
        <v>0</v>
      </c>
      <c r="M31" s="59">
        <v>23</v>
      </c>
      <c r="N31" s="19">
        <v>0</v>
      </c>
      <c r="O31" s="58">
        <v>0</v>
      </c>
      <c r="P31" s="59">
        <v>23</v>
      </c>
      <c r="Q31" s="19">
        <v>0</v>
      </c>
      <c r="R31" s="58">
        <v>37</v>
      </c>
      <c r="S31" s="59">
        <v>18</v>
      </c>
      <c r="T31" s="19">
        <v>2.0555555555555554</v>
      </c>
      <c r="U31" s="58">
        <v>37</v>
      </c>
      <c r="V31" s="59">
        <v>11</v>
      </c>
      <c r="W31" s="19">
        <v>3.3636363636363638</v>
      </c>
      <c r="X31" s="58">
        <v>37</v>
      </c>
      <c r="Y31" s="59">
        <v>12</v>
      </c>
      <c r="Z31" s="19">
        <v>3.0833333333333335</v>
      </c>
      <c r="AA31" s="58">
        <v>37</v>
      </c>
      <c r="AB31" s="59">
        <v>10</v>
      </c>
      <c r="AC31" s="19">
        <v>3.7</v>
      </c>
      <c r="AD31" s="60">
        <v>12.75</v>
      </c>
      <c r="AE31" s="19">
        <v>2.9019607843137254</v>
      </c>
      <c r="AF31" s="58">
        <v>37</v>
      </c>
      <c r="AG31" s="59">
        <v>13</v>
      </c>
      <c r="AH31" s="19">
        <v>2.8461538461538463</v>
      </c>
      <c r="AI31" s="58">
        <v>37</v>
      </c>
      <c r="AJ31" s="59">
        <v>23</v>
      </c>
      <c r="AK31" s="19">
        <v>1.6086956521739131</v>
      </c>
      <c r="AL31" s="58">
        <v>37</v>
      </c>
      <c r="AM31" s="59">
        <v>19</v>
      </c>
      <c r="AN31" s="19">
        <v>1.9473684210526316</v>
      </c>
      <c r="AO31" s="58">
        <v>37</v>
      </c>
      <c r="AP31" s="59">
        <v>16</v>
      </c>
      <c r="AQ31" s="19">
        <v>2.3125</v>
      </c>
      <c r="AR31" s="58">
        <v>37</v>
      </c>
      <c r="AS31" s="59">
        <v>13</v>
      </c>
      <c r="AT31" s="19">
        <v>2.8461538461538463</v>
      </c>
      <c r="AU31" s="58">
        <v>37</v>
      </c>
      <c r="AV31" s="59">
        <v>18</v>
      </c>
      <c r="AW31" s="19">
        <v>2.0555555555555554</v>
      </c>
      <c r="AX31" s="60">
        <v>15.3</v>
      </c>
      <c r="AY31" s="19">
        <v>2.4183006535947711</v>
      </c>
    </row>
    <row r="32" spans="1:51" s="22" customFormat="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61"/>
      <c r="M32" s="62"/>
      <c r="N32" s="1956"/>
      <c r="O32" s="61"/>
      <c r="P32" s="62"/>
      <c r="Q32" s="1956"/>
      <c r="R32" s="61"/>
      <c r="S32" s="62"/>
      <c r="T32" s="1956"/>
      <c r="U32" s="61"/>
      <c r="V32" s="62"/>
      <c r="W32" s="1956"/>
      <c r="X32" s="61"/>
      <c r="Y32" s="62"/>
      <c r="Z32" s="1956"/>
      <c r="AA32" s="61"/>
      <c r="AB32" s="62"/>
      <c r="AC32" s="1956"/>
      <c r="AD32" s="61"/>
      <c r="AE32" s="1956"/>
      <c r="AF32" s="61"/>
      <c r="AG32" s="62"/>
      <c r="AH32" s="1956"/>
      <c r="AI32" s="61"/>
      <c r="AJ32" s="62"/>
      <c r="AK32" s="1956"/>
      <c r="AL32" s="61"/>
      <c r="AM32" s="62"/>
      <c r="AN32" s="1956"/>
      <c r="AO32" s="61"/>
      <c r="AP32" s="62"/>
      <c r="AQ32" s="1956"/>
      <c r="AR32" s="61"/>
      <c r="AS32" s="62"/>
      <c r="AT32" s="1956"/>
      <c r="AU32" s="61"/>
      <c r="AV32" s="62"/>
      <c r="AW32" s="1956"/>
      <c r="AX32" s="1956"/>
      <c r="AY32" s="1956"/>
    </row>
    <row r="33" spans="1:51" s="22" customFormat="1" ht="64.5" thickTop="1" thickBot="1">
      <c r="A33" s="1205" t="s">
        <v>155</v>
      </c>
      <c r="B33" s="1202" t="s">
        <v>156</v>
      </c>
      <c r="C33" s="418" t="s">
        <v>157</v>
      </c>
      <c r="D33" s="1201" t="s">
        <v>158</v>
      </c>
      <c r="E33" s="418" t="s">
        <v>159</v>
      </c>
      <c r="F33" s="418" t="s">
        <v>17</v>
      </c>
      <c r="G33" s="1954">
        <v>10</v>
      </c>
      <c r="H33" s="691"/>
      <c r="I33" s="692"/>
      <c r="J33" s="691"/>
      <c r="K33" s="418" t="s">
        <v>27</v>
      </c>
      <c r="L33" s="27">
        <v>0</v>
      </c>
      <c r="M33" s="28"/>
      <c r="N33" s="19" t="e">
        <f t="shared" ref="N33" si="33">+M33/L33</f>
        <v>#DIV/0!</v>
      </c>
      <c r="O33" s="27">
        <v>0</v>
      </c>
      <c r="P33" s="28"/>
      <c r="Q33" s="19" t="e">
        <f t="shared" ref="Q33" si="34">+P33/O33</f>
        <v>#DIV/0!</v>
      </c>
      <c r="R33" s="27">
        <v>0</v>
      </c>
      <c r="S33" s="28"/>
      <c r="T33" s="19" t="e">
        <f t="shared" ref="T33" si="35">+S33/R33</f>
        <v>#DIV/0!</v>
      </c>
      <c r="U33" s="27">
        <v>0</v>
      </c>
      <c r="V33" s="28"/>
      <c r="W33" s="19" t="e">
        <f t="shared" ref="W33" si="36">+V33/U33</f>
        <v>#DIV/0!</v>
      </c>
      <c r="X33" s="27">
        <v>2</v>
      </c>
      <c r="Y33" s="28">
        <v>2</v>
      </c>
      <c r="Z33" s="19">
        <f t="shared" ref="Z33" si="37">+Y33/X33</f>
        <v>1</v>
      </c>
      <c r="AA33" s="27">
        <v>0</v>
      </c>
      <c r="AB33" s="28"/>
      <c r="AC33" s="19" t="e">
        <f t="shared" ref="AC33" si="38">+AB33/AA33</f>
        <v>#DIV/0!</v>
      </c>
      <c r="AD33" s="29">
        <f t="shared" ref="AD33" si="39">+M33+P33+S33+V33+Y33+AB33</f>
        <v>2</v>
      </c>
      <c r="AE33" s="19">
        <f t="shared" ref="AE33" si="40">AD33/G33</f>
        <v>0.2</v>
      </c>
      <c r="AF33" s="27">
        <v>1</v>
      </c>
      <c r="AG33" s="28">
        <v>1</v>
      </c>
      <c r="AH33" s="19">
        <f t="shared" ref="AH33" si="41">+AG33/AF33</f>
        <v>1</v>
      </c>
      <c r="AI33" s="27">
        <v>3</v>
      </c>
      <c r="AJ33" s="28">
        <v>3</v>
      </c>
      <c r="AK33" s="19">
        <f t="shared" ref="AK33" si="42">+AJ33/AI33</f>
        <v>1</v>
      </c>
      <c r="AL33" s="27">
        <v>1</v>
      </c>
      <c r="AM33" s="28">
        <v>1</v>
      </c>
      <c r="AN33" s="19">
        <f t="shared" ref="AN33" si="43">+AM33/AL33</f>
        <v>1</v>
      </c>
      <c r="AO33" s="27">
        <v>3</v>
      </c>
      <c r="AP33" s="28">
        <v>3</v>
      </c>
      <c r="AQ33" s="19">
        <f t="shared" ref="AQ33" si="44">+AP33/AO33</f>
        <v>1</v>
      </c>
      <c r="AR33" s="27">
        <v>0</v>
      </c>
      <c r="AS33" s="28"/>
      <c r="AT33" s="19" t="e">
        <f t="shared" ref="AT33" si="45">+AS33/AR33</f>
        <v>#DIV/0!</v>
      </c>
      <c r="AU33" s="27">
        <v>0</v>
      </c>
      <c r="AV33" s="28"/>
      <c r="AW33" s="19" t="e">
        <f t="shared" ref="AW33" si="46">+AV33/AU33</f>
        <v>#DIV/0!</v>
      </c>
      <c r="AX33" s="29">
        <f t="shared" ref="AX33" si="47">+M33+P33+S33+V33+Y33+AB33+AG33+AJ33+AM33+AP33+AS33+AV33</f>
        <v>10</v>
      </c>
      <c r="AY33" s="19">
        <f t="shared" ref="AY33" si="48">+AX33/G33</f>
        <v>1</v>
      </c>
    </row>
    <row r="34" spans="1:51" ht="17.25" thickTop="1"/>
  </sheetData>
  <sheetProtection algorithmName="SHA-512" hashValue="XGZH4GAk4fsphQMLnfQA5bIFXgTWNd//6iCWHq0+or5MCqLqIQNC140JevzhDoX4e/FqsqQwqhyIum83tgH86Q==" saltValue="8CudZ8KvmXRhwi6kfi7Veg==" spinCount="100000" sheet="1" objects="1" scenarios="1"/>
  <mergeCells count="36">
    <mergeCell ref="C1:K1"/>
    <mergeCell ref="C2:K2"/>
    <mergeCell ref="C3:K3"/>
    <mergeCell ref="A5:A7"/>
    <mergeCell ref="B5:B7"/>
    <mergeCell ref="C5:C7"/>
    <mergeCell ref="D5:D7"/>
    <mergeCell ref="E5:E7"/>
    <mergeCell ref="F5:F7"/>
    <mergeCell ref="G5:G7"/>
    <mergeCell ref="AR5:AT7"/>
    <mergeCell ref="AU5:AW7"/>
    <mergeCell ref="AX5:AY7"/>
    <mergeCell ref="A8:K8"/>
    <mergeCell ref="A9:A27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A28:K28"/>
    <mergeCell ref="A29:A31"/>
    <mergeCell ref="B29:B30"/>
    <mergeCell ref="A32:K32"/>
    <mergeCell ref="AO5:AQ7"/>
    <mergeCell ref="K5:K7"/>
    <mergeCell ref="L5:N7"/>
    <mergeCell ref="O5:Q7"/>
    <mergeCell ref="R5:T7"/>
    <mergeCell ref="U5:W7"/>
  </mergeCells>
  <conditionalFormatting sqref="AY33 AY29:AY31 AY9:AY27">
    <cfRule type="cellIs" dxfId="4844" priority="66" operator="greaterThan">
      <formula>110%</formula>
    </cfRule>
    <cfRule type="cellIs" dxfId="4843" priority="67" operator="between">
      <formula>100.001%</formula>
      <formula>110%</formula>
    </cfRule>
    <cfRule type="cellIs" dxfId="4842" priority="68" operator="between">
      <formula>70.001%</formula>
      <formula>100%</formula>
    </cfRule>
    <cfRule type="cellIs" dxfId="4841" priority="69" operator="between">
      <formula>0.00001%</formula>
      <formula>70%</formula>
    </cfRule>
    <cfRule type="cellIs" dxfId="4840" priority="70" operator="equal">
      <formula>0</formula>
    </cfRule>
  </conditionalFormatting>
  <conditionalFormatting sqref="AW9:AW27 AW33 AW29:AW31">
    <cfRule type="cellIs" dxfId="4839" priority="61" operator="greaterThan">
      <formula>110%</formula>
    </cfRule>
    <cfRule type="cellIs" dxfId="4838" priority="62" operator="between">
      <formula>100.001%</formula>
      <formula>110%</formula>
    </cfRule>
    <cfRule type="cellIs" dxfId="4837" priority="63" operator="between">
      <formula>70.001%</formula>
      <formula>100%</formula>
    </cfRule>
    <cfRule type="cellIs" dxfId="4836" priority="64" operator="between">
      <formula>0.00001%</formula>
      <formula>70%</formula>
    </cfRule>
    <cfRule type="cellIs" dxfId="4835" priority="65" operator="equal">
      <formula>0</formula>
    </cfRule>
  </conditionalFormatting>
  <conditionalFormatting sqref="AT9:AT27 AT33 AT29:AT31">
    <cfRule type="cellIs" dxfId="4834" priority="56" operator="greaterThan">
      <formula>110%</formula>
    </cfRule>
    <cfRule type="cellIs" dxfId="4833" priority="57" operator="between">
      <formula>100.001%</formula>
      <formula>110%</formula>
    </cfRule>
    <cfRule type="cellIs" dxfId="4832" priority="58" operator="between">
      <formula>70.001%</formula>
      <formula>100%</formula>
    </cfRule>
    <cfRule type="cellIs" dxfId="4831" priority="59" operator="between">
      <formula>0.00001%</formula>
      <formula>70%</formula>
    </cfRule>
    <cfRule type="cellIs" dxfId="4830" priority="60" operator="equal">
      <formula>0</formula>
    </cfRule>
  </conditionalFormatting>
  <conditionalFormatting sqref="AQ9:AQ27 AQ33 AQ29:AQ31">
    <cfRule type="cellIs" dxfId="4829" priority="51" operator="greaterThan">
      <formula>110%</formula>
    </cfRule>
    <cfRule type="cellIs" dxfId="4828" priority="52" operator="between">
      <formula>100.001%</formula>
      <formula>110%</formula>
    </cfRule>
    <cfRule type="cellIs" dxfId="4827" priority="53" operator="between">
      <formula>70.001%</formula>
      <formula>100%</formula>
    </cfRule>
    <cfRule type="cellIs" dxfId="4826" priority="54" operator="between">
      <formula>0.00001%</formula>
      <formula>70%</formula>
    </cfRule>
    <cfRule type="cellIs" dxfId="4825" priority="55" operator="equal">
      <formula>0</formula>
    </cfRule>
  </conditionalFormatting>
  <conditionalFormatting sqref="AN9:AN27 AN33 AN29:AN31">
    <cfRule type="cellIs" dxfId="4824" priority="46" operator="greaterThan">
      <formula>110%</formula>
    </cfRule>
    <cfRule type="cellIs" dxfId="4823" priority="47" operator="between">
      <formula>100.001%</formula>
      <formula>110%</formula>
    </cfRule>
    <cfRule type="cellIs" dxfId="4822" priority="48" operator="between">
      <formula>70.001%</formula>
      <formula>100%</formula>
    </cfRule>
    <cfRule type="cellIs" dxfId="4821" priority="49" operator="between">
      <formula>0.00001%</formula>
      <formula>70%</formula>
    </cfRule>
    <cfRule type="cellIs" dxfId="4820" priority="50" operator="equal">
      <formula>0</formula>
    </cfRule>
  </conditionalFormatting>
  <conditionalFormatting sqref="AK9:AK27 AK33 AK29:AK31">
    <cfRule type="cellIs" dxfId="4819" priority="41" operator="greaterThan">
      <formula>110%</formula>
    </cfRule>
    <cfRule type="cellIs" dxfId="4818" priority="42" operator="between">
      <formula>100.001%</formula>
      <formula>110%</formula>
    </cfRule>
    <cfRule type="cellIs" dxfId="4817" priority="43" operator="between">
      <formula>70.001%</formula>
      <formula>100%</formula>
    </cfRule>
    <cfRule type="cellIs" dxfId="4816" priority="44" operator="between">
      <formula>0.00001%</formula>
      <formula>70%</formula>
    </cfRule>
    <cfRule type="cellIs" dxfId="4815" priority="45" operator="equal">
      <formula>0</formula>
    </cfRule>
  </conditionalFormatting>
  <conditionalFormatting sqref="AH9:AH27 AH33 AH29:AH31">
    <cfRule type="cellIs" dxfId="4814" priority="36" operator="greaterThan">
      <formula>110%</formula>
    </cfRule>
    <cfRule type="cellIs" dxfId="4813" priority="37" operator="between">
      <formula>100.001%</formula>
      <formula>110%</formula>
    </cfRule>
    <cfRule type="cellIs" dxfId="4812" priority="38" operator="between">
      <formula>70.001%</formula>
      <formula>100%</formula>
    </cfRule>
    <cfRule type="cellIs" dxfId="4811" priority="39" operator="between">
      <formula>0.00001%</formula>
      <formula>70%</formula>
    </cfRule>
    <cfRule type="cellIs" dxfId="4810" priority="40" operator="equal">
      <formula>0</formula>
    </cfRule>
  </conditionalFormatting>
  <conditionalFormatting sqref="AE9:AE27 AE33 AE29:AE31">
    <cfRule type="cellIs" dxfId="4809" priority="31" operator="greaterThan">
      <formula>110%</formula>
    </cfRule>
    <cfRule type="cellIs" dxfId="4808" priority="32" operator="between">
      <formula>100.001%</formula>
      <formula>110%</formula>
    </cfRule>
    <cfRule type="cellIs" dxfId="4807" priority="33" operator="between">
      <formula>70.001%</formula>
      <formula>100%</formula>
    </cfRule>
    <cfRule type="cellIs" dxfId="4806" priority="34" operator="between">
      <formula>0.00001%</formula>
      <formula>70%</formula>
    </cfRule>
    <cfRule type="cellIs" dxfId="4805" priority="35" operator="equal">
      <formula>0</formula>
    </cfRule>
  </conditionalFormatting>
  <conditionalFormatting sqref="AC9:AC27 AC33 AC29:AC31">
    <cfRule type="cellIs" dxfId="4804" priority="26" operator="greaterThan">
      <formula>110%</formula>
    </cfRule>
    <cfRule type="cellIs" dxfId="4803" priority="27" operator="between">
      <formula>100.001%</formula>
      <formula>110%</formula>
    </cfRule>
    <cfRule type="cellIs" dxfId="4802" priority="28" operator="between">
      <formula>70.001%</formula>
      <formula>100%</formula>
    </cfRule>
    <cfRule type="cellIs" dxfId="4801" priority="29" operator="between">
      <formula>0.00001%</formula>
      <formula>70%</formula>
    </cfRule>
    <cfRule type="cellIs" dxfId="4800" priority="30" operator="equal">
      <formula>0</formula>
    </cfRule>
  </conditionalFormatting>
  <conditionalFormatting sqref="Z9:Z27 Z33 Z29:Z31">
    <cfRule type="cellIs" dxfId="4799" priority="21" operator="greaterThan">
      <formula>110%</formula>
    </cfRule>
    <cfRule type="cellIs" dxfId="4798" priority="22" operator="between">
      <formula>100.001%</formula>
      <formula>110%</formula>
    </cfRule>
    <cfRule type="cellIs" dxfId="4797" priority="23" operator="between">
      <formula>70.001%</formula>
      <formula>100%</formula>
    </cfRule>
    <cfRule type="cellIs" dxfId="4796" priority="24" operator="between">
      <formula>0.00001%</formula>
      <formula>70%</formula>
    </cfRule>
    <cfRule type="cellIs" dxfId="4795" priority="25" operator="equal">
      <formula>0</formula>
    </cfRule>
  </conditionalFormatting>
  <conditionalFormatting sqref="W9:W27 W33 W29:W31">
    <cfRule type="cellIs" dxfId="4794" priority="16" operator="greaterThan">
      <formula>110%</formula>
    </cfRule>
    <cfRule type="cellIs" dxfId="4793" priority="17" operator="between">
      <formula>100.001%</formula>
      <formula>110%</formula>
    </cfRule>
    <cfRule type="cellIs" dxfId="4792" priority="18" operator="between">
      <formula>70.001%</formula>
      <formula>100%</formula>
    </cfRule>
    <cfRule type="cellIs" dxfId="4791" priority="19" operator="between">
      <formula>0.00001%</formula>
      <formula>70%</formula>
    </cfRule>
    <cfRule type="cellIs" dxfId="4790" priority="20" operator="equal">
      <formula>0</formula>
    </cfRule>
  </conditionalFormatting>
  <conditionalFormatting sqref="T9:T27 T33 T29:T31">
    <cfRule type="cellIs" dxfId="4789" priority="11" operator="greaterThan">
      <formula>110%</formula>
    </cfRule>
    <cfRule type="cellIs" dxfId="4788" priority="12" operator="between">
      <formula>100.001%</formula>
      <formula>110%</formula>
    </cfRule>
    <cfRule type="cellIs" dxfId="4787" priority="13" operator="between">
      <formula>70.001%</formula>
      <formula>100%</formula>
    </cfRule>
    <cfRule type="cellIs" dxfId="4786" priority="14" operator="between">
      <formula>0.00001%</formula>
      <formula>70%</formula>
    </cfRule>
    <cfRule type="cellIs" dxfId="4785" priority="15" operator="equal">
      <formula>0</formula>
    </cfRule>
  </conditionalFormatting>
  <conditionalFormatting sqref="Q9:Q27 Q33 Q29:Q31">
    <cfRule type="cellIs" dxfId="4784" priority="6" operator="greaterThan">
      <formula>110%</formula>
    </cfRule>
    <cfRule type="cellIs" dxfId="4783" priority="7" operator="between">
      <formula>100.001%</formula>
      <formula>110%</formula>
    </cfRule>
    <cfRule type="cellIs" dxfId="4782" priority="8" operator="between">
      <formula>70.001%</formula>
      <formula>100%</formula>
    </cfRule>
    <cfRule type="cellIs" dxfId="4781" priority="9" operator="between">
      <formula>0.00001%</formula>
      <formula>70%</formula>
    </cfRule>
    <cfRule type="cellIs" dxfId="4780" priority="10" operator="equal">
      <formula>0</formula>
    </cfRule>
  </conditionalFormatting>
  <conditionalFormatting sqref="N33 N29:N31 N9:N27">
    <cfRule type="cellIs" dxfId="4779" priority="1" operator="greaterThan">
      <formula>110%</formula>
    </cfRule>
    <cfRule type="cellIs" dxfId="4778" priority="2" operator="between">
      <formula>100.001%</formula>
      <formula>110%</formula>
    </cfRule>
    <cfRule type="cellIs" dxfId="4777" priority="3" operator="between">
      <formula>70.001%</formula>
      <formula>100%</formula>
    </cfRule>
    <cfRule type="cellIs" dxfId="4776" priority="4" operator="between">
      <formula>0.00001%</formula>
      <formula>70%</formula>
    </cfRule>
    <cfRule type="cellIs" dxfId="4775" priority="5" operator="equal">
      <formula>0</formula>
    </cfRule>
  </conditionalFormatting>
  <hyperlinks>
    <hyperlink ref="D11" location="'IN1-3'!A1" display="IN1-3  Recaudo Bruto" xr:uid="{00000000-0004-0000-1D00-000000000000}"/>
    <hyperlink ref="D12" location="'FIS-4'!A1" display="FIS-4  Gestión efectiva en fiscalización tributaria" xr:uid="{00000000-0004-0000-1D00-000001000000}"/>
    <hyperlink ref="D13" location="'FIS-10'!A1" display="FIS-10  Gestión aceptada en fiscalización tributaria" xr:uid="{00000000-0004-0000-1D00-000002000000}"/>
    <hyperlink ref="D14" location="'FIS-27'!A1" display="FIS-27  Reclasificación de no responsables a responsables" xr:uid="{00000000-0004-0000-1D00-000003000000}"/>
    <hyperlink ref="D15" location="'FIS-17'!A1" display="FIS-17 Evacuación de expedientes en fiscalización tributaria" xr:uid="{00000000-0004-0000-1D00-000004000000}"/>
    <hyperlink ref="D16" location="'IN1-4'!A1" display="IN1-4  Recaudo por gestión de cartera" xr:uid="{00000000-0004-0000-1D00-000005000000}"/>
    <hyperlink ref="D17" location="'IN1-5'!A1" display="IN1-5  Inscritos en el Régimen Simple de Tributación - RST" xr:uid="{00000000-0004-0000-1D00-000006000000}"/>
    <hyperlink ref="D18" location="'IN1-6.1'!A1" display="IN1-6.1 Grado de cumplimiento del cronograma de campañas del RST" xr:uid="{00000000-0004-0000-1D00-000007000000}"/>
    <hyperlink ref="D19" location="'IN1-8'!A1" display="IN1-8 Contribuyentes habilitados como facturadores electrónicos" xr:uid="{00000000-0004-0000-1D00-000008000000}"/>
    <hyperlink ref="D20" location="'JUR-3.1'!A1" display="JUR-3.1 Porcentaje de éxito de litigiosidad" xr:uid="{00000000-0004-0000-1D00-000009000000}"/>
    <hyperlink ref="D21" location="'JUR-3.2'!A1" display="JUR-3.2  Porcentaje procesos judiciales revisados con mayor riesgo en Ekogui" xr:uid="{00000000-0004-0000-1D00-00000A000000}"/>
    <hyperlink ref="D22" location="'JUR-3.3'!A1" display="JUR-3.3  Porcentaje de análisis de jurisprudencia remitidos junto con la copia de la sentencia " xr:uid="{00000000-0004-0000-1D00-00000B000000}"/>
    <hyperlink ref="D23" location="'JUR-3.4'!A1" display="JUR-3.4  Porcentaje de procesos revisados con VoBo del Jefe " xr:uid="{00000000-0004-0000-1D00-00000C000000}"/>
    <hyperlink ref="D24" location="'JUR-3.5'!A1" display="JUR-3.5 Porcentaje de requerimientos atendidos en oportunidad" xr:uid="{00000000-0004-0000-1D00-00000D000000}"/>
    <hyperlink ref="D25" location="'JUR-3.6'!A1" display="JUR-3.6 Porcentaje funcionarios capacitaciones en cursos virtuales de la ANDJE" xr:uid="{00000000-0004-0000-1D00-00000E000000}"/>
    <hyperlink ref="D26" location="'JUR-4'!A1" display="JUR-4  Porcentaje funcionarios que participaron en el concurso de escritura jurídica" xr:uid="{00000000-0004-0000-1D00-00000F000000}"/>
    <hyperlink ref="D27" location="'FIS-24'!A1" display="FIS-24  Valor Decomisos de mercancías en firme" xr:uid="{00000000-0004-0000-1D00-000010000000}"/>
    <hyperlink ref="D29" location="'IN1-11'!A1" display="IN1-11  Nivel de cobertura de personas sensibilizadas por el plan de cultura. ACTUALMENTE. Cumplimiento al Plan de Acción de Cultura de la Contribución" xr:uid="{00000000-0004-0000-1D00-000011000000}"/>
    <hyperlink ref="D30" location="'JUR-7'!A1" display="JUR-7  Oportunidad en las decisiones de los recursos tributarios hasta su remisión a notificaciones" xr:uid="{00000000-0004-0000-1D00-000012000000}"/>
    <hyperlink ref="D31" location="'IN1-15'!A1" display="'IN1-15'!A1" xr:uid="{00000000-0004-0000-1D00-000013000000}"/>
    <hyperlink ref="D10" location="'DGRAE-2'!A1" display="DGRAE-2 Nivel de ejecución del PAA de la Dirección" xr:uid="{00000000-0004-0000-1D00-000014000000}"/>
    <hyperlink ref="D9" location="'DGRAE-1'!A1" display="DGRAE-1 Nivel de Ejecución del presupuesto " xr:uid="{00000000-0004-0000-1D00-000015000000}"/>
    <hyperlink ref="D33" location="'DGRAE-25'!A1" display="DGRAE-25 Actividades que componen el  PIC para la Dirección de Gestión" xr:uid="{00000000-0004-0000-1D00-000016000000}"/>
    <hyperlink ref="AY2" location="'Consolidado '!A1" display="VOLVER" xr:uid="{00000000-0004-0000-1D00-000017000000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51"/>
  <sheetViews>
    <sheetView topLeftCell="F1" zoomScale="80" zoomScaleNormal="80" workbookViewId="0">
      <selection activeCell="AZ4" sqref="AZ4"/>
    </sheetView>
  </sheetViews>
  <sheetFormatPr baseColWidth="10" defaultRowHeight="16.5"/>
  <cols>
    <col min="1" max="1" width="22.140625" style="8" customWidth="1"/>
    <col min="2" max="2" width="37" style="8" customWidth="1"/>
    <col min="3" max="3" width="59.28515625" style="63" customWidth="1"/>
    <col min="4" max="4" width="25.85546875" style="8" bestFit="1" customWidth="1"/>
    <col min="5" max="5" width="71.42578125" style="8" customWidth="1"/>
    <col min="6" max="6" width="23.85546875" style="8" bestFit="1" customWidth="1"/>
    <col min="7" max="7" width="22.57031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24" width="21.7109375" style="8" hidden="1" customWidth="1"/>
    <col min="25" max="25" width="21.7109375" style="2061" hidden="1" customWidth="1"/>
    <col min="26" max="49" width="21.7109375" style="8" hidden="1" customWidth="1"/>
    <col min="50" max="51" width="21.7109375" style="8" customWidth="1"/>
  </cols>
  <sheetData>
    <row r="1" spans="1:52" ht="26.25">
      <c r="A1" s="101"/>
      <c r="B1" s="101"/>
      <c r="C1" s="3032" t="s">
        <v>940</v>
      </c>
      <c r="D1" s="3032"/>
      <c r="E1" s="3032"/>
      <c r="F1" s="3032"/>
      <c r="G1" s="3032"/>
      <c r="H1" s="3032"/>
      <c r="I1" s="3032"/>
      <c r="J1" s="3032"/>
      <c r="K1" s="3032"/>
      <c r="Y1" s="8"/>
    </row>
    <row r="2" spans="1:52" ht="18.75">
      <c r="A2" s="378"/>
      <c r="B2" s="378"/>
      <c r="C2" s="2819" t="s">
        <v>69</v>
      </c>
      <c r="D2" s="2819"/>
      <c r="E2" s="2819"/>
      <c r="F2" s="2819"/>
      <c r="G2" s="2819"/>
      <c r="H2" s="2819"/>
      <c r="I2" s="2819"/>
      <c r="J2" s="2819"/>
      <c r="K2" s="2819"/>
      <c r="Y2" s="8"/>
      <c r="AY2" s="65" t="s">
        <v>185</v>
      </c>
    </row>
    <row r="3" spans="1:52">
      <c r="A3" s="1059"/>
      <c r="B3" s="1060"/>
      <c r="C3" s="3034" t="s">
        <v>941</v>
      </c>
      <c r="D3" s="3035"/>
      <c r="E3" s="3035"/>
      <c r="F3" s="3035"/>
      <c r="G3" s="3035"/>
      <c r="H3" s="3035"/>
      <c r="I3" s="3035"/>
      <c r="J3" s="3035"/>
      <c r="K3" s="3036"/>
      <c r="Y3" s="8"/>
      <c r="AZ3" s="370">
        <f>+(AY9+AY10+AY11+AY12+AY13+AY14+AY15+AY16+AY17+AY18+AY19+AY20+AY21+AY22+AY23+AY24+AY25+AY26+AY27+AY28+AY29+AY30+AY31+AY32+AY35+AY36+AY37+AY40+AY41+AY42+AY43+AY45+AY46+AY47+AY48+AY50)/36</f>
        <v>1.17237420411091</v>
      </c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Y4" s="8"/>
    </row>
    <row r="5" spans="1:52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1" t="s">
        <v>188</v>
      </c>
      <c r="AE5" s="2884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1"/>
      <c r="AE6" s="288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7"/>
      <c r="AE7" s="2838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thickTop="1" thickBo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 t="s">
        <v>84</v>
      </c>
      <c r="M8" s="2020" t="s">
        <v>85</v>
      </c>
      <c r="N8" s="2020" t="s">
        <v>86</v>
      </c>
      <c r="O8" s="2020" t="s">
        <v>84</v>
      </c>
      <c r="P8" s="2020" t="s">
        <v>85</v>
      </c>
      <c r="Q8" s="2020" t="s">
        <v>86</v>
      </c>
      <c r="R8" s="2020" t="s">
        <v>84</v>
      </c>
      <c r="S8" s="2020" t="s">
        <v>85</v>
      </c>
      <c r="T8" s="2020" t="s">
        <v>86</v>
      </c>
      <c r="U8" s="2020" t="s">
        <v>84</v>
      </c>
      <c r="V8" s="2020" t="s">
        <v>85</v>
      </c>
      <c r="W8" s="2020" t="s">
        <v>86</v>
      </c>
      <c r="X8" s="2020" t="s">
        <v>84</v>
      </c>
      <c r="Y8" s="2020" t="s">
        <v>85</v>
      </c>
      <c r="Z8" s="2020" t="s">
        <v>86</v>
      </c>
      <c r="AA8" s="2002" t="s">
        <v>84</v>
      </c>
      <c r="AB8" s="14" t="s">
        <v>85</v>
      </c>
      <c r="AC8" s="2020" t="s">
        <v>86</v>
      </c>
      <c r="AD8" s="2002" t="s">
        <v>87</v>
      </c>
      <c r="AE8" s="2002" t="s">
        <v>6</v>
      </c>
      <c r="AF8" s="2020" t="s">
        <v>84</v>
      </c>
      <c r="AG8" s="2020" t="s">
        <v>85</v>
      </c>
      <c r="AH8" s="2020" t="s">
        <v>86</v>
      </c>
      <c r="AI8" s="2020" t="s">
        <v>84</v>
      </c>
      <c r="AJ8" s="2002" t="s">
        <v>85</v>
      </c>
      <c r="AK8" s="2020" t="s">
        <v>86</v>
      </c>
      <c r="AL8" s="14" t="s">
        <v>84</v>
      </c>
      <c r="AM8" s="2020" t="s">
        <v>85</v>
      </c>
      <c r="AN8" s="2020" t="s">
        <v>86</v>
      </c>
      <c r="AO8" s="2020" t="s">
        <v>84</v>
      </c>
      <c r="AP8" s="2002" t="s">
        <v>85</v>
      </c>
      <c r="AQ8" s="2020" t="s">
        <v>86</v>
      </c>
      <c r="AR8" s="2002" t="s">
        <v>84</v>
      </c>
      <c r="AS8" s="14" t="s">
        <v>85</v>
      </c>
      <c r="AT8" s="2020" t="s">
        <v>86</v>
      </c>
      <c r="AU8" s="2020" t="s">
        <v>84</v>
      </c>
      <c r="AV8" s="2002" t="s">
        <v>85</v>
      </c>
      <c r="AW8" s="2020" t="s">
        <v>86</v>
      </c>
      <c r="AX8" s="14" t="s">
        <v>87</v>
      </c>
      <c r="AY8" s="2020" t="s">
        <v>6</v>
      </c>
    </row>
    <row r="9" spans="1:52" ht="31.5" thickTop="1" thickBot="1">
      <c r="A9" s="2944" t="s">
        <v>88</v>
      </c>
      <c r="B9" s="2942" t="s">
        <v>89</v>
      </c>
      <c r="C9" s="1971" t="s">
        <v>167</v>
      </c>
      <c r="D9" s="1970" t="s">
        <v>90</v>
      </c>
      <c r="E9" s="1998" t="s">
        <v>929</v>
      </c>
      <c r="F9" s="1998" t="s">
        <v>168</v>
      </c>
      <c r="G9" s="2035">
        <v>576.5</v>
      </c>
      <c r="H9" s="2036"/>
      <c r="I9" s="2037"/>
      <c r="J9" s="2036"/>
      <c r="K9" s="1998" t="s">
        <v>655</v>
      </c>
      <c r="L9" s="2029">
        <v>45.754995000000001</v>
      </c>
      <c r="M9" s="2041">
        <v>31.19</v>
      </c>
      <c r="N9" s="19">
        <f>+M9/L9</f>
        <v>0.6816742084662013</v>
      </c>
      <c r="O9" s="2029">
        <v>60.654995</v>
      </c>
      <c r="P9" s="2041">
        <v>36.067999999999998</v>
      </c>
      <c r="Q9" s="19">
        <f>+P9/O9</f>
        <v>0.59464187574329197</v>
      </c>
      <c r="R9" s="2029">
        <v>177.85009700000001</v>
      </c>
      <c r="S9" s="2041">
        <v>173.762</v>
      </c>
      <c r="T9" s="19">
        <f>+S9/R9</f>
        <v>0.97701380505853752</v>
      </c>
      <c r="U9" s="2029">
        <v>39.154995</v>
      </c>
      <c r="V9" s="2041">
        <v>34.24</v>
      </c>
      <c r="W9" s="19">
        <f>+V9/U9</f>
        <v>0.87447335901843437</v>
      </c>
      <c r="X9" s="2029">
        <v>36.654995</v>
      </c>
      <c r="Y9" s="2042">
        <v>25.414000000000001</v>
      </c>
      <c r="Z9" s="19">
        <f>+Y9/X9</f>
        <v>0.69332979038736742</v>
      </c>
      <c r="AA9" s="2029">
        <v>38.764994999999999</v>
      </c>
      <c r="AB9" s="2041">
        <v>24.92</v>
      </c>
      <c r="AC9" s="19">
        <f>+AB9/AA9</f>
        <v>0.64284801274964698</v>
      </c>
      <c r="AD9" s="2043">
        <f>+M9+P9+S9+V9+Y9+AB9</f>
        <v>325.59399999999999</v>
      </c>
      <c r="AE9" s="2018">
        <f>AD9*100/G9</f>
        <v>56.477710320901991</v>
      </c>
      <c r="AF9" s="2029">
        <v>36.954994999999997</v>
      </c>
      <c r="AG9" s="2041">
        <v>26</v>
      </c>
      <c r="AH9" s="19">
        <f>+AG9/AF9</f>
        <v>0.70355847700696483</v>
      </c>
      <c r="AI9" s="2029">
        <v>37.154995</v>
      </c>
      <c r="AJ9" s="2041">
        <v>33.5</v>
      </c>
      <c r="AK9" s="19">
        <f>+AJ9/AI9</f>
        <v>0.9016284351538737</v>
      </c>
      <c r="AL9" s="2029">
        <v>37.404995</v>
      </c>
      <c r="AM9" s="2041">
        <v>35.549999999999997</v>
      </c>
      <c r="AN9" s="19">
        <f>+AM9/AL9</f>
        <v>0.95040782654829914</v>
      </c>
      <c r="AO9" s="2029">
        <v>37.154995</v>
      </c>
      <c r="AP9" s="2041">
        <v>47</v>
      </c>
      <c r="AQ9" s="19">
        <f>+AP9/AO9</f>
        <v>1.2649712373800617</v>
      </c>
      <c r="AR9" s="2029">
        <v>36.094495000000002</v>
      </c>
      <c r="AS9" s="2041">
        <v>38.450000000000003</v>
      </c>
      <c r="AT9" s="19">
        <f>+AS9/AR9</f>
        <v>1.065259397589577</v>
      </c>
      <c r="AU9" s="2029">
        <v>36.095554999999997</v>
      </c>
      <c r="AV9" s="2041">
        <v>62</v>
      </c>
      <c r="AW9" s="19">
        <f>+AV9/AU9</f>
        <v>1.7176630197263902</v>
      </c>
      <c r="AX9" s="2027">
        <f>+M9+P9+S9+V9+Y9+AB9+AG9+AJ9+AM9+AP9+AS9+AV9</f>
        <v>568.09400000000005</v>
      </c>
      <c r="AY9" s="19">
        <f>+AX9/G9</f>
        <v>0.98541890719861236</v>
      </c>
    </row>
    <row r="10" spans="1:52" ht="31.5" thickTop="1" thickBot="1">
      <c r="A10" s="2944"/>
      <c r="B10" s="3175"/>
      <c r="C10" s="1968" t="s">
        <v>169</v>
      </c>
      <c r="D10" s="1962" t="s">
        <v>92</v>
      </c>
      <c r="E10" s="1976" t="s">
        <v>93</v>
      </c>
      <c r="F10" s="1976" t="s">
        <v>17</v>
      </c>
      <c r="G10" s="1990">
        <v>6</v>
      </c>
      <c r="H10" s="1977"/>
      <c r="I10" s="1980"/>
      <c r="J10" s="1977"/>
      <c r="K10" s="1976" t="s">
        <v>719</v>
      </c>
      <c r="L10" s="2042">
        <v>2</v>
      </c>
      <c r="M10" s="2044">
        <v>2</v>
      </c>
      <c r="N10" s="19">
        <f>+M10/L10</f>
        <v>1</v>
      </c>
      <c r="O10" s="2042">
        <v>1</v>
      </c>
      <c r="P10" s="2044">
        <v>1</v>
      </c>
      <c r="Q10" s="19">
        <f>+P10/O10</f>
        <v>1</v>
      </c>
      <c r="R10" s="2042">
        <v>1</v>
      </c>
      <c r="S10" s="2044">
        <v>1</v>
      </c>
      <c r="T10" s="19">
        <f>+S10/R10</f>
        <v>1</v>
      </c>
      <c r="U10" s="2042">
        <v>1</v>
      </c>
      <c r="V10" s="2044">
        <v>1</v>
      </c>
      <c r="W10" s="19">
        <f>+V10/U10</f>
        <v>1</v>
      </c>
      <c r="X10" s="2042">
        <v>0</v>
      </c>
      <c r="Y10" s="2042">
        <v>0</v>
      </c>
      <c r="Z10" s="19" t="e">
        <f>+Y10/X10</f>
        <v>#DIV/0!</v>
      </c>
      <c r="AA10" s="2042">
        <v>0</v>
      </c>
      <c r="AB10" s="2044"/>
      <c r="AC10" s="19" t="e">
        <f>+AB10/AA10</f>
        <v>#DIV/0!</v>
      </c>
      <c r="AD10" s="2045">
        <v>5</v>
      </c>
      <c r="AE10" s="19">
        <f>AD10/G10</f>
        <v>0.83333333333333337</v>
      </c>
      <c r="AF10" s="2042">
        <v>1</v>
      </c>
      <c r="AG10" s="2044">
        <v>1</v>
      </c>
      <c r="AH10" s="19">
        <f>+AG10/AF10</f>
        <v>1</v>
      </c>
      <c r="AI10" s="2042">
        <v>0</v>
      </c>
      <c r="AJ10" s="2044"/>
      <c r="AK10" s="19" t="e">
        <f>+AJ10/AI10</f>
        <v>#DIV/0!</v>
      </c>
      <c r="AL10" s="2042">
        <v>0</v>
      </c>
      <c r="AM10" s="2044"/>
      <c r="AN10" s="19" t="e">
        <f>+AM10/AL10</f>
        <v>#DIV/0!</v>
      </c>
      <c r="AO10" s="2042">
        <v>0</v>
      </c>
      <c r="AP10" s="2044"/>
      <c r="AQ10" s="19" t="e">
        <f>+AP10/AO10</f>
        <v>#DIV/0!</v>
      </c>
      <c r="AR10" s="2042">
        <v>0</v>
      </c>
      <c r="AS10" s="2044"/>
      <c r="AT10" s="19" t="e">
        <f>+AS10/AR10</f>
        <v>#DIV/0!</v>
      </c>
      <c r="AU10" s="2042">
        <v>0</v>
      </c>
      <c r="AV10" s="2044"/>
      <c r="AW10" s="19" t="e">
        <f>+AV10/AU10</f>
        <v>#DIV/0!</v>
      </c>
      <c r="AX10" s="2028">
        <f>+M10+P10+S10+V10+Y10+AB10+AG10+AJ10+AM10+AP10+AS10+AV10</f>
        <v>6</v>
      </c>
      <c r="AY10" s="19">
        <f>+AX10/G10</f>
        <v>1</v>
      </c>
    </row>
    <row r="11" spans="1:52" ht="31.5" thickTop="1" thickBot="1">
      <c r="A11" s="2944"/>
      <c r="B11" s="3176" t="s">
        <v>94</v>
      </c>
      <c r="C11" s="1960" t="s">
        <v>95</v>
      </c>
      <c r="D11" s="1961" t="s">
        <v>96</v>
      </c>
      <c r="E11" s="1973" t="s">
        <v>97</v>
      </c>
      <c r="F11" s="1973" t="s">
        <v>300</v>
      </c>
      <c r="G11" s="1999">
        <v>1.1100000000000001</v>
      </c>
      <c r="H11" s="1974"/>
      <c r="I11" s="1975"/>
      <c r="J11" s="1974"/>
      <c r="K11" s="1973" t="s">
        <v>20</v>
      </c>
      <c r="L11" s="2029">
        <v>0</v>
      </c>
      <c r="M11" s="2041">
        <v>0.19006799999999999</v>
      </c>
      <c r="N11" s="19"/>
      <c r="O11" s="2029"/>
      <c r="P11" s="2041">
        <v>6.1445E-2</v>
      </c>
      <c r="Q11" s="19"/>
      <c r="R11" s="2029"/>
      <c r="S11" s="2041">
        <v>0.105904</v>
      </c>
      <c r="T11" s="19"/>
      <c r="U11" s="2029"/>
      <c r="V11" s="2041">
        <v>6.2884999999999996E-2</v>
      </c>
      <c r="W11" s="19"/>
      <c r="X11" s="2029"/>
      <c r="Y11" s="2042">
        <v>8.9867000000000002E-2</v>
      </c>
      <c r="Z11" s="19"/>
      <c r="AA11" s="2029"/>
      <c r="AB11" s="2041">
        <v>7.1983000000000005E-2</v>
      </c>
      <c r="AC11" s="19"/>
      <c r="AD11" s="2043">
        <f>+M11+P11+S11+V11+Y11+AB11</f>
        <v>0.582152</v>
      </c>
      <c r="AE11" s="19"/>
      <c r="AF11" s="2029"/>
      <c r="AG11" s="2041">
        <v>8.8445999999999997E-2</v>
      </c>
      <c r="AH11" s="19"/>
      <c r="AI11" s="2029"/>
      <c r="AJ11" s="2041">
        <v>7.4993000000000004E-2</v>
      </c>
      <c r="AK11" s="19"/>
      <c r="AL11" s="2029"/>
      <c r="AM11" s="2041">
        <v>0.152443</v>
      </c>
      <c r="AN11" s="19"/>
      <c r="AO11" s="2029"/>
      <c r="AP11" s="2041">
        <v>6.9395999999999999E-2</v>
      </c>
      <c r="AQ11" s="19" t="e">
        <f>+AP11/AO11</f>
        <v>#DIV/0!</v>
      </c>
      <c r="AR11" s="2029"/>
      <c r="AS11" s="2041">
        <v>0.138768</v>
      </c>
      <c r="AT11" s="19" t="e">
        <f>+AS11/AR11</f>
        <v>#DIV/0!</v>
      </c>
      <c r="AU11" s="2029"/>
      <c r="AV11" s="2041"/>
      <c r="AW11" s="19" t="e">
        <f>+AV11/AU11</f>
        <v>#DIV/0!</v>
      </c>
      <c r="AX11" s="2029">
        <f>+M11+P11+S11+V11+Y11+AB11+AG11+AJ11+AM11+AP11+AS11+AV11</f>
        <v>1.106198</v>
      </c>
      <c r="AY11" s="19">
        <f>+AX11/G11</f>
        <v>0.99657477477477474</v>
      </c>
    </row>
    <row r="12" spans="1:52" ht="76.5" thickTop="1" thickBot="1">
      <c r="A12" s="2944"/>
      <c r="B12" s="3176"/>
      <c r="C12" s="3181" t="s">
        <v>930</v>
      </c>
      <c r="D12" s="1962" t="s">
        <v>99</v>
      </c>
      <c r="E12" s="1976" t="s">
        <v>100</v>
      </c>
      <c r="F12" s="1977" t="s">
        <v>101</v>
      </c>
      <c r="G12" s="2038">
        <v>83790000000</v>
      </c>
      <c r="H12" s="1978"/>
      <c r="I12" s="1979"/>
      <c r="J12" s="1978"/>
      <c r="K12" s="1976" t="s">
        <v>931</v>
      </c>
      <c r="L12" s="2038">
        <v>6703200000</v>
      </c>
      <c r="M12" s="2046">
        <v>895308500</v>
      </c>
      <c r="N12" s="19">
        <f t="shared" ref="N12:N47" si="0">+M12/L12</f>
        <v>0.13356434240362811</v>
      </c>
      <c r="O12" s="2038">
        <v>6703200000</v>
      </c>
      <c r="P12" s="2046">
        <v>1895553750</v>
      </c>
      <c r="Q12" s="19">
        <f t="shared" ref="Q12:Q47" si="1">+P12/O12</f>
        <v>0.28278340941639812</v>
      </c>
      <c r="R12" s="2038">
        <v>6703200000</v>
      </c>
      <c r="S12" s="2046">
        <v>1247463000</v>
      </c>
      <c r="T12" s="19">
        <f t="shared" ref="T12:T47" si="2">+S12/R12</f>
        <v>0.18609962406015038</v>
      </c>
      <c r="U12" s="2038">
        <v>7541100000</v>
      </c>
      <c r="V12" s="2046">
        <v>1711523570</v>
      </c>
      <c r="W12" s="19">
        <f t="shared" ref="W12:W47" si="3">+V12/U12</f>
        <v>0.22695940512657303</v>
      </c>
      <c r="X12" s="2038">
        <v>8379000000</v>
      </c>
      <c r="Y12" s="2046">
        <v>6095656390</v>
      </c>
      <c r="Z12" s="19">
        <f t="shared" ref="Z12:Z47" si="4">+Y12/X12</f>
        <v>0.72749211003699721</v>
      </c>
      <c r="AA12" s="2038">
        <v>8379000000</v>
      </c>
      <c r="AB12" s="2046">
        <v>4363265930</v>
      </c>
      <c r="AC12" s="19">
        <f t="shared" ref="AC12:AC47" si="5">+AB12/AA12</f>
        <v>0.52073826590285233</v>
      </c>
      <c r="AD12" s="2047">
        <f t="shared" ref="AD12:AD47" si="6">+M12+P12+S12+V12+Y12+AB12</f>
        <v>16208771140</v>
      </c>
      <c r="AE12" s="19">
        <f t="shared" ref="AE12:AE47" si="7">AD12/G12</f>
        <v>0.19344517412579068</v>
      </c>
      <c r="AF12" s="2038">
        <v>8379000000</v>
      </c>
      <c r="AG12" s="2046">
        <v>4110131961</v>
      </c>
      <c r="AH12" s="19">
        <f t="shared" ref="AH12:AH47" si="8">+AG12/AF12</f>
        <v>0.49052774328678839</v>
      </c>
      <c r="AI12" s="2038">
        <v>8379000000</v>
      </c>
      <c r="AJ12" s="2046">
        <v>2118720330</v>
      </c>
      <c r="AK12" s="19">
        <f t="shared" ref="AK12:AK47" si="9">+AJ12/AI12</f>
        <v>0.25286076262083779</v>
      </c>
      <c r="AL12" s="2038">
        <v>8379000000</v>
      </c>
      <c r="AM12" s="2046">
        <v>3140813137</v>
      </c>
      <c r="AN12" s="19">
        <f t="shared" ref="AN12:AN47" si="10">+AM12/AL12</f>
        <v>0.37484343441938178</v>
      </c>
      <c r="AO12" s="2038">
        <v>8379000000</v>
      </c>
      <c r="AP12" s="2046">
        <v>8007139880</v>
      </c>
      <c r="AQ12" s="19">
        <f t="shared" ref="AQ12:AQ47" si="11">+AP12/AO12</f>
        <v>0.9556199880654016</v>
      </c>
      <c r="AR12" s="2038">
        <v>3351600000</v>
      </c>
      <c r="AS12" s="2046">
        <v>31398462802</v>
      </c>
      <c r="AT12" s="19">
        <f t="shared" ref="AT12:AT47" si="12">+AS12/AR12</f>
        <v>9.3682010985797834</v>
      </c>
      <c r="AU12" s="2038">
        <v>2513700000</v>
      </c>
      <c r="AV12" s="2046">
        <v>16659206187</v>
      </c>
      <c r="AW12" s="19">
        <f t="shared" ref="AW12:AW47" si="13">+AV12/AU12</f>
        <v>6.6273645172454945</v>
      </c>
      <c r="AX12" s="2030">
        <f t="shared" ref="AX12:AX45" si="14">+M12+P12+S12+V12+Y12+AB12+AG12+AJ12+AM12+AP12+AS12+AV12</f>
        <v>81643245437</v>
      </c>
      <c r="AY12" s="19">
        <f t="shared" ref="AY12:AY47" si="15">+AX12/G12</f>
        <v>0.97437934642558777</v>
      </c>
    </row>
    <row r="13" spans="1:52" ht="31.5" thickTop="1" thickBot="1">
      <c r="A13" s="2944"/>
      <c r="B13" s="3176"/>
      <c r="C13" s="3182"/>
      <c r="D13" s="1961" t="s">
        <v>456</v>
      </c>
      <c r="E13" s="1973" t="s">
        <v>302</v>
      </c>
      <c r="F13" s="1974" t="s">
        <v>101</v>
      </c>
      <c r="G13" s="2029">
        <v>640370831</v>
      </c>
      <c r="H13" s="1974"/>
      <c r="I13" s="1975"/>
      <c r="J13" s="1974"/>
      <c r="K13" s="1973" t="s">
        <v>932</v>
      </c>
      <c r="L13" s="2029">
        <v>21345695</v>
      </c>
      <c r="M13" s="2041">
        <v>3823000</v>
      </c>
      <c r="N13" s="19">
        <f t="shared" si="0"/>
        <v>0.17909934532466618</v>
      </c>
      <c r="O13" s="2029">
        <v>21345695</v>
      </c>
      <c r="P13" s="2041">
        <v>4338000</v>
      </c>
      <c r="Q13" s="19">
        <f t="shared" si="1"/>
        <v>0.20322599006497563</v>
      </c>
      <c r="R13" s="2029">
        <v>21345695</v>
      </c>
      <c r="S13" s="2041">
        <v>1150000</v>
      </c>
      <c r="T13" s="19">
        <f t="shared" si="2"/>
        <v>5.3875031944380355E-2</v>
      </c>
      <c r="U13" s="2029">
        <v>85382778</v>
      </c>
      <c r="V13" s="2041"/>
      <c r="W13" s="19">
        <f t="shared" si="3"/>
        <v>0</v>
      </c>
      <c r="X13" s="2029">
        <v>85382778</v>
      </c>
      <c r="Y13" s="2042"/>
      <c r="Z13" s="19">
        <f t="shared" si="4"/>
        <v>0</v>
      </c>
      <c r="AA13" s="2029">
        <v>85382777</v>
      </c>
      <c r="AB13" s="2041">
        <v>3923000</v>
      </c>
      <c r="AC13" s="19">
        <f t="shared" si="5"/>
        <v>4.5946034292138331E-2</v>
      </c>
      <c r="AD13" s="2043">
        <f t="shared" si="6"/>
        <v>13234000</v>
      </c>
      <c r="AE13" s="19">
        <f t="shared" si="7"/>
        <v>2.066615054800958E-2</v>
      </c>
      <c r="AF13" s="2029">
        <v>85382777</v>
      </c>
      <c r="AG13" s="2041">
        <v>16137000</v>
      </c>
      <c r="AH13" s="19">
        <f t="shared" si="8"/>
        <v>0.1889959610941209</v>
      </c>
      <c r="AI13" s="2029">
        <v>85382777</v>
      </c>
      <c r="AJ13" s="2041">
        <v>3979000</v>
      </c>
      <c r="AK13" s="19">
        <f t="shared" si="9"/>
        <v>4.6601904269288404E-2</v>
      </c>
      <c r="AL13" s="2029">
        <v>85382777</v>
      </c>
      <c r="AM13" s="2041">
        <v>29764000</v>
      </c>
      <c r="AN13" s="19">
        <f t="shared" si="10"/>
        <v>0.34859489285526518</v>
      </c>
      <c r="AO13" s="2029">
        <v>21345694</v>
      </c>
      <c r="AP13" s="2041">
        <v>9499000</v>
      </c>
      <c r="AQ13" s="19">
        <f t="shared" si="11"/>
        <v>0.44500778470824137</v>
      </c>
      <c r="AR13" s="2029">
        <v>21345694</v>
      </c>
      <c r="AS13" s="2041">
        <v>16952000</v>
      </c>
      <c r="AT13" s="19">
        <f t="shared" si="12"/>
        <v>0.79416485591895025</v>
      </c>
      <c r="AU13" s="2029">
        <v>21345694</v>
      </c>
      <c r="AV13" s="2041">
        <v>33885000</v>
      </c>
      <c r="AW13" s="19">
        <f t="shared" si="13"/>
        <v>1.5874396025727717</v>
      </c>
      <c r="AX13" s="2027">
        <f t="shared" si="14"/>
        <v>123450000</v>
      </c>
      <c r="AY13" s="19">
        <f t="shared" si="15"/>
        <v>0.19277892437296226</v>
      </c>
    </row>
    <row r="14" spans="1:52" ht="106.5" thickTop="1" thickBot="1">
      <c r="A14" s="2944"/>
      <c r="B14" s="3176"/>
      <c r="C14" s="3182"/>
      <c r="D14" s="1962" t="s">
        <v>457</v>
      </c>
      <c r="E14" s="1976" t="s">
        <v>198</v>
      </c>
      <c r="F14" s="1977" t="s">
        <v>101</v>
      </c>
      <c r="G14" s="2038">
        <v>655245375.74227011</v>
      </c>
      <c r="H14" s="1977"/>
      <c r="I14" s="1980"/>
      <c r="J14" s="1977"/>
      <c r="K14" s="1976" t="s">
        <v>140</v>
      </c>
      <c r="L14" s="2038">
        <v>43683025.04948467</v>
      </c>
      <c r="M14" s="2046">
        <v>111000</v>
      </c>
      <c r="N14" s="19">
        <f t="shared" si="0"/>
        <v>2.5410328125000004E-3</v>
      </c>
      <c r="O14" s="2038">
        <v>43683025.04948467</v>
      </c>
      <c r="P14" s="2046">
        <v>1988000</v>
      </c>
      <c r="Q14" s="19">
        <f t="shared" si="1"/>
        <v>4.550966875000001E-2</v>
      </c>
      <c r="R14" s="2038">
        <v>43683025.04948467</v>
      </c>
      <c r="S14" s="2046">
        <v>2506000</v>
      </c>
      <c r="T14" s="19">
        <f t="shared" si="2"/>
        <v>5.7367821875000009E-2</v>
      </c>
      <c r="U14" s="2038">
        <v>65524537.574227013</v>
      </c>
      <c r="V14" s="2046"/>
      <c r="W14" s="19">
        <f t="shared" si="3"/>
        <v>0</v>
      </c>
      <c r="X14" s="2038">
        <v>65524537.574227013</v>
      </c>
      <c r="Y14" s="2046"/>
      <c r="Z14" s="19">
        <f t="shared" si="4"/>
        <v>0</v>
      </c>
      <c r="AA14" s="2038">
        <v>65524537.574227013</v>
      </c>
      <c r="AB14" s="2046"/>
      <c r="AC14" s="19">
        <f t="shared" si="5"/>
        <v>0</v>
      </c>
      <c r="AD14" s="2047">
        <f t="shared" si="6"/>
        <v>4605000</v>
      </c>
      <c r="AE14" s="19">
        <f t="shared" si="7"/>
        <v>7.0279015625000002E-3</v>
      </c>
      <c r="AF14" s="2038">
        <v>65524537.574227013</v>
      </c>
      <c r="AG14" s="2046">
        <v>64737000</v>
      </c>
      <c r="AH14" s="19">
        <f t="shared" si="8"/>
        <v>0.98798102812499999</v>
      </c>
      <c r="AI14" s="2038">
        <v>65524537.574227013</v>
      </c>
      <c r="AJ14" s="2046"/>
      <c r="AK14" s="19">
        <f t="shared" si="9"/>
        <v>0</v>
      </c>
      <c r="AL14" s="2038">
        <v>65524537.574227013</v>
      </c>
      <c r="AM14" s="2046"/>
      <c r="AN14" s="19">
        <f t="shared" si="10"/>
        <v>0</v>
      </c>
      <c r="AO14" s="2038">
        <v>43683025.04948467</v>
      </c>
      <c r="AP14" s="2046">
        <v>151552000</v>
      </c>
      <c r="AQ14" s="19">
        <f t="shared" si="11"/>
        <v>3.4693568000000004</v>
      </c>
      <c r="AR14" s="2038">
        <v>43683025.04948467</v>
      </c>
      <c r="AS14" s="2046">
        <v>12163000</v>
      </c>
      <c r="AT14" s="19">
        <f t="shared" si="12"/>
        <v>0.27843767656250007</v>
      </c>
      <c r="AU14" s="2038">
        <v>43683025.04948467</v>
      </c>
      <c r="AV14" s="2046">
        <v>365228000</v>
      </c>
      <c r="AW14" s="19">
        <f t="shared" si="13"/>
        <v>8.3608678562500014</v>
      </c>
      <c r="AX14" s="2030">
        <f t="shared" si="14"/>
        <v>598285000</v>
      </c>
      <c r="AY14" s="19">
        <f t="shared" si="15"/>
        <v>0.9130701598958334</v>
      </c>
    </row>
    <row r="15" spans="1:52" ht="76.5" thickTop="1" thickBot="1">
      <c r="A15" s="2944"/>
      <c r="B15" s="3176"/>
      <c r="C15" s="3182"/>
      <c r="D15" s="1963" t="s">
        <v>102</v>
      </c>
      <c r="E15" s="1973" t="s">
        <v>103</v>
      </c>
      <c r="F15" s="1974" t="s">
        <v>101</v>
      </c>
      <c r="G15" s="2029">
        <v>63200000000</v>
      </c>
      <c r="H15" s="1974"/>
      <c r="I15" s="1975"/>
      <c r="J15" s="1974"/>
      <c r="K15" s="1973" t="s">
        <v>931</v>
      </c>
      <c r="L15" s="2029">
        <v>5056000000</v>
      </c>
      <c r="M15" s="2041">
        <v>2027839000</v>
      </c>
      <c r="N15" s="19">
        <f t="shared" si="0"/>
        <v>0.40107575158227848</v>
      </c>
      <c r="O15" s="2029">
        <v>5056000000</v>
      </c>
      <c r="P15" s="2041">
        <v>1164161000</v>
      </c>
      <c r="Q15" s="19">
        <f t="shared" si="1"/>
        <v>0.23025336234177216</v>
      </c>
      <c r="R15" s="2029">
        <v>5056000000</v>
      </c>
      <c r="S15" s="2041">
        <v>799882000</v>
      </c>
      <c r="T15" s="19">
        <f t="shared" si="2"/>
        <v>0.15820450949367088</v>
      </c>
      <c r="U15" s="2029">
        <v>5688000000</v>
      </c>
      <c r="V15" s="2041">
        <v>1776766570</v>
      </c>
      <c r="W15" s="19">
        <f t="shared" si="3"/>
        <v>0.31237105661040787</v>
      </c>
      <c r="X15" s="2029">
        <v>6320000000</v>
      </c>
      <c r="Y15" s="2041">
        <v>6136516390</v>
      </c>
      <c r="Z15" s="19">
        <f t="shared" si="4"/>
        <v>0.97096778322784805</v>
      </c>
      <c r="AA15" s="2029">
        <v>6320000000</v>
      </c>
      <c r="AB15" s="2041">
        <v>3786151430</v>
      </c>
      <c r="AC15" s="19">
        <f t="shared" si="5"/>
        <v>0.59907459335443036</v>
      </c>
      <c r="AD15" s="2043">
        <f t="shared" si="6"/>
        <v>15691316390</v>
      </c>
      <c r="AE15" s="19">
        <f t="shared" si="7"/>
        <v>0.24828032262658228</v>
      </c>
      <c r="AF15" s="2029">
        <v>6320000000</v>
      </c>
      <c r="AG15" s="2041">
        <v>2328229390</v>
      </c>
      <c r="AH15" s="19">
        <f t="shared" si="8"/>
        <v>0.36839072626582281</v>
      </c>
      <c r="AI15" s="2029">
        <v>6320000000</v>
      </c>
      <c r="AJ15" s="2041">
        <v>1457515500</v>
      </c>
      <c r="AK15" s="19">
        <f t="shared" si="9"/>
        <v>0.23061954113924052</v>
      </c>
      <c r="AL15" s="2029">
        <v>6320000000</v>
      </c>
      <c r="AM15" s="2041">
        <v>2502804137</v>
      </c>
      <c r="AN15" s="19">
        <f t="shared" si="10"/>
        <v>0.39601331281645569</v>
      </c>
      <c r="AO15" s="2029">
        <v>6320000000</v>
      </c>
      <c r="AP15" s="2041">
        <v>7580632040</v>
      </c>
      <c r="AQ15" s="19">
        <f t="shared" si="11"/>
        <v>1.1994670949367088</v>
      </c>
      <c r="AR15" s="2029">
        <v>2528000000</v>
      </c>
      <c r="AS15" s="2041">
        <v>18480608080</v>
      </c>
      <c r="AT15" s="19">
        <f t="shared" si="12"/>
        <v>7.3103671202531642</v>
      </c>
      <c r="AU15" s="2029">
        <v>1896000000</v>
      </c>
      <c r="AV15" s="2041">
        <v>11519005768</v>
      </c>
      <c r="AW15" s="19">
        <f t="shared" si="13"/>
        <v>6.075424983122363</v>
      </c>
      <c r="AX15" s="2027">
        <f t="shared" si="14"/>
        <v>59560111305</v>
      </c>
      <c r="AY15" s="19">
        <f t="shared" si="15"/>
        <v>0.9424068244462025</v>
      </c>
    </row>
    <row r="16" spans="1:52" ht="31.5" thickTop="1" thickBot="1">
      <c r="A16" s="2944"/>
      <c r="B16" s="3176"/>
      <c r="C16" s="3182"/>
      <c r="D16" s="1962" t="s">
        <v>403</v>
      </c>
      <c r="E16" s="1976" t="s">
        <v>274</v>
      </c>
      <c r="F16" s="1977" t="s">
        <v>101</v>
      </c>
      <c r="G16" s="2038">
        <v>56000000</v>
      </c>
      <c r="H16" s="1977"/>
      <c r="I16" s="1980"/>
      <c r="J16" s="1977"/>
      <c r="K16" s="1976" t="s">
        <v>196</v>
      </c>
      <c r="L16" s="2038">
        <v>1866666</v>
      </c>
      <c r="M16" s="2046"/>
      <c r="N16" s="19">
        <f t="shared" si="0"/>
        <v>0</v>
      </c>
      <c r="O16" s="2038">
        <v>1866666</v>
      </c>
      <c r="P16" s="2046"/>
      <c r="Q16" s="19">
        <f t="shared" si="1"/>
        <v>0</v>
      </c>
      <c r="R16" s="2038">
        <v>1866666</v>
      </c>
      <c r="S16" s="2046"/>
      <c r="T16" s="19">
        <f t="shared" si="2"/>
        <v>0</v>
      </c>
      <c r="U16" s="2038">
        <v>7466666</v>
      </c>
      <c r="V16" s="2046"/>
      <c r="W16" s="19">
        <f t="shared" si="3"/>
        <v>0</v>
      </c>
      <c r="X16" s="2038">
        <v>7466667</v>
      </c>
      <c r="Y16" s="2046"/>
      <c r="Z16" s="19">
        <f t="shared" si="4"/>
        <v>0</v>
      </c>
      <c r="AA16" s="2038">
        <v>7466667</v>
      </c>
      <c r="AB16" s="2046"/>
      <c r="AC16" s="19">
        <f t="shared" si="5"/>
        <v>0</v>
      </c>
      <c r="AD16" s="2047">
        <f t="shared" si="6"/>
        <v>0</v>
      </c>
      <c r="AE16" s="19">
        <f t="shared" si="7"/>
        <v>0</v>
      </c>
      <c r="AF16" s="2038">
        <v>7466667</v>
      </c>
      <c r="AG16" s="2046"/>
      <c r="AH16" s="19">
        <f t="shared" si="8"/>
        <v>0</v>
      </c>
      <c r="AI16" s="2038">
        <v>7466667</v>
      </c>
      <c r="AJ16" s="2046"/>
      <c r="AK16" s="19">
        <f t="shared" si="9"/>
        <v>0</v>
      </c>
      <c r="AL16" s="2038">
        <v>7466667</v>
      </c>
      <c r="AM16" s="2046"/>
      <c r="AN16" s="19">
        <f t="shared" si="10"/>
        <v>0</v>
      </c>
      <c r="AO16" s="2038">
        <v>1866667</v>
      </c>
      <c r="AP16" s="2046"/>
      <c r="AQ16" s="19">
        <f t="shared" si="11"/>
        <v>0</v>
      </c>
      <c r="AR16" s="2038">
        <v>1866667</v>
      </c>
      <c r="AS16" s="2046">
        <v>0</v>
      </c>
      <c r="AT16" s="19">
        <f t="shared" si="12"/>
        <v>0</v>
      </c>
      <c r="AU16" s="2038">
        <v>1866667</v>
      </c>
      <c r="AV16" s="2046">
        <v>4779000</v>
      </c>
      <c r="AW16" s="19">
        <f t="shared" si="13"/>
        <v>2.5601781142539082</v>
      </c>
      <c r="AX16" s="2030">
        <f t="shared" si="14"/>
        <v>4779000</v>
      </c>
      <c r="AY16" s="19">
        <f t="shared" si="15"/>
        <v>8.5339285714285715E-2</v>
      </c>
    </row>
    <row r="17" spans="1:51" ht="46.5" thickTop="1" thickBot="1">
      <c r="A17" s="2944"/>
      <c r="B17" s="3176"/>
      <c r="C17" s="3182"/>
      <c r="D17" s="1961" t="s">
        <v>203</v>
      </c>
      <c r="E17" s="1973" t="s">
        <v>274</v>
      </c>
      <c r="F17" s="1974" t="s">
        <v>101</v>
      </c>
      <c r="G17" s="2029">
        <v>257600018</v>
      </c>
      <c r="H17" s="1974"/>
      <c r="I17" s="1975"/>
      <c r="J17" s="1974"/>
      <c r="K17" s="1973" t="s">
        <v>932</v>
      </c>
      <c r="L17" s="2029">
        <v>8586668</v>
      </c>
      <c r="M17" s="2041">
        <v>0</v>
      </c>
      <c r="N17" s="19">
        <f t="shared" si="0"/>
        <v>0</v>
      </c>
      <c r="O17" s="2029">
        <v>8586668</v>
      </c>
      <c r="P17" s="2041">
        <v>0</v>
      </c>
      <c r="Q17" s="19">
        <f t="shared" si="1"/>
        <v>0</v>
      </c>
      <c r="R17" s="2029">
        <v>8586667</v>
      </c>
      <c r="S17" s="2041"/>
      <c r="T17" s="19">
        <f t="shared" si="2"/>
        <v>0</v>
      </c>
      <c r="U17" s="2029">
        <v>34346669</v>
      </c>
      <c r="V17" s="2041"/>
      <c r="W17" s="19">
        <f t="shared" si="3"/>
        <v>0</v>
      </c>
      <c r="X17" s="2029">
        <v>34346669</v>
      </c>
      <c r="Y17" s="2041">
        <v>16631914</v>
      </c>
      <c r="Z17" s="19">
        <f t="shared" si="4"/>
        <v>0.4842365936562873</v>
      </c>
      <c r="AA17" s="2029">
        <v>34346669</v>
      </c>
      <c r="AB17" s="2041"/>
      <c r="AC17" s="19">
        <f t="shared" si="5"/>
        <v>0</v>
      </c>
      <c r="AD17" s="2043">
        <f t="shared" si="6"/>
        <v>16631914</v>
      </c>
      <c r="AE17" s="19">
        <f t="shared" si="7"/>
        <v>6.4564879028851621E-2</v>
      </c>
      <c r="AF17" s="2029">
        <v>34346669</v>
      </c>
      <c r="AG17" s="2041">
        <v>3185900</v>
      </c>
      <c r="AH17" s="19">
        <f t="shared" si="8"/>
        <v>9.2757175375580092E-2</v>
      </c>
      <c r="AI17" s="2029">
        <v>34346669</v>
      </c>
      <c r="AJ17" s="2041"/>
      <c r="AK17" s="19">
        <f t="shared" si="9"/>
        <v>0</v>
      </c>
      <c r="AL17" s="2029">
        <v>34346669</v>
      </c>
      <c r="AM17" s="2041"/>
      <c r="AN17" s="19">
        <f t="shared" si="10"/>
        <v>0</v>
      </c>
      <c r="AO17" s="2029">
        <v>8586667</v>
      </c>
      <c r="AP17" s="2041"/>
      <c r="AQ17" s="19">
        <f t="shared" si="11"/>
        <v>0</v>
      </c>
      <c r="AR17" s="2029">
        <v>8586667</v>
      </c>
      <c r="AS17" s="2041">
        <v>0</v>
      </c>
      <c r="AT17" s="19">
        <f t="shared" si="12"/>
        <v>0</v>
      </c>
      <c r="AU17" s="2029">
        <v>8586667</v>
      </c>
      <c r="AV17" s="2041"/>
      <c r="AW17" s="19">
        <f t="shared" si="13"/>
        <v>0</v>
      </c>
      <c r="AX17" s="2027">
        <f t="shared" si="14"/>
        <v>19817814</v>
      </c>
      <c r="AY17" s="19">
        <f t="shared" si="15"/>
        <v>7.6932502388256815E-2</v>
      </c>
    </row>
    <row r="18" spans="1:51" ht="76.5" thickTop="1" thickBot="1">
      <c r="A18" s="2944"/>
      <c r="B18" s="3176"/>
      <c r="C18" s="3182"/>
      <c r="D18" s="1962" t="s">
        <v>104</v>
      </c>
      <c r="E18" s="1976" t="s">
        <v>105</v>
      </c>
      <c r="F18" s="1977" t="s">
        <v>24</v>
      </c>
      <c r="G18" s="1990">
        <v>100</v>
      </c>
      <c r="H18" s="1977"/>
      <c r="I18" s="1980"/>
      <c r="J18" s="1977"/>
      <c r="K18" s="1976" t="s">
        <v>931</v>
      </c>
      <c r="L18" s="2042">
        <v>0</v>
      </c>
      <c r="M18" s="2044"/>
      <c r="N18" s="19" t="e">
        <f t="shared" si="0"/>
        <v>#DIV/0!</v>
      </c>
      <c r="O18" s="2042">
        <v>0</v>
      </c>
      <c r="P18" s="2044"/>
      <c r="Q18" s="19" t="e">
        <f t="shared" si="1"/>
        <v>#DIV/0!</v>
      </c>
      <c r="R18" s="2042">
        <v>25</v>
      </c>
      <c r="S18" s="2044">
        <v>23</v>
      </c>
      <c r="T18" s="19">
        <f t="shared" si="2"/>
        <v>0.92</v>
      </c>
      <c r="U18" s="2042">
        <v>0</v>
      </c>
      <c r="V18" s="2044"/>
      <c r="W18" s="19" t="e">
        <f t="shared" si="3"/>
        <v>#DIV/0!</v>
      </c>
      <c r="X18" s="2042">
        <v>0</v>
      </c>
      <c r="Y18" s="2046"/>
      <c r="Z18" s="19" t="e">
        <f t="shared" si="4"/>
        <v>#DIV/0!</v>
      </c>
      <c r="AA18" s="2042">
        <v>25</v>
      </c>
      <c r="AB18" s="2044"/>
      <c r="AC18" s="19">
        <f t="shared" si="5"/>
        <v>0</v>
      </c>
      <c r="AD18" s="2045">
        <f t="shared" si="6"/>
        <v>23</v>
      </c>
      <c r="AE18" s="19">
        <f t="shared" si="7"/>
        <v>0.23</v>
      </c>
      <c r="AF18" s="2042">
        <v>0</v>
      </c>
      <c r="AG18" s="2044"/>
      <c r="AH18" s="19" t="e">
        <f t="shared" si="8"/>
        <v>#DIV/0!</v>
      </c>
      <c r="AI18" s="2042">
        <v>0</v>
      </c>
      <c r="AJ18" s="2044"/>
      <c r="AK18" s="19" t="e">
        <f t="shared" si="9"/>
        <v>#DIV/0!</v>
      </c>
      <c r="AL18" s="2042">
        <v>25</v>
      </c>
      <c r="AM18" s="2044">
        <v>6</v>
      </c>
      <c r="AN18" s="19">
        <f t="shared" si="10"/>
        <v>0.24</v>
      </c>
      <c r="AO18" s="2042">
        <v>0</v>
      </c>
      <c r="AP18" s="2044">
        <v>16</v>
      </c>
      <c r="AQ18" s="19" t="e">
        <f t="shared" si="11"/>
        <v>#DIV/0!</v>
      </c>
      <c r="AR18" s="2042">
        <v>0</v>
      </c>
      <c r="AS18" s="2044">
        <v>46</v>
      </c>
      <c r="AT18" s="19" t="e">
        <f t="shared" si="12"/>
        <v>#DIV/0!</v>
      </c>
      <c r="AU18" s="2042">
        <v>25</v>
      </c>
      <c r="AV18" s="2044">
        <v>9</v>
      </c>
      <c r="AW18" s="19">
        <f t="shared" si="13"/>
        <v>0.36</v>
      </c>
      <c r="AX18" s="2028">
        <f t="shared" si="14"/>
        <v>100</v>
      </c>
      <c r="AY18" s="19">
        <f t="shared" si="15"/>
        <v>1</v>
      </c>
    </row>
    <row r="19" spans="1:51" ht="76.5" thickTop="1" thickBot="1">
      <c r="A19" s="2944"/>
      <c r="B19" s="3176"/>
      <c r="C19" s="3183"/>
      <c r="D19" s="1961" t="s">
        <v>106</v>
      </c>
      <c r="E19" s="1973" t="s">
        <v>173</v>
      </c>
      <c r="F19" s="1974" t="s">
        <v>24</v>
      </c>
      <c r="G19" s="1991">
        <v>97</v>
      </c>
      <c r="H19" s="1974"/>
      <c r="I19" s="1975"/>
      <c r="J19" s="1974"/>
      <c r="K19" s="1973" t="s">
        <v>931</v>
      </c>
      <c r="L19" s="2048">
        <v>0</v>
      </c>
      <c r="M19" s="2049"/>
      <c r="N19" s="19" t="e">
        <f t="shared" si="0"/>
        <v>#DIV/0!</v>
      </c>
      <c r="O19" s="2048">
        <v>0</v>
      </c>
      <c r="P19" s="2049"/>
      <c r="Q19" s="19" t="e">
        <f t="shared" si="1"/>
        <v>#DIV/0!</v>
      </c>
      <c r="R19" s="2048">
        <v>0</v>
      </c>
      <c r="S19" s="2049"/>
      <c r="T19" s="19" t="e">
        <f t="shared" si="2"/>
        <v>#DIV/0!</v>
      </c>
      <c r="U19" s="2048">
        <v>0</v>
      </c>
      <c r="V19" s="2049"/>
      <c r="W19" s="19" t="e">
        <f t="shared" si="3"/>
        <v>#DIV/0!</v>
      </c>
      <c r="X19" s="2048">
        <v>0</v>
      </c>
      <c r="Y19" s="2046"/>
      <c r="Z19" s="19" t="e">
        <f t="shared" si="4"/>
        <v>#DIV/0!</v>
      </c>
      <c r="AA19" s="2048">
        <v>0</v>
      </c>
      <c r="AB19" s="2049"/>
      <c r="AC19" s="19" t="e">
        <f t="shared" si="5"/>
        <v>#DIV/0!</v>
      </c>
      <c r="AD19" s="2050">
        <f t="shared" si="6"/>
        <v>0</v>
      </c>
      <c r="AE19" s="19">
        <f t="shared" si="7"/>
        <v>0</v>
      </c>
      <c r="AF19" s="2048">
        <v>49</v>
      </c>
      <c r="AG19" s="2049">
        <v>52</v>
      </c>
      <c r="AH19" s="19">
        <f t="shared" si="8"/>
        <v>1.0612244897959184</v>
      </c>
      <c r="AI19" s="2048">
        <v>0</v>
      </c>
      <c r="AJ19" s="2049"/>
      <c r="AK19" s="19" t="e">
        <f t="shared" si="9"/>
        <v>#DIV/0!</v>
      </c>
      <c r="AL19" s="2048">
        <v>0</v>
      </c>
      <c r="AM19" s="2049"/>
      <c r="AN19" s="19" t="e">
        <f t="shared" si="10"/>
        <v>#DIV/0!</v>
      </c>
      <c r="AO19" s="2048">
        <v>0</v>
      </c>
      <c r="AP19" s="2049"/>
      <c r="AQ19" s="19" t="e">
        <f t="shared" si="11"/>
        <v>#DIV/0!</v>
      </c>
      <c r="AR19" s="2048">
        <v>0</v>
      </c>
      <c r="AS19" s="2049">
        <v>0</v>
      </c>
      <c r="AT19" s="19" t="e">
        <f t="shared" si="12"/>
        <v>#DIV/0!</v>
      </c>
      <c r="AU19" s="2048">
        <v>48</v>
      </c>
      <c r="AV19" s="2049">
        <v>37</v>
      </c>
      <c r="AW19" s="19">
        <f t="shared" si="13"/>
        <v>0.77083333333333337</v>
      </c>
      <c r="AX19" s="2031">
        <f t="shared" si="14"/>
        <v>89</v>
      </c>
      <c r="AY19" s="19">
        <f t="shared" si="15"/>
        <v>0.91752577319587625</v>
      </c>
    </row>
    <row r="20" spans="1:51" ht="46.5" thickTop="1" thickBot="1">
      <c r="A20" s="2944"/>
      <c r="B20" s="3176"/>
      <c r="C20" s="1964" t="s">
        <v>626</v>
      </c>
      <c r="D20" s="1962" t="s">
        <v>109</v>
      </c>
      <c r="E20" s="1976" t="s">
        <v>110</v>
      </c>
      <c r="F20" s="1976" t="s">
        <v>168</v>
      </c>
      <c r="G20" s="2039">
        <v>173111</v>
      </c>
      <c r="H20" s="1977"/>
      <c r="I20" s="1980"/>
      <c r="J20" s="1977"/>
      <c r="K20" s="1976" t="s">
        <v>21</v>
      </c>
      <c r="L20" s="2029"/>
      <c r="M20" s="2029"/>
      <c r="N20" s="19" t="e">
        <f t="shared" si="0"/>
        <v>#DIV/0!</v>
      </c>
      <c r="O20" s="2029"/>
      <c r="P20" s="2029"/>
      <c r="Q20" s="19" t="e">
        <f t="shared" si="1"/>
        <v>#DIV/0!</v>
      </c>
      <c r="R20" s="2029">
        <v>37995.958395392736</v>
      </c>
      <c r="S20" s="2029">
        <v>43302.541076000001</v>
      </c>
      <c r="T20" s="19">
        <f t="shared" si="2"/>
        <v>1.1396617667959843</v>
      </c>
      <c r="U20" s="2029">
        <v>11859.230207509843</v>
      </c>
      <c r="V20" s="2029">
        <v>4383.5614429999996</v>
      </c>
      <c r="W20" s="19">
        <f t="shared" si="3"/>
        <v>0.36963288226111968</v>
      </c>
      <c r="X20" s="2029">
        <v>19227.598697224148</v>
      </c>
      <c r="Y20" s="2029">
        <v>10358.006319</v>
      </c>
      <c r="Z20" s="19">
        <f t="shared" si="4"/>
        <v>0.53870514368990685</v>
      </c>
      <c r="AA20" s="2038">
        <v>15202.041481986842</v>
      </c>
      <c r="AB20" s="2038">
        <v>9690.9181199999985</v>
      </c>
      <c r="AC20" s="19">
        <f t="shared" si="5"/>
        <v>0.63747478465197804</v>
      </c>
      <c r="AD20" s="2047">
        <f t="shared" si="6"/>
        <v>67735.026958000002</v>
      </c>
      <c r="AE20" s="19">
        <f t="shared" si="7"/>
        <v>0.39128089467451521</v>
      </c>
      <c r="AF20" s="2038">
        <v>14097.285726198499</v>
      </c>
      <c r="AG20" s="2038">
        <v>11172.793829</v>
      </c>
      <c r="AH20" s="19">
        <f t="shared" si="8"/>
        <v>0.79254929253766904</v>
      </c>
      <c r="AI20" s="2038">
        <v>13004.852263406854</v>
      </c>
      <c r="AJ20" s="2038">
        <v>9170.4839479999991</v>
      </c>
      <c r="AK20" s="19">
        <f t="shared" si="9"/>
        <v>0.7051586409638787</v>
      </c>
      <c r="AL20" s="2038">
        <v>22964.040598066847</v>
      </c>
      <c r="AM20" s="2038">
        <v>14543.079603999999</v>
      </c>
      <c r="AN20" s="19">
        <f t="shared" si="10"/>
        <v>0.63329793996376493</v>
      </c>
      <c r="AO20" s="2038">
        <v>16386.966243812116</v>
      </c>
      <c r="AP20" s="2038">
        <v>13905.790788999999</v>
      </c>
      <c r="AQ20" s="19">
        <f t="shared" si="11"/>
        <v>0.84858848075377991</v>
      </c>
      <c r="AR20" s="2038">
        <v>12141.057471345553</v>
      </c>
      <c r="AS20" s="2046">
        <v>15195</v>
      </c>
      <c r="AT20" s="19">
        <f t="shared" si="12"/>
        <v>1.2515384294870642</v>
      </c>
      <c r="AU20" s="2038">
        <v>10231.984448022929</v>
      </c>
      <c r="AV20" s="2046">
        <v>14788</v>
      </c>
      <c r="AW20" s="19">
        <f t="shared" si="13"/>
        <v>1.4452719387056345</v>
      </c>
      <c r="AX20" s="2030">
        <f t="shared" si="14"/>
        <v>146510.175128</v>
      </c>
      <c r="AY20" s="19">
        <f t="shared" si="15"/>
        <v>0.84633659980012821</v>
      </c>
    </row>
    <row r="21" spans="1:51" ht="46.5" thickTop="1" thickBot="1">
      <c r="A21" s="2944"/>
      <c r="B21" s="3176"/>
      <c r="C21" s="1965" t="s">
        <v>733</v>
      </c>
      <c r="D21" s="1961" t="s">
        <v>111</v>
      </c>
      <c r="E21" s="1973" t="s">
        <v>112</v>
      </c>
      <c r="F21" s="1974" t="s">
        <v>17</v>
      </c>
      <c r="G21" s="1992">
        <v>680</v>
      </c>
      <c r="H21" s="1974"/>
      <c r="I21" s="1975"/>
      <c r="J21" s="1974"/>
      <c r="K21" s="1973" t="s">
        <v>20</v>
      </c>
      <c r="L21" s="2048">
        <v>0</v>
      </c>
      <c r="M21" s="2049"/>
      <c r="N21" s="19" t="e">
        <f t="shared" si="0"/>
        <v>#DIV/0!</v>
      </c>
      <c r="O21" s="2048">
        <v>0</v>
      </c>
      <c r="P21" s="2049"/>
      <c r="Q21" s="19" t="e">
        <f t="shared" si="1"/>
        <v>#DIV/0!</v>
      </c>
      <c r="R21" s="2048">
        <v>0</v>
      </c>
      <c r="S21" s="2049">
        <v>133</v>
      </c>
      <c r="T21" s="19" t="e">
        <f t="shared" si="2"/>
        <v>#DIV/0!</v>
      </c>
      <c r="U21" s="2048">
        <v>0</v>
      </c>
      <c r="V21" s="2049">
        <v>7</v>
      </c>
      <c r="W21" s="19" t="e">
        <f t="shared" si="3"/>
        <v>#DIV/0!</v>
      </c>
      <c r="X21" s="2048">
        <v>0</v>
      </c>
      <c r="Y21" s="2049">
        <v>12</v>
      </c>
      <c r="Z21" s="19" t="e">
        <f t="shared" si="4"/>
        <v>#DIV/0!</v>
      </c>
      <c r="AA21" s="2048">
        <v>0</v>
      </c>
      <c r="AB21" s="2049">
        <v>25</v>
      </c>
      <c r="AC21" s="19" t="e">
        <f t="shared" si="5"/>
        <v>#DIV/0!</v>
      </c>
      <c r="AD21" s="2050">
        <f t="shared" si="6"/>
        <v>177</v>
      </c>
      <c r="AE21" s="19">
        <f t="shared" si="7"/>
        <v>0.26029411764705884</v>
      </c>
      <c r="AF21" s="2048">
        <v>0</v>
      </c>
      <c r="AG21" s="2049">
        <v>79</v>
      </c>
      <c r="AH21" s="19" t="e">
        <f t="shared" si="8"/>
        <v>#DIV/0!</v>
      </c>
      <c r="AI21" s="2048">
        <v>0</v>
      </c>
      <c r="AJ21" s="2049">
        <v>7</v>
      </c>
      <c r="AK21" s="19" t="e">
        <f t="shared" si="9"/>
        <v>#DIV/0!</v>
      </c>
      <c r="AL21" s="2048">
        <v>0</v>
      </c>
      <c r="AM21" s="2049">
        <v>17</v>
      </c>
      <c r="AN21" s="19" t="e">
        <f t="shared" si="10"/>
        <v>#DIV/0!</v>
      </c>
      <c r="AO21" s="2048">
        <v>678</v>
      </c>
      <c r="AP21" s="2049">
        <v>19</v>
      </c>
      <c r="AQ21" s="19">
        <f t="shared" si="11"/>
        <v>2.8023598820058997E-2</v>
      </c>
      <c r="AR21" s="2048">
        <v>0</v>
      </c>
      <c r="AS21" s="2049">
        <v>14</v>
      </c>
      <c r="AT21" s="19" t="e">
        <f t="shared" si="12"/>
        <v>#DIV/0!</v>
      </c>
      <c r="AU21" s="2048">
        <v>2</v>
      </c>
      <c r="AV21" s="2049">
        <v>9</v>
      </c>
      <c r="AW21" s="19">
        <f t="shared" si="13"/>
        <v>4.5</v>
      </c>
      <c r="AX21" s="2031">
        <f>+M21+P21+S21+V21+Y21+AB21+AG21+AJ21+AM21+AP21+AS21+AV21</f>
        <v>322</v>
      </c>
      <c r="AY21" s="19">
        <f>+AX21/G21</f>
        <v>0.47352941176470587</v>
      </c>
    </row>
    <row r="22" spans="1:51" ht="61.5" thickTop="1" thickBot="1">
      <c r="A22" s="2944"/>
      <c r="B22" s="3176"/>
      <c r="C22" s="1964" t="s">
        <v>113</v>
      </c>
      <c r="D22" s="1962" t="s">
        <v>114</v>
      </c>
      <c r="E22" s="1976" t="s">
        <v>115</v>
      </c>
      <c r="F22" s="1977" t="s">
        <v>10</v>
      </c>
      <c r="G22" s="1993">
        <v>1</v>
      </c>
      <c r="H22" s="1977"/>
      <c r="I22" s="1980"/>
      <c r="J22" s="1977"/>
      <c r="K22" s="1976" t="s">
        <v>20</v>
      </c>
      <c r="L22" s="2007">
        <v>0</v>
      </c>
      <c r="M22" s="2008"/>
      <c r="N22" s="19" t="e">
        <f t="shared" si="0"/>
        <v>#DIV/0!</v>
      </c>
      <c r="O22" s="2007">
        <v>0</v>
      </c>
      <c r="P22" s="2008"/>
      <c r="Q22" s="19" t="e">
        <f t="shared" si="1"/>
        <v>#DIV/0!</v>
      </c>
      <c r="R22" s="2007">
        <v>0.25</v>
      </c>
      <c r="S22" s="2008">
        <v>0.25</v>
      </c>
      <c r="T22" s="19">
        <f t="shared" si="2"/>
        <v>1</v>
      </c>
      <c r="U22" s="2007">
        <v>0</v>
      </c>
      <c r="V22" s="2008"/>
      <c r="W22" s="19" t="e">
        <f t="shared" si="3"/>
        <v>#DIV/0!</v>
      </c>
      <c r="X22" s="2007">
        <v>0</v>
      </c>
      <c r="Y22" s="2046"/>
      <c r="Z22" s="19" t="e">
        <f t="shared" si="4"/>
        <v>#DIV/0!</v>
      </c>
      <c r="AA22" s="2007">
        <v>0.25</v>
      </c>
      <c r="AB22" s="2008">
        <v>0.25</v>
      </c>
      <c r="AC22" s="19">
        <f t="shared" si="5"/>
        <v>1</v>
      </c>
      <c r="AD22" s="2001">
        <f t="shared" si="6"/>
        <v>0.5</v>
      </c>
      <c r="AE22" s="19">
        <f t="shared" si="7"/>
        <v>0.5</v>
      </c>
      <c r="AF22" s="2007">
        <v>0</v>
      </c>
      <c r="AG22" s="2008"/>
      <c r="AH22" s="19" t="e">
        <f t="shared" si="8"/>
        <v>#DIV/0!</v>
      </c>
      <c r="AI22" s="2007">
        <v>0</v>
      </c>
      <c r="AJ22" s="2008"/>
      <c r="AK22" s="19" t="e">
        <f t="shared" si="9"/>
        <v>#DIV/0!</v>
      </c>
      <c r="AL22" s="2007">
        <v>0.25</v>
      </c>
      <c r="AM22" s="2008">
        <v>0.25</v>
      </c>
      <c r="AN22" s="19">
        <f t="shared" si="10"/>
        <v>1</v>
      </c>
      <c r="AO22" s="2007">
        <v>0</v>
      </c>
      <c r="AP22" s="2008"/>
      <c r="AQ22" s="19" t="e">
        <f t="shared" si="11"/>
        <v>#DIV/0!</v>
      </c>
      <c r="AR22" s="2007">
        <v>0</v>
      </c>
      <c r="AS22" s="2008">
        <v>0</v>
      </c>
      <c r="AT22" s="19" t="e">
        <f t="shared" si="12"/>
        <v>#DIV/0!</v>
      </c>
      <c r="AU22" s="2007">
        <v>0.25</v>
      </c>
      <c r="AV22" s="2008">
        <v>0.25</v>
      </c>
      <c r="AW22" s="19">
        <f t="shared" si="13"/>
        <v>1</v>
      </c>
      <c r="AX22" s="2022">
        <f t="shared" si="14"/>
        <v>1</v>
      </c>
      <c r="AY22" s="19">
        <f t="shared" si="15"/>
        <v>1</v>
      </c>
    </row>
    <row r="23" spans="1:51" ht="61.5" thickTop="1" thickBot="1">
      <c r="A23" s="2944"/>
      <c r="B23" s="3176"/>
      <c r="C23" s="3184" t="s">
        <v>275</v>
      </c>
      <c r="D23" s="1961" t="s">
        <v>205</v>
      </c>
      <c r="E23" s="1973" t="s">
        <v>206</v>
      </c>
      <c r="F23" s="1974" t="s">
        <v>24</v>
      </c>
      <c r="G23" s="1991">
        <v>8</v>
      </c>
      <c r="H23" s="1974"/>
      <c r="I23" s="1975"/>
      <c r="J23" s="1974"/>
      <c r="K23" s="1973" t="s">
        <v>932</v>
      </c>
      <c r="L23" s="2048">
        <v>0</v>
      </c>
      <c r="M23" s="2049"/>
      <c r="N23" s="19" t="e">
        <f t="shared" si="0"/>
        <v>#DIV/0!</v>
      </c>
      <c r="O23" s="2048">
        <v>0</v>
      </c>
      <c r="P23" s="2049"/>
      <c r="Q23" s="19" t="e">
        <f t="shared" si="1"/>
        <v>#DIV/0!</v>
      </c>
      <c r="R23" s="2048">
        <v>0</v>
      </c>
      <c r="S23" s="2049"/>
      <c r="T23" s="19" t="e">
        <f t="shared" si="2"/>
        <v>#DIV/0!</v>
      </c>
      <c r="U23" s="2048">
        <v>0</v>
      </c>
      <c r="V23" s="2049"/>
      <c r="W23" s="19" t="e">
        <f t="shared" si="3"/>
        <v>#DIV/0!</v>
      </c>
      <c r="X23" s="2048">
        <v>4</v>
      </c>
      <c r="Y23" s="2046"/>
      <c r="Z23" s="19">
        <f t="shared" si="4"/>
        <v>0</v>
      </c>
      <c r="AA23" s="2051">
        <v>0</v>
      </c>
      <c r="AB23" s="2049"/>
      <c r="AC23" s="19" t="e">
        <f t="shared" si="5"/>
        <v>#DIV/0!</v>
      </c>
      <c r="AD23" s="2050">
        <f>+Y23</f>
        <v>0</v>
      </c>
      <c r="AE23" s="19">
        <f t="shared" si="7"/>
        <v>0</v>
      </c>
      <c r="AF23" s="2048">
        <v>0</v>
      </c>
      <c r="AG23" s="2049"/>
      <c r="AH23" s="19" t="e">
        <f t="shared" si="8"/>
        <v>#DIV/0!</v>
      </c>
      <c r="AI23" s="2048">
        <v>0</v>
      </c>
      <c r="AJ23" s="2049"/>
      <c r="AK23" s="19" t="e">
        <f t="shared" si="9"/>
        <v>#DIV/0!</v>
      </c>
      <c r="AL23" s="2048">
        <v>4</v>
      </c>
      <c r="AM23" s="2049"/>
      <c r="AN23" s="19">
        <f t="shared" si="10"/>
        <v>0</v>
      </c>
      <c r="AO23" s="2048">
        <v>0</v>
      </c>
      <c r="AP23" s="2049"/>
      <c r="AQ23" s="19" t="e">
        <f t="shared" si="11"/>
        <v>#DIV/0!</v>
      </c>
      <c r="AR23" s="2048">
        <v>0</v>
      </c>
      <c r="AS23" s="2049">
        <v>8</v>
      </c>
      <c r="AT23" s="19" t="e">
        <f t="shared" si="12"/>
        <v>#DIV/0!</v>
      </c>
      <c r="AU23" s="2048">
        <v>0</v>
      </c>
      <c r="AV23" s="2049"/>
      <c r="AW23" s="19" t="e">
        <f t="shared" si="13"/>
        <v>#DIV/0!</v>
      </c>
      <c r="AX23" s="2031">
        <f>+Y23+AG23+AJ23+AM23+AP23+AS23+AV23</f>
        <v>8</v>
      </c>
      <c r="AY23" s="19">
        <f t="shared" si="15"/>
        <v>1</v>
      </c>
    </row>
    <row r="24" spans="1:51" ht="31.5" thickTop="1" thickBot="1">
      <c r="A24" s="2944"/>
      <c r="B24" s="3176"/>
      <c r="C24" s="2912"/>
      <c r="D24" s="1962" t="s">
        <v>207</v>
      </c>
      <c r="E24" s="1976" t="s">
        <v>206</v>
      </c>
      <c r="F24" s="1977" t="s">
        <v>24</v>
      </c>
      <c r="G24" s="1990">
        <v>6</v>
      </c>
      <c r="H24" s="1977"/>
      <c r="I24" s="1980"/>
      <c r="J24" s="1977"/>
      <c r="K24" s="1976" t="s">
        <v>932</v>
      </c>
      <c r="L24" s="2042">
        <v>0</v>
      </c>
      <c r="M24" s="2044"/>
      <c r="N24" s="19" t="e">
        <f t="shared" si="0"/>
        <v>#DIV/0!</v>
      </c>
      <c r="O24" s="2042">
        <v>0</v>
      </c>
      <c r="P24" s="2044"/>
      <c r="Q24" s="19" t="e">
        <f t="shared" si="1"/>
        <v>#DIV/0!</v>
      </c>
      <c r="R24" s="2042">
        <v>0</v>
      </c>
      <c r="S24" s="2044"/>
      <c r="T24" s="19" t="e">
        <f t="shared" si="2"/>
        <v>#DIV/0!</v>
      </c>
      <c r="U24" s="2042">
        <v>0</v>
      </c>
      <c r="V24" s="2044"/>
      <c r="W24" s="19" t="e">
        <f t="shared" si="3"/>
        <v>#DIV/0!</v>
      </c>
      <c r="X24" s="2042">
        <v>3</v>
      </c>
      <c r="Y24" s="2046"/>
      <c r="Z24" s="19">
        <f t="shared" si="4"/>
        <v>0</v>
      </c>
      <c r="AA24" s="2052">
        <v>0</v>
      </c>
      <c r="AB24" s="2044"/>
      <c r="AC24" s="19" t="e">
        <f t="shared" si="5"/>
        <v>#DIV/0!</v>
      </c>
      <c r="AD24" s="2045">
        <f>+Y24</f>
        <v>0</v>
      </c>
      <c r="AE24" s="19">
        <f t="shared" si="7"/>
        <v>0</v>
      </c>
      <c r="AF24" s="2042">
        <v>0</v>
      </c>
      <c r="AG24" s="2044"/>
      <c r="AH24" s="19" t="e">
        <f t="shared" si="8"/>
        <v>#DIV/0!</v>
      </c>
      <c r="AI24" s="2042">
        <v>0</v>
      </c>
      <c r="AJ24" s="2044"/>
      <c r="AK24" s="19" t="e">
        <f t="shared" si="9"/>
        <v>#DIV/0!</v>
      </c>
      <c r="AL24" s="2042">
        <v>0</v>
      </c>
      <c r="AM24" s="2044"/>
      <c r="AN24" s="19" t="e">
        <f t="shared" si="10"/>
        <v>#DIV/0!</v>
      </c>
      <c r="AO24" s="2042">
        <v>3</v>
      </c>
      <c r="AP24" s="2044"/>
      <c r="AQ24" s="19">
        <f t="shared" si="11"/>
        <v>0</v>
      </c>
      <c r="AR24" s="2042">
        <v>0</v>
      </c>
      <c r="AS24" s="2044">
        <v>6</v>
      </c>
      <c r="AT24" s="19" t="e">
        <f t="shared" si="12"/>
        <v>#DIV/0!</v>
      </c>
      <c r="AU24" s="2042">
        <v>0</v>
      </c>
      <c r="AV24" s="2044"/>
      <c r="AW24" s="19" t="e">
        <f t="shared" si="13"/>
        <v>#DIV/0!</v>
      </c>
      <c r="AX24" s="2031">
        <f>+Y24+AG24+AJ24+AM24+AP24+AS24+AV24</f>
        <v>6</v>
      </c>
      <c r="AY24" s="19">
        <f t="shared" si="15"/>
        <v>1</v>
      </c>
    </row>
    <row r="25" spans="1:51" ht="46.5" thickTop="1" thickBot="1">
      <c r="A25" s="2944"/>
      <c r="B25" s="3176"/>
      <c r="C25" s="3185"/>
      <c r="D25" s="1961" t="s">
        <v>433</v>
      </c>
      <c r="E25" s="1973" t="s">
        <v>209</v>
      </c>
      <c r="F25" s="1974" t="s">
        <v>10</v>
      </c>
      <c r="G25" s="2009">
        <v>0.73</v>
      </c>
      <c r="H25" s="1974"/>
      <c r="I25" s="1975"/>
      <c r="J25" s="1974"/>
      <c r="K25" s="1973" t="s">
        <v>932</v>
      </c>
      <c r="L25" s="2009">
        <v>0.73</v>
      </c>
      <c r="M25" s="2010">
        <v>0.57099999999999995</v>
      </c>
      <c r="N25" s="19">
        <f t="shared" si="0"/>
        <v>0.78219178082191776</v>
      </c>
      <c r="O25" s="2009">
        <v>0.73</v>
      </c>
      <c r="P25" s="2010">
        <v>0.312</v>
      </c>
      <c r="Q25" s="19">
        <f t="shared" si="1"/>
        <v>0.42739726027397262</v>
      </c>
      <c r="R25" s="2009">
        <v>0.73</v>
      </c>
      <c r="S25" s="2010">
        <v>8.14E-2</v>
      </c>
      <c r="T25" s="19">
        <f t="shared" si="2"/>
        <v>0.11150684931506849</v>
      </c>
      <c r="U25" s="2009">
        <v>0.73</v>
      </c>
      <c r="V25" s="2010" t="s">
        <v>933</v>
      </c>
      <c r="W25" s="2010" t="s">
        <v>933</v>
      </c>
      <c r="X25" s="2009">
        <v>0.73</v>
      </c>
      <c r="Y25" s="2010" t="s">
        <v>933</v>
      </c>
      <c r="Z25" s="2010" t="s">
        <v>933</v>
      </c>
      <c r="AA25" s="2009">
        <v>0.73</v>
      </c>
      <c r="AB25" s="2010">
        <v>7.3999999999999996E-2</v>
      </c>
      <c r="AC25" s="19">
        <f t="shared" si="5"/>
        <v>0.10136986301369863</v>
      </c>
      <c r="AD25" s="2000">
        <f>(M25+P25+S25+AB25)/4</f>
        <v>0.2596</v>
      </c>
      <c r="AE25" s="19">
        <f t="shared" si="7"/>
        <v>0.35561643835616441</v>
      </c>
      <c r="AF25" s="2009">
        <v>0.73</v>
      </c>
      <c r="AG25" s="2010">
        <v>0.113</v>
      </c>
      <c r="AH25" s="19">
        <f t="shared" si="8"/>
        <v>0.15479452054794521</v>
      </c>
      <c r="AI25" s="2009">
        <v>0.73</v>
      </c>
      <c r="AJ25" s="2010">
        <v>0.26800000000000002</v>
      </c>
      <c r="AK25" s="19">
        <f t="shared" si="9"/>
        <v>0.36712328767123292</v>
      </c>
      <c r="AL25" s="2009">
        <v>0.73</v>
      </c>
      <c r="AM25" s="2010">
        <v>0.39900000000000002</v>
      </c>
      <c r="AN25" s="19">
        <f t="shared" si="10"/>
        <v>0.54657534246575346</v>
      </c>
      <c r="AO25" s="2009">
        <v>0.73</v>
      </c>
      <c r="AP25" s="2010">
        <v>0.42299999999999999</v>
      </c>
      <c r="AQ25" s="19">
        <f t="shared" si="11"/>
        <v>0.57945205479452055</v>
      </c>
      <c r="AR25" s="2009">
        <v>0.73</v>
      </c>
      <c r="AS25" s="2010">
        <v>0.57199999999999995</v>
      </c>
      <c r="AT25" s="19">
        <f t="shared" si="12"/>
        <v>0.78356164383561644</v>
      </c>
      <c r="AU25" s="2009">
        <v>0.73</v>
      </c>
      <c r="AV25" s="2010">
        <v>0.71899999999999997</v>
      </c>
      <c r="AW25" s="19">
        <f t="shared" si="13"/>
        <v>0.98493150684931507</v>
      </c>
      <c r="AX25" s="2021">
        <f>AV25</f>
        <v>0.71899999999999997</v>
      </c>
      <c r="AY25" s="19">
        <f t="shared" si="15"/>
        <v>0.98493150684931507</v>
      </c>
    </row>
    <row r="26" spans="1:51" ht="46.5" thickTop="1" thickBot="1">
      <c r="A26" s="2944"/>
      <c r="B26" s="3176"/>
      <c r="C26" s="1964" t="s">
        <v>174</v>
      </c>
      <c r="D26" s="1962" t="s">
        <v>116</v>
      </c>
      <c r="E26" s="1976" t="s">
        <v>117</v>
      </c>
      <c r="F26" s="1977" t="s">
        <v>17</v>
      </c>
      <c r="G26" s="1994">
        <v>6443</v>
      </c>
      <c r="H26" s="1977"/>
      <c r="I26" s="1980"/>
      <c r="J26" s="1977"/>
      <c r="K26" s="1976" t="s">
        <v>118</v>
      </c>
      <c r="L26" s="2042">
        <v>0</v>
      </c>
      <c r="M26" s="2044"/>
      <c r="N26" s="19" t="e">
        <f t="shared" si="0"/>
        <v>#DIV/0!</v>
      </c>
      <c r="O26" s="2042">
        <v>0</v>
      </c>
      <c r="P26" s="2044"/>
      <c r="Q26" s="19" t="e">
        <f t="shared" si="1"/>
        <v>#DIV/0!</v>
      </c>
      <c r="R26" s="2042">
        <v>1224</v>
      </c>
      <c r="S26" s="2044">
        <v>1683</v>
      </c>
      <c r="T26" s="19">
        <f t="shared" si="2"/>
        <v>1.375</v>
      </c>
      <c r="U26" s="2042">
        <v>994</v>
      </c>
      <c r="V26" s="2044">
        <v>95</v>
      </c>
      <c r="W26" s="19">
        <f t="shared" si="3"/>
        <v>9.5573440643863181E-2</v>
      </c>
      <c r="X26" s="2042">
        <v>289</v>
      </c>
      <c r="Y26" s="2044">
        <v>123</v>
      </c>
      <c r="Z26" s="19">
        <f t="shared" si="4"/>
        <v>0.42560553633217996</v>
      </c>
      <c r="AA26" s="2042">
        <v>325</v>
      </c>
      <c r="AB26" s="2044">
        <v>219</v>
      </c>
      <c r="AC26" s="19">
        <f t="shared" si="5"/>
        <v>0.67384615384615387</v>
      </c>
      <c r="AD26" s="2045">
        <f t="shared" si="6"/>
        <v>2120</v>
      </c>
      <c r="AE26" s="19">
        <f t="shared" si="7"/>
        <v>0.3290392674220084</v>
      </c>
      <c r="AF26" s="2042">
        <v>599</v>
      </c>
      <c r="AG26" s="2044">
        <v>636</v>
      </c>
      <c r="AH26" s="19">
        <f t="shared" si="8"/>
        <v>1.0617696160267112</v>
      </c>
      <c r="AI26" s="2042">
        <v>915</v>
      </c>
      <c r="AJ26" s="2044">
        <v>740</v>
      </c>
      <c r="AK26" s="19">
        <f t="shared" si="9"/>
        <v>0.80874316939890711</v>
      </c>
      <c r="AL26" s="2042">
        <v>1242</v>
      </c>
      <c r="AM26" s="2044">
        <v>834</v>
      </c>
      <c r="AN26" s="19">
        <f t="shared" si="10"/>
        <v>0.67149758454106279</v>
      </c>
      <c r="AO26" s="2042">
        <v>485</v>
      </c>
      <c r="AP26" s="2044">
        <v>910</v>
      </c>
      <c r="AQ26" s="19">
        <f t="shared" si="11"/>
        <v>1.8762886597938144</v>
      </c>
      <c r="AR26" s="2042">
        <v>333</v>
      </c>
      <c r="AS26" s="2044">
        <v>4236</v>
      </c>
      <c r="AT26" s="19">
        <f t="shared" si="12"/>
        <v>12.72072072072072</v>
      </c>
      <c r="AU26" s="2042">
        <v>37</v>
      </c>
      <c r="AV26" s="2044">
        <v>1159</v>
      </c>
      <c r="AW26" s="19">
        <f t="shared" si="13"/>
        <v>31.324324324324323</v>
      </c>
      <c r="AX26" s="2028">
        <f t="shared" si="14"/>
        <v>10635</v>
      </c>
      <c r="AY26" s="19">
        <f t="shared" si="15"/>
        <v>1.6506285891665373</v>
      </c>
    </row>
    <row r="27" spans="1:51" ht="61.5" thickTop="1" thickBot="1">
      <c r="A27" s="2944"/>
      <c r="B27" s="3176"/>
      <c r="C27" s="2911" t="s">
        <v>119</v>
      </c>
      <c r="D27" s="86" t="s">
        <v>120</v>
      </c>
      <c r="E27" s="87" t="s">
        <v>121</v>
      </c>
      <c r="F27" s="81" t="s">
        <v>10</v>
      </c>
      <c r="G27" s="1995">
        <v>0.64100000000000001</v>
      </c>
      <c r="H27" s="82"/>
      <c r="I27" s="88"/>
      <c r="J27" s="82"/>
      <c r="K27" s="81" t="s">
        <v>7</v>
      </c>
      <c r="L27" s="2009">
        <v>0</v>
      </c>
      <c r="M27" s="2010"/>
      <c r="N27" s="19" t="e">
        <f t="shared" si="0"/>
        <v>#DIV/0!</v>
      </c>
      <c r="O27" s="2009">
        <v>0</v>
      </c>
      <c r="P27" s="2010"/>
      <c r="Q27" s="19" t="e">
        <f t="shared" si="1"/>
        <v>#DIV/0!</v>
      </c>
      <c r="R27" s="2009">
        <v>0</v>
      </c>
      <c r="S27" s="2010"/>
      <c r="T27" s="19" t="e">
        <f t="shared" si="2"/>
        <v>#DIV/0!</v>
      </c>
      <c r="U27" s="2009">
        <v>0</v>
      </c>
      <c r="V27" s="2010"/>
      <c r="W27" s="19" t="e">
        <f t="shared" si="3"/>
        <v>#DIV/0!</v>
      </c>
      <c r="X27" s="2009">
        <v>0</v>
      </c>
      <c r="Y27" s="2046"/>
      <c r="Z27" s="19" t="e">
        <f t="shared" si="4"/>
        <v>#DIV/0!</v>
      </c>
      <c r="AA27" s="2009">
        <v>0</v>
      </c>
      <c r="AB27" s="2010"/>
      <c r="AC27" s="19" t="e">
        <f t="shared" si="5"/>
        <v>#DIV/0!</v>
      </c>
      <c r="AD27" s="2004">
        <f t="shared" si="6"/>
        <v>0</v>
      </c>
      <c r="AE27" s="19">
        <f t="shared" si="7"/>
        <v>0</v>
      </c>
      <c r="AF27" s="2009">
        <v>0</v>
      </c>
      <c r="AG27" s="2010"/>
      <c r="AH27" s="19" t="e">
        <f t="shared" si="8"/>
        <v>#DIV/0!</v>
      </c>
      <c r="AI27" s="2009">
        <v>0</v>
      </c>
      <c r="AJ27" s="2010"/>
      <c r="AK27" s="19" t="e">
        <f t="shared" si="9"/>
        <v>#DIV/0!</v>
      </c>
      <c r="AL27" s="2009">
        <v>0</v>
      </c>
      <c r="AM27" s="2010"/>
      <c r="AN27" s="19" t="e">
        <f t="shared" si="10"/>
        <v>#DIV/0!</v>
      </c>
      <c r="AO27" s="2009">
        <v>0</v>
      </c>
      <c r="AP27" s="2010"/>
      <c r="AQ27" s="19" t="e">
        <f t="shared" si="11"/>
        <v>#DIV/0!</v>
      </c>
      <c r="AR27" s="2009">
        <v>0</v>
      </c>
      <c r="AS27" s="2010">
        <v>0</v>
      </c>
      <c r="AT27" s="19" t="e">
        <f t="shared" si="12"/>
        <v>#DIV/0!</v>
      </c>
      <c r="AU27" s="2009">
        <v>0.64100000000000001</v>
      </c>
      <c r="AV27" s="2010">
        <v>0.8</v>
      </c>
      <c r="AW27" s="19">
        <f t="shared" si="13"/>
        <v>1.2480499219968799</v>
      </c>
      <c r="AX27" s="2021">
        <f>+AV27</f>
        <v>0.8</v>
      </c>
      <c r="AY27" s="19">
        <f t="shared" si="15"/>
        <v>1.2480499219968799</v>
      </c>
    </row>
    <row r="28" spans="1:51" ht="61.5" thickTop="1" thickBot="1">
      <c r="A28" s="2944"/>
      <c r="B28" s="3176"/>
      <c r="C28" s="2912"/>
      <c r="D28" s="89" t="s">
        <v>175</v>
      </c>
      <c r="E28" s="90" t="s">
        <v>123</v>
      </c>
      <c r="F28" s="76" t="s">
        <v>10</v>
      </c>
      <c r="G28" s="1996">
        <v>1</v>
      </c>
      <c r="H28" s="78"/>
      <c r="I28" s="91"/>
      <c r="J28" s="78"/>
      <c r="K28" s="76" t="s">
        <v>7</v>
      </c>
      <c r="L28" s="2007">
        <v>0</v>
      </c>
      <c r="M28" s="2008"/>
      <c r="N28" s="19" t="e">
        <f t="shared" si="0"/>
        <v>#DIV/0!</v>
      </c>
      <c r="O28" s="2007">
        <v>0</v>
      </c>
      <c r="P28" s="2008"/>
      <c r="Q28" s="19" t="e">
        <f t="shared" si="1"/>
        <v>#DIV/0!</v>
      </c>
      <c r="R28" s="2007">
        <v>0</v>
      </c>
      <c r="S28" s="2008"/>
      <c r="T28" s="19" t="e">
        <f t="shared" si="2"/>
        <v>#DIV/0!</v>
      </c>
      <c r="U28" s="2007">
        <v>1</v>
      </c>
      <c r="V28" s="2008">
        <v>1</v>
      </c>
      <c r="W28" s="19">
        <f t="shared" si="3"/>
        <v>1</v>
      </c>
      <c r="X28" s="2007">
        <v>0</v>
      </c>
      <c r="Y28" s="2046"/>
      <c r="Z28" s="19" t="e">
        <f t="shared" si="4"/>
        <v>#DIV/0!</v>
      </c>
      <c r="AA28" s="2007">
        <v>0</v>
      </c>
      <c r="AB28" s="2008"/>
      <c r="AC28" s="19" t="e">
        <f t="shared" si="5"/>
        <v>#DIV/0!</v>
      </c>
      <c r="AD28" s="2001">
        <f>+V28</f>
        <v>1</v>
      </c>
      <c r="AE28" s="19">
        <f t="shared" si="7"/>
        <v>1</v>
      </c>
      <c r="AF28" s="2007">
        <v>0</v>
      </c>
      <c r="AG28" s="2008"/>
      <c r="AH28" s="19" t="e">
        <f t="shared" si="8"/>
        <v>#DIV/0!</v>
      </c>
      <c r="AI28" s="2007">
        <v>0</v>
      </c>
      <c r="AJ28" s="2008"/>
      <c r="AK28" s="19" t="e">
        <f t="shared" si="9"/>
        <v>#DIV/0!</v>
      </c>
      <c r="AL28" s="2007">
        <v>0</v>
      </c>
      <c r="AM28" s="2008"/>
      <c r="AN28" s="19" t="e">
        <f t="shared" si="10"/>
        <v>#DIV/0!</v>
      </c>
      <c r="AO28" s="2007">
        <v>1</v>
      </c>
      <c r="AP28" s="2008">
        <v>1</v>
      </c>
      <c r="AQ28" s="19">
        <f t="shared" si="11"/>
        <v>1</v>
      </c>
      <c r="AR28" s="2007">
        <v>0</v>
      </c>
      <c r="AS28" s="2008">
        <v>0</v>
      </c>
      <c r="AT28" s="19" t="e">
        <f t="shared" si="12"/>
        <v>#DIV/0!</v>
      </c>
      <c r="AU28" s="2007">
        <v>0</v>
      </c>
      <c r="AV28" s="2008"/>
      <c r="AW28" s="19" t="e">
        <f t="shared" si="13"/>
        <v>#DIV/0!</v>
      </c>
      <c r="AX28" s="2022">
        <f>(V28+AP28)/2</f>
        <v>1</v>
      </c>
      <c r="AY28" s="19">
        <f t="shared" si="15"/>
        <v>1</v>
      </c>
    </row>
    <row r="29" spans="1:51" ht="61.5" thickTop="1" thickBot="1">
      <c r="A29" s="2944"/>
      <c r="B29" s="3176"/>
      <c r="C29" s="2912"/>
      <c r="D29" s="86" t="s">
        <v>124</v>
      </c>
      <c r="E29" s="87" t="s">
        <v>125</v>
      </c>
      <c r="F29" s="81" t="s">
        <v>10</v>
      </c>
      <c r="G29" s="1995">
        <v>1</v>
      </c>
      <c r="H29" s="82"/>
      <c r="I29" s="88"/>
      <c r="J29" s="82"/>
      <c r="K29" s="81" t="s">
        <v>7</v>
      </c>
      <c r="L29" s="2009">
        <v>0</v>
      </c>
      <c r="M29" s="2010"/>
      <c r="N29" s="19" t="e">
        <f t="shared" si="0"/>
        <v>#DIV/0!</v>
      </c>
      <c r="O29" s="2009">
        <v>0</v>
      </c>
      <c r="P29" s="2010"/>
      <c r="Q29" s="19" t="e">
        <f t="shared" si="1"/>
        <v>#DIV/0!</v>
      </c>
      <c r="R29" s="2009">
        <v>1</v>
      </c>
      <c r="S29" s="2010">
        <v>0.7</v>
      </c>
      <c r="T29" s="19">
        <f t="shared" si="2"/>
        <v>0.7</v>
      </c>
      <c r="U29" s="2009">
        <v>0</v>
      </c>
      <c r="V29" s="2010"/>
      <c r="W29" s="19" t="e">
        <f t="shared" si="3"/>
        <v>#DIV/0!</v>
      </c>
      <c r="X29" s="2009">
        <v>0</v>
      </c>
      <c r="Y29" s="2046"/>
      <c r="Z29" s="19" t="e">
        <f t="shared" si="4"/>
        <v>#DIV/0!</v>
      </c>
      <c r="AA29" s="2009">
        <v>1</v>
      </c>
      <c r="AB29" s="2010">
        <v>1</v>
      </c>
      <c r="AC29" s="19">
        <f t="shared" si="5"/>
        <v>1</v>
      </c>
      <c r="AD29" s="2000">
        <f>(S29+AB29)/2</f>
        <v>0.85</v>
      </c>
      <c r="AE29" s="19">
        <f t="shared" si="7"/>
        <v>0.85</v>
      </c>
      <c r="AF29" s="2009">
        <v>0</v>
      </c>
      <c r="AG29" s="2010"/>
      <c r="AH29" s="19" t="e">
        <f t="shared" si="8"/>
        <v>#DIV/0!</v>
      </c>
      <c r="AI29" s="2009">
        <v>0</v>
      </c>
      <c r="AJ29" s="2010"/>
      <c r="AK29" s="19" t="e">
        <f t="shared" si="9"/>
        <v>#DIV/0!</v>
      </c>
      <c r="AL29" s="2009">
        <v>1</v>
      </c>
      <c r="AM29" s="2010">
        <v>1</v>
      </c>
      <c r="AN29" s="19">
        <f t="shared" si="10"/>
        <v>1</v>
      </c>
      <c r="AO29" s="2009">
        <v>0</v>
      </c>
      <c r="AP29" s="2010">
        <v>1</v>
      </c>
      <c r="AQ29" s="19" t="e">
        <f t="shared" si="11"/>
        <v>#DIV/0!</v>
      </c>
      <c r="AR29" s="2009">
        <v>0</v>
      </c>
      <c r="AS29" s="2010">
        <v>1</v>
      </c>
      <c r="AT29" s="19" t="e">
        <f t="shared" si="12"/>
        <v>#DIV/0!</v>
      </c>
      <c r="AU29" s="2009">
        <v>1</v>
      </c>
      <c r="AV29" s="2010">
        <v>1</v>
      </c>
      <c r="AW29" s="19">
        <f t="shared" si="13"/>
        <v>1</v>
      </c>
      <c r="AX29" s="2021">
        <f>(S29+AB29+AM29+AV29)/4</f>
        <v>0.92500000000000004</v>
      </c>
      <c r="AY29" s="19">
        <f t="shared" si="15"/>
        <v>0.92500000000000004</v>
      </c>
    </row>
    <row r="30" spans="1:51" ht="46.5" thickTop="1" thickBot="1">
      <c r="A30" s="2944"/>
      <c r="B30" s="3176"/>
      <c r="C30" s="2912"/>
      <c r="D30" s="89" t="s">
        <v>177</v>
      </c>
      <c r="E30" s="90" t="s">
        <v>127</v>
      </c>
      <c r="F30" s="76" t="s">
        <v>10</v>
      </c>
      <c r="G30" s="1996">
        <v>0.6</v>
      </c>
      <c r="H30" s="78"/>
      <c r="I30" s="91"/>
      <c r="J30" s="78"/>
      <c r="K30" s="76" t="s">
        <v>7</v>
      </c>
      <c r="L30" s="2007">
        <v>0.6</v>
      </c>
      <c r="M30" s="2008">
        <v>0.6</v>
      </c>
      <c r="N30" s="19">
        <f t="shared" si="0"/>
        <v>1</v>
      </c>
      <c r="O30" s="2007">
        <v>0.6</v>
      </c>
      <c r="P30" s="2008">
        <v>0.6</v>
      </c>
      <c r="Q30" s="19">
        <f t="shared" si="1"/>
        <v>1</v>
      </c>
      <c r="R30" s="2007">
        <v>0.6</v>
      </c>
      <c r="S30" s="2008">
        <v>0.6</v>
      </c>
      <c r="T30" s="19">
        <f t="shared" si="2"/>
        <v>1</v>
      </c>
      <c r="U30" s="2007">
        <v>0.6</v>
      </c>
      <c r="V30" s="2008">
        <v>0.6</v>
      </c>
      <c r="W30" s="19">
        <f t="shared" si="3"/>
        <v>1</v>
      </c>
      <c r="X30" s="2007">
        <v>0.6</v>
      </c>
      <c r="Y30" s="2008">
        <v>0.6</v>
      </c>
      <c r="Z30" s="19">
        <f t="shared" si="4"/>
        <v>1</v>
      </c>
      <c r="AA30" s="2007">
        <v>0.6</v>
      </c>
      <c r="AB30" s="2008">
        <v>0.6</v>
      </c>
      <c r="AC30" s="19">
        <f t="shared" si="5"/>
        <v>1</v>
      </c>
      <c r="AD30" s="2001">
        <f>(M30+P30+S30+V30+Y30+AB30)/6</f>
        <v>0.6</v>
      </c>
      <c r="AE30" s="19">
        <f t="shared" si="7"/>
        <v>1</v>
      </c>
      <c r="AF30" s="2007">
        <v>0.6</v>
      </c>
      <c r="AG30" s="2008">
        <v>0.6</v>
      </c>
      <c r="AH30" s="19">
        <f t="shared" si="8"/>
        <v>1</v>
      </c>
      <c r="AI30" s="2007">
        <v>0.6</v>
      </c>
      <c r="AJ30" s="2008">
        <v>0.6</v>
      </c>
      <c r="AK30" s="19">
        <f t="shared" si="9"/>
        <v>1</v>
      </c>
      <c r="AL30" s="2007">
        <v>0.6</v>
      </c>
      <c r="AM30" s="2008">
        <v>0.6</v>
      </c>
      <c r="AN30" s="19">
        <f t="shared" si="10"/>
        <v>1</v>
      </c>
      <c r="AO30" s="2007">
        <v>0.6</v>
      </c>
      <c r="AP30" s="2008">
        <v>0.6</v>
      </c>
      <c r="AQ30" s="19">
        <f t="shared" si="11"/>
        <v>1</v>
      </c>
      <c r="AR30" s="2007">
        <v>0.6</v>
      </c>
      <c r="AS30" s="2008">
        <v>0.6</v>
      </c>
      <c r="AT30" s="19">
        <f t="shared" si="12"/>
        <v>1</v>
      </c>
      <c r="AU30" s="2007">
        <v>0.6</v>
      </c>
      <c r="AV30" s="2008">
        <v>0.6</v>
      </c>
      <c r="AW30" s="19">
        <f t="shared" si="13"/>
        <v>1</v>
      </c>
      <c r="AX30" s="2022">
        <f>(M30+P30+S30+V30+Y30+AB30+AG30+AJ30+AM30+AP30+AS30+AV30)/12</f>
        <v>0.59999999999999987</v>
      </c>
      <c r="AY30" s="19">
        <f t="shared" si="15"/>
        <v>0.99999999999999978</v>
      </c>
    </row>
    <row r="31" spans="1:51" ht="61.5" thickTop="1" thickBot="1">
      <c r="A31" s="2944"/>
      <c r="B31" s="3176"/>
      <c r="C31" s="2912"/>
      <c r="D31" s="86" t="s">
        <v>128</v>
      </c>
      <c r="E31" s="87" t="s">
        <v>129</v>
      </c>
      <c r="F31" s="81" t="s">
        <v>10</v>
      </c>
      <c r="G31" s="1995">
        <v>1</v>
      </c>
      <c r="H31" s="82"/>
      <c r="I31" s="88"/>
      <c r="J31" s="82"/>
      <c r="K31" s="81" t="s">
        <v>7</v>
      </c>
      <c r="L31" s="2009"/>
      <c r="M31" s="2010"/>
      <c r="N31" s="19" t="e">
        <f t="shared" si="0"/>
        <v>#DIV/0!</v>
      </c>
      <c r="O31" s="2009"/>
      <c r="P31" s="2010"/>
      <c r="Q31" s="19" t="e">
        <f t="shared" si="1"/>
        <v>#DIV/0!</v>
      </c>
      <c r="R31" s="2009"/>
      <c r="S31" s="2010"/>
      <c r="T31" s="19" t="e">
        <f t="shared" si="2"/>
        <v>#DIV/0!</v>
      </c>
      <c r="U31" s="2009">
        <v>1</v>
      </c>
      <c r="V31" s="2010">
        <v>0</v>
      </c>
      <c r="W31" s="19">
        <f t="shared" si="3"/>
        <v>0</v>
      </c>
      <c r="X31" s="2009"/>
      <c r="Y31" s="2010"/>
      <c r="Z31" s="19" t="e">
        <f t="shared" si="4"/>
        <v>#DIV/0!</v>
      </c>
      <c r="AA31" s="2009"/>
      <c r="AB31" s="2010"/>
      <c r="AC31" s="19" t="e">
        <f t="shared" si="5"/>
        <v>#DIV/0!</v>
      </c>
      <c r="AD31" s="2000">
        <f>(M31+P31+S31+V31+Y31+AB31)/6</f>
        <v>0</v>
      </c>
      <c r="AE31" s="19">
        <f t="shared" si="7"/>
        <v>0</v>
      </c>
      <c r="AF31" s="2009"/>
      <c r="AG31" s="2010"/>
      <c r="AH31" s="19" t="e">
        <f t="shared" si="8"/>
        <v>#DIV/0!</v>
      </c>
      <c r="AI31" s="2009"/>
      <c r="AJ31" s="2010"/>
      <c r="AK31" s="19" t="e">
        <f t="shared" si="9"/>
        <v>#DIV/0!</v>
      </c>
      <c r="AL31" s="2009">
        <v>1</v>
      </c>
      <c r="AM31" s="2010">
        <v>1</v>
      </c>
      <c r="AN31" s="19">
        <f t="shared" si="10"/>
        <v>1</v>
      </c>
      <c r="AO31" s="2009">
        <v>1</v>
      </c>
      <c r="AP31" s="2010">
        <v>1</v>
      </c>
      <c r="AQ31" s="19">
        <f t="shared" si="11"/>
        <v>1</v>
      </c>
      <c r="AR31" s="2009">
        <v>1</v>
      </c>
      <c r="AS31" s="2010">
        <v>0</v>
      </c>
      <c r="AT31" s="19">
        <f t="shared" si="12"/>
        <v>0</v>
      </c>
      <c r="AU31" s="2009">
        <v>1</v>
      </c>
      <c r="AV31" s="2010">
        <v>1</v>
      </c>
      <c r="AW31" s="19">
        <f t="shared" si="13"/>
        <v>1</v>
      </c>
      <c r="AX31" s="2021">
        <f>+(W31+AM31+AP31+AP31+AT31+AV31)/6</f>
        <v>0.66666666666666663</v>
      </c>
      <c r="AY31" s="19">
        <f>+AX31/G31</f>
        <v>0.66666666666666663</v>
      </c>
    </row>
    <row r="32" spans="1:51" ht="61.5" thickTop="1" thickBot="1">
      <c r="A32" s="2944"/>
      <c r="B32" s="3176"/>
      <c r="C32" s="2912"/>
      <c r="D32" s="89" t="s">
        <v>179</v>
      </c>
      <c r="E32" s="90" t="s">
        <v>131</v>
      </c>
      <c r="F32" s="76" t="s">
        <v>10</v>
      </c>
      <c r="G32" s="1996">
        <v>1</v>
      </c>
      <c r="H32" s="78"/>
      <c r="I32" s="91"/>
      <c r="J32" s="78"/>
      <c r="K32" s="76" t="s">
        <v>7</v>
      </c>
      <c r="L32" s="2007"/>
      <c r="M32" s="2008"/>
      <c r="N32" s="19" t="e">
        <f t="shared" si="0"/>
        <v>#DIV/0!</v>
      </c>
      <c r="O32" s="2007"/>
      <c r="P32" s="2008"/>
      <c r="Q32" s="19" t="e">
        <f t="shared" si="1"/>
        <v>#DIV/0!</v>
      </c>
      <c r="R32" s="2007"/>
      <c r="S32" s="2008"/>
      <c r="T32" s="19" t="e">
        <f t="shared" si="2"/>
        <v>#DIV/0!</v>
      </c>
      <c r="U32" s="2007">
        <v>1</v>
      </c>
      <c r="V32" s="2008">
        <v>0</v>
      </c>
      <c r="W32" s="19">
        <f t="shared" si="3"/>
        <v>0</v>
      </c>
      <c r="X32" s="2007">
        <v>1</v>
      </c>
      <c r="Y32" s="2008">
        <v>0.1</v>
      </c>
      <c r="Z32" s="19">
        <f t="shared" si="4"/>
        <v>0.1</v>
      </c>
      <c r="AA32" s="2007">
        <v>1</v>
      </c>
      <c r="AB32" s="2008">
        <v>0.16669999999999999</v>
      </c>
      <c r="AC32" s="19">
        <f t="shared" si="5"/>
        <v>0.16669999999999999</v>
      </c>
      <c r="AD32" s="2001">
        <f>(M32+P32+S32+V32+Y32+AB32)/6</f>
        <v>4.4449999999999996E-2</v>
      </c>
      <c r="AE32" s="19">
        <f t="shared" si="7"/>
        <v>4.4449999999999996E-2</v>
      </c>
      <c r="AF32" s="2007">
        <v>1</v>
      </c>
      <c r="AG32" s="2008">
        <v>0.23330000000000001</v>
      </c>
      <c r="AH32" s="19">
        <f t="shared" si="8"/>
        <v>0.23330000000000001</v>
      </c>
      <c r="AI32" s="2007">
        <v>1</v>
      </c>
      <c r="AJ32" s="2008">
        <v>0.26669999999999999</v>
      </c>
      <c r="AK32" s="19">
        <f t="shared" si="9"/>
        <v>0.26669999999999999</v>
      </c>
      <c r="AL32" s="2007">
        <v>1</v>
      </c>
      <c r="AM32" s="2008">
        <v>0.3</v>
      </c>
      <c r="AN32" s="19">
        <f t="shared" si="10"/>
        <v>0.3</v>
      </c>
      <c r="AO32" s="2007">
        <v>1</v>
      </c>
      <c r="AP32" s="2008">
        <v>0.33329999999999999</v>
      </c>
      <c r="AQ32" s="19">
        <f t="shared" si="11"/>
        <v>0.33329999999999999</v>
      </c>
      <c r="AR32" s="2007">
        <v>1</v>
      </c>
      <c r="AS32" s="2008">
        <v>0.8</v>
      </c>
      <c r="AT32" s="19">
        <f t="shared" si="12"/>
        <v>0.8</v>
      </c>
      <c r="AU32" s="2007">
        <v>1</v>
      </c>
      <c r="AV32" s="2008">
        <v>1.1200000000000001</v>
      </c>
      <c r="AW32" s="19">
        <f t="shared" si="13"/>
        <v>1.1200000000000001</v>
      </c>
      <c r="AX32" s="2022">
        <f>(M32+P32+S32+V32+Y32+AB32+AG32+AJ32+AM32+AP32+AS32+AV32)/12</f>
        <v>0.27666666666666667</v>
      </c>
      <c r="AY32" s="19">
        <f t="shared" ref="AY32" si="16">+AX32/G32</f>
        <v>0.27666666666666667</v>
      </c>
    </row>
    <row r="33" spans="1:51" ht="61.5" thickTop="1" thickBot="1">
      <c r="A33" s="2944"/>
      <c r="B33" s="3176"/>
      <c r="C33" s="2913"/>
      <c r="D33" s="86" t="s">
        <v>132</v>
      </c>
      <c r="E33" s="87" t="s">
        <v>133</v>
      </c>
      <c r="F33" s="81" t="s">
        <v>10</v>
      </c>
      <c r="G33" s="1995">
        <v>1</v>
      </c>
      <c r="H33" s="81"/>
      <c r="I33" s="88"/>
      <c r="J33" s="81"/>
      <c r="K33" s="81" t="s">
        <v>7</v>
      </c>
      <c r="L33" s="2009">
        <v>0</v>
      </c>
      <c r="M33" s="2010"/>
      <c r="N33" s="19" t="e">
        <f t="shared" si="0"/>
        <v>#DIV/0!</v>
      </c>
      <c r="O33" s="2009">
        <v>0</v>
      </c>
      <c r="P33" s="2010"/>
      <c r="Q33" s="19" t="e">
        <f t="shared" si="1"/>
        <v>#DIV/0!</v>
      </c>
      <c r="R33" s="2009">
        <v>0</v>
      </c>
      <c r="S33" s="2010"/>
      <c r="T33" s="19" t="e">
        <f t="shared" si="2"/>
        <v>#DIV/0!</v>
      </c>
      <c r="U33" s="2009">
        <v>0</v>
      </c>
      <c r="V33" s="2010"/>
      <c r="W33" s="19" t="e">
        <f t="shared" si="3"/>
        <v>#DIV/0!</v>
      </c>
      <c r="X33" s="2009">
        <v>0</v>
      </c>
      <c r="Y33" s="2046"/>
      <c r="Z33" s="19" t="e">
        <f t="shared" si="4"/>
        <v>#DIV/0!</v>
      </c>
      <c r="AA33" s="2009">
        <v>0</v>
      </c>
      <c r="AB33" s="2010"/>
      <c r="AC33" s="19" t="e">
        <f t="shared" si="5"/>
        <v>#DIV/0!</v>
      </c>
      <c r="AD33" s="2000">
        <f t="shared" si="6"/>
        <v>0</v>
      </c>
      <c r="AE33" s="19">
        <f t="shared" si="7"/>
        <v>0</v>
      </c>
      <c r="AF33" s="2009">
        <v>0</v>
      </c>
      <c r="AG33" s="2010"/>
      <c r="AH33" s="19" t="e">
        <f t="shared" si="8"/>
        <v>#DIV/0!</v>
      </c>
      <c r="AI33" s="2009">
        <v>1</v>
      </c>
      <c r="AJ33" s="2010"/>
      <c r="AK33" s="19">
        <f t="shared" si="9"/>
        <v>0</v>
      </c>
      <c r="AL33" s="2009">
        <v>0</v>
      </c>
      <c r="AM33" s="2010"/>
      <c r="AN33" s="19" t="e">
        <f t="shared" si="10"/>
        <v>#DIV/0!</v>
      </c>
      <c r="AO33" s="2009">
        <v>0</v>
      </c>
      <c r="AP33" s="2010"/>
      <c r="AQ33" s="19" t="e">
        <f t="shared" si="11"/>
        <v>#DIV/0!</v>
      </c>
      <c r="AR33" s="2009">
        <v>0</v>
      </c>
      <c r="AS33" s="2010">
        <v>0</v>
      </c>
      <c r="AT33" s="19" t="e">
        <f t="shared" si="12"/>
        <v>#DIV/0!</v>
      </c>
      <c r="AU33" s="2009">
        <v>0</v>
      </c>
      <c r="AV33" s="2010"/>
      <c r="AW33" s="19" t="e">
        <f t="shared" si="13"/>
        <v>#DIV/0!</v>
      </c>
      <c r="AX33" s="2021">
        <f>+AJ33</f>
        <v>0</v>
      </c>
      <c r="AY33" s="19">
        <f t="shared" si="15"/>
        <v>0</v>
      </c>
    </row>
    <row r="34" spans="1:51" ht="46.5" thickTop="1" thickBot="1">
      <c r="A34" s="2944"/>
      <c r="B34" s="3176"/>
      <c r="C34" s="1966" t="s">
        <v>934</v>
      </c>
      <c r="D34" s="1962" t="s">
        <v>539</v>
      </c>
      <c r="E34" s="1981" t="s">
        <v>22</v>
      </c>
      <c r="F34" s="1981" t="s">
        <v>300</v>
      </c>
      <c r="G34" s="1982" t="s">
        <v>136</v>
      </c>
      <c r="H34" s="1977"/>
      <c r="I34" s="1980"/>
      <c r="J34" s="1977"/>
      <c r="K34" s="1983" t="s">
        <v>23</v>
      </c>
      <c r="L34" s="2053" t="s">
        <v>98</v>
      </c>
      <c r="M34" s="2032">
        <f>8742852000/1000000000000</f>
        <v>8.7428520000000006E-3</v>
      </c>
      <c r="N34" s="19" t="e">
        <f t="shared" si="0"/>
        <v>#VALUE!</v>
      </c>
      <c r="O34" s="2053" t="s">
        <v>98</v>
      </c>
      <c r="P34" s="2032">
        <f>9939077000/1000000000000</f>
        <v>9.9390769999999993E-3</v>
      </c>
      <c r="Q34" s="19" t="e">
        <f t="shared" si="1"/>
        <v>#VALUE!</v>
      </c>
      <c r="R34" s="2053" t="s">
        <v>98</v>
      </c>
      <c r="S34" s="2032">
        <f>9356020158/1000000000000</f>
        <v>9.3560201579999999E-3</v>
      </c>
      <c r="T34" s="19" t="e">
        <f t="shared" si="2"/>
        <v>#VALUE!</v>
      </c>
      <c r="U34" s="2053" t="s">
        <v>98</v>
      </c>
      <c r="V34" s="2032">
        <f>8530187000/1000000000000</f>
        <v>8.5301869999999998E-3</v>
      </c>
      <c r="W34" s="19" t="e">
        <f t="shared" si="3"/>
        <v>#VALUE!</v>
      </c>
      <c r="X34" s="2053" t="s">
        <v>98</v>
      </c>
      <c r="Y34" s="2032">
        <f>1573013000/1000000000000</f>
        <v>1.5730130000000001E-3</v>
      </c>
      <c r="Z34" s="19" t="e">
        <f t="shared" si="4"/>
        <v>#VALUE!</v>
      </c>
      <c r="AA34" s="2053" t="s">
        <v>98</v>
      </c>
      <c r="AB34" s="2032">
        <f>3671585000/1000000000000</f>
        <v>3.6715850000000002E-3</v>
      </c>
      <c r="AC34" s="19" t="e">
        <f t="shared" si="5"/>
        <v>#VALUE!</v>
      </c>
      <c r="AD34" s="2032">
        <f t="shared" si="6"/>
        <v>4.1812734157999999E-2</v>
      </c>
      <c r="AE34" s="19" t="e">
        <f t="shared" si="7"/>
        <v>#VALUE!</v>
      </c>
      <c r="AF34" s="2053" t="s">
        <v>98</v>
      </c>
      <c r="AG34" s="2032">
        <f>7476587000/1000000000000</f>
        <v>7.4765869999999998E-3</v>
      </c>
      <c r="AH34" s="19" t="e">
        <f t="shared" si="8"/>
        <v>#VALUE!</v>
      </c>
      <c r="AI34" s="2053" t="s">
        <v>98</v>
      </c>
      <c r="AJ34" s="2032">
        <f>10204403000/1000000000000</f>
        <v>1.0204403000000001E-2</v>
      </c>
      <c r="AK34" s="19" t="e">
        <f t="shared" si="9"/>
        <v>#VALUE!</v>
      </c>
      <c r="AL34" s="2053" t="s">
        <v>98</v>
      </c>
      <c r="AM34" s="2032">
        <f>9784553000/1000000000000</f>
        <v>9.7845529999999997E-3</v>
      </c>
      <c r="AN34" s="19" t="e">
        <f t="shared" si="10"/>
        <v>#VALUE!</v>
      </c>
      <c r="AO34" s="2053" t="s">
        <v>98</v>
      </c>
      <c r="AP34" s="2032">
        <f>12119290000/1000000000000</f>
        <v>1.211929E-2</v>
      </c>
      <c r="AQ34" s="19" t="e">
        <f t="shared" si="11"/>
        <v>#VALUE!</v>
      </c>
      <c r="AR34" s="2053" t="s">
        <v>98</v>
      </c>
      <c r="AS34" s="2032">
        <f>16018377000/1000000000000</f>
        <v>1.6018377E-2</v>
      </c>
      <c r="AT34" s="19" t="e">
        <f t="shared" si="12"/>
        <v>#VALUE!</v>
      </c>
      <c r="AU34" s="2053" t="s">
        <v>98</v>
      </c>
      <c r="AV34" s="2054">
        <f>13164454000/1000000000000</f>
        <v>1.3164454000000001E-2</v>
      </c>
      <c r="AW34" s="19" t="e">
        <f t="shared" si="13"/>
        <v>#VALUE!</v>
      </c>
      <c r="AX34" s="2032"/>
      <c r="AY34" s="19"/>
    </row>
    <row r="35" spans="1:51" ht="61.5" thickTop="1" thickBot="1">
      <c r="A35" s="2944"/>
      <c r="B35" s="3177" t="s">
        <v>137</v>
      </c>
      <c r="C35" s="1973" t="s">
        <v>441</v>
      </c>
      <c r="D35" s="1961" t="s">
        <v>227</v>
      </c>
      <c r="E35" s="1973" t="s">
        <v>139</v>
      </c>
      <c r="F35" s="1984" t="s">
        <v>101</v>
      </c>
      <c r="G35" s="2040">
        <f>+'[4]FIS-24'!$AW$16</f>
        <v>5699999999.9999981</v>
      </c>
      <c r="H35" s="1985"/>
      <c r="I35" s="1986"/>
      <c r="J35" s="1985"/>
      <c r="K35" s="1987" t="s">
        <v>140</v>
      </c>
      <c r="L35" s="2029">
        <v>466666666.66666675</v>
      </c>
      <c r="M35" s="2041">
        <v>99664032</v>
      </c>
      <c r="N35" s="19">
        <f t="shared" si="0"/>
        <v>0.21356578285714281</v>
      </c>
      <c r="O35" s="2029">
        <v>466666666.66666675</v>
      </c>
      <c r="P35" s="2041">
        <v>432016863</v>
      </c>
      <c r="Q35" s="19">
        <f t="shared" si="1"/>
        <v>0.92575042071428559</v>
      </c>
      <c r="R35" s="2029">
        <v>466666666.66666675</v>
      </c>
      <c r="S35" s="2041">
        <v>259843064</v>
      </c>
      <c r="T35" s="19">
        <f t="shared" si="2"/>
        <v>0.55680656571428566</v>
      </c>
      <c r="U35" s="2029">
        <v>925555555.55555582</v>
      </c>
      <c r="V35" s="2041"/>
      <c r="W35" s="19">
        <f t="shared" si="3"/>
        <v>0</v>
      </c>
      <c r="X35" s="2029">
        <v>925555555.55555582</v>
      </c>
      <c r="Y35" s="2046"/>
      <c r="Z35" s="19">
        <f t="shared" si="4"/>
        <v>0</v>
      </c>
      <c r="AA35" s="2029">
        <v>925555555.55555582</v>
      </c>
      <c r="AB35" s="2041">
        <v>929842999</v>
      </c>
      <c r="AC35" s="19">
        <f t="shared" si="5"/>
        <v>1.0046322918367343</v>
      </c>
      <c r="AD35" s="2043">
        <f t="shared" si="6"/>
        <v>1721366958</v>
      </c>
      <c r="AE35" s="19">
        <f t="shared" si="7"/>
        <v>0.30199420315789482</v>
      </c>
      <c r="AF35" s="2029">
        <v>925555555.55555582</v>
      </c>
      <c r="AG35" s="2041">
        <v>550039151</v>
      </c>
      <c r="AH35" s="19">
        <f t="shared" si="8"/>
        <v>0.59427999507803109</v>
      </c>
      <c r="AI35" s="2029">
        <v>925555555.55555582</v>
      </c>
      <c r="AJ35" s="2041">
        <v>426000663</v>
      </c>
      <c r="AK35" s="19">
        <f t="shared" si="9"/>
        <v>0.46026482196878737</v>
      </c>
      <c r="AL35" s="2029">
        <v>925555555.55555582</v>
      </c>
      <c r="AM35" s="2041">
        <v>388074449</v>
      </c>
      <c r="AN35" s="19">
        <f t="shared" si="10"/>
        <v>0.4192881201680671</v>
      </c>
      <c r="AO35" s="2029">
        <v>793333333.33333349</v>
      </c>
      <c r="AP35" s="2041">
        <v>534274957</v>
      </c>
      <c r="AQ35" s="19">
        <f t="shared" si="11"/>
        <v>0.67345582815126037</v>
      </c>
      <c r="AR35" s="2029">
        <v>793333333.33333349</v>
      </c>
      <c r="AS35" s="2041">
        <v>460043214</v>
      </c>
      <c r="AT35" s="19">
        <f t="shared" si="12"/>
        <v>0.57988640420168058</v>
      </c>
      <c r="AU35" s="2029">
        <v>793333333.33333349</v>
      </c>
      <c r="AV35" s="2041">
        <v>483284042</v>
      </c>
      <c r="AW35" s="19">
        <f t="shared" si="13"/>
        <v>0.60918156554621838</v>
      </c>
      <c r="AX35" s="2027">
        <f>+M35+P35+S35+V35+Y35+AB35+AG35+AJ35+AM35+AP35+AS35+AV35</f>
        <v>4563083434</v>
      </c>
      <c r="AY35" s="19">
        <f t="shared" si="15"/>
        <v>0.80054095333333364</v>
      </c>
    </row>
    <row r="36" spans="1:51" ht="76.5" thickTop="1" thickBot="1">
      <c r="A36" s="2944"/>
      <c r="B36" s="3177"/>
      <c r="C36" s="1976" t="s">
        <v>442</v>
      </c>
      <c r="D36" s="1962" t="s">
        <v>230</v>
      </c>
      <c r="E36" s="1976" t="s">
        <v>231</v>
      </c>
      <c r="F36" s="1977" t="s">
        <v>101</v>
      </c>
      <c r="G36" s="2038">
        <v>316398770</v>
      </c>
      <c r="H36" s="1977"/>
      <c r="I36" s="1980"/>
      <c r="J36" s="1977"/>
      <c r="K36" s="1976" t="s">
        <v>140</v>
      </c>
      <c r="L36" s="2038">
        <v>21093251.333333332</v>
      </c>
      <c r="M36" s="2046">
        <v>229267428</v>
      </c>
      <c r="N36" s="19">
        <f t="shared" si="0"/>
        <v>10.869231318440335</v>
      </c>
      <c r="O36" s="2038">
        <v>21093251.333333332</v>
      </c>
      <c r="P36" s="2046">
        <v>268145652</v>
      </c>
      <c r="Q36" s="19">
        <f t="shared" si="1"/>
        <v>12.712390696082668</v>
      </c>
      <c r="R36" s="2038">
        <v>21093251.333333332</v>
      </c>
      <c r="S36" s="2046">
        <v>193639655</v>
      </c>
      <c r="T36" s="19">
        <f t="shared" si="2"/>
        <v>9.1801710385915847</v>
      </c>
      <c r="U36" s="2038">
        <v>31639877</v>
      </c>
      <c r="V36" s="2046">
        <v>21687091</v>
      </c>
      <c r="W36" s="19">
        <f t="shared" si="3"/>
        <v>0.68543537637646312</v>
      </c>
      <c r="X36" s="2038">
        <v>31639877</v>
      </c>
      <c r="Y36" s="2046">
        <v>196320264</v>
      </c>
      <c r="Z36" s="19">
        <f t="shared" si="4"/>
        <v>6.2048365105844123</v>
      </c>
      <c r="AA36" s="2038">
        <v>31639877</v>
      </c>
      <c r="AB36" s="2046">
        <v>170246622</v>
      </c>
      <c r="AC36" s="19">
        <f t="shared" si="5"/>
        <v>5.3807611831107938</v>
      </c>
      <c r="AD36" s="2047">
        <f t="shared" si="6"/>
        <v>1079306712</v>
      </c>
      <c r="AE36" s="19">
        <f t="shared" si="7"/>
        <v>3.4112228438814727</v>
      </c>
      <c r="AF36" s="2038">
        <v>31639877</v>
      </c>
      <c r="AG36" s="2046">
        <v>337287834</v>
      </c>
      <c r="AH36" s="19">
        <f t="shared" si="8"/>
        <v>10.660213186037353</v>
      </c>
      <c r="AI36" s="2038">
        <v>31639877</v>
      </c>
      <c r="AJ36" s="2046">
        <v>202465054</v>
      </c>
      <c r="AK36" s="19">
        <f t="shared" si="9"/>
        <v>6.3990468104537825</v>
      </c>
      <c r="AL36" s="2038">
        <v>31639877</v>
      </c>
      <c r="AM36" s="2046">
        <v>485283012</v>
      </c>
      <c r="AN36" s="19">
        <f t="shared" si="10"/>
        <v>15.337702229373395</v>
      </c>
      <c r="AO36" s="2038">
        <v>21093251.333333332</v>
      </c>
      <c r="AP36" s="2046">
        <v>289906562</v>
      </c>
      <c r="AQ36" s="19">
        <f t="shared" si="11"/>
        <v>13.744043410788228</v>
      </c>
      <c r="AR36" s="2038">
        <v>21093251.333333332</v>
      </c>
      <c r="AS36" s="2046">
        <v>376533936</v>
      </c>
      <c r="AT36" s="19">
        <f t="shared" si="12"/>
        <v>17.850919711223909</v>
      </c>
      <c r="AU36" s="2038">
        <v>21093251.333333332</v>
      </c>
      <c r="AV36" s="2046">
        <v>145934892</v>
      </c>
      <c r="AW36" s="19">
        <f t="shared" si="13"/>
        <v>6.9185584381380503</v>
      </c>
      <c r="AX36" s="2030">
        <f t="shared" si="14"/>
        <v>2916718002</v>
      </c>
      <c r="AY36" s="19">
        <f t="shared" si="15"/>
        <v>9.218487170477939</v>
      </c>
    </row>
    <row r="37" spans="1:51" ht="61.5" thickTop="1" thickBot="1">
      <c r="A37" s="2944"/>
      <c r="B37" s="3177"/>
      <c r="C37" s="3178" t="s">
        <v>935</v>
      </c>
      <c r="D37" s="86" t="s">
        <v>236</v>
      </c>
      <c r="E37" s="81" t="s">
        <v>237</v>
      </c>
      <c r="F37" s="88" t="s">
        <v>10</v>
      </c>
      <c r="G37" s="167">
        <v>0.02</v>
      </c>
      <c r="H37" s="88"/>
      <c r="I37" s="81"/>
      <c r="J37" s="81"/>
      <c r="K37" s="87" t="s">
        <v>23</v>
      </c>
      <c r="L37" s="163">
        <v>0</v>
      </c>
      <c r="M37" s="164"/>
      <c r="N37" s="19" t="e">
        <f t="shared" si="0"/>
        <v>#DIV/0!</v>
      </c>
      <c r="O37" s="163">
        <v>0</v>
      </c>
      <c r="P37" s="164"/>
      <c r="Q37" s="19" t="e">
        <f t="shared" si="1"/>
        <v>#DIV/0!</v>
      </c>
      <c r="R37" s="163">
        <v>0</v>
      </c>
      <c r="S37" s="164"/>
      <c r="T37" s="19" t="e">
        <f t="shared" si="2"/>
        <v>#DIV/0!</v>
      </c>
      <c r="U37" s="163">
        <v>0.03</v>
      </c>
      <c r="V37" s="164"/>
      <c r="W37" s="19">
        <f t="shared" si="3"/>
        <v>0</v>
      </c>
      <c r="X37" s="163">
        <v>0.03</v>
      </c>
      <c r="Y37" s="2046"/>
      <c r="Z37" s="19">
        <f t="shared" si="4"/>
        <v>0</v>
      </c>
      <c r="AA37" s="163">
        <v>0.03</v>
      </c>
      <c r="AB37" s="2019">
        <v>0.25</v>
      </c>
      <c r="AC37" s="19">
        <f t="shared" si="5"/>
        <v>8.3333333333333339</v>
      </c>
      <c r="AD37" s="165">
        <f>(V37+Y37+AB37)/3</f>
        <v>8.3333333333333329E-2</v>
      </c>
      <c r="AE37" s="19">
        <f t="shared" ref="AE37" si="17">+AD37/G37</f>
        <v>4.1666666666666661</v>
      </c>
      <c r="AF37" s="163">
        <v>0.03</v>
      </c>
      <c r="AG37" s="164"/>
      <c r="AH37" s="19">
        <f t="shared" si="8"/>
        <v>0</v>
      </c>
      <c r="AI37" s="163">
        <v>0.03</v>
      </c>
      <c r="AJ37" s="164"/>
      <c r="AK37" s="19">
        <f t="shared" si="9"/>
        <v>0</v>
      </c>
      <c r="AL37" s="163">
        <v>0.02</v>
      </c>
      <c r="AM37" s="164"/>
      <c r="AN37" s="19">
        <f t="shared" si="10"/>
        <v>0</v>
      </c>
      <c r="AO37" s="163">
        <v>0.02</v>
      </c>
      <c r="AP37" s="164"/>
      <c r="AQ37" s="19">
        <f t="shared" si="11"/>
        <v>0</v>
      </c>
      <c r="AR37" s="163">
        <v>0.02</v>
      </c>
      <c r="AS37" s="164"/>
      <c r="AT37" s="19">
        <f t="shared" si="12"/>
        <v>0</v>
      </c>
      <c r="AU37" s="163">
        <v>0.02</v>
      </c>
      <c r="AV37" s="164">
        <v>0.02</v>
      </c>
      <c r="AW37" s="19">
        <f t="shared" si="13"/>
        <v>1</v>
      </c>
      <c r="AX37" s="163">
        <f>(AB37+AV37)/12</f>
        <v>2.2500000000000003E-2</v>
      </c>
      <c r="AY37" s="19">
        <f t="shared" si="15"/>
        <v>1.125</v>
      </c>
    </row>
    <row r="38" spans="1:51" ht="61.5" thickTop="1" thickBot="1">
      <c r="A38" s="2944"/>
      <c r="B38" s="3177"/>
      <c r="C38" s="3179"/>
      <c r="D38" s="86" t="s">
        <v>238</v>
      </c>
      <c r="E38" s="81" t="s">
        <v>239</v>
      </c>
      <c r="F38" s="88" t="s">
        <v>10</v>
      </c>
      <c r="G38" s="167">
        <v>0.01</v>
      </c>
      <c r="H38" s="88"/>
      <c r="I38" s="81"/>
      <c r="J38" s="81"/>
      <c r="K38" s="87" t="s">
        <v>23</v>
      </c>
      <c r="L38" s="163">
        <v>0</v>
      </c>
      <c r="M38" s="164"/>
      <c r="N38" s="19" t="e">
        <f t="shared" si="0"/>
        <v>#DIV/0!</v>
      </c>
      <c r="O38" s="163">
        <v>0</v>
      </c>
      <c r="P38" s="164"/>
      <c r="Q38" s="19" t="e">
        <f t="shared" si="1"/>
        <v>#DIV/0!</v>
      </c>
      <c r="R38" s="163">
        <v>0</v>
      </c>
      <c r="S38" s="164"/>
      <c r="T38" s="19" t="e">
        <f t="shared" si="2"/>
        <v>#DIV/0!</v>
      </c>
      <c r="U38" s="163">
        <v>0</v>
      </c>
      <c r="V38" s="164"/>
      <c r="W38" s="19" t="e">
        <f t="shared" si="3"/>
        <v>#DIV/0!</v>
      </c>
      <c r="X38" s="163">
        <v>0</v>
      </c>
      <c r="Y38" s="2046"/>
      <c r="Z38" s="19" t="e">
        <f t="shared" si="4"/>
        <v>#DIV/0!</v>
      </c>
      <c r="AA38" s="163">
        <v>0</v>
      </c>
      <c r="AB38" s="164"/>
      <c r="AC38" s="19" t="e">
        <f t="shared" si="5"/>
        <v>#DIV/0!</v>
      </c>
      <c r="AD38" s="165">
        <f t="shared" ref="AD38" si="18">(V38+Y38+AB38)/3</f>
        <v>0</v>
      </c>
      <c r="AE38" s="19">
        <f>+AD38/G38</f>
        <v>0</v>
      </c>
      <c r="AF38" s="163">
        <v>0</v>
      </c>
      <c r="AG38" s="164"/>
      <c r="AH38" s="19" t="e">
        <f t="shared" si="8"/>
        <v>#DIV/0!</v>
      </c>
      <c r="AI38" s="163">
        <v>0</v>
      </c>
      <c r="AJ38" s="164"/>
      <c r="AK38" s="19" t="e">
        <f t="shared" si="9"/>
        <v>#DIV/0!</v>
      </c>
      <c r="AL38" s="163">
        <v>0.01</v>
      </c>
      <c r="AM38" s="164"/>
      <c r="AN38" s="19">
        <f t="shared" si="10"/>
        <v>0</v>
      </c>
      <c r="AO38" s="163">
        <v>0.01</v>
      </c>
      <c r="AP38" s="164"/>
      <c r="AQ38" s="19">
        <f t="shared" si="11"/>
        <v>0</v>
      </c>
      <c r="AR38" s="163">
        <v>0.01</v>
      </c>
      <c r="AS38" s="164"/>
      <c r="AT38" s="19">
        <f t="shared" si="12"/>
        <v>0</v>
      </c>
      <c r="AU38" s="163">
        <v>0.01</v>
      </c>
      <c r="AV38" s="164">
        <v>0</v>
      </c>
      <c r="AW38" s="19">
        <f t="shared" si="13"/>
        <v>0</v>
      </c>
      <c r="AX38" s="163">
        <f>+(AV38+AS38+AP38+AM38)/4</f>
        <v>0</v>
      </c>
      <c r="AY38" s="19">
        <f t="shared" si="15"/>
        <v>0</v>
      </c>
    </row>
    <row r="39" spans="1:51" ht="91.5" thickTop="1" thickBot="1">
      <c r="A39" s="2944"/>
      <c r="B39" s="3177"/>
      <c r="C39" s="3179"/>
      <c r="D39" s="111" t="s">
        <v>245</v>
      </c>
      <c r="E39" s="177" t="s">
        <v>246</v>
      </c>
      <c r="F39" s="177" t="s">
        <v>10</v>
      </c>
      <c r="G39" s="888">
        <v>0.1</v>
      </c>
      <c r="H39" s="88"/>
      <c r="I39" s="81"/>
      <c r="J39" s="81"/>
      <c r="K39" s="179" t="s">
        <v>244</v>
      </c>
      <c r="L39" s="2011">
        <v>0</v>
      </c>
      <c r="M39" s="2012"/>
      <c r="N39" s="19" t="e">
        <f t="shared" si="0"/>
        <v>#DIV/0!</v>
      </c>
      <c r="O39" s="2011">
        <v>0</v>
      </c>
      <c r="P39" s="2012"/>
      <c r="Q39" s="19" t="e">
        <f t="shared" si="1"/>
        <v>#DIV/0!</v>
      </c>
      <c r="R39" s="2011">
        <v>0</v>
      </c>
      <c r="S39" s="2012"/>
      <c r="T39" s="19" t="e">
        <f t="shared" si="2"/>
        <v>#DIV/0!</v>
      </c>
      <c r="U39" s="2011">
        <v>0</v>
      </c>
      <c r="V39" s="2012"/>
      <c r="W39" s="19" t="e">
        <f t="shared" si="3"/>
        <v>#DIV/0!</v>
      </c>
      <c r="X39" s="2011">
        <v>0</v>
      </c>
      <c r="Y39" s="2046"/>
      <c r="Z39" s="19" t="e">
        <f t="shared" si="4"/>
        <v>#DIV/0!</v>
      </c>
      <c r="AA39" s="2011">
        <v>0</v>
      </c>
      <c r="AB39" s="2012"/>
      <c r="AC39" s="19" t="e">
        <f t="shared" si="5"/>
        <v>#DIV/0!</v>
      </c>
      <c r="AD39" s="2005">
        <f t="shared" si="6"/>
        <v>0</v>
      </c>
      <c r="AE39" s="19">
        <f>AD39/50%</f>
        <v>0</v>
      </c>
      <c r="AF39" s="2011">
        <v>0</v>
      </c>
      <c r="AG39" s="2012"/>
      <c r="AH39" s="19" t="e">
        <f t="shared" si="8"/>
        <v>#DIV/0!</v>
      </c>
      <c r="AI39" s="2011">
        <v>0</v>
      </c>
      <c r="AJ39" s="2012"/>
      <c r="AK39" s="19" t="e">
        <f t="shared" si="9"/>
        <v>#DIV/0!</v>
      </c>
      <c r="AL39" s="2011">
        <v>0</v>
      </c>
      <c r="AM39" s="2012"/>
      <c r="AN39" s="19" t="e">
        <f t="shared" si="10"/>
        <v>#DIV/0!</v>
      </c>
      <c r="AO39" s="2011">
        <v>0.1</v>
      </c>
      <c r="AP39" s="2012"/>
      <c r="AQ39" s="19">
        <f t="shared" si="11"/>
        <v>0</v>
      </c>
      <c r="AR39" s="2011">
        <v>0</v>
      </c>
      <c r="AS39" s="2012"/>
      <c r="AT39" s="19" t="e">
        <f t="shared" si="12"/>
        <v>#DIV/0!</v>
      </c>
      <c r="AU39" s="2011">
        <v>0</v>
      </c>
      <c r="AV39" s="2012"/>
      <c r="AW39" s="19" t="e">
        <f t="shared" si="13"/>
        <v>#DIV/0!</v>
      </c>
      <c r="AX39" s="2022">
        <f>AM39</f>
        <v>0</v>
      </c>
      <c r="AY39" s="19">
        <f>+AX39/G39</f>
        <v>0</v>
      </c>
    </row>
    <row r="40" spans="1:51" ht="166.5" thickTop="1" thickBot="1">
      <c r="A40" s="2944"/>
      <c r="B40" s="3177"/>
      <c r="C40" s="3179"/>
      <c r="D40" s="1961" t="s">
        <v>247</v>
      </c>
      <c r="E40" s="1973" t="s">
        <v>447</v>
      </c>
      <c r="F40" s="1973" t="s">
        <v>24</v>
      </c>
      <c r="G40" s="1992">
        <v>8</v>
      </c>
      <c r="H40" s="1974"/>
      <c r="I40" s="1975"/>
      <c r="J40" s="1974"/>
      <c r="K40" s="1973" t="s">
        <v>249</v>
      </c>
      <c r="L40" s="2055">
        <v>0</v>
      </c>
      <c r="M40" s="2056"/>
      <c r="N40" s="19" t="e">
        <f t="shared" si="0"/>
        <v>#DIV/0!</v>
      </c>
      <c r="O40" s="2055">
        <v>0</v>
      </c>
      <c r="P40" s="2056">
        <v>0</v>
      </c>
      <c r="Q40" s="19" t="e">
        <f t="shared" si="1"/>
        <v>#DIV/0!</v>
      </c>
      <c r="R40" s="2055">
        <v>0</v>
      </c>
      <c r="S40" s="2056"/>
      <c r="T40" s="19" t="e">
        <f t="shared" si="2"/>
        <v>#DIV/0!</v>
      </c>
      <c r="U40" s="2055">
        <v>0</v>
      </c>
      <c r="V40" s="2056"/>
      <c r="W40" s="19" t="e">
        <f t="shared" si="3"/>
        <v>#DIV/0!</v>
      </c>
      <c r="X40" s="2055">
        <v>1</v>
      </c>
      <c r="Y40" s="2046"/>
      <c r="Z40" s="19">
        <f t="shared" si="4"/>
        <v>0</v>
      </c>
      <c r="AA40" s="2055">
        <v>1</v>
      </c>
      <c r="AB40" s="2056">
        <v>2</v>
      </c>
      <c r="AC40" s="19">
        <f t="shared" si="5"/>
        <v>2</v>
      </c>
      <c r="AD40" s="2057">
        <f>+Y40+AB40</f>
        <v>2</v>
      </c>
      <c r="AE40" s="19">
        <f t="shared" si="7"/>
        <v>0.25</v>
      </c>
      <c r="AF40" s="2055">
        <v>1</v>
      </c>
      <c r="AG40" s="2056"/>
      <c r="AH40" s="19">
        <f t="shared" si="8"/>
        <v>0</v>
      </c>
      <c r="AI40" s="2055">
        <v>1</v>
      </c>
      <c r="AJ40" s="2056"/>
      <c r="AK40" s="19">
        <f t="shared" si="9"/>
        <v>0</v>
      </c>
      <c r="AL40" s="2055">
        <v>1</v>
      </c>
      <c r="AM40" s="2056"/>
      <c r="AN40" s="19">
        <f t="shared" si="10"/>
        <v>0</v>
      </c>
      <c r="AO40" s="2055">
        <v>1</v>
      </c>
      <c r="AP40" s="2056"/>
      <c r="AQ40" s="19">
        <f t="shared" si="11"/>
        <v>0</v>
      </c>
      <c r="AR40" s="2055">
        <v>1</v>
      </c>
      <c r="AS40" s="2056"/>
      <c r="AT40" s="19">
        <f t="shared" si="12"/>
        <v>0</v>
      </c>
      <c r="AU40" s="2055">
        <v>1</v>
      </c>
      <c r="AV40" s="2056">
        <v>0</v>
      </c>
      <c r="AW40" s="19">
        <f t="shared" si="13"/>
        <v>0</v>
      </c>
      <c r="AX40" s="2031">
        <f>+Y40+AB40+AG40+AJ40+AM40+AP40+AS40+AV40</f>
        <v>2</v>
      </c>
      <c r="AY40" s="19">
        <f t="shared" si="15"/>
        <v>0.25</v>
      </c>
    </row>
    <row r="41" spans="1:51" ht="61.5" thickTop="1" thickBot="1">
      <c r="A41" s="2944"/>
      <c r="B41" s="3177"/>
      <c r="C41" s="3179"/>
      <c r="D41" s="1962" t="s">
        <v>290</v>
      </c>
      <c r="E41" s="1976" t="s">
        <v>449</v>
      </c>
      <c r="F41" s="1976" t="s">
        <v>24</v>
      </c>
      <c r="G41" s="1994">
        <v>16</v>
      </c>
      <c r="H41" s="1977"/>
      <c r="I41" s="1980"/>
      <c r="J41" s="1977"/>
      <c r="K41" s="1976" t="s">
        <v>249</v>
      </c>
      <c r="L41" s="2058">
        <v>0</v>
      </c>
      <c r="M41" s="2059">
        <v>1</v>
      </c>
      <c r="N41" s="19" t="e">
        <f t="shared" si="0"/>
        <v>#DIV/0!</v>
      </c>
      <c r="O41" s="2058">
        <v>0</v>
      </c>
      <c r="P41" s="2059">
        <v>1</v>
      </c>
      <c r="Q41" s="19" t="e">
        <f t="shared" si="1"/>
        <v>#DIV/0!</v>
      </c>
      <c r="R41" s="2058">
        <v>0</v>
      </c>
      <c r="S41" s="2059"/>
      <c r="T41" s="19" t="e">
        <f t="shared" si="2"/>
        <v>#DIV/0!</v>
      </c>
      <c r="U41" s="2058">
        <v>0</v>
      </c>
      <c r="V41" s="2059"/>
      <c r="W41" s="19" t="e">
        <f t="shared" si="3"/>
        <v>#DIV/0!</v>
      </c>
      <c r="X41" s="2058">
        <v>2</v>
      </c>
      <c r="Y41" s="2046"/>
      <c r="Z41" s="19">
        <f t="shared" si="4"/>
        <v>0</v>
      </c>
      <c r="AA41" s="2058">
        <v>2</v>
      </c>
      <c r="AB41" s="2059">
        <v>1</v>
      </c>
      <c r="AC41" s="19">
        <f t="shared" si="5"/>
        <v>0.5</v>
      </c>
      <c r="AD41" s="2060">
        <f t="shared" si="6"/>
        <v>3</v>
      </c>
      <c r="AE41" s="19">
        <f t="shared" si="7"/>
        <v>0.1875</v>
      </c>
      <c r="AF41" s="2058">
        <v>2</v>
      </c>
      <c r="AG41" s="2059">
        <v>1</v>
      </c>
      <c r="AH41" s="19">
        <f t="shared" si="8"/>
        <v>0.5</v>
      </c>
      <c r="AI41" s="2058">
        <v>2</v>
      </c>
      <c r="AJ41" s="2059">
        <v>1</v>
      </c>
      <c r="AK41" s="19">
        <f t="shared" si="9"/>
        <v>0.5</v>
      </c>
      <c r="AL41" s="2058">
        <v>2</v>
      </c>
      <c r="AM41" s="2059">
        <v>2</v>
      </c>
      <c r="AN41" s="19">
        <f t="shared" si="10"/>
        <v>1</v>
      </c>
      <c r="AO41" s="2058">
        <v>2</v>
      </c>
      <c r="AP41" s="2059">
        <v>4</v>
      </c>
      <c r="AQ41" s="19">
        <f t="shared" si="11"/>
        <v>2</v>
      </c>
      <c r="AR41" s="2058">
        <v>2</v>
      </c>
      <c r="AS41" s="2059">
        <v>4</v>
      </c>
      <c r="AT41" s="19">
        <f t="shared" si="12"/>
        <v>2</v>
      </c>
      <c r="AU41" s="2058">
        <v>2</v>
      </c>
      <c r="AV41" s="2059">
        <v>1</v>
      </c>
      <c r="AW41" s="19">
        <f t="shared" si="13"/>
        <v>0.5</v>
      </c>
      <c r="AX41" s="2028">
        <f t="shared" si="14"/>
        <v>16</v>
      </c>
      <c r="AY41" s="19">
        <f t="shared" si="15"/>
        <v>1</v>
      </c>
    </row>
    <row r="42" spans="1:51" ht="61.5" thickTop="1" thickBot="1">
      <c r="A42" s="2944"/>
      <c r="B42" s="3177"/>
      <c r="C42" s="3180"/>
      <c r="D42" s="1961" t="s">
        <v>252</v>
      </c>
      <c r="E42" s="1973" t="s">
        <v>450</v>
      </c>
      <c r="F42" s="1973" t="s">
        <v>24</v>
      </c>
      <c r="G42" s="1992">
        <v>272</v>
      </c>
      <c r="H42" s="1974"/>
      <c r="I42" s="1975"/>
      <c r="J42" s="1974"/>
      <c r="K42" s="1973" t="s">
        <v>249</v>
      </c>
      <c r="L42" s="2055">
        <v>0</v>
      </c>
      <c r="M42" s="2056"/>
      <c r="N42" s="19" t="e">
        <f t="shared" si="0"/>
        <v>#DIV/0!</v>
      </c>
      <c r="O42" s="2055">
        <v>0</v>
      </c>
      <c r="P42" s="2056"/>
      <c r="Q42" s="19" t="e">
        <f t="shared" si="1"/>
        <v>#DIV/0!</v>
      </c>
      <c r="R42" s="2055">
        <v>0</v>
      </c>
      <c r="S42" s="2056"/>
      <c r="T42" s="19" t="e">
        <f t="shared" si="2"/>
        <v>#DIV/0!</v>
      </c>
      <c r="U42" s="2055">
        <v>0</v>
      </c>
      <c r="V42" s="2056"/>
      <c r="W42" s="19" t="e">
        <f t="shared" si="3"/>
        <v>#DIV/0!</v>
      </c>
      <c r="X42" s="2055">
        <v>34</v>
      </c>
      <c r="Y42" s="2056">
        <v>34</v>
      </c>
      <c r="Z42" s="19">
        <f t="shared" si="4"/>
        <v>1</v>
      </c>
      <c r="AA42" s="2055">
        <v>34</v>
      </c>
      <c r="AB42" s="2056">
        <v>34</v>
      </c>
      <c r="AC42" s="19">
        <f t="shared" si="5"/>
        <v>1</v>
      </c>
      <c r="AD42" s="2057">
        <f t="shared" si="6"/>
        <v>68</v>
      </c>
      <c r="AE42" s="19">
        <f t="shared" si="7"/>
        <v>0.25</v>
      </c>
      <c r="AF42" s="2055">
        <v>34</v>
      </c>
      <c r="AG42" s="2056">
        <v>34</v>
      </c>
      <c r="AH42" s="19">
        <f t="shared" si="8"/>
        <v>1</v>
      </c>
      <c r="AI42" s="2055">
        <v>34</v>
      </c>
      <c r="AJ42" s="2056">
        <v>34</v>
      </c>
      <c r="AK42" s="19">
        <f t="shared" si="9"/>
        <v>1</v>
      </c>
      <c r="AL42" s="2055">
        <v>34</v>
      </c>
      <c r="AM42" s="2056">
        <v>34</v>
      </c>
      <c r="AN42" s="19">
        <f t="shared" si="10"/>
        <v>1</v>
      </c>
      <c r="AO42" s="2055">
        <v>34</v>
      </c>
      <c r="AP42" s="2056">
        <v>34</v>
      </c>
      <c r="AQ42" s="19">
        <f t="shared" si="11"/>
        <v>1</v>
      </c>
      <c r="AR42" s="2055">
        <v>34</v>
      </c>
      <c r="AS42" s="2056">
        <v>34</v>
      </c>
      <c r="AT42" s="19">
        <f t="shared" si="12"/>
        <v>1</v>
      </c>
      <c r="AU42" s="2055">
        <v>34</v>
      </c>
      <c r="AV42" s="2056">
        <v>34</v>
      </c>
      <c r="AW42" s="19">
        <f t="shared" si="13"/>
        <v>1</v>
      </c>
      <c r="AX42" s="2021">
        <f t="shared" si="14"/>
        <v>272</v>
      </c>
      <c r="AY42" s="19">
        <f t="shared" si="15"/>
        <v>1</v>
      </c>
    </row>
    <row r="43" spans="1:51" ht="46.5" thickTop="1" thickBot="1">
      <c r="A43" s="3174"/>
      <c r="B43" s="3177"/>
      <c r="C43" s="1976" t="s">
        <v>420</v>
      </c>
      <c r="D43" s="1962" t="s">
        <v>936</v>
      </c>
      <c r="E43" s="1976" t="s">
        <v>937</v>
      </c>
      <c r="F43" s="1976" t="s">
        <v>17</v>
      </c>
      <c r="G43" s="1994">
        <v>3500</v>
      </c>
      <c r="H43" s="1977"/>
      <c r="I43" s="1980"/>
      <c r="J43" s="1977"/>
      <c r="K43" s="1976" t="s">
        <v>226</v>
      </c>
      <c r="L43" s="2042">
        <v>208</v>
      </c>
      <c r="M43" s="2044">
        <v>163</v>
      </c>
      <c r="N43" s="19">
        <f t="shared" si="0"/>
        <v>0.78365384615384615</v>
      </c>
      <c r="O43" s="2042">
        <v>217</v>
      </c>
      <c r="P43" s="2044">
        <v>134</v>
      </c>
      <c r="Q43" s="19">
        <f t="shared" si="1"/>
        <v>0.61751152073732718</v>
      </c>
      <c r="R43" s="2042">
        <v>242</v>
      </c>
      <c r="S43" s="2044">
        <v>137</v>
      </c>
      <c r="T43" s="19">
        <f t="shared" si="2"/>
        <v>0.56611570247933884</v>
      </c>
      <c r="U43" s="2042">
        <v>98</v>
      </c>
      <c r="V43" s="2044">
        <v>162</v>
      </c>
      <c r="W43" s="19">
        <f t="shared" si="3"/>
        <v>1.653061224489796</v>
      </c>
      <c r="X43" s="2042">
        <v>332</v>
      </c>
      <c r="Y43" s="2044">
        <v>510</v>
      </c>
      <c r="Z43" s="19">
        <f t="shared" si="4"/>
        <v>1.536144578313253</v>
      </c>
      <c r="AA43" s="2042">
        <v>287</v>
      </c>
      <c r="AB43" s="2044">
        <v>370</v>
      </c>
      <c r="AC43" s="19">
        <f t="shared" si="5"/>
        <v>1.2891986062717771</v>
      </c>
      <c r="AD43" s="2045">
        <f>+M43+P43+S43+V43+Y43+AB43</f>
        <v>1476</v>
      </c>
      <c r="AE43" s="19">
        <f t="shared" si="7"/>
        <v>0.42171428571428571</v>
      </c>
      <c r="AF43" s="2042">
        <v>417</v>
      </c>
      <c r="AG43" s="2044">
        <v>329</v>
      </c>
      <c r="AH43" s="19">
        <f t="shared" si="8"/>
        <v>0.78896882494004794</v>
      </c>
      <c r="AI43" s="2042">
        <v>324</v>
      </c>
      <c r="AJ43" s="2044">
        <v>370</v>
      </c>
      <c r="AK43" s="19">
        <f t="shared" si="9"/>
        <v>1.1419753086419753</v>
      </c>
      <c r="AL43" s="2042">
        <v>425</v>
      </c>
      <c r="AM43" s="2044">
        <v>517</v>
      </c>
      <c r="AN43" s="19">
        <f t="shared" si="10"/>
        <v>1.2164705882352942</v>
      </c>
      <c r="AO43" s="2042">
        <v>450</v>
      </c>
      <c r="AP43" s="2044">
        <v>494</v>
      </c>
      <c r="AQ43" s="19">
        <f t="shared" si="11"/>
        <v>1.0977777777777777</v>
      </c>
      <c r="AR43" s="2042">
        <v>350</v>
      </c>
      <c r="AS43" s="2044">
        <v>376</v>
      </c>
      <c r="AT43" s="19">
        <f t="shared" si="12"/>
        <v>1.0742857142857143</v>
      </c>
      <c r="AU43" s="2042">
        <v>150</v>
      </c>
      <c r="AV43" s="2044">
        <v>385</v>
      </c>
      <c r="AW43" s="19">
        <f t="shared" si="13"/>
        <v>2.5666666666666669</v>
      </c>
      <c r="AX43" s="2028">
        <f t="shared" si="14"/>
        <v>3947</v>
      </c>
      <c r="AY43" s="19">
        <f t="shared" si="15"/>
        <v>1.1277142857142857</v>
      </c>
    </row>
    <row r="44" spans="1:51" ht="22.5" thickTop="1" thickBot="1">
      <c r="A44" s="2033"/>
      <c r="B44" s="2033"/>
      <c r="C44" s="2033"/>
      <c r="D44" s="2033"/>
      <c r="E44" s="2033"/>
      <c r="F44" s="2033"/>
      <c r="G44" s="2033"/>
      <c r="H44" s="2033"/>
      <c r="I44" s="2033"/>
      <c r="J44" s="2033"/>
      <c r="K44" s="2033"/>
      <c r="L44" s="2003"/>
      <c r="M44" s="2006"/>
      <c r="N44" s="2033"/>
      <c r="O44" s="2003"/>
      <c r="P44" s="2006"/>
      <c r="Q44" s="2033"/>
      <c r="R44" s="2003"/>
      <c r="S44" s="2006"/>
      <c r="T44" s="2033"/>
      <c r="U44" s="2003"/>
      <c r="V44" s="2006"/>
      <c r="W44" s="2033"/>
      <c r="X44" s="2003"/>
      <c r="Y44" s="2003"/>
      <c r="Z44" s="2033"/>
      <c r="AA44" s="2003"/>
      <c r="AB44" s="2006"/>
      <c r="AC44" s="2033"/>
      <c r="AD44" s="2006"/>
      <c r="AE44" s="2033"/>
      <c r="AF44" s="2003"/>
      <c r="AG44" s="2006"/>
      <c r="AH44" s="2033"/>
      <c r="AI44" s="2003"/>
      <c r="AJ44" s="2006"/>
      <c r="AK44" s="2033"/>
      <c r="AL44" s="2003"/>
      <c r="AM44" s="2006"/>
      <c r="AN44" s="2033"/>
      <c r="AO44" s="2003"/>
      <c r="AP44" s="2006"/>
      <c r="AQ44" s="2033"/>
      <c r="AR44" s="2003"/>
      <c r="AS44" s="2006"/>
      <c r="AT44" s="2033"/>
      <c r="AU44" s="2003"/>
      <c r="AV44" s="2006"/>
      <c r="AW44" s="2033"/>
      <c r="AX44" s="2033"/>
      <c r="AY44" s="2033"/>
    </row>
    <row r="45" spans="1:51" ht="106.5" thickTop="1" thickBot="1">
      <c r="A45" s="3173" t="s">
        <v>181</v>
      </c>
      <c r="B45" s="3044" t="s">
        <v>143</v>
      </c>
      <c r="C45" s="1964" t="s">
        <v>353</v>
      </c>
      <c r="D45" s="1962" t="s">
        <v>144</v>
      </c>
      <c r="E45" s="1976" t="s">
        <v>145</v>
      </c>
      <c r="F45" s="1977" t="s">
        <v>17</v>
      </c>
      <c r="G45" s="1994">
        <v>250</v>
      </c>
      <c r="H45" s="1988"/>
      <c r="I45" s="1988"/>
      <c r="J45" s="1988"/>
      <c r="K45" s="1976" t="s">
        <v>146</v>
      </c>
      <c r="L45" s="2042">
        <v>0</v>
      </c>
      <c r="M45" s="2044"/>
      <c r="N45" s="19" t="e">
        <f t="shared" si="0"/>
        <v>#DIV/0!</v>
      </c>
      <c r="O45" s="2042">
        <v>0</v>
      </c>
      <c r="P45" s="2044"/>
      <c r="Q45" s="19" t="e">
        <f t="shared" si="1"/>
        <v>#DIV/0!</v>
      </c>
      <c r="R45" s="2042">
        <v>0</v>
      </c>
      <c r="S45" s="2044"/>
      <c r="T45" s="19" t="e">
        <f t="shared" si="2"/>
        <v>#DIV/0!</v>
      </c>
      <c r="U45" s="2042">
        <v>50</v>
      </c>
      <c r="V45" s="2044">
        <v>132</v>
      </c>
      <c r="W45" s="19">
        <f t="shared" si="3"/>
        <v>2.64</v>
      </c>
      <c r="X45" s="2042">
        <v>0</v>
      </c>
      <c r="Y45" s="2046"/>
      <c r="Z45" s="19" t="e">
        <f t="shared" si="4"/>
        <v>#DIV/0!</v>
      </c>
      <c r="AA45" s="2042">
        <v>0</v>
      </c>
      <c r="AB45" s="2044"/>
      <c r="AC45" s="19" t="e">
        <f t="shared" si="5"/>
        <v>#DIV/0!</v>
      </c>
      <c r="AD45" s="2045">
        <f t="shared" si="6"/>
        <v>132</v>
      </c>
      <c r="AE45" s="19">
        <f t="shared" si="7"/>
        <v>0.52800000000000002</v>
      </c>
      <c r="AF45" s="2042">
        <v>0</v>
      </c>
      <c r="AG45" s="2044"/>
      <c r="AH45" s="19" t="e">
        <f t="shared" si="8"/>
        <v>#DIV/0!</v>
      </c>
      <c r="AI45" s="2042">
        <v>75</v>
      </c>
      <c r="AJ45" s="2044">
        <v>160</v>
      </c>
      <c r="AK45" s="19">
        <f t="shared" si="9"/>
        <v>2.1333333333333333</v>
      </c>
      <c r="AL45" s="2042">
        <v>0</v>
      </c>
      <c r="AM45" s="2044"/>
      <c r="AN45" s="19" t="e">
        <f t="shared" si="10"/>
        <v>#DIV/0!</v>
      </c>
      <c r="AO45" s="2042">
        <v>0</v>
      </c>
      <c r="AP45" s="2044"/>
      <c r="AQ45" s="19" t="e">
        <f t="shared" si="11"/>
        <v>#DIV/0!</v>
      </c>
      <c r="AR45" s="2042">
        <v>0</v>
      </c>
      <c r="AS45" s="2044"/>
      <c r="AT45" s="19" t="e">
        <f t="shared" si="12"/>
        <v>#DIV/0!</v>
      </c>
      <c r="AU45" s="2042">
        <v>125</v>
      </c>
      <c r="AV45" s="2044">
        <v>221</v>
      </c>
      <c r="AW45" s="19">
        <f t="shared" si="13"/>
        <v>1.768</v>
      </c>
      <c r="AX45" s="2028">
        <f t="shared" si="14"/>
        <v>513</v>
      </c>
      <c r="AY45" s="19">
        <f t="shared" si="15"/>
        <v>2.052</v>
      </c>
    </row>
    <row r="46" spans="1:51" ht="61.5" thickTop="1" thickBot="1">
      <c r="A46" s="3173"/>
      <c r="B46" s="3045"/>
      <c r="C46" s="1965" t="s">
        <v>938</v>
      </c>
      <c r="D46" s="1961" t="s">
        <v>182</v>
      </c>
      <c r="E46" s="1973" t="s">
        <v>149</v>
      </c>
      <c r="F46" s="1974" t="s">
        <v>8</v>
      </c>
      <c r="G46" s="1992">
        <v>10.199999999999999</v>
      </c>
      <c r="H46" s="1985"/>
      <c r="I46" s="1986"/>
      <c r="J46" s="1985"/>
      <c r="K46" s="1973" t="s">
        <v>9</v>
      </c>
      <c r="L46" s="2013">
        <v>10.199999999999999</v>
      </c>
      <c r="M46" s="2014">
        <v>5.2</v>
      </c>
      <c r="N46" s="19">
        <f>+L46/M46</f>
        <v>1.9615384615384612</v>
      </c>
      <c r="O46" s="2013">
        <v>10.199999999999999</v>
      </c>
      <c r="P46" s="2014">
        <v>5.28</v>
      </c>
      <c r="Q46" s="19">
        <f>+O46/P46</f>
        <v>1.9318181818181817</v>
      </c>
      <c r="R46" s="2013">
        <v>10.199999999999999</v>
      </c>
      <c r="S46" s="2014">
        <v>4.43</v>
      </c>
      <c r="T46" s="19">
        <f>+R46/S46</f>
        <v>2.3024830699774266</v>
      </c>
      <c r="U46" s="2013">
        <v>10.199999999999999</v>
      </c>
      <c r="V46" s="2014">
        <v>0</v>
      </c>
      <c r="W46" s="19" t="e">
        <f>+U46/V46</f>
        <v>#DIV/0!</v>
      </c>
      <c r="X46" s="2013">
        <v>10.199999999999999</v>
      </c>
      <c r="Y46" s="2046">
        <v>0</v>
      </c>
      <c r="Z46" s="19" t="e">
        <f>+X46/Y46</f>
        <v>#DIV/0!</v>
      </c>
      <c r="AA46" s="2013">
        <v>10.199999999999999</v>
      </c>
      <c r="AB46" s="2014">
        <v>7.49</v>
      </c>
      <c r="AC46" s="19">
        <f>+AA46/AB46</f>
        <v>1.3618157543391187</v>
      </c>
      <c r="AD46" s="2017">
        <f>(M46+P46+S46+V46+Y46+AB46)/6</f>
        <v>3.7333333333333329</v>
      </c>
      <c r="AE46" s="19">
        <f>G46/AD46</f>
        <v>2.7321428571428572</v>
      </c>
      <c r="AF46" s="2013">
        <v>10.199999999999999</v>
      </c>
      <c r="AG46" s="2014">
        <v>4.9800000000000004</v>
      </c>
      <c r="AH46" s="19">
        <f>+AF46/AG46</f>
        <v>2.0481927710843371</v>
      </c>
      <c r="AI46" s="2013">
        <v>10.199999999999999</v>
      </c>
      <c r="AJ46" s="2014">
        <v>7.88</v>
      </c>
      <c r="AK46" s="19">
        <f>+AI46/AJ46</f>
        <v>1.2944162436548223</v>
      </c>
      <c r="AL46" s="2013">
        <v>10.199999999999999</v>
      </c>
      <c r="AM46" s="2014">
        <v>7.87</v>
      </c>
      <c r="AN46" s="19">
        <f>+AL46/AM46</f>
        <v>1.2960609911054637</v>
      </c>
      <c r="AO46" s="2013">
        <v>10.199999999999999</v>
      </c>
      <c r="AP46" s="2014">
        <v>6.02</v>
      </c>
      <c r="AQ46" s="19">
        <f>+AO46/AP46</f>
        <v>1.6943521594684385</v>
      </c>
      <c r="AR46" s="2013">
        <v>10.199999999999999</v>
      </c>
      <c r="AS46" s="2014">
        <v>3.03</v>
      </c>
      <c r="AT46" s="19">
        <f>+AR46/AS46</f>
        <v>3.3663366336633662</v>
      </c>
      <c r="AU46" s="2013">
        <v>10.199999999999999</v>
      </c>
      <c r="AV46" s="2049">
        <v>3.03</v>
      </c>
      <c r="AW46" s="19">
        <f>+AU46/AV46</f>
        <v>3.3663366336633662</v>
      </c>
      <c r="AX46" s="2031">
        <f>(M46+P46+S46+V46+Y46+AB46+AG46+AJ46+AM46+AP46+AS46+AV46)/12</f>
        <v>4.6008333333333331</v>
      </c>
      <c r="AY46" s="19">
        <f>G46/AX46</f>
        <v>2.2169896757833727</v>
      </c>
    </row>
    <row r="47" spans="1:51" ht="61.5" thickTop="1" thickBot="1">
      <c r="A47" s="3173"/>
      <c r="B47" s="3046"/>
      <c r="C47" s="1967" t="s">
        <v>452</v>
      </c>
      <c r="D47" s="1962" t="s">
        <v>263</v>
      </c>
      <c r="E47" s="1972" t="s">
        <v>264</v>
      </c>
      <c r="F47" s="1976" t="s">
        <v>10</v>
      </c>
      <c r="G47" s="1997">
        <v>1</v>
      </c>
      <c r="H47" s="1978"/>
      <c r="I47" s="1979"/>
      <c r="J47" s="1978"/>
      <c r="K47" s="1976" t="s">
        <v>226</v>
      </c>
      <c r="L47" s="2007">
        <v>0</v>
      </c>
      <c r="M47" s="2008"/>
      <c r="N47" s="19" t="e">
        <f t="shared" si="0"/>
        <v>#DIV/0!</v>
      </c>
      <c r="O47" s="2007">
        <v>0</v>
      </c>
      <c r="P47" s="2008"/>
      <c r="Q47" s="19" t="e">
        <f t="shared" si="1"/>
        <v>#DIV/0!</v>
      </c>
      <c r="R47" s="2007">
        <v>0</v>
      </c>
      <c r="S47" s="2008"/>
      <c r="T47" s="19" t="e">
        <f t="shared" si="2"/>
        <v>#DIV/0!</v>
      </c>
      <c r="U47" s="2007">
        <v>0</v>
      </c>
      <c r="V47" s="2008"/>
      <c r="W47" s="19" t="e">
        <f t="shared" si="3"/>
        <v>#DIV/0!</v>
      </c>
      <c r="X47" s="2007">
        <v>0</v>
      </c>
      <c r="Y47" s="2046"/>
      <c r="Z47" s="19" t="e">
        <f t="shared" si="4"/>
        <v>#DIV/0!</v>
      </c>
      <c r="AA47" s="2007">
        <v>0</v>
      </c>
      <c r="AB47" s="2008"/>
      <c r="AC47" s="19" t="e">
        <f t="shared" si="5"/>
        <v>#DIV/0!</v>
      </c>
      <c r="AD47" s="2001">
        <f t="shared" si="6"/>
        <v>0</v>
      </c>
      <c r="AE47" s="19">
        <f t="shared" si="7"/>
        <v>0</v>
      </c>
      <c r="AF47" s="2007">
        <v>0</v>
      </c>
      <c r="AG47" s="2008"/>
      <c r="AH47" s="19" t="e">
        <f t="shared" si="8"/>
        <v>#DIV/0!</v>
      </c>
      <c r="AI47" s="2007">
        <v>0</v>
      </c>
      <c r="AJ47" s="2008"/>
      <c r="AK47" s="19" t="e">
        <f t="shared" si="9"/>
        <v>#DIV/0!</v>
      </c>
      <c r="AL47" s="2007">
        <v>0.5</v>
      </c>
      <c r="AM47" s="2008">
        <v>0.5</v>
      </c>
      <c r="AN47" s="19">
        <f t="shared" si="10"/>
        <v>1</v>
      </c>
      <c r="AO47" s="2007">
        <v>0</v>
      </c>
      <c r="AP47" s="2008"/>
      <c r="AQ47" s="19" t="e">
        <f t="shared" si="11"/>
        <v>#DIV/0!</v>
      </c>
      <c r="AR47" s="2007">
        <v>0</v>
      </c>
      <c r="AS47" s="2008"/>
      <c r="AT47" s="19" t="e">
        <f t="shared" si="12"/>
        <v>#DIV/0!</v>
      </c>
      <c r="AU47" s="2007">
        <v>0.5</v>
      </c>
      <c r="AV47" s="2008">
        <v>0.5</v>
      </c>
      <c r="AW47" s="19">
        <f t="shared" si="13"/>
        <v>1</v>
      </c>
      <c r="AX47" s="2022">
        <f>+AM47+AV47</f>
        <v>1</v>
      </c>
      <c r="AY47" s="19">
        <f t="shared" si="15"/>
        <v>1</v>
      </c>
    </row>
    <row r="48" spans="1:51" ht="57.75" thickTop="1" thickBot="1">
      <c r="A48" s="3173"/>
      <c r="B48" s="1958" t="s">
        <v>150</v>
      </c>
      <c r="C48" s="1965" t="s">
        <v>379</v>
      </c>
      <c r="D48" s="1961" t="s">
        <v>319</v>
      </c>
      <c r="E48" s="1973" t="s">
        <v>183</v>
      </c>
      <c r="F48" s="1974" t="s">
        <v>17</v>
      </c>
      <c r="G48" s="1992">
        <v>37</v>
      </c>
      <c r="H48" s="1989"/>
      <c r="I48" s="1989"/>
      <c r="J48" s="1989"/>
      <c r="K48" s="1973" t="s">
        <v>21</v>
      </c>
      <c r="L48" s="2048">
        <v>37</v>
      </c>
      <c r="M48" s="2049">
        <v>42</v>
      </c>
      <c r="N48" s="19">
        <f>+L48/M48</f>
        <v>0.88095238095238093</v>
      </c>
      <c r="O48" s="2048">
        <v>37</v>
      </c>
      <c r="P48" s="2049">
        <v>43</v>
      </c>
      <c r="Q48" s="19">
        <f>+O48/P48</f>
        <v>0.86046511627906974</v>
      </c>
      <c r="R48" s="2048">
        <v>37</v>
      </c>
      <c r="S48" s="2049">
        <v>40</v>
      </c>
      <c r="T48" s="19">
        <f>+R48/S48</f>
        <v>0.92500000000000004</v>
      </c>
      <c r="U48" s="2048">
        <v>37</v>
      </c>
      <c r="V48" s="2049">
        <v>30</v>
      </c>
      <c r="W48" s="19">
        <f>+U48/V48</f>
        <v>1.2333333333333334</v>
      </c>
      <c r="X48" s="2048">
        <v>37</v>
      </c>
      <c r="Y48" s="2046">
        <v>15</v>
      </c>
      <c r="Z48" s="19">
        <f>+X48/Y48</f>
        <v>2.4666666666666668</v>
      </c>
      <c r="AA48" s="2048">
        <v>37</v>
      </c>
      <c r="AB48" s="2049">
        <v>15</v>
      </c>
      <c r="AC48" s="19">
        <f>+AA48/AB48</f>
        <v>2.4666666666666668</v>
      </c>
      <c r="AD48" s="2050">
        <f>(S48+V48+Y48+AB48)/4</f>
        <v>25</v>
      </c>
      <c r="AE48" s="19">
        <f>G48/AD48</f>
        <v>1.48</v>
      </c>
      <c r="AF48" s="2048">
        <v>37</v>
      </c>
      <c r="AG48" s="2049">
        <v>15</v>
      </c>
      <c r="AH48" s="19">
        <f>+AF48/AG48</f>
        <v>2.4666666666666668</v>
      </c>
      <c r="AI48" s="2048">
        <v>37</v>
      </c>
      <c r="AJ48" s="2049">
        <v>40</v>
      </c>
      <c r="AK48" s="19">
        <f>+AI48/AJ48</f>
        <v>0.92500000000000004</v>
      </c>
      <c r="AL48" s="2048">
        <v>37</v>
      </c>
      <c r="AM48" s="2049">
        <v>40</v>
      </c>
      <c r="AN48" s="19">
        <f>+AL48/AM48</f>
        <v>0.92500000000000004</v>
      </c>
      <c r="AO48" s="2048">
        <v>37</v>
      </c>
      <c r="AP48" s="2049">
        <v>33</v>
      </c>
      <c r="AQ48" s="19">
        <f>+AO48/AP48</f>
        <v>1.1212121212121211</v>
      </c>
      <c r="AR48" s="2048">
        <v>37</v>
      </c>
      <c r="AS48" s="2049">
        <v>38</v>
      </c>
      <c r="AT48" s="19">
        <f>+AR48/AS48</f>
        <v>0.97368421052631582</v>
      </c>
      <c r="AU48" s="2048">
        <v>37</v>
      </c>
      <c r="AV48" s="2049">
        <v>28</v>
      </c>
      <c r="AW48" s="19">
        <f>+AU48/AV48</f>
        <v>1.3214285714285714</v>
      </c>
      <c r="AX48" s="2031">
        <f>(S48+V48+Y48+AB48+AG48+AJ48+AM48+AP48+AS48+AV48)/10</f>
        <v>29.4</v>
      </c>
      <c r="AY48" s="19">
        <f>G48/AX48</f>
        <v>1.2585034013605443</v>
      </c>
    </row>
    <row r="49" spans="1:51" ht="22.5" thickTop="1" thickBot="1">
      <c r="A49" s="2034"/>
      <c r="B49" s="2034"/>
      <c r="C49" s="2034"/>
      <c r="D49" s="2034"/>
      <c r="E49" s="2034"/>
      <c r="F49" s="2034"/>
      <c r="G49" s="2034"/>
      <c r="H49" s="2034"/>
      <c r="I49" s="2034"/>
      <c r="J49" s="2034"/>
      <c r="K49" s="2034"/>
      <c r="L49" s="2015"/>
      <c r="M49" s="2016"/>
      <c r="N49" s="2034"/>
      <c r="O49" s="2015"/>
      <c r="P49" s="2016"/>
      <c r="Q49" s="2034"/>
      <c r="R49" s="2015"/>
      <c r="S49" s="2016"/>
      <c r="T49" s="2034"/>
      <c r="U49" s="2015"/>
      <c r="V49" s="2016"/>
      <c r="W49" s="2034"/>
      <c r="X49" s="2015"/>
      <c r="Y49" s="2015"/>
      <c r="Z49" s="2034"/>
      <c r="AA49" s="2015"/>
      <c r="AB49" s="2016"/>
      <c r="AC49" s="2034"/>
      <c r="AD49" s="2016"/>
      <c r="AE49" s="2034"/>
      <c r="AF49" s="2015"/>
      <c r="AG49" s="2016"/>
      <c r="AH49" s="2034"/>
      <c r="AI49" s="2015"/>
      <c r="AJ49" s="2016"/>
      <c r="AK49" s="2034"/>
      <c r="AL49" s="2015"/>
      <c r="AM49" s="2016"/>
      <c r="AN49" s="2034"/>
      <c r="AO49" s="2015"/>
      <c r="AP49" s="2016"/>
      <c r="AQ49" s="2034"/>
      <c r="AR49" s="2015"/>
      <c r="AS49" s="2016"/>
      <c r="AT49" s="2034"/>
      <c r="AU49" s="2015"/>
      <c r="AV49" s="2016"/>
      <c r="AW49" s="2034"/>
      <c r="AX49" s="2034"/>
      <c r="AY49" s="2034"/>
    </row>
    <row r="50" spans="1:51" ht="64.5" thickTop="1" thickBot="1">
      <c r="A50" s="1205" t="s">
        <v>155</v>
      </c>
      <c r="B50" s="1959" t="s">
        <v>156</v>
      </c>
      <c r="C50" s="1969" t="s">
        <v>157</v>
      </c>
      <c r="D50" s="1962" t="s">
        <v>158</v>
      </c>
      <c r="E50" s="1976" t="s">
        <v>939</v>
      </c>
      <c r="F50" s="1977" t="s">
        <v>17</v>
      </c>
      <c r="G50" s="1994">
        <v>10</v>
      </c>
      <c r="H50" s="1988"/>
      <c r="I50" s="1988"/>
      <c r="J50" s="1988"/>
      <c r="K50" s="1976" t="s">
        <v>27</v>
      </c>
      <c r="L50" s="2042">
        <v>0</v>
      </c>
      <c r="M50" s="2044"/>
      <c r="N50" s="19" t="e">
        <f t="shared" ref="N50" si="19">+M50/L50</f>
        <v>#DIV/0!</v>
      </c>
      <c r="O50" s="2042">
        <v>0</v>
      </c>
      <c r="P50" s="2044"/>
      <c r="Q50" s="19" t="e">
        <f t="shared" ref="Q50" si="20">+P50/O50</f>
        <v>#DIV/0!</v>
      </c>
      <c r="R50" s="2042">
        <v>0</v>
      </c>
      <c r="S50" s="2044"/>
      <c r="T50" s="19" t="e">
        <f t="shared" ref="T50" si="21">+S50/R50</f>
        <v>#DIV/0!</v>
      </c>
      <c r="U50" s="2042">
        <v>0</v>
      </c>
      <c r="V50" s="2044"/>
      <c r="W50" s="19" t="e">
        <f t="shared" ref="W50" si="22">+V50/U50</f>
        <v>#DIV/0!</v>
      </c>
      <c r="X50" s="2042">
        <v>2</v>
      </c>
      <c r="Y50" s="2046">
        <v>2</v>
      </c>
      <c r="Z50" s="19">
        <f t="shared" ref="Z50" si="23">+Y50/X50</f>
        <v>1</v>
      </c>
      <c r="AA50" s="2042">
        <v>0</v>
      </c>
      <c r="AB50" s="2044"/>
      <c r="AC50" s="19" t="e">
        <f t="shared" ref="AC50" si="24">+AB50/AA50</f>
        <v>#DIV/0!</v>
      </c>
      <c r="AD50" s="2045">
        <f t="shared" ref="AD50" si="25">+M50+P50+S50+V50+Y50+AB50</f>
        <v>2</v>
      </c>
      <c r="AE50" s="19">
        <f t="shared" ref="AE50" si="26">AD50/G50</f>
        <v>0.2</v>
      </c>
      <c r="AF50" s="2042">
        <v>1</v>
      </c>
      <c r="AG50" s="2044">
        <v>1</v>
      </c>
      <c r="AH50" s="19">
        <f t="shared" ref="AH50" si="27">+AG50/AF50</f>
        <v>1</v>
      </c>
      <c r="AI50" s="2042">
        <v>3</v>
      </c>
      <c r="AJ50" s="2044">
        <v>3</v>
      </c>
      <c r="AK50" s="19">
        <f t="shared" ref="AK50" si="28">+AJ50/AI50</f>
        <v>1</v>
      </c>
      <c r="AL50" s="2042">
        <v>1</v>
      </c>
      <c r="AM50" s="2044">
        <v>1</v>
      </c>
      <c r="AN50" s="19">
        <f t="shared" ref="AN50" si="29">+AM50/AL50</f>
        <v>1</v>
      </c>
      <c r="AO50" s="2042">
        <v>3</v>
      </c>
      <c r="AP50" s="2044">
        <v>3</v>
      </c>
      <c r="AQ50" s="19">
        <f t="shared" ref="AQ50" si="30">+AP50/AO50</f>
        <v>1</v>
      </c>
      <c r="AR50" s="2042">
        <v>0</v>
      </c>
      <c r="AS50" s="2044"/>
      <c r="AT50" s="19" t="e">
        <f t="shared" ref="AT50" si="31">+AS50/AR50</f>
        <v>#DIV/0!</v>
      </c>
      <c r="AU50" s="2042">
        <v>0</v>
      </c>
      <c r="AV50" s="2044"/>
      <c r="AW50" s="19" t="e">
        <f t="shared" ref="AW50" si="32">+AV50/AU50</f>
        <v>#DIV/0!</v>
      </c>
      <c r="AX50" s="2028">
        <f t="shared" ref="AX50" si="33">+M50+P50+S50+V50+Y50+AB50+AG50+AJ50+AM50+AP50+AS50+AV50</f>
        <v>10</v>
      </c>
      <c r="AY50" s="19">
        <f t="shared" ref="AY50" si="34">+AX50/G50</f>
        <v>1</v>
      </c>
    </row>
    <row r="51" spans="1:51" ht="17.25" thickTop="1"/>
  </sheetData>
  <sheetProtection algorithmName="SHA-512" hashValue="1Hjf5ytjnwMexquWCcYVc7sa89A/x1xgbaqTY5LnGm1BxpR5ABxFkgrchqvhqBkFa4ByDP8zorReEO3O6jr7WA==" saltValue="+dtyBe0rQLAtGU1eDvQy5A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39:K39" name="Rango1"/>
    <protectedRange algorithmName="SHA-512" hashValue="Uds9cYMsxnQI1SjFHe8NNqfDC/fFeray9QhmtAdG/GCgT0L97QBkFAQ9tCw5vTy3J/lQFdDpBTyQoZDg0KZNmQ==" saltValue="0HoWkw5WsZ+PdZDtJpkerg==" spinCount="100000" sqref="AD37:AD38" name="Rango1_1"/>
    <protectedRange algorithmName="SHA-512" hashValue="Uds9cYMsxnQI1SjFHe8NNqfDC/fFeray9QhmtAdG/GCgT0L97QBkFAQ9tCw5vTy3J/lQFdDpBTyQoZDg0KZNmQ==" saltValue="0HoWkw5WsZ+PdZDtJpkerg==" spinCount="100000" sqref="AX37:AX38" name="Rango1_1_1_1"/>
  </protectedRanges>
  <mergeCells count="37">
    <mergeCell ref="C37:C42"/>
    <mergeCell ref="AX5:AY7"/>
    <mergeCell ref="AF5:AH7"/>
    <mergeCell ref="AI5:AK7"/>
    <mergeCell ref="AL5:AN7"/>
    <mergeCell ref="AO5:AQ7"/>
    <mergeCell ref="AR5:AT7"/>
    <mergeCell ref="AU5:AW7"/>
    <mergeCell ref="AD5:AE7"/>
    <mergeCell ref="K5:K7"/>
    <mergeCell ref="C12:C19"/>
    <mergeCell ref="C23:C25"/>
    <mergeCell ref="C27:C33"/>
    <mergeCell ref="O5:Q7"/>
    <mergeCell ref="R5:T7"/>
    <mergeCell ref="U5:W7"/>
    <mergeCell ref="X5:Z7"/>
    <mergeCell ref="AA5:AC7"/>
    <mergeCell ref="L5:N7"/>
    <mergeCell ref="G5:G7"/>
    <mergeCell ref="H5:J6"/>
    <mergeCell ref="A45:A48"/>
    <mergeCell ref="B45:B47"/>
    <mergeCell ref="C1:K1"/>
    <mergeCell ref="C2:K2"/>
    <mergeCell ref="C3:K3"/>
    <mergeCell ref="C4:K4"/>
    <mergeCell ref="C5:C7"/>
    <mergeCell ref="D5:D7"/>
    <mergeCell ref="E5:E7"/>
    <mergeCell ref="F5:F7"/>
    <mergeCell ref="A5:A7"/>
    <mergeCell ref="B5:B7"/>
    <mergeCell ref="A9:A43"/>
    <mergeCell ref="B9:B10"/>
    <mergeCell ref="B11:B34"/>
    <mergeCell ref="B35:B43"/>
  </mergeCells>
  <conditionalFormatting sqref="N32">
    <cfRule type="cellIs" dxfId="4774" priority="1" operator="greaterThan">
      <formula>110%</formula>
    </cfRule>
    <cfRule type="cellIs" dxfId="4773" priority="2" operator="between">
      <formula>100.001%</formula>
      <formula>110%</formula>
    </cfRule>
    <cfRule type="cellIs" dxfId="4772" priority="3" operator="between">
      <formula>70.001%</formula>
      <formula>100%</formula>
    </cfRule>
    <cfRule type="cellIs" dxfId="4771" priority="4" operator="between">
      <formula>0.00001%</formula>
      <formula>70%</formula>
    </cfRule>
    <cfRule type="cellIs" dxfId="4770" priority="5" operator="equal">
      <formula>0</formula>
    </cfRule>
  </conditionalFormatting>
  <conditionalFormatting sqref="AY9:AY24 AY50 AY45:AY48 AY26 AY28:AY30 AY33:AY43">
    <cfRule type="cellIs" dxfId="4769" priority="336" operator="greaterThan">
      <formula>110%</formula>
    </cfRule>
    <cfRule type="cellIs" dxfId="4768" priority="337" operator="between">
      <formula>100.001%</formula>
      <formula>110%</formula>
    </cfRule>
    <cfRule type="cellIs" dxfId="4767" priority="338" operator="between">
      <formula>70.001%</formula>
      <formula>100%</formula>
    </cfRule>
    <cfRule type="cellIs" dxfId="4766" priority="339" operator="between">
      <formula>0.00001%</formula>
      <formula>70%</formula>
    </cfRule>
    <cfRule type="cellIs" dxfId="4765" priority="340" operator="equal">
      <formula>0</formula>
    </cfRule>
  </conditionalFormatting>
  <conditionalFormatting sqref="AW9:AW24 AW50 AW45:AW48 AW26 AW28:AW30 AW33:AW43">
    <cfRule type="cellIs" dxfId="4764" priority="331" operator="greaterThan">
      <formula>110%</formula>
    </cfRule>
    <cfRule type="cellIs" dxfId="4763" priority="332" operator="between">
      <formula>100.001%</formula>
      <formula>110%</formula>
    </cfRule>
    <cfRule type="cellIs" dxfId="4762" priority="333" operator="between">
      <formula>70.001%</formula>
      <formula>100%</formula>
    </cfRule>
    <cfRule type="cellIs" dxfId="4761" priority="334" operator="between">
      <formula>0.00001%</formula>
      <formula>70%</formula>
    </cfRule>
    <cfRule type="cellIs" dxfId="4760" priority="335" operator="equal">
      <formula>0</formula>
    </cfRule>
  </conditionalFormatting>
  <conditionalFormatting sqref="AT9:AT24 AT50 AT45:AT48 AT26 AT28:AT30 AT33:AT43">
    <cfRule type="cellIs" dxfId="4759" priority="326" operator="greaterThan">
      <formula>110%</formula>
    </cfRule>
    <cfRule type="cellIs" dxfId="4758" priority="327" operator="between">
      <formula>100.001%</formula>
      <formula>110%</formula>
    </cfRule>
    <cfRule type="cellIs" dxfId="4757" priority="328" operator="between">
      <formula>70.001%</formula>
      <formula>100%</formula>
    </cfRule>
    <cfRule type="cellIs" dxfId="4756" priority="329" operator="between">
      <formula>0.00001%</formula>
      <formula>70%</formula>
    </cfRule>
    <cfRule type="cellIs" dxfId="4755" priority="330" operator="equal">
      <formula>0</formula>
    </cfRule>
  </conditionalFormatting>
  <conditionalFormatting sqref="AQ9:AQ24 AQ50 AQ45:AQ48 AQ26 AQ28:AQ30 AQ33:AQ43">
    <cfRule type="cellIs" dxfId="4754" priority="321" operator="greaterThan">
      <formula>110%</formula>
    </cfRule>
    <cfRule type="cellIs" dxfId="4753" priority="322" operator="between">
      <formula>100.001%</formula>
      <formula>110%</formula>
    </cfRule>
    <cfRule type="cellIs" dxfId="4752" priority="323" operator="between">
      <formula>70.001%</formula>
      <formula>100%</formula>
    </cfRule>
    <cfRule type="cellIs" dxfId="4751" priority="324" operator="between">
      <formula>0.00001%</formula>
      <formula>70%</formula>
    </cfRule>
    <cfRule type="cellIs" dxfId="4750" priority="325" operator="equal">
      <formula>0</formula>
    </cfRule>
  </conditionalFormatting>
  <conditionalFormatting sqref="AN9:AN24 AN50 AN45:AN48 AN26 AN28:AN30 AN33:AN43">
    <cfRule type="cellIs" dxfId="4749" priority="316" operator="greaterThan">
      <formula>110%</formula>
    </cfRule>
    <cfRule type="cellIs" dxfId="4748" priority="317" operator="between">
      <formula>100.001%</formula>
      <formula>110%</formula>
    </cfRule>
    <cfRule type="cellIs" dxfId="4747" priority="318" operator="between">
      <formula>70.001%</formula>
      <formula>100%</formula>
    </cfRule>
    <cfRule type="cellIs" dxfId="4746" priority="319" operator="between">
      <formula>0.00001%</formula>
      <formula>70%</formula>
    </cfRule>
    <cfRule type="cellIs" dxfId="4745" priority="320" operator="equal">
      <formula>0</formula>
    </cfRule>
  </conditionalFormatting>
  <conditionalFormatting sqref="AK9:AK24 AK50 AK45:AK48 AK26 AK28:AK30 AK33:AK43">
    <cfRule type="cellIs" dxfId="4744" priority="311" operator="greaterThan">
      <formula>110%</formula>
    </cfRule>
    <cfRule type="cellIs" dxfId="4743" priority="312" operator="between">
      <formula>100.001%</formula>
      <formula>110%</formula>
    </cfRule>
    <cfRule type="cellIs" dxfId="4742" priority="313" operator="between">
      <formula>70.001%</formula>
      <formula>100%</formula>
    </cfRule>
    <cfRule type="cellIs" dxfId="4741" priority="314" operator="between">
      <formula>0.00001%</formula>
      <formula>70%</formula>
    </cfRule>
    <cfRule type="cellIs" dxfId="4740" priority="315" operator="equal">
      <formula>0</formula>
    </cfRule>
  </conditionalFormatting>
  <conditionalFormatting sqref="AH9:AH24 AH50 AH45:AH48 AH26 AH28:AH30 AH33:AH43">
    <cfRule type="cellIs" dxfId="4739" priority="306" operator="greaterThan">
      <formula>110%</formula>
    </cfRule>
    <cfRule type="cellIs" dxfId="4738" priority="307" operator="between">
      <formula>100.001%</formula>
      <formula>110%</formula>
    </cfRule>
    <cfRule type="cellIs" dxfId="4737" priority="308" operator="between">
      <formula>70.001%</formula>
      <formula>100%</formula>
    </cfRule>
    <cfRule type="cellIs" dxfId="4736" priority="309" operator="between">
      <formula>0.00001%</formula>
      <formula>70%</formula>
    </cfRule>
    <cfRule type="cellIs" dxfId="4735" priority="310" operator="equal">
      <formula>0</formula>
    </cfRule>
  </conditionalFormatting>
  <conditionalFormatting sqref="AE9:AE24 AE50 AE45:AE48 AE26 AE28:AE30 AE33:AE43">
    <cfRule type="cellIs" dxfId="4734" priority="301" operator="greaterThan">
      <formula>110%</formula>
    </cfRule>
    <cfRule type="cellIs" dxfId="4733" priority="302" operator="between">
      <formula>100.001%</formula>
      <formula>110%</formula>
    </cfRule>
    <cfRule type="cellIs" dxfId="4732" priority="303" operator="between">
      <formula>70.001%</formula>
      <formula>100%</formula>
    </cfRule>
    <cfRule type="cellIs" dxfId="4731" priority="304" operator="between">
      <formula>0.00001%</formula>
      <formula>70%</formula>
    </cfRule>
    <cfRule type="cellIs" dxfId="4730" priority="305" operator="equal">
      <formula>0</formula>
    </cfRule>
  </conditionalFormatting>
  <conditionalFormatting sqref="AC9:AC24 AC50 AC45:AC48 AC26 AC28:AC30 AC33:AC43">
    <cfRule type="cellIs" dxfId="4729" priority="296" operator="greaterThan">
      <formula>110%</formula>
    </cfRule>
    <cfRule type="cellIs" dxfId="4728" priority="297" operator="between">
      <formula>100.001%</formula>
      <formula>110%</formula>
    </cfRule>
    <cfRule type="cellIs" dxfId="4727" priority="298" operator="between">
      <formula>70.001%</formula>
      <formula>100%</formula>
    </cfRule>
    <cfRule type="cellIs" dxfId="4726" priority="299" operator="between">
      <formula>0.00001%</formula>
      <formula>70%</formula>
    </cfRule>
    <cfRule type="cellIs" dxfId="4725" priority="300" operator="equal">
      <formula>0</formula>
    </cfRule>
  </conditionalFormatting>
  <conditionalFormatting sqref="Z9:Z24 Z50 Z45:Z48 Z26 Z28:Z30 Z33:Z43">
    <cfRule type="cellIs" dxfId="4724" priority="291" operator="greaterThan">
      <formula>110%</formula>
    </cfRule>
    <cfRule type="cellIs" dxfId="4723" priority="292" operator="between">
      <formula>100.001%</formula>
      <formula>110%</formula>
    </cfRule>
    <cfRule type="cellIs" dxfId="4722" priority="293" operator="between">
      <formula>70.001%</formula>
      <formula>100%</formula>
    </cfRule>
    <cfRule type="cellIs" dxfId="4721" priority="294" operator="between">
      <formula>0.00001%</formula>
      <formula>70%</formula>
    </cfRule>
    <cfRule type="cellIs" dxfId="4720" priority="295" operator="equal">
      <formula>0</formula>
    </cfRule>
  </conditionalFormatting>
  <conditionalFormatting sqref="W9:W24 W50 W45:W48 W26 W28:W30 W33:W43">
    <cfRule type="cellIs" dxfId="4719" priority="286" operator="greaterThan">
      <formula>110%</formula>
    </cfRule>
    <cfRule type="cellIs" dxfId="4718" priority="287" operator="between">
      <formula>100.001%</formula>
      <formula>110%</formula>
    </cfRule>
    <cfRule type="cellIs" dxfId="4717" priority="288" operator="between">
      <formula>70.001%</formula>
      <formula>100%</formula>
    </cfRule>
    <cfRule type="cellIs" dxfId="4716" priority="289" operator="between">
      <formula>0.00001%</formula>
      <formula>70%</formula>
    </cfRule>
    <cfRule type="cellIs" dxfId="4715" priority="290" operator="equal">
      <formula>0</formula>
    </cfRule>
  </conditionalFormatting>
  <conditionalFormatting sqref="T9:T24 T50 T45:T48 T26 T28:T30 T33:T43">
    <cfRule type="cellIs" dxfId="4714" priority="281" operator="greaterThan">
      <formula>110%</formula>
    </cfRule>
    <cfRule type="cellIs" dxfId="4713" priority="282" operator="between">
      <formula>100.001%</formula>
      <formula>110%</formula>
    </cfRule>
    <cfRule type="cellIs" dxfId="4712" priority="283" operator="between">
      <formula>70.001%</formula>
      <formula>100%</formula>
    </cfRule>
    <cfRule type="cellIs" dxfId="4711" priority="284" operator="between">
      <formula>0.00001%</formula>
      <formula>70%</formula>
    </cfRule>
    <cfRule type="cellIs" dxfId="4710" priority="285" operator="equal">
      <formula>0</formula>
    </cfRule>
  </conditionalFormatting>
  <conditionalFormatting sqref="Q9:Q24 Q50 Q45:Q48 Q26 Q28:Q30 Q33:Q43">
    <cfRule type="cellIs" dxfId="4709" priority="276" operator="greaterThan">
      <formula>110%</formula>
    </cfRule>
    <cfRule type="cellIs" dxfId="4708" priority="277" operator="between">
      <formula>100.001%</formula>
      <formula>110%</formula>
    </cfRule>
    <cfRule type="cellIs" dxfId="4707" priority="278" operator="between">
      <formula>70.001%</formula>
      <formula>100%</formula>
    </cfRule>
    <cfRule type="cellIs" dxfId="4706" priority="279" operator="between">
      <formula>0.00001%</formula>
      <formula>70%</formula>
    </cfRule>
    <cfRule type="cellIs" dxfId="4705" priority="280" operator="equal">
      <formula>0</formula>
    </cfRule>
  </conditionalFormatting>
  <conditionalFormatting sqref="N9:N24 N50 N45:N48 N26 N28:N30 N33:N43">
    <cfRule type="cellIs" dxfId="4704" priority="271" operator="greaterThan">
      <formula>110%</formula>
    </cfRule>
    <cfRule type="cellIs" dxfId="4703" priority="272" operator="between">
      <formula>100.001%</formula>
      <formula>110%</formula>
    </cfRule>
    <cfRule type="cellIs" dxfId="4702" priority="273" operator="between">
      <formula>70.001%</formula>
      <formula>100%</formula>
    </cfRule>
    <cfRule type="cellIs" dxfId="4701" priority="274" operator="between">
      <formula>0.00001%</formula>
      <formula>70%</formula>
    </cfRule>
    <cfRule type="cellIs" dxfId="4700" priority="275" operator="equal">
      <formula>0</formula>
    </cfRule>
  </conditionalFormatting>
  <conditionalFormatting sqref="AY25">
    <cfRule type="cellIs" dxfId="4699" priority="266" operator="greaterThan">
      <formula>110%</formula>
    </cfRule>
    <cfRule type="cellIs" dxfId="4698" priority="267" operator="between">
      <formula>100.001%</formula>
      <formula>110%</formula>
    </cfRule>
    <cfRule type="cellIs" dxfId="4697" priority="268" operator="between">
      <formula>70.001%</formula>
      <formula>100%</formula>
    </cfRule>
    <cfRule type="cellIs" dxfId="4696" priority="269" operator="between">
      <formula>0.00001%</formula>
      <formula>70%</formula>
    </cfRule>
    <cfRule type="cellIs" dxfId="4695" priority="270" operator="equal">
      <formula>0</formula>
    </cfRule>
  </conditionalFormatting>
  <conditionalFormatting sqref="AW25">
    <cfRule type="cellIs" dxfId="4694" priority="261" operator="greaterThan">
      <formula>110%</formula>
    </cfRule>
    <cfRule type="cellIs" dxfId="4693" priority="262" operator="between">
      <formula>100.001%</formula>
      <formula>110%</formula>
    </cfRule>
    <cfRule type="cellIs" dxfId="4692" priority="263" operator="between">
      <formula>70.001%</formula>
      <formula>100%</formula>
    </cfRule>
    <cfRule type="cellIs" dxfId="4691" priority="264" operator="between">
      <formula>0.00001%</formula>
      <formula>70%</formula>
    </cfRule>
    <cfRule type="cellIs" dxfId="4690" priority="265" operator="equal">
      <formula>0</formula>
    </cfRule>
  </conditionalFormatting>
  <conditionalFormatting sqref="AT25">
    <cfRule type="cellIs" dxfId="4689" priority="256" operator="greaterThan">
      <formula>110%</formula>
    </cfRule>
    <cfRule type="cellIs" dxfId="4688" priority="257" operator="between">
      <formula>100.001%</formula>
      <formula>110%</formula>
    </cfRule>
    <cfRule type="cellIs" dxfId="4687" priority="258" operator="between">
      <formula>70.001%</formula>
      <formula>100%</formula>
    </cfRule>
    <cfRule type="cellIs" dxfId="4686" priority="259" operator="between">
      <formula>0.00001%</formula>
      <formula>70%</formula>
    </cfRule>
    <cfRule type="cellIs" dxfId="4685" priority="260" operator="equal">
      <formula>0</formula>
    </cfRule>
  </conditionalFormatting>
  <conditionalFormatting sqref="AQ25">
    <cfRule type="cellIs" dxfId="4684" priority="251" operator="greaterThan">
      <formula>110%</formula>
    </cfRule>
    <cfRule type="cellIs" dxfId="4683" priority="252" operator="between">
      <formula>100.001%</formula>
      <formula>110%</formula>
    </cfRule>
    <cfRule type="cellIs" dxfId="4682" priority="253" operator="between">
      <formula>70.001%</formula>
      <formula>100%</formula>
    </cfRule>
    <cfRule type="cellIs" dxfId="4681" priority="254" operator="between">
      <formula>0.00001%</formula>
      <formula>70%</formula>
    </cfRule>
    <cfRule type="cellIs" dxfId="4680" priority="255" operator="equal">
      <formula>0</formula>
    </cfRule>
  </conditionalFormatting>
  <conditionalFormatting sqref="AN25">
    <cfRule type="cellIs" dxfId="4679" priority="246" operator="greaterThan">
      <formula>110%</formula>
    </cfRule>
    <cfRule type="cellIs" dxfId="4678" priority="247" operator="between">
      <formula>100.001%</formula>
      <formula>110%</formula>
    </cfRule>
    <cfRule type="cellIs" dxfId="4677" priority="248" operator="between">
      <formula>70.001%</formula>
      <formula>100%</formula>
    </cfRule>
    <cfRule type="cellIs" dxfId="4676" priority="249" operator="between">
      <formula>0.00001%</formula>
      <formula>70%</formula>
    </cfRule>
    <cfRule type="cellIs" dxfId="4675" priority="250" operator="equal">
      <formula>0</formula>
    </cfRule>
  </conditionalFormatting>
  <conditionalFormatting sqref="AK25">
    <cfRule type="cellIs" dxfId="4674" priority="241" operator="greaterThan">
      <formula>110%</formula>
    </cfRule>
    <cfRule type="cellIs" dxfId="4673" priority="242" operator="between">
      <formula>100.001%</formula>
      <formula>110%</formula>
    </cfRule>
    <cfRule type="cellIs" dxfId="4672" priority="243" operator="between">
      <formula>70.001%</formula>
      <formula>100%</formula>
    </cfRule>
    <cfRule type="cellIs" dxfId="4671" priority="244" operator="between">
      <formula>0.00001%</formula>
      <formula>70%</formula>
    </cfRule>
    <cfRule type="cellIs" dxfId="4670" priority="245" operator="equal">
      <formula>0</formula>
    </cfRule>
  </conditionalFormatting>
  <conditionalFormatting sqref="AH25">
    <cfRule type="cellIs" dxfId="4669" priority="236" operator="greaterThan">
      <formula>110%</formula>
    </cfRule>
    <cfRule type="cellIs" dxfId="4668" priority="237" operator="between">
      <formula>100.001%</formula>
      <formula>110%</formula>
    </cfRule>
    <cfRule type="cellIs" dxfId="4667" priority="238" operator="between">
      <formula>70.001%</formula>
      <formula>100%</formula>
    </cfRule>
    <cfRule type="cellIs" dxfId="4666" priority="239" operator="between">
      <formula>0.00001%</formula>
      <formula>70%</formula>
    </cfRule>
    <cfRule type="cellIs" dxfId="4665" priority="240" operator="equal">
      <formula>0</formula>
    </cfRule>
  </conditionalFormatting>
  <conditionalFormatting sqref="AE25">
    <cfRule type="cellIs" dxfId="4664" priority="231" operator="greaterThan">
      <formula>110%</formula>
    </cfRule>
    <cfRule type="cellIs" dxfId="4663" priority="232" operator="between">
      <formula>100.001%</formula>
      <formula>110%</formula>
    </cfRule>
    <cfRule type="cellIs" dxfId="4662" priority="233" operator="between">
      <formula>70.001%</formula>
      <formula>100%</formula>
    </cfRule>
    <cfRule type="cellIs" dxfId="4661" priority="234" operator="between">
      <formula>0.00001%</formula>
      <formula>70%</formula>
    </cfRule>
    <cfRule type="cellIs" dxfId="4660" priority="235" operator="equal">
      <formula>0</formula>
    </cfRule>
  </conditionalFormatting>
  <conditionalFormatting sqref="AC25">
    <cfRule type="cellIs" dxfId="4659" priority="226" operator="greaterThan">
      <formula>110%</formula>
    </cfRule>
    <cfRule type="cellIs" dxfId="4658" priority="227" operator="between">
      <formula>100.001%</formula>
      <formula>110%</formula>
    </cfRule>
    <cfRule type="cellIs" dxfId="4657" priority="228" operator="between">
      <formula>70.001%</formula>
      <formula>100%</formula>
    </cfRule>
    <cfRule type="cellIs" dxfId="4656" priority="229" operator="between">
      <formula>0.00001%</formula>
      <formula>70%</formula>
    </cfRule>
    <cfRule type="cellIs" dxfId="4655" priority="230" operator="equal">
      <formula>0</formula>
    </cfRule>
  </conditionalFormatting>
  <conditionalFormatting sqref="T25">
    <cfRule type="cellIs" dxfId="4654" priority="221" operator="greaterThan">
      <formula>110%</formula>
    </cfRule>
    <cfRule type="cellIs" dxfId="4653" priority="222" operator="between">
      <formula>100.001%</formula>
      <formula>110%</formula>
    </cfRule>
    <cfRule type="cellIs" dxfId="4652" priority="223" operator="between">
      <formula>70.001%</formula>
      <formula>100%</formula>
    </cfRule>
    <cfRule type="cellIs" dxfId="4651" priority="224" operator="between">
      <formula>0.00001%</formula>
      <formula>70%</formula>
    </cfRule>
    <cfRule type="cellIs" dxfId="4650" priority="225" operator="equal">
      <formula>0</formula>
    </cfRule>
  </conditionalFormatting>
  <conditionalFormatting sqref="Q25">
    <cfRule type="cellIs" dxfId="4649" priority="216" operator="greaterThan">
      <formula>110%</formula>
    </cfRule>
    <cfRule type="cellIs" dxfId="4648" priority="217" operator="between">
      <formula>100.001%</formula>
      <formula>110%</formula>
    </cfRule>
    <cfRule type="cellIs" dxfId="4647" priority="218" operator="between">
      <formula>70.001%</formula>
      <formula>100%</formula>
    </cfRule>
    <cfRule type="cellIs" dxfId="4646" priority="219" operator="between">
      <formula>0.00001%</formula>
      <formula>70%</formula>
    </cfRule>
    <cfRule type="cellIs" dxfId="4645" priority="220" operator="equal">
      <formula>0</formula>
    </cfRule>
  </conditionalFormatting>
  <conditionalFormatting sqref="N25">
    <cfRule type="cellIs" dxfId="4644" priority="211" operator="greaterThan">
      <formula>110%</formula>
    </cfRule>
    <cfRule type="cellIs" dxfId="4643" priority="212" operator="between">
      <formula>100.001%</formula>
      <formula>110%</formula>
    </cfRule>
    <cfRule type="cellIs" dxfId="4642" priority="213" operator="between">
      <formula>70.001%</formula>
      <formula>100%</formula>
    </cfRule>
    <cfRule type="cellIs" dxfId="4641" priority="214" operator="between">
      <formula>0.00001%</formula>
      <formula>70%</formula>
    </cfRule>
    <cfRule type="cellIs" dxfId="4640" priority="215" operator="equal">
      <formula>0</formula>
    </cfRule>
  </conditionalFormatting>
  <conditionalFormatting sqref="AY27">
    <cfRule type="cellIs" dxfId="4639" priority="206" operator="greaterThan">
      <formula>110%</formula>
    </cfRule>
    <cfRule type="cellIs" dxfId="4638" priority="207" operator="between">
      <formula>100.001%</formula>
      <formula>110%</formula>
    </cfRule>
    <cfRule type="cellIs" dxfId="4637" priority="208" operator="between">
      <formula>70.001%</formula>
      <formula>100%</formula>
    </cfRule>
    <cfRule type="cellIs" dxfId="4636" priority="209" operator="between">
      <formula>0.00001%</formula>
      <formula>70%</formula>
    </cfRule>
    <cfRule type="cellIs" dxfId="4635" priority="210" operator="equal">
      <formula>0</formula>
    </cfRule>
  </conditionalFormatting>
  <conditionalFormatting sqref="AW27">
    <cfRule type="cellIs" dxfId="4634" priority="201" operator="greaterThan">
      <formula>110%</formula>
    </cfRule>
    <cfRule type="cellIs" dxfId="4633" priority="202" operator="between">
      <formula>100.001%</formula>
      <formula>110%</formula>
    </cfRule>
    <cfRule type="cellIs" dxfId="4632" priority="203" operator="between">
      <formula>70.001%</formula>
      <formula>100%</formula>
    </cfRule>
    <cfRule type="cellIs" dxfId="4631" priority="204" operator="between">
      <formula>0.00001%</formula>
      <formula>70%</formula>
    </cfRule>
    <cfRule type="cellIs" dxfId="4630" priority="205" operator="equal">
      <formula>0</formula>
    </cfRule>
  </conditionalFormatting>
  <conditionalFormatting sqref="AT27">
    <cfRule type="cellIs" dxfId="4629" priority="196" operator="greaterThan">
      <formula>110%</formula>
    </cfRule>
    <cfRule type="cellIs" dxfId="4628" priority="197" operator="between">
      <formula>100.001%</formula>
      <formula>110%</formula>
    </cfRule>
    <cfRule type="cellIs" dxfId="4627" priority="198" operator="between">
      <formula>70.001%</formula>
      <formula>100%</formula>
    </cfRule>
    <cfRule type="cellIs" dxfId="4626" priority="199" operator="between">
      <formula>0.00001%</formula>
      <formula>70%</formula>
    </cfRule>
    <cfRule type="cellIs" dxfId="4625" priority="200" operator="equal">
      <formula>0</formula>
    </cfRule>
  </conditionalFormatting>
  <conditionalFormatting sqref="AQ27">
    <cfRule type="cellIs" dxfId="4624" priority="191" operator="greaterThan">
      <formula>110%</formula>
    </cfRule>
    <cfRule type="cellIs" dxfId="4623" priority="192" operator="between">
      <formula>100.001%</formula>
      <formula>110%</formula>
    </cfRule>
    <cfRule type="cellIs" dxfId="4622" priority="193" operator="between">
      <formula>70.001%</formula>
      <formula>100%</formula>
    </cfRule>
    <cfRule type="cellIs" dxfId="4621" priority="194" operator="between">
      <formula>0.00001%</formula>
      <formula>70%</formula>
    </cfRule>
    <cfRule type="cellIs" dxfId="4620" priority="195" operator="equal">
      <formula>0</formula>
    </cfRule>
  </conditionalFormatting>
  <conditionalFormatting sqref="AN27">
    <cfRule type="cellIs" dxfId="4619" priority="186" operator="greaterThan">
      <formula>110%</formula>
    </cfRule>
    <cfRule type="cellIs" dxfId="4618" priority="187" operator="between">
      <formula>100.001%</formula>
      <formula>110%</formula>
    </cfRule>
    <cfRule type="cellIs" dxfId="4617" priority="188" operator="between">
      <formula>70.001%</formula>
      <formula>100%</formula>
    </cfRule>
    <cfRule type="cellIs" dxfId="4616" priority="189" operator="between">
      <formula>0.00001%</formula>
      <formula>70%</formula>
    </cfRule>
    <cfRule type="cellIs" dxfId="4615" priority="190" operator="equal">
      <formula>0</formula>
    </cfRule>
  </conditionalFormatting>
  <conditionalFormatting sqref="AK27">
    <cfRule type="cellIs" dxfId="4614" priority="181" operator="greaterThan">
      <formula>110%</formula>
    </cfRule>
    <cfRule type="cellIs" dxfId="4613" priority="182" operator="between">
      <formula>100.001%</formula>
      <formula>110%</formula>
    </cfRule>
    <cfRule type="cellIs" dxfId="4612" priority="183" operator="between">
      <formula>70.001%</formula>
      <formula>100%</formula>
    </cfRule>
    <cfRule type="cellIs" dxfId="4611" priority="184" operator="between">
      <formula>0.00001%</formula>
      <formula>70%</formula>
    </cfRule>
    <cfRule type="cellIs" dxfId="4610" priority="185" operator="equal">
      <formula>0</formula>
    </cfRule>
  </conditionalFormatting>
  <conditionalFormatting sqref="AH27">
    <cfRule type="cellIs" dxfId="4609" priority="176" operator="greaterThan">
      <formula>110%</formula>
    </cfRule>
    <cfRule type="cellIs" dxfId="4608" priority="177" operator="between">
      <formula>100.001%</formula>
      <formula>110%</formula>
    </cfRule>
    <cfRule type="cellIs" dxfId="4607" priority="178" operator="between">
      <formula>70.001%</formula>
      <formula>100%</formula>
    </cfRule>
    <cfRule type="cellIs" dxfId="4606" priority="179" operator="between">
      <formula>0.00001%</formula>
      <formula>70%</formula>
    </cfRule>
    <cfRule type="cellIs" dxfId="4605" priority="180" operator="equal">
      <formula>0</formula>
    </cfRule>
  </conditionalFormatting>
  <conditionalFormatting sqref="AE27">
    <cfRule type="cellIs" dxfId="4604" priority="171" operator="greaterThan">
      <formula>110%</formula>
    </cfRule>
    <cfRule type="cellIs" dxfId="4603" priority="172" operator="between">
      <formula>100.001%</formula>
      <formula>110%</formula>
    </cfRule>
    <cfRule type="cellIs" dxfId="4602" priority="173" operator="between">
      <formula>70.001%</formula>
      <formula>100%</formula>
    </cfRule>
    <cfRule type="cellIs" dxfId="4601" priority="174" operator="between">
      <formula>0.00001%</formula>
      <formula>70%</formula>
    </cfRule>
    <cfRule type="cellIs" dxfId="4600" priority="175" operator="equal">
      <formula>0</formula>
    </cfRule>
  </conditionalFormatting>
  <conditionalFormatting sqref="AC27">
    <cfRule type="cellIs" dxfId="4599" priority="166" operator="greaterThan">
      <formula>110%</formula>
    </cfRule>
    <cfRule type="cellIs" dxfId="4598" priority="167" operator="between">
      <formula>100.001%</formula>
      <formula>110%</formula>
    </cfRule>
    <cfRule type="cellIs" dxfId="4597" priority="168" operator="between">
      <formula>70.001%</formula>
      <formula>100%</formula>
    </cfRule>
    <cfRule type="cellIs" dxfId="4596" priority="169" operator="between">
      <formula>0.00001%</formula>
      <formula>70%</formula>
    </cfRule>
    <cfRule type="cellIs" dxfId="4595" priority="170" operator="equal">
      <formula>0</formula>
    </cfRule>
  </conditionalFormatting>
  <conditionalFormatting sqref="Z27">
    <cfRule type="cellIs" dxfId="4594" priority="161" operator="greaterThan">
      <formula>110%</formula>
    </cfRule>
    <cfRule type="cellIs" dxfId="4593" priority="162" operator="between">
      <formula>100.001%</formula>
      <formula>110%</formula>
    </cfRule>
    <cfRule type="cellIs" dxfId="4592" priority="163" operator="between">
      <formula>70.001%</formula>
      <formula>100%</formula>
    </cfRule>
    <cfRule type="cellIs" dxfId="4591" priority="164" operator="between">
      <formula>0.00001%</formula>
      <formula>70%</formula>
    </cfRule>
    <cfRule type="cellIs" dxfId="4590" priority="165" operator="equal">
      <formula>0</formula>
    </cfRule>
  </conditionalFormatting>
  <conditionalFormatting sqref="W27">
    <cfRule type="cellIs" dxfId="4589" priority="156" operator="greaterThan">
      <formula>110%</formula>
    </cfRule>
    <cfRule type="cellIs" dxfId="4588" priority="157" operator="between">
      <formula>100.001%</formula>
      <formula>110%</formula>
    </cfRule>
    <cfRule type="cellIs" dxfId="4587" priority="158" operator="between">
      <formula>70.001%</formula>
      <formula>100%</formula>
    </cfRule>
    <cfRule type="cellIs" dxfId="4586" priority="159" operator="between">
      <formula>0.00001%</formula>
      <formula>70%</formula>
    </cfRule>
    <cfRule type="cellIs" dxfId="4585" priority="160" operator="equal">
      <formula>0</formula>
    </cfRule>
  </conditionalFormatting>
  <conditionalFormatting sqref="T27">
    <cfRule type="cellIs" dxfId="4584" priority="151" operator="greaterThan">
      <formula>110%</formula>
    </cfRule>
    <cfRule type="cellIs" dxfId="4583" priority="152" operator="between">
      <formula>100.001%</formula>
      <formula>110%</formula>
    </cfRule>
    <cfRule type="cellIs" dxfId="4582" priority="153" operator="between">
      <formula>70.001%</formula>
      <formula>100%</formula>
    </cfRule>
    <cfRule type="cellIs" dxfId="4581" priority="154" operator="between">
      <formula>0.00001%</formula>
      <formula>70%</formula>
    </cfRule>
    <cfRule type="cellIs" dxfId="4580" priority="155" operator="equal">
      <formula>0</formula>
    </cfRule>
  </conditionalFormatting>
  <conditionalFormatting sqref="Q27">
    <cfRule type="cellIs" dxfId="4579" priority="146" operator="greaterThan">
      <formula>110%</formula>
    </cfRule>
    <cfRule type="cellIs" dxfId="4578" priority="147" operator="between">
      <formula>100.001%</formula>
      <formula>110%</formula>
    </cfRule>
    <cfRule type="cellIs" dxfId="4577" priority="148" operator="between">
      <formula>70.001%</formula>
      <formula>100%</formula>
    </cfRule>
    <cfRule type="cellIs" dxfId="4576" priority="149" operator="between">
      <formula>0.00001%</formula>
      <formula>70%</formula>
    </cfRule>
    <cfRule type="cellIs" dxfId="4575" priority="150" operator="equal">
      <formula>0</formula>
    </cfRule>
  </conditionalFormatting>
  <conditionalFormatting sqref="N27">
    <cfRule type="cellIs" dxfId="4574" priority="141" operator="greaterThan">
      <formula>110%</formula>
    </cfRule>
    <cfRule type="cellIs" dxfId="4573" priority="142" operator="between">
      <formula>100.001%</formula>
      <formula>110%</formula>
    </cfRule>
    <cfRule type="cellIs" dxfId="4572" priority="143" operator="between">
      <formula>70.001%</formula>
      <formula>100%</formula>
    </cfRule>
    <cfRule type="cellIs" dxfId="4571" priority="144" operator="between">
      <formula>0.00001%</formula>
      <formula>70%</formula>
    </cfRule>
    <cfRule type="cellIs" dxfId="4570" priority="145" operator="equal">
      <formula>0</formula>
    </cfRule>
  </conditionalFormatting>
  <conditionalFormatting sqref="AY31">
    <cfRule type="cellIs" dxfId="4569" priority="136" operator="greaterThan">
      <formula>110%</formula>
    </cfRule>
    <cfRule type="cellIs" dxfId="4568" priority="137" operator="between">
      <formula>100.001%</formula>
      <formula>110%</formula>
    </cfRule>
    <cfRule type="cellIs" dxfId="4567" priority="138" operator="between">
      <formula>70.001%</formula>
      <formula>100%</formula>
    </cfRule>
    <cfRule type="cellIs" dxfId="4566" priority="139" operator="between">
      <formula>0.00001%</formula>
      <formula>70%</formula>
    </cfRule>
    <cfRule type="cellIs" dxfId="4565" priority="140" operator="equal">
      <formula>0</formula>
    </cfRule>
  </conditionalFormatting>
  <conditionalFormatting sqref="AW31">
    <cfRule type="cellIs" dxfId="4564" priority="131" operator="greaterThan">
      <formula>110%</formula>
    </cfRule>
    <cfRule type="cellIs" dxfId="4563" priority="132" operator="between">
      <formula>100.001%</formula>
      <formula>110%</formula>
    </cfRule>
    <cfRule type="cellIs" dxfId="4562" priority="133" operator="between">
      <formula>70.001%</formula>
      <formula>100%</formula>
    </cfRule>
    <cfRule type="cellIs" dxfId="4561" priority="134" operator="between">
      <formula>0.00001%</formula>
      <formula>70%</formula>
    </cfRule>
    <cfRule type="cellIs" dxfId="4560" priority="135" operator="equal">
      <formula>0</formula>
    </cfRule>
  </conditionalFormatting>
  <conditionalFormatting sqref="AT31">
    <cfRule type="cellIs" dxfId="4559" priority="126" operator="greaterThan">
      <formula>110%</formula>
    </cfRule>
    <cfRule type="cellIs" dxfId="4558" priority="127" operator="between">
      <formula>100.001%</formula>
      <formula>110%</formula>
    </cfRule>
    <cfRule type="cellIs" dxfId="4557" priority="128" operator="between">
      <formula>70.001%</formula>
      <formula>100%</formula>
    </cfRule>
    <cfRule type="cellIs" dxfId="4556" priority="129" operator="between">
      <formula>0.00001%</formula>
      <formula>70%</formula>
    </cfRule>
    <cfRule type="cellIs" dxfId="4555" priority="130" operator="equal">
      <formula>0</formula>
    </cfRule>
  </conditionalFormatting>
  <conditionalFormatting sqref="AQ31">
    <cfRule type="cellIs" dxfId="4554" priority="121" operator="greaterThan">
      <formula>110%</formula>
    </cfRule>
    <cfRule type="cellIs" dxfId="4553" priority="122" operator="between">
      <formula>100.001%</formula>
      <formula>110%</formula>
    </cfRule>
    <cfRule type="cellIs" dxfId="4552" priority="123" operator="between">
      <formula>70.001%</formula>
      <formula>100%</formula>
    </cfRule>
    <cfRule type="cellIs" dxfId="4551" priority="124" operator="between">
      <formula>0.00001%</formula>
      <formula>70%</formula>
    </cfRule>
    <cfRule type="cellIs" dxfId="4550" priority="125" operator="equal">
      <formula>0</formula>
    </cfRule>
  </conditionalFormatting>
  <conditionalFormatting sqref="AN31">
    <cfRule type="cellIs" dxfId="4549" priority="116" operator="greaterThan">
      <formula>110%</formula>
    </cfRule>
    <cfRule type="cellIs" dxfId="4548" priority="117" operator="between">
      <formula>100.001%</formula>
      <formula>110%</formula>
    </cfRule>
    <cfRule type="cellIs" dxfId="4547" priority="118" operator="between">
      <formula>70.001%</formula>
      <formula>100%</formula>
    </cfRule>
    <cfRule type="cellIs" dxfId="4546" priority="119" operator="between">
      <formula>0.00001%</formula>
      <formula>70%</formula>
    </cfRule>
    <cfRule type="cellIs" dxfId="4545" priority="120" operator="equal">
      <formula>0</formula>
    </cfRule>
  </conditionalFormatting>
  <conditionalFormatting sqref="AK31">
    <cfRule type="cellIs" dxfId="4544" priority="111" operator="greaterThan">
      <formula>110%</formula>
    </cfRule>
    <cfRule type="cellIs" dxfId="4543" priority="112" operator="between">
      <formula>100.001%</formula>
      <formula>110%</formula>
    </cfRule>
    <cfRule type="cellIs" dxfId="4542" priority="113" operator="between">
      <formula>70.001%</formula>
      <formula>100%</formula>
    </cfRule>
    <cfRule type="cellIs" dxfId="4541" priority="114" operator="between">
      <formula>0.00001%</formula>
      <formula>70%</formula>
    </cfRule>
    <cfRule type="cellIs" dxfId="4540" priority="115" operator="equal">
      <formula>0</formula>
    </cfRule>
  </conditionalFormatting>
  <conditionalFormatting sqref="AH31">
    <cfRule type="cellIs" dxfId="4539" priority="106" operator="greaterThan">
      <formula>110%</formula>
    </cfRule>
    <cfRule type="cellIs" dxfId="4538" priority="107" operator="between">
      <formula>100.001%</formula>
      <formula>110%</formula>
    </cfRule>
    <cfRule type="cellIs" dxfId="4537" priority="108" operator="between">
      <formula>70.001%</formula>
      <formula>100%</formula>
    </cfRule>
    <cfRule type="cellIs" dxfId="4536" priority="109" operator="between">
      <formula>0.00001%</formula>
      <formula>70%</formula>
    </cfRule>
    <cfRule type="cellIs" dxfId="4535" priority="110" operator="equal">
      <formula>0</formula>
    </cfRule>
  </conditionalFormatting>
  <conditionalFormatting sqref="AE31">
    <cfRule type="cellIs" dxfId="4534" priority="101" operator="greaterThan">
      <formula>110%</formula>
    </cfRule>
    <cfRule type="cellIs" dxfId="4533" priority="102" operator="between">
      <formula>100.001%</formula>
      <formula>110%</formula>
    </cfRule>
    <cfRule type="cellIs" dxfId="4532" priority="103" operator="between">
      <formula>70.001%</formula>
      <formula>100%</formula>
    </cfRule>
    <cfRule type="cellIs" dxfId="4531" priority="104" operator="between">
      <formula>0.00001%</formula>
      <formula>70%</formula>
    </cfRule>
    <cfRule type="cellIs" dxfId="4530" priority="105" operator="equal">
      <formula>0</formula>
    </cfRule>
  </conditionalFormatting>
  <conditionalFormatting sqref="AC31">
    <cfRule type="cellIs" dxfId="4529" priority="96" operator="greaterThan">
      <formula>110%</formula>
    </cfRule>
    <cfRule type="cellIs" dxfId="4528" priority="97" operator="between">
      <formula>100.001%</formula>
      <formula>110%</formula>
    </cfRule>
    <cfRule type="cellIs" dxfId="4527" priority="98" operator="between">
      <formula>70.001%</formula>
      <formula>100%</formula>
    </cfRule>
    <cfRule type="cellIs" dxfId="4526" priority="99" operator="between">
      <formula>0.00001%</formula>
      <formula>70%</formula>
    </cfRule>
    <cfRule type="cellIs" dxfId="4525" priority="100" operator="equal">
      <formula>0</formula>
    </cfRule>
  </conditionalFormatting>
  <conditionalFormatting sqref="Z31">
    <cfRule type="cellIs" dxfId="4524" priority="91" operator="greaterThan">
      <formula>110%</formula>
    </cfRule>
    <cfRule type="cellIs" dxfId="4523" priority="92" operator="between">
      <formula>100.001%</formula>
      <formula>110%</formula>
    </cfRule>
    <cfRule type="cellIs" dxfId="4522" priority="93" operator="between">
      <formula>70.001%</formula>
      <formula>100%</formula>
    </cfRule>
    <cfRule type="cellIs" dxfId="4521" priority="94" operator="between">
      <formula>0.00001%</formula>
      <formula>70%</formula>
    </cfRule>
    <cfRule type="cellIs" dxfId="4520" priority="95" operator="equal">
      <formula>0</formula>
    </cfRule>
  </conditionalFormatting>
  <conditionalFormatting sqref="W31">
    <cfRule type="cellIs" dxfId="4519" priority="86" operator="greaterThan">
      <formula>110%</formula>
    </cfRule>
    <cfRule type="cellIs" dxfId="4518" priority="87" operator="between">
      <formula>100.001%</formula>
      <formula>110%</formula>
    </cfRule>
    <cfRule type="cellIs" dxfId="4517" priority="88" operator="between">
      <formula>70.001%</formula>
      <formula>100%</formula>
    </cfRule>
    <cfRule type="cellIs" dxfId="4516" priority="89" operator="between">
      <formula>0.00001%</formula>
      <formula>70%</formula>
    </cfRule>
    <cfRule type="cellIs" dxfId="4515" priority="90" operator="equal">
      <formula>0</formula>
    </cfRule>
  </conditionalFormatting>
  <conditionalFormatting sqref="T31">
    <cfRule type="cellIs" dxfId="4514" priority="81" operator="greaterThan">
      <formula>110%</formula>
    </cfRule>
    <cfRule type="cellIs" dxfId="4513" priority="82" operator="between">
      <formula>100.001%</formula>
      <formula>110%</formula>
    </cfRule>
    <cfRule type="cellIs" dxfId="4512" priority="83" operator="between">
      <formula>70.001%</formula>
      <formula>100%</formula>
    </cfRule>
    <cfRule type="cellIs" dxfId="4511" priority="84" operator="between">
      <formula>0.00001%</formula>
      <formula>70%</formula>
    </cfRule>
    <cfRule type="cellIs" dxfId="4510" priority="85" operator="equal">
      <formula>0</formula>
    </cfRule>
  </conditionalFormatting>
  <conditionalFormatting sqref="Q31">
    <cfRule type="cellIs" dxfId="4509" priority="76" operator="greaterThan">
      <formula>110%</formula>
    </cfRule>
    <cfRule type="cellIs" dxfId="4508" priority="77" operator="between">
      <formula>100.001%</formula>
      <formula>110%</formula>
    </cfRule>
    <cfRule type="cellIs" dxfId="4507" priority="78" operator="between">
      <formula>70.001%</formula>
      <formula>100%</formula>
    </cfRule>
    <cfRule type="cellIs" dxfId="4506" priority="79" operator="between">
      <formula>0.00001%</formula>
      <formula>70%</formula>
    </cfRule>
    <cfRule type="cellIs" dxfId="4505" priority="80" operator="equal">
      <formula>0</formula>
    </cfRule>
  </conditionalFormatting>
  <conditionalFormatting sqref="N31">
    <cfRule type="cellIs" dxfId="4504" priority="71" operator="greaterThan">
      <formula>110%</formula>
    </cfRule>
    <cfRule type="cellIs" dxfId="4503" priority="72" operator="between">
      <formula>100.001%</formula>
      <formula>110%</formula>
    </cfRule>
    <cfRule type="cellIs" dxfId="4502" priority="73" operator="between">
      <formula>70.001%</formula>
      <formula>100%</formula>
    </cfRule>
    <cfRule type="cellIs" dxfId="4501" priority="74" operator="between">
      <formula>0.00001%</formula>
      <formula>70%</formula>
    </cfRule>
    <cfRule type="cellIs" dxfId="4500" priority="75" operator="equal">
      <formula>0</formula>
    </cfRule>
  </conditionalFormatting>
  <conditionalFormatting sqref="AY32">
    <cfRule type="cellIs" dxfId="4499" priority="66" operator="greaterThan">
      <formula>110%</formula>
    </cfRule>
    <cfRule type="cellIs" dxfId="4498" priority="67" operator="between">
      <formula>100.001%</formula>
      <formula>110%</formula>
    </cfRule>
    <cfRule type="cellIs" dxfId="4497" priority="68" operator="between">
      <formula>70.001%</formula>
      <formula>100%</formula>
    </cfRule>
    <cfRule type="cellIs" dxfId="4496" priority="69" operator="between">
      <formula>0.00001%</formula>
      <formula>70%</formula>
    </cfRule>
    <cfRule type="cellIs" dxfId="4495" priority="70" operator="equal">
      <formula>0</formula>
    </cfRule>
  </conditionalFormatting>
  <conditionalFormatting sqref="AW32">
    <cfRule type="cellIs" dxfId="4494" priority="61" operator="greaterThan">
      <formula>110%</formula>
    </cfRule>
    <cfRule type="cellIs" dxfId="4493" priority="62" operator="between">
      <formula>100.001%</formula>
      <formula>110%</formula>
    </cfRule>
    <cfRule type="cellIs" dxfId="4492" priority="63" operator="between">
      <formula>70.001%</formula>
      <formula>100%</formula>
    </cfRule>
    <cfRule type="cellIs" dxfId="4491" priority="64" operator="between">
      <formula>0.00001%</formula>
      <formula>70%</formula>
    </cfRule>
    <cfRule type="cellIs" dxfId="4490" priority="65" operator="equal">
      <formula>0</formula>
    </cfRule>
  </conditionalFormatting>
  <conditionalFormatting sqref="AT32">
    <cfRule type="cellIs" dxfId="4489" priority="56" operator="greaterThan">
      <formula>110%</formula>
    </cfRule>
    <cfRule type="cellIs" dxfId="4488" priority="57" operator="between">
      <formula>100.001%</formula>
      <formula>110%</formula>
    </cfRule>
    <cfRule type="cellIs" dxfId="4487" priority="58" operator="between">
      <formula>70.001%</formula>
      <formula>100%</formula>
    </cfRule>
    <cfRule type="cellIs" dxfId="4486" priority="59" operator="between">
      <formula>0.00001%</formula>
      <formula>70%</formula>
    </cfRule>
    <cfRule type="cellIs" dxfId="4485" priority="60" operator="equal">
      <formula>0</formula>
    </cfRule>
  </conditionalFormatting>
  <conditionalFormatting sqref="AQ32">
    <cfRule type="cellIs" dxfId="4484" priority="51" operator="greaterThan">
      <formula>110%</formula>
    </cfRule>
    <cfRule type="cellIs" dxfId="4483" priority="52" operator="between">
      <formula>100.001%</formula>
      <formula>110%</formula>
    </cfRule>
    <cfRule type="cellIs" dxfId="4482" priority="53" operator="between">
      <formula>70.001%</formula>
      <formula>100%</formula>
    </cfRule>
    <cfRule type="cellIs" dxfId="4481" priority="54" operator="between">
      <formula>0.00001%</formula>
      <formula>70%</formula>
    </cfRule>
    <cfRule type="cellIs" dxfId="4480" priority="55" operator="equal">
      <formula>0</formula>
    </cfRule>
  </conditionalFormatting>
  <conditionalFormatting sqref="AN32">
    <cfRule type="cellIs" dxfId="4479" priority="46" operator="greaterThan">
      <formula>110%</formula>
    </cfRule>
    <cfRule type="cellIs" dxfId="4478" priority="47" operator="between">
      <formula>100.001%</formula>
      <formula>110%</formula>
    </cfRule>
    <cfRule type="cellIs" dxfId="4477" priority="48" operator="between">
      <formula>70.001%</formula>
      <formula>100%</formula>
    </cfRule>
    <cfRule type="cellIs" dxfId="4476" priority="49" operator="between">
      <formula>0.00001%</formula>
      <formula>70%</formula>
    </cfRule>
    <cfRule type="cellIs" dxfId="4475" priority="50" operator="equal">
      <formula>0</formula>
    </cfRule>
  </conditionalFormatting>
  <conditionalFormatting sqref="AK32">
    <cfRule type="cellIs" dxfId="4474" priority="41" operator="greaterThan">
      <formula>110%</formula>
    </cfRule>
    <cfRule type="cellIs" dxfId="4473" priority="42" operator="between">
      <formula>100.001%</formula>
      <formula>110%</formula>
    </cfRule>
    <cfRule type="cellIs" dxfId="4472" priority="43" operator="between">
      <formula>70.001%</formula>
      <formula>100%</formula>
    </cfRule>
    <cfRule type="cellIs" dxfId="4471" priority="44" operator="between">
      <formula>0.00001%</formula>
      <formula>70%</formula>
    </cfRule>
    <cfRule type="cellIs" dxfId="4470" priority="45" operator="equal">
      <formula>0</formula>
    </cfRule>
  </conditionalFormatting>
  <conditionalFormatting sqref="AH32">
    <cfRule type="cellIs" dxfId="4469" priority="36" operator="greaterThan">
      <formula>110%</formula>
    </cfRule>
    <cfRule type="cellIs" dxfId="4468" priority="37" operator="between">
      <formula>100.001%</formula>
      <formula>110%</formula>
    </cfRule>
    <cfRule type="cellIs" dxfId="4467" priority="38" operator="between">
      <formula>70.001%</formula>
      <formula>100%</formula>
    </cfRule>
    <cfRule type="cellIs" dxfId="4466" priority="39" operator="between">
      <formula>0.00001%</formula>
      <formula>70%</formula>
    </cfRule>
    <cfRule type="cellIs" dxfId="4465" priority="40" operator="equal">
      <formula>0</formula>
    </cfRule>
  </conditionalFormatting>
  <conditionalFormatting sqref="AE32">
    <cfRule type="cellIs" dxfId="4464" priority="31" operator="greaterThan">
      <formula>110%</formula>
    </cfRule>
    <cfRule type="cellIs" dxfId="4463" priority="32" operator="between">
      <formula>100.001%</formula>
      <formula>110%</formula>
    </cfRule>
    <cfRule type="cellIs" dxfId="4462" priority="33" operator="between">
      <formula>70.001%</formula>
      <formula>100%</formula>
    </cfRule>
    <cfRule type="cellIs" dxfId="4461" priority="34" operator="between">
      <formula>0.00001%</formula>
      <formula>70%</formula>
    </cfRule>
    <cfRule type="cellIs" dxfId="4460" priority="35" operator="equal">
      <formula>0</formula>
    </cfRule>
  </conditionalFormatting>
  <conditionalFormatting sqref="AC32">
    <cfRule type="cellIs" dxfId="4459" priority="26" operator="greaterThan">
      <formula>110%</formula>
    </cfRule>
    <cfRule type="cellIs" dxfId="4458" priority="27" operator="between">
      <formula>100.001%</formula>
      <formula>110%</formula>
    </cfRule>
    <cfRule type="cellIs" dxfId="4457" priority="28" operator="between">
      <formula>70.001%</formula>
      <formula>100%</formula>
    </cfRule>
    <cfRule type="cellIs" dxfId="4456" priority="29" operator="between">
      <formula>0.00001%</formula>
      <formula>70%</formula>
    </cfRule>
    <cfRule type="cellIs" dxfId="4455" priority="30" operator="equal">
      <formula>0</formula>
    </cfRule>
  </conditionalFormatting>
  <conditionalFormatting sqref="Z32">
    <cfRule type="cellIs" dxfId="4454" priority="21" operator="greaterThan">
      <formula>110%</formula>
    </cfRule>
    <cfRule type="cellIs" dxfId="4453" priority="22" operator="between">
      <formula>100.001%</formula>
      <formula>110%</formula>
    </cfRule>
    <cfRule type="cellIs" dxfId="4452" priority="23" operator="between">
      <formula>70.001%</formula>
      <formula>100%</formula>
    </cfRule>
    <cfRule type="cellIs" dxfId="4451" priority="24" operator="between">
      <formula>0.00001%</formula>
      <formula>70%</formula>
    </cfRule>
    <cfRule type="cellIs" dxfId="4450" priority="25" operator="equal">
      <formula>0</formula>
    </cfRule>
  </conditionalFormatting>
  <conditionalFormatting sqref="W32">
    <cfRule type="cellIs" dxfId="4449" priority="16" operator="greaterThan">
      <formula>110%</formula>
    </cfRule>
    <cfRule type="cellIs" dxfId="4448" priority="17" operator="between">
      <formula>100.001%</formula>
      <formula>110%</formula>
    </cfRule>
    <cfRule type="cellIs" dxfId="4447" priority="18" operator="between">
      <formula>70.001%</formula>
      <formula>100%</formula>
    </cfRule>
    <cfRule type="cellIs" dxfId="4446" priority="19" operator="between">
      <formula>0.00001%</formula>
      <formula>70%</formula>
    </cfRule>
    <cfRule type="cellIs" dxfId="4445" priority="20" operator="equal">
      <formula>0</formula>
    </cfRule>
  </conditionalFormatting>
  <conditionalFormatting sqref="T32">
    <cfRule type="cellIs" dxfId="4444" priority="11" operator="greaterThan">
      <formula>110%</formula>
    </cfRule>
    <cfRule type="cellIs" dxfId="4443" priority="12" operator="between">
      <formula>100.001%</formula>
      <formula>110%</formula>
    </cfRule>
    <cfRule type="cellIs" dxfId="4442" priority="13" operator="between">
      <formula>70.001%</formula>
      <formula>100%</formula>
    </cfRule>
    <cfRule type="cellIs" dxfId="4441" priority="14" operator="between">
      <formula>0.00001%</formula>
      <formula>70%</formula>
    </cfRule>
    <cfRule type="cellIs" dxfId="4440" priority="15" operator="equal">
      <formula>0</formula>
    </cfRule>
  </conditionalFormatting>
  <conditionalFormatting sqref="Q32">
    <cfRule type="cellIs" dxfId="4439" priority="6" operator="greaterThan">
      <formula>110%</formula>
    </cfRule>
    <cfRule type="cellIs" dxfId="4438" priority="7" operator="between">
      <formula>100.001%</formula>
      <formula>110%</formula>
    </cfRule>
    <cfRule type="cellIs" dxfId="4437" priority="8" operator="between">
      <formula>70.001%</formula>
      <formula>100%</formula>
    </cfRule>
    <cfRule type="cellIs" dxfId="4436" priority="9" operator="between">
      <formula>0.00001%</formula>
      <formula>70%</formula>
    </cfRule>
    <cfRule type="cellIs" dxfId="4435" priority="10" operator="equal">
      <formula>0</formula>
    </cfRule>
  </conditionalFormatting>
  <hyperlinks>
    <hyperlink ref="D11" location="'IN1-3'!A1" display="IN1-3 Recaudo Bruto" xr:uid="{00000000-0004-0000-1E00-000000000000}"/>
    <hyperlink ref="D12" location="'FIS-4'!A1" display="FIS-4 Gestión efectiva en fiscalización tributaria" xr:uid="{00000000-0004-0000-1E00-000001000000}"/>
    <hyperlink ref="D13" location="'FIS-7'!A1" display="FIS-7 Gestión efectiva de Control Cambiario" xr:uid="{00000000-0004-0000-1E00-000002000000}"/>
    <hyperlink ref="D14" location="'FIS-8'!A1" display="FIS-8 Gestión aceptada de Fiscalización Aduanera (Recaudo)" xr:uid="{00000000-0004-0000-1E00-000003000000}"/>
    <hyperlink ref="D15" location="'FIS-10'!A1" display="FIS-10 Gestión aceptada en fiscalización tributaria" xr:uid="{00000000-0004-0000-1E00-000004000000}"/>
    <hyperlink ref="D16" location="'FIS-11'!A1" display="FIS-11  Gestión aceptada cambiaria (Recaudo)" xr:uid="{00000000-0004-0000-1E00-000005000000}"/>
    <hyperlink ref="D17" location="'FIS-12'!A1" display="FIS-12 Gestión aceptada cambiaria (Resoluciones en firme)" xr:uid="{00000000-0004-0000-1E00-000006000000}"/>
    <hyperlink ref="D18" location="'FIS-27'!A1" display="FIS-27 Reclasificación de no responsables a responsables" xr:uid="{00000000-0004-0000-1E00-000007000000}"/>
    <hyperlink ref="D19" location="'FIS-17'!A1" display="FIS-17 Evacuación de expedientes en fiscalización tributaria" xr:uid="{00000000-0004-0000-1E00-000008000000}"/>
    <hyperlink ref="D20" location="'IN1-4'!A1" display="IN1-4 Recaudo por gestión de cartera" xr:uid="{00000000-0004-0000-1E00-000009000000}"/>
    <hyperlink ref="D21" location="'IN1-5'!A1" display="IN1-5 Inscritos en el Régimen Simple de Tributación - RST" xr:uid="{00000000-0004-0000-1E00-00000A000000}"/>
    <hyperlink ref="D22" location="'IN1-6.1'!A1" display="IN1-6.1 Grado de cumplimiento del cronograma de campañas del RST" xr:uid="{00000000-0004-0000-1E00-00000B000000}"/>
    <hyperlink ref="D23" location="'FIS-16'!A1" display="FIS-16 Visitas de control a personas que hacen la venta y compra de divisas sin estar autorizados" xr:uid="{00000000-0004-0000-1E00-00000C000000}"/>
    <hyperlink ref="D24" location="'FIS-15'!A1" display="FIS-15 Visitas de control a profesionales de cambio" xr:uid="{00000000-0004-0000-1E00-00000D000000}"/>
    <hyperlink ref="D25" location="'FIS-18'!A1" display="FIS-18 Evacuación de expedientes en fiscalización cambiaria" xr:uid="{00000000-0004-0000-1E00-00000E000000}"/>
    <hyperlink ref="D26" location="'IN1-8'!A1" display="IN1-8 Contribuyentes habilitados como facturadores electrónicos" xr:uid="{00000000-0004-0000-1E00-00000F000000}"/>
    <hyperlink ref="D27" location="'JUR-3.1'!A1" display="JUR-3.1 Porcentaje de éxito de litigiosidad" xr:uid="{00000000-0004-0000-1E00-000010000000}"/>
    <hyperlink ref="D28" location="'JUR-3.2'!A1" display="JUR-3.2 Porcentaje  procesos judiciales revisados con mayor riesgo en Ekogui" xr:uid="{00000000-0004-0000-1E00-000011000000}"/>
    <hyperlink ref="D29" location="'JUR-3.3'!A1" display="JUR-3.3 Porcentaje de análisis de jurisprudencia remitidos junto con la copia de la sentencia " xr:uid="{00000000-0004-0000-1E00-000012000000}"/>
    <hyperlink ref="D30" location="'JUR-3.4'!A1" display="JUR-3.4 Porcentaje  de procesos revisados con VoBo del Jefe " xr:uid="{00000000-0004-0000-1E00-000013000000}"/>
    <hyperlink ref="D31" location="'JUR-3.5'!A1" display="JUR-3.5 Porcentaje de requerimientos atendidos en oportunidad" xr:uid="{00000000-0004-0000-1E00-000014000000}"/>
    <hyperlink ref="D32" location="'JUR-3.6'!A1" display="JUR-3.6 Porcentaje funcionarios capacitaciones en cursos virtuales de la ANDJE" xr:uid="{00000000-0004-0000-1E00-000015000000}"/>
    <hyperlink ref="D33" location="'JUR-4'!A1" display="JUR-4 Porcentaje funcionarios que participaron en el concurso de escritura jurídica" xr:uid="{00000000-0004-0000-1E00-000016000000}"/>
    <hyperlink ref="D34" location="'ADU-3'!A1" display="ADU-3 Monto de la recaudación total de Aduanas" xr:uid="{00000000-0004-0000-1E00-000017000000}"/>
    <hyperlink ref="D35" location="'FIS-24'!A1" display="FIS-24 Valor Decomisos de mercancías en firme" xr:uid="{00000000-0004-0000-1E00-000018000000}"/>
    <hyperlink ref="D36" location="'FIS-32'!A1" display="FIS-32 Valor Aprehensiones sectores de Licores, Cigarrillos, Calzado y Confecciones" xr:uid="{00000000-0004-0000-1E00-000019000000}"/>
    <hyperlink ref="D40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1E00-00001A000000}"/>
    <hyperlink ref="D41" location="'ADU-30'!A1" display="ADU-30 Eficacia Visitas de verificación y control a los productores  y/o exportadores colombianos." xr:uid="{00000000-0004-0000-1E00-00001B000000}"/>
    <hyperlink ref="D42" location="'ADU-31'!A1" display="ADU-31 Eficacia en la revisión de criterios de origen de los productos colombianos" xr:uid="{00000000-0004-0000-1E00-00001C000000}"/>
    <hyperlink ref="D43" location="'POLFA-3'!A1" display="POLFA-3 Acciones de control contra el contrabando " xr:uid="{00000000-0004-0000-1E00-00001D000000}"/>
    <hyperlink ref="D45" location="'IN1-11'!A1" display="IN1-11  Nivel de cobertura de personas sensibilizadas por el plan de cultura. ACTUALMENTE. Cumplimiento al Plan de Acción de Cultura de la Contribución" xr:uid="{00000000-0004-0000-1E00-00001E000000}"/>
    <hyperlink ref="D46" location="'JUR-7'!A1" display="JUR-7  Oportunidad en las decisiones de los recursos Tributarios hasta su remisión a notificaciones" xr:uid="{00000000-0004-0000-1E00-00001F000000}"/>
    <hyperlink ref="D47" location="'POLFA-8'!A1" display="POLFA-8 Porcentaje de cumplimiento programa semilleros de la legalidad" xr:uid="{00000000-0004-0000-1E00-000020000000}"/>
    <hyperlink ref="D48" location="'IN1-15'!A1" display="IN1-15 Días en devoluciones ordinarias" xr:uid="{00000000-0004-0000-1E00-000021000000}"/>
    <hyperlink ref="D9" location="'DGRAE-1'!A1" display="DGRAE-1 Nivel de Ejecución del presupuesto " xr:uid="{00000000-0004-0000-1E00-000022000000}"/>
    <hyperlink ref="D10" location="'DGRAE-2'!A1" display="DGRAE-2 Nivel de ejecución del PAA de la Dirección" xr:uid="{00000000-0004-0000-1E00-000023000000}"/>
    <hyperlink ref="D50" location="'DGRAE-25'!A1" display="DGRAE-25 Actividades que componen el  PIC para la Dirección de Gestión" xr:uid="{00000000-0004-0000-1E00-000024000000}"/>
    <hyperlink ref="D39" location="'ADU-13'!A1" display="ADU-13 Efectividad en los Controles a los  usuarios de comercio - Hallazgos en visitas de usuarios no visitados anteriormente" xr:uid="{00000000-0004-0000-1E00-000025000000}"/>
    <hyperlink ref="D37" location="'ADU-9'!A1" display="ADU-9 Efectividad en el control simultaneo - Lucha contra el Contrabando" xr:uid="{00000000-0004-0000-1E00-000026000000}"/>
    <hyperlink ref="D38" location="'ADU-9.1'!A1" display="ADU-9.1 Efectividad en el control simultaneo - Lucha contra el Contrabando - Documental" xr:uid="{00000000-0004-0000-1E00-000027000000}"/>
    <hyperlink ref="AY2" location="'Consolidado '!A1" display="VOLVER" xr:uid="{00000000-0004-0000-1E00-000028000000}"/>
  </hyperlinks>
  <pageMargins left="0.7" right="0.7" top="0.75" bottom="0.75" header="0.3" footer="0.3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A36"/>
  <sheetViews>
    <sheetView topLeftCell="F1" zoomScale="60" zoomScaleNormal="60" workbookViewId="0">
      <selection activeCell="BA5" sqref="BA5"/>
    </sheetView>
  </sheetViews>
  <sheetFormatPr baseColWidth="10" defaultColWidth="11.42578125" defaultRowHeight="16.5"/>
  <cols>
    <col min="1" max="1" width="22.140625" style="8" customWidth="1"/>
    <col min="2" max="2" width="33" style="8" customWidth="1"/>
    <col min="3" max="3" width="59.28515625" style="63" bestFit="1" customWidth="1"/>
    <col min="4" max="4" width="25.85546875" style="63" bestFit="1" customWidth="1"/>
    <col min="5" max="5" width="71.42578125" style="63" bestFit="1" customWidth="1"/>
    <col min="6" max="6" width="23.85546875" style="8" bestFit="1" customWidth="1"/>
    <col min="7" max="7" width="22.28515625" style="8" customWidth="1"/>
    <col min="8" max="10" width="10.7109375" style="8" hidden="1" customWidth="1"/>
    <col min="11" max="11" width="30.42578125" style="8" customWidth="1"/>
    <col min="12" max="12" width="24.140625" style="8" hidden="1" customWidth="1"/>
    <col min="13" max="13" width="21.7109375" style="8" hidden="1" customWidth="1"/>
    <col min="14" max="14" width="21.7109375" style="444" hidden="1" customWidth="1"/>
    <col min="15" max="16" width="21.7109375" style="8" hidden="1" customWidth="1"/>
    <col min="17" max="17" width="21.7109375" style="444" hidden="1" customWidth="1"/>
    <col min="18" max="19" width="21.7109375" style="210" hidden="1" customWidth="1"/>
    <col min="20" max="20" width="21.7109375" style="444" hidden="1" customWidth="1"/>
    <col min="21" max="22" width="21.7109375" style="210" hidden="1" customWidth="1"/>
    <col min="23" max="23" width="21.7109375" style="444" hidden="1" customWidth="1"/>
    <col min="24" max="25" width="21.7109375" style="210" hidden="1" customWidth="1"/>
    <col min="26" max="26" width="21.7109375" style="444" hidden="1" customWidth="1"/>
    <col min="27" max="27" width="21.7109375" style="210" hidden="1" customWidth="1"/>
    <col min="28" max="28" width="21.7109375" style="8" hidden="1" customWidth="1"/>
    <col min="29" max="29" width="21.7109375" style="444" hidden="1" customWidth="1"/>
    <col min="30" max="30" width="21.7109375" style="210" hidden="1" customWidth="1"/>
    <col min="31" max="31" width="21.7109375" style="444" hidden="1" customWidth="1"/>
    <col min="32" max="33" width="21.7109375" style="210" hidden="1" customWidth="1"/>
    <col min="34" max="34" width="21.7109375" style="444" hidden="1" customWidth="1"/>
    <col min="35" max="36" width="21.7109375" style="210" hidden="1" customWidth="1"/>
    <col min="37" max="37" width="21.7109375" style="444" hidden="1" customWidth="1"/>
    <col min="38" max="38" width="21.7109375" style="210" hidden="1" customWidth="1"/>
    <col min="39" max="39" width="24.7109375" style="210" hidden="1" customWidth="1"/>
    <col min="40" max="40" width="21.7109375" style="444" hidden="1" customWidth="1"/>
    <col min="41" max="41" width="21.7109375" style="8" hidden="1" customWidth="1"/>
    <col min="42" max="42" width="21.7109375" style="210" hidden="1" customWidth="1"/>
    <col min="43" max="43" width="21.7109375" style="444" hidden="1" customWidth="1"/>
    <col min="44" max="45" width="21.7109375" style="210" hidden="1" customWidth="1"/>
    <col min="46" max="46" width="21.7109375" style="444" hidden="1" customWidth="1"/>
    <col min="47" max="48" width="21.7109375" style="210" hidden="1" customWidth="1"/>
    <col min="49" max="49" width="21.7109375" style="444" hidden="1" customWidth="1"/>
    <col min="50" max="50" width="27.42578125" style="8" customWidth="1"/>
    <col min="51" max="51" width="12.7109375" style="444" bestFit="1" customWidth="1"/>
    <col min="52" max="16384" width="11.42578125" style="8"/>
  </cols>
  <sheetData>
    <row r="1" spans="1:53" ht="29.25" customHeight="1">
      <c r="A1" s="101"/>
      <c r="B1" s="101"/>
      <c r="C1" s="2885" t="s">
        <v>942</v>
      </c>
      <c r="D1" s="2885"/>
      <c r="E1" s="2885"/>
      <c r="F1" s="2885"/>
      <c r="G1" s="2885"/>
      <c r="H1" s="2885"/>
      <c r="I1" s="2885"/>
      <c r="J1" s="2885"/>
      <c r="K1" s="2885"/>
    </row>
    <row r="2" spans="1:53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545" t="s">
        <v>185</v>
      </c>
    </row>
    <row r="3" spans="1:53">
      <c r="A3" s="107"/>
      <c r="B3" s="108"/>
      <c r="C3" s="2866" t="s">
        <v>943</v>
      </c>
      <c r="D3" s="2867"/>
      <c r="E3" s="2867"/>
      <c r="F3" s="2867"/>
      <c r="G3" s="2867"/>
      <c r="H3" s="2867"/>
      <c r="I3" s="2867"/>
      <c r="J3" s="2867"/>
      <c r="K3" s="2867"/>
    </row>
    <row r="4" spans="1:53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BA4" s="66">
        <f>+(AY9+AY10+AY11+AY12+AY13+AY14+AY15+AY16+AY17+AY18+AY19+AY21+AY22+AY23+AY24+AY25+AY26+AY27+AY29+AY30+AY31+AY33)/22</f>
        <v>1.1332177506683594</v>
      </c>
    </row>
    <row r="5" spans="1:53" ht="16.7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3" ht="18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3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3" customFormat="1" ht="28.7" customHeight="1" thickTop="1" thickBot="1">
      <c r="A8" s="2839" t="s">
        <v>83</v>
      </c>
      <c r="B8" s="2907"/>
      <c r="C8" s="2907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2062" t="s">
        <v>84</v>
      </c>
      <c r="S8" s="2063" t="s">
        <v>85</v>
      </c>
      <c r="T8" s="446" t="s">
        <v>86</v>
      </c>
      <c r="U8" s="2062" t="s">
        <v>84</v>
      </c>
      <c r="V8" s="2063" t="s">
        <v>85</v>
      </c>
      <c r="W8" s="446" t="s">
        <v>86</v>
      </c>
      <c r="X8" s="2062" t="s">
        <v>84</v>
      </c>
      <c r="Y8" s="2063" t="s">
        <v>85</v>
      </c>
      <c r="Z8" s="446" t="s">
        <v>86</v>
      </c>
      <c r="AA8" s="2062" t="s">
        <v>84</v>
      </c>
      <c r="AB8" s="14" t="s">
        <v>85</v>
      </c>
      <c r="AC8" s="446" t="s">
        <v>86</v>
      </c>
      <c r="AD8" s="2064" t="s">
        <v>87</v>
      </c>
      <c r="AE8" s="447" t="s">
        <v>6</v>
      </c>
      <c r="AF8" s="2062" t="s">
        <v>84</v>
      </c>
      <c r="AG8" s="2063" t="s">
        <v>85</v>
      </c>
      <c r="AH8" s="446" t="s">
        <v>86</v>
      </c>
      <c r="AI8" s="2062" t="s">
        <v>84</v>
      </c>
      <c r="AJ8" s="2063" t="s">
        <v>85</v>
      </c>
      <c r="AK8" s="446" t="s">
        <v>86</v>
      </c>
      <c r="AL8" s="2062" t="s">
        <v>84</v>
      </c>
      <c r="AM8" s="2063" t="s">
        <v>85</v>
      </c>
      <c r="AN8" s="446" t="s">
        <v>86</v>
      </c>
      <c r="AO8" s="2065" t="s">
        <v>84</v>
      </c>
      <c r="AP8" s="2063" t="s">
        <v>85</v>
      </c>
      <c r="AQ8" s="446" t="s">
        <v>86</v>
      </c>
      <c r="AR8" s="2062" t="s">
        <v>84</v>
      </c>
      <c r="AS8" s="2063" t="s">
        <v>85</v>
      </c>
      <c r="AT8" s="446" t="s">
        <v>86</v>
      </c>
      <c r="AU8" s="2062" t="s">
        <v>84</v>
      </c>
      <c r="AV8" s="2063" t="s">
        <v>85</v>
      </c>
      <c r="AW8" s="446" t="s">
        <v>86</v>
      </c>
      <c r="AX8" s="2065" t="s">
        <v>87</v>
      </c>
      <c r="AY8" s="110" t="s">
        <v>6</v>
      </c>
    </row>
    <row r="9" spans="1:53" s="132" customFormat="1" ht="75" customHeight="1" thickTop="1" thickBot="1">
      <c r="A9" s="2907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2066">
        <f>136043822/1000000</f>
        <v>136.04382200000001</v>
      </c>
      <c r="H9" s="72"/>
      <c r="I9" s="72"/>
      <c r="J9" s="72"/>
      <c r="K9" s="72" t="s">
        <v>25</v>
      </c>
      <c r="L9" s="1005">
        <v>3.75</v>
      </c>
      <c r="M9" s="2067">
        <v>3.1419999999999999</v>
      </c>
      <c r="N9" s="73">
        <f t="shared" ref="N9:N33" si="0">+M9/L9</f>
        <v>0.83786666666666665</v>
      </c>
      <c r="O9" s="1005">
        <v>11.94</v>
      </c>
      <c r="P9" s="1006">
        <v>11.936999999999999</v>
      </c>
      <c r="Q9" s="73">
        <f t="shared" ref="Q9:Q33" si="1">+P9/O9</f>
        <v>0.9997487437185929</v>
      </c>
      <c r="R9" s="2068">
        <v>47.769950000000001</v>
      </c>
      <c r="S9" s="2069">
        <v>37.445</v>
      </c>
      <c r="T9" s="73">
        <f t="shared" ref="T9:T33" si="2">+S9/R9</f>
        <v>0.7838609837355911</v>
      </c>
      <c r="U9" s="2068">
        <v>23.29</v>
      </c>
      <c r="V9" s="2069">
        <v>3.5</v>
      </c>
      <c r="W9" s="73">
        <f t="shared" ref="W9:W33" si="3">+V9/U9</f>
        <v>0.15027908973808501</v>
      </c>
      <c r="X9" s="2068">
        <v>20.239999999999998</v>
      </c>
      <c r="Y9" s="2069">
        <v>2.339</v>
      </c>
      <c r="Z9" s="73">
        <f t="shared" ref="Z9:Z33" si="4">+Y9/X9</f>
        <v>0.11556324110671938</v>
      </c>
      <c r="AA9" s="2068">
        <v>17.5</v>
      </c>
      <c r="AB9" s="1006">
        <v>3.6</v>
      </c>
      <c r="AC9" s="73">
        <f t="shared" ref="AC9:AC33" si="5">+AB9/AA9</f>
        <v>0.20571428571428571</v>
      </c>
      <c r="AD9" s="2070">
        <f>+M9+P9+S9+V9+Y9+AB9</f>
        <v>61.963000000000001</v>
      </c>
      <c r="AE9" s="73">
        <f t="shared" ref="AE9:AE33" si="6">+AD9/G9</f>
        <v>0.45546353438967629</v>
      </c>
      <c r="AF9" s="2068">
        <v>11.04</v>
      </c>
      <c r="AG9" s="2069">
        <v>5.78</v>
      </c>
      <c r="AH9" s="73">
        <f t="shared" ref="AH9:AH33" si="7">+AG9/AF9</f>
        <v>0.52355072463768126</v>
      </c>
      <c r="AI9" s="2068">
        <v>13.2</v>
      </c>
      <c r="AJ9" s="2069">
        <v>3.32</v>
      </c>
      <c r="AK9" s="73">
        <f t="shared" ref="AK9:AK33" si="8">+AJ9/AI9</f>
        <v>0.25151515151515152</v>
      </c>
      <c r="AL9" s="2068">
        <v>13.99</v>
      </c>
      <c r="AM9" s="2069">
        <v>7.9370000000000003</v>
      </c>
      <c r="AN9" s="73">
        <f t="shared" ref="AN9:AN33" si="9">+AM9/AL9</f>
        <v>0.56733380986418869</v>
      </c>
      <c r="AO9" s="2071">
        <v>14</v>
      </c>
      <c r="AP9" s="2069">
        <v>6.31</v>
      </c>
      <c r="AQ9" s="73">
        <f t="shared" ref="AQ9:AQ33" si="10">+AP9/AO9</f>
        <v>0.45071428571428568</v>
      </c>
      <c r="AR9" s="2068">
        <v>8.2035979999999995</v>
      </c>
      <c r="AS9" s="2069">
        <v>10.845000000000001</v>
      </c>
      <c r="AT9" s="73">
        <f t="shared" ref="AT9:AT33" si="11">+AS9/AR9</f>
        <v>1.3219809161784868</v>
      </c>
      <c r="AU9" s="2068">
        <v>12.951402</v>
      </c>
      <c r="AV9" s="2069">
        <v>11.305999999999999</v>
      </c>
      <c r="AW9" s="73">
        <f t="shared" ref="AW9:AW33" si="12">+AV9/AU9</f>
        <v>0.87295568464325324</v>
      </c>
      <c r="AX9" s="2072">
        <f>105681117/1000000</f>
        <v>105.681117</v>
      </c>
      <c r="AY9" s="73">
        <f t="shared" ref="AY9:AY33" si="13">+AX9/G9</f>
        <v>0.77681673042087862</v>
      </c>
    </row>
    <row r="10" spans="1:53" s="132" customFormat="1" ht="75" customHeight="1" thickTop="1" thickBot="1">
      <c r="A10" s="2979"/>
      <c r="B10" s="2947"/>
      <c r="C10" s="74" t="s">
        <v>169</v>
      </c>
      <c r="D10" s="111" t="s">
        <v>92</v>
      </c>
      <c r="E10" s="74" t="s">
        <v>170</v>
      </c>
      <c r="F10" s="74" t="s">
        <v>17</v>
      </c>
      <c r="G10" s="117">
        <v>3</v>
      </c>
      <c r="H10" s="118" t="s">
        <v>26</v>
      </c>
      <c r="I10" s="79"/>
      <c r="J10" s="78"/>
      <c r="K10" s="76" t="s">
        <v>26</v>
      </c>
      <c r="L10" s="1011">
        <v>0</v>
      </c>
      <c r="M10" s="1012"/>
      <c r="N10" s="73" t="e">
        <f t="shared" si="0"/>
        <v>#DIV/0!</v>
      </c>
      <c r="O10" s="1011">
        <v>0</v>
      </c>
      <c r="P10" s="1012"/>
      <c r="Q10" s="73" t="e">
        <f t="shared" si="1"/>
        <v>#DIV/0!</v>
      </c>
      <c r="R10" s="2073">
        <v>1</v>
      </c>
      <c r="S10" s="2074">
        <v>1</v>
      </c>
      <c r="T10" s="73">
        <f t="shared" si="2"/>
        <v>1</v>
      </c>
      <c r="U10" s="2073">
        <v>0</v>
      </c>
      <c r="V10" s="2074"/>
      <c r="W10" s="73" t="e">
        <f t="shared" si="3"/>
        <v>#DIV/0!</v>
      </c>
      <c r="X10" s="2073">
        <v>0</v>
      </c>
      <c r="Y10" s="2074"/>
      <c r="Z10" s="73" t="e">
        <f t="shared" si="4"/>
        <v>#DIV/0!</v>
      </c>
      <c r="AA10" s="2073">
        <v>1</v>
      </c>
      <c r="AB10" s="1012">
        <v>1</v>
      </c>
      <c r="AC10" s="73">
        <f t="shared" si="5"/>
        <v>1</v>
      </c>
      <c r="AD10" s="2075">
        <f>+M10+P10+S10+V10+Y10+AB10</f>
        <v>2</v>
      </c>
      <c r="AE10" s="73">
        <f t="shared" si="6"/>
        <v>0.66666666666666663</v>
      </c>
      <c r="AF10" s="2073"/>
      <c r="AG10" s="2074"/>
      <c r="AH10" s="73" t="e">
        <f t="shared" si="7"/>
        <v>#DIV/0!</v>
      </c>
      <c r="AI10" s="2073"/>
      <c r="AJ10" s="2074"/>
      <c r="AK10" s="73" t="e">
        <f t="shared" si="8"/>
        <v>#DIV/0!</v>
      </c>
      <c r="AL10" s="2073">
        <v>1</v>
      </c>
      <c r="AM10" s="2074">
        <v>1</v>
      </c>
      <c r="AN10" s="73">
        <f t="shared" si="9"/>
        <v>1</v>
      </c>
      <c r="AO10" s="2076"/>
      <c r="AP10" s="2074"/>
      <c r="AQ10" s="73" t="e">
        <f t="shared" si="10"/>
        <v>#DIV/0!</v>
      </c>
      <c r="AR10" s="2073">
        <v>0</v>
      </c>
      <c r="AS10" s="2074"/>
      <c r="AT10" s="73" t="e">
        <f t="shared" si="11"/>
        <v>#DIV/0!</v>
      </c>
      <c r="AU10" s="2073">
        <v>0</v>
      </c>
      <c r="AV10" s="2074"/>
      <c r="AW10" s="73" t="e">
        <f t="shared" si="12"/>
        <v>#DIV/0!</v>
      </c>
      <c r="AX10" s="2077">
        <f t="shared" ref="AX10" si="14">+M10+P10+S10+V10+Y10+AB10+AG10+AJ10+AM10+AP10+AS10+AV10</f>
        <v>3</v>
      </c>
      <c r="AY10" s="73">
        <f t="shared" si="13"/>
        <v>1</v>
      </c>
    </row>
    <row r="11" spans="1:53" s="22" customFormat="1" ht="44.25" customHeight="1" thickTop="1" thickBot="1">
      <c r="A11" s="2979"/>
      <c r="B11" s="2981" t="s">
        <v>94</v>
      </c>
      <c r="C11" s="878" t="s">
        <v>780</v>
      </c>
      <c r="D11" s="627" t="s">
        <v>96</v>
      </c>
      <c r="E11" s="25" t="s">
        <v>97</v>
      </c>
      <c r="F11" s="25" t="s">
        <v>168</v>
      </c>
      <c r="G11" s="25">
        <v>602.15899999999999</v>
      </c>
      <c r="H11" s="25"/>
      <c r="I11" s="25"/>
      <c r="J11" s="25"/>
      <c r="K11" s="25" t="s">
        <v>20</v>
      </c>
      <c r="L11" s="1718">
        <v>81.84</v>
      </c>
      <c r="M11" s="1719">
        <v>81.838999999999999</v>
      </c>
      <c r="N11" s="73">
        <f>+M11/L11</f>
        <v>0.99998778103616803</v>
      </c>
      <c r="O11" s="1718">
        <v>43.13</v>
      </c>
      <c r="P11" s="1719">
        <v>43.128999999999998</v>
      </c>
      <c r="Q11" s="73">
        <f>+P11/O11</f>
        <v>0.99997681428240193</v>
      </c>
      <c r="R11" s="2078">
        <v>45.33</v>
      </c>
      <c r="S11" s="2070">
        <v>45.332999999999998</v>
      </c>
      <c r="T11" s="73">
        <f>+S11/R11</f>
        <v>1.000066181336863</v>
      </c>
      <c r="U11" s="2078">
        <v>58.01</v>
      </c>
      <c r="V11" s="2070">
        <v>58.006999999999998</v>
      </c>
      <c r="W11" s="73">
        <f>+V11/U11</f>
        <v>0.99994828477848652</v>
      </c>
      <c r="X11" s="2078">
        <v>44.94</v>
      </c>
      <c r="Y11" s="2070">
        <v>44.942999999999998</v>
      </c>
      <c r="Z11" s="73">
        <f t="shared" si="4"/>
        <v>1.0000667556742324</v>
      </c>
      <c r="AA11" s="2078">
        <v>55.61</v>
      </c>
      <c r="AB11" s="1719">
        <v>55.612000000000002</v>
      </c>
      <c r="AC11" s="73">
        <f>+AB11/AA11</f>
        <v>1.0000359647545405</v>
      </c>
      <c r="AD11" s="2075">
        <f>+M11+P11+S11+V11+Y11+AB11</f>
        <v>328.863</v>
      </c>
      <c r="AE11" s="73">
        <f>+AD11/G11</f>
        <v>0.54613980692807051</v>
      </c>
      <c r="AF11" s="2078">
        <v>38.119999999999997</v>
      </c>
      <c r="AG11" s="2070">
        <v>38.116</v>
      </c>
      <c r="AH11" s="73">
        <f>+AG11/AF11</f>
        <v>0.99989506820566643</v>
      </c>
      <c r="AI11" s="2078">
        <v>37.729999999999997</v>
      </c>
      <c r="AJ11" s="2070">
        <v>37.728000000000002</v>
      </c>
      <c r="AK11" s="73">
        <f>+AJ11/AI11</f>
        <v>0.99994699178372659</v>
      </c>
      <c r="AL11" s="2078">
        <v>59.04</v>
      </c>
      <c r="AM11" s="2070">
        <v>59.037999999999997</v>
      </c>
      <c r="AN11" s="73">
        <f>+AM11/AL11</f>
        <v>0.99996612466124657</v>
      </c>
      <c r="AO11" s="2079">
        <v>39.28</v>
      </c>
      <c r="AP11" s="2070">
        <v>39.277999999999999</v>
      </c>
      <c r="AQ11" s="73">
        <f>+AP11/AO11</f>
        <v>0.99994908350305489</v>
      </c>
      <c r="AR11" s="2078">
        <v>61.71</v>
      </c>
      <c r="AS11" s="2070">
        <v>61.7</v>
      </c>
      <c r="AT11" s="73">
        <f>+AS11/AR11</f>
        <v>0.99983795170960954</v>
      </c>
      <c r="AU11" s="2078">
        <v>37.43</v>
      </c>
      <c r="AV11" s="2070">
        <v>37.429000000000002</v>
      </c>
      <c r="AW11" s="73">
        <f>+AV11/AU11</f>
        <v>0.99997328346246328</v>
      </c>
      <c r="AX11" s="2079">
        <f>+M11+P11+S11+V11+Y11+AB11+AG11+AJ11+AM11+AP11+AS11+AV11</f>
        <v>602.15200000000004</v>
      </c>
      <c r="AY11" s="2080">
        <f t="shared" si="13"/>
        <v>0.99998837516337058</v>
      </c>
    </row>
    <row r="12" spans="1:53" s="22" customFormat="1" ht="89.25" customHeight="1" thickTop="1" thickBot="1">
      <c r="A12" s="2979"/>
      <c r="B12" s="2982"/>
      <c r="C12" s="2925" t="s">
        <v>944</v>
      </c>
      <c r="D12" s="623" t="s">
        <v>99</v>
      </c>
      <c r="E12" s="561" t="s">
        <v>100</v>
      </c>
      <c r="F12" s="561" t="s">
        <v>101</v>
      </c>
      <c r="G12" s="1694">
        <v>47040000000</v>
      </c>
      <c r="H12" s="96"/>
      <c r="I12" s="2081"/>
      <c r="J12" s="96"/>
      <c r="K12" s="561" t="s">
        <v>172</v>
      </c>
      <c r="L12" s="1692">
        <v>3763199999.9999995</v>
      </c>
      <c r="M12" s="1693">
        <v>596005000</v>
      </c>
      <c r="N12" s="73">
        <f t="shared" si="0"/>
        <v>0.15837717899659867</v>
      </c>
      <c r="O12" s="1692">
        <v>3763199999.9999995</v>
      </c>
      <c r="P12" s="1693">
        <v>876504750</v>
      </c>
      <c r="Q12" s="73">
        <f t="shared" si="1"/>
        <v>0.23291474011479596</v>
      </c>
      <c r="R12" s="2082">
        <v>3763199999.9999995</v>
      </c>
      <c r="S12" s="2083">
        <v>288886250</v>
      </c>
      <c r="T12" s="73">
        <f t="shared" si="2"/>
        <v>7.6766116602891163E-2</v>
      </c>
      <c r="U12" s="2082">
        <v>4233599999.999999</v>
      </c>
      <c r="V12" s="2083">
        <v>16935000</v>
      </c>
      <c r="W12" s="73">
        <f t="shared" si="3"/>
        <v>4.0001417233560101E-3</v>
      </c>
      <c r="X12" s="2082">
        <v>4703999999.999999</v>
      </c>
      <c r="Y12" s="2083">
        <v>6242000</v>
      </c>
      <c r="Z12" s="73">
        <f t="shared" si="4"/>
        <v>1.3269557823129255E-3</v>
      </c>
      <c r="AA12" s="2082">
        <v>4703999999.999999</v>
      </c>
      <c r="AB12" s="1693">
        <v>2540710500</v>
      </c>
      <c r="AC12" s="73">
        <f t="shared" si="5"/>
        <v>0.54011702806122464</v>
      </c>
      <c r="AD12" s="2070">
        <f t="shared" ref="AD12:AD29" si="15">+M12+P12+S12+V12+Y12+AB12</f>
        <v>4325283500</v>
      </c>
      <c r="AE12" s="73">
        <f t="shared" si="6"/>
        <v>9.194905399659864E-2</v>
      </c>
      <c r="AF12" s="2082">
        <v>4703999999.999999</v>
      </c>
      <c r="AG12" s="2083">
        <v>1810905750</v>
      </c>
      <c r="AH12" s="73">
        <f t="shared" si="7"/>
        <v>0.38497146045918373</v>
      </c>
      <c r="AI12" s="2082">
        <v>4703999999.999999</v>
      </c>
      <c r="AJ12" s="2083">
        <v>18438152666</v>
      </c>
      <c r="AK12" s="73">
        <f t="shared" si="8"/>
        <v>3.9196753116496605</v>
      </c>
      <c r="AL12" s="2082">
        <v>4703999999.999999</v>
      </c>
      <c r="AM12" s="2083">
        <v>534554000</v>
      </c>
      <c r="AN12" s="73">
        <f t="shared" si="9"/>
        <v>0.11363818027210887</v>
      </c>
      <c r="AO12" s="2072">
        <v>4703999999.999999</v>
      </c>
      <c r="AP12" s="2083">
        <v>3086029700</v>
      </c>
      <c r="AQ12" s="73">
        <f t="shared" si="10"/>
        <v>0.65604372874149675</v>
      </c>
      <c r="AR12" s="2082">
        <v>1881599999.9999998</v>
      </c>
      <c r="AS12" s="2083">
        <v>2427610000</v>
      </c>
      <c r="AT12" s="73">
        <f t="shared" si="11"/>
        <v>1.2901838860544219</v>
      </c>
      <c r="AU12" s="2082">
        <v>1411199999.9999998</v>
      </c>
      <c r="AV12" s="2083">
        <v>754501000</v>
      </c>
      <c r="AW12" s="73">
        <f t="shared" si="12"/>
        <v>0.53465206916099783</v>
      </c>
      <c r="AX12" s="2072">
        <f t="shared" ref="AX12:AX29" si="16">+M12+P12+S12+V12+Y12+AB12+AG12+AJ12+AM12+AP12+AS12+AV12</f>
        <v>31377036616</v>
      </c>
      <c r="AY12" s="73">
        <f t="shared" si="13"/>
        <v>0.66702883962585036</v>
      </c>
    </row>
    <row r="13" spans="1:53" s="22" customFormat="1" ht="86.65" customHeight="1" thickTop="1" thickBot="1">
      <c r="A13" s="2979"/>
      <c r="B13" s="2982"/>
      <c r="C13" s="2926"/>
      <c r="D13" s="627" t="s">
        <v>102</v>
      </c>
      <c r="E13" s="25" t="s">
        <v>527</v>
      </c>
      <c r="F13" s="25" t="s">
        <v>101</v>
      </c>
      <c r="G13" s="1705">
        <v>35400000000</v>
      </c>
      <c r="H13" s="25"/>
      <c r="I13" s="25"/>
      <c r="J13" s="25"/>
      <c r="K13" s="25" t="s">
        <v>172</v>
      </c>
      <c r="L13" s="1718">
        <v>2832000000</v>
      </c>
      <c r="M13" s="1719">
        <v>52162000</v>
      </c>
      <c r="N13" s="73">
        <f t="shared" si="0"/>
        <v>1.8418785310734462E-2</v>
      </c>
      <c r="O13" s="1718">
        <v>2832000000</v>
      </c>
      <c r="P13" s="1719">
        <v>437587000</v>
      </c>
      <c r="Q13" s="73">
        <f t="shared" si="1"/>
        <v>0.1545151836158192</v>
      </c>
      <c r="R13" s="2078">
        <v>2832000000</v>
      </c>
      <c r="S13" s="2070">
        <v>148646000</v>
      </c>
      <c r="T13" s="73">
        <f t="shared" si="2"/>
        <v>5.2487994350282487E-2</v>
      </c>
      <c r="U13" s="2078">
        <v>3186000000</v>
      </c>
      <c r="V13" s="2070">
        <v>103819000</v>
      </c>
      <c r="W13" s="73">
        <f t="shared" si="3"/>
        <v>3.2586001255492783E-2</v>
      </c>
      <c r="X13" s="2078">
        <v>3540000000</v>
      </c>
      <c r="Y13" s="2070">
        <v>1161443000</v>
      </c>
      <c r="Z13" s="73">
        <f t="shared" si="4"/>
        <v>0.32809124293785313</v>
      </c>
      <c r="AA13" s="2078">
        <v>3540000000</v>
      </c>
      <c r="AB13" s="1719">
        <v>260180000</v>
      </c>
      <c r="AC13" s="73">
        <f t="shared" si="5"/>
        <v>7.3497175141242932E-2</v>
      </c>
      <c r="AD13" s="2070">
        <f t="shared" si="15"/>
        <v>2163837000</v>
      </c>
      <c r="AE13" s="73">
        <f t="shared" si="6"/>
        <v>6.112533898305085E-2</v>
      </c>
      <c r="AF13" s="2078">
        <v>3540000000</v>
      </c>
      <c r="AG13" s="2070">
        <v>552408750</v>
      </c>
      <c r="AH13" s="73">
        <f t="shared" si="7"/>
        <v>0.15604766949152543</v>
      </c>
      <c r="AI13" s="2078">
        <v>3540000000</v>
      </c>
      <c r="AJ13" s="2070">
        <v>1151452000</v>
      </c>
      <c r="AK13" s="73">
        <f t="shared" si="8"/>
        <v>0.32526892655367234</v>
      </c>
      <c r="AL13" s="2078">
        <v>3540000000</v>
      </c>
      <c r="AM13" s="2070">
        <v>16212374170</v>
      </c>
      <c r="AN13" s="73">
        <f t="shared" si="9"/>
        <v>4.5797667146892653</v>
      </c>
      <c r="AO13" s="2079">
        <v>3540000000</v>
      </c>
      <c r="AP13" s="2070">
        <v>533077720</v>
      </c>
      <c r="AQ13" s="73">
        <f t="shared" si="10"/>
        <v>0.15058692655367231</v>
      </c>
      <c r="AR13" s="2078">
        <v>1416000000</v>
      </c>
      <c r="AS13" s="2070">
        <v>2110459000</v>
      </c>
      <c r="AT13" s="73">
        <f t="shared" si="11"/>
        <v>1.4904371468926554</v>
      </c>
      <c r="AU13" s="2078">
        <v>1062000000</v>
      </c>
      <c r="AV13" s="2070">
        <v>1153710000</v>
      </c>
      <c r="AW13" s="73">
        <f t="shared" si="12"/>
        <v>1.0863559322033898</v>
      </c>
      <c r="AX13" s="2079">
        <f t="shared" si="16"/>
        <v>23877318640</v>
      </c>
      <c r="AY13" s="73">
        <f t="shared" si="13"/>
        <v>0.67450052655367232</v>
      </c>
    </row>
    <row r="14" spans="1:53" s="132" customFormat="1" ht="81.2" customHeight="1" thickTop="1" thickBot="1">
      <c r="A14" s="2979"/>
      <c r="B14" s="2982"/>
      <c r="C14" s="2926"/>
      <c r="D14" s="623" t="s">
        <v>104</v>
      </c>
      <c r="E14" s="561" t="s">
        <v>105</v>
      </c>
      <c r="F14" s="561" t="s">
        <v>24</v>
      </c>
      <c r="G14" s="561">
        <v>60</v>
      </c>
      <c r="H14" s="561"/>
      <c r="I14" s="561"/>
      <c r="J14" s="561"/>
      <c r="K14" s="561" t="s">
        <v>172</v>
      </c>
      <c r="L14" s="675">
        <v>0</v>
      </c>
      <c r="M14" s="36"/>
      <c r="N14" s="73" t="e">
        <f t="shared" si="0"/>
        <v>#DIV/0!</v>
      </c>
      <c r="O14" s="675">
        <v>0</v>
      </c>
      <c r="P14" s="36"/>
      <c r="Q14" s="73" t="e">
        <f t="shared" si="1"/>
        <v>#DIV/0!</v>
      </c>
      <c r="R14" s="2084">
        <v>15</v>
      </c>
      <c r="S14" s="2085">
        <v>1</v>
      </c>
      <c r="T14" s="73">
        <f t="shared" si="2"/>
        <v>6.6666666666666666E-2</v>
      </c>
      <c r="U14" s="2084">
        <v>0</v>
      </c>
      <c r="V14" s="2085"/>
      <c r="W14" s="73" t="e">
        <f t="shared" si="3"/>
        <v>#DIV/0!</v>
      </c>
      <c r="X14" s="2084">
        <v>0</v>
      </c>
      <c r="Y14" s="2085"/>
      <c r="Z14" s="73" t="e">
        <f t="shared" si="4"/>
        <v>#DIV/0!</v>
      </c>
      <c r="AA14" s="2084">
        <v>15</v>
      </c>
      <c r="AB14" s="36">
        <v>5</v>
      </c>
      <c r="AC14" s="73">
        <f t="shared" si="5"/>
        <v>0.33333333333333331</v>
      </c>
      <c r="AD14" s="2086">
        <f>+S14+AB14</f>
        <v>6</v>
      </c>
      <c r="AE14" s="73">
        <f t="shared" si="6"/>
        <v>0.1</v>
      </c>
      <c r="AF14" s="2084">
        <v>0</v>
      </c>
      <c r="AG14" s="2085"/>
      <c r="AH14" s="73" t="e">
        <f t="shared" si="7"/>
        <v>#DIV/0!</v>
      </c>
      <c r="AI14" s="2084">
        <v>0</v>
      </c>
      <c r="AJ14" s="2085"/>
      <c r="AK14" s="73" t="e">
        <f t="shared" si="8"/>
        <v>#DIV/0!</v>
      </c>
      <c r="AL14" s="2084">
        <v>15</v>
      </c>
      <c r="AM14" s="2085">
        <v>46</v>
      </c>
      <c r="AN14" s="73">
        <f t="shared" si="9"/>
        <v>3.0666666666666669</v>
      </c>
      <c r="AO14" s="2087">
        <v>0</v>
      </c>
      <c r="AP14" s="2085"/>
      <c r="AQ14" s="73" t="e">
        <f t="shared" si="10"/>
        <v>#DIV/0!</v>
      </c>
      <c r="AR14" s="2084">
        <v>0</v>
      </c>
      <c r="AS14" s="2085"/>
      <c r="AT14" s="350" t="e">
        <f t="shared" si="11"/>
        <v>#DIV/0!</v>
      </c>
      <c r="AU14" s="2084">
        <v>15</v>
      </c>
      <c r="AV14" s="2085">
        <v>32</v>
      </c>
      <c r="AW14" s="73">
        <f t="shared" si="12"/>
        <v>2.1333333333333333</v>
      </c>
      <c r="AX14" s="2087">
        <f>+AV14+AM14+AB14+S14</f>
        <v>84</v>
      </c>
      <c r="AY14" s="73">
        <f t="shared" si="13"/>
        <v>1.4</v>
      </c>
    </row>
    <row r="15" spans="1:53" s="22" customFormat="1" ht="93" customHeight="1" thickTop="1" thickBot="1">
      <c r="A15" s="2979"/>
      <c r="B15" s="2982"/>
      <c r="C15" s="2927"/>
      <c r="D15" s="627" t="s">
        <v>106</v>
      </c>
      <c r="E15" s="25" t="s">
        <v>173</v>
      </c>
      <c r="F15" s="25" t="s">
        <v>24</v>
      </c>
      <c r="G15" s="25">
        <v>20</v>
      </c>
      <c r="H15" s="25"/>
      <c r="I15" s="25"/>
      <c r="J15" s="25"/>
      <c r="K15" s="25" t="s">
        <v>172</v>
      </c>
      <c r="L15" s="676">
        <v>0</v>
      </c>
      <c r="M15" s="34"/>
      <c r="N15" s="73" t="e">
        <f t="shared" si="0"/>
        <v>#DIV/0!</v>
      </c>
      <c r="O15" s="676">
        <v>0</v>
      </c>
      <c r="P15" s="34"/>
      <c r="Q15" s="73" t="e">
        <f t="shared" si="1"/>
        <v>#DIV/0!</v>
      </c>
      <c r="R15" s="2088">
        <v>0</v>
      </c>
      <c r="S15" s="2089"/>
      <c r="T15" s="73" t="e">
        <f t="shared" si="2"/>
        <v>#DIV/0!</v>
      </c>
      <c r="U15" s="2088">
        <v>0</v>
      </c>
      <c r="V15" s="2089"/>
      <c r="W15" s="73" t="e">
        <f t="shared" si="3"/>
        <v>#DIV/0!</v>
      </c>
      <c r="X15" s="2088">
        <v>0</v>
      </c>
      <c r="Y15" s="2089"/>
      <c r="Z15" s="73" t="e">
        <f t="shared" si="4"/>
        <v>#DIV/0!</v>
      </c>
      <c r="AA15" s="2088">
        <v>0</v>
      </c>
      <c r="AB15" s="34"/>
      <c r="AC15" s="73" t="e">
        <f t="shared" si="5"/>
        <v>#DIV/0!</v>
      </c>
      <c r="AD15" s="2086">
        <f t="shared" si="15"/>
        <v>0</v>
      </c>
      <c r="AE15" s="73">
        <f t="shared" si="6"/>
        <v>0</v>
      </c>
      <c r="AF15" s="2088">
        <v>10</v>
      </c>
      <c r="AG15" s="2089">
        <v>18</v>
      </c>
      <c r="AH15" s="73">
        <f t="shared" si="7"/>
        <v>1.8</v>
      </c>
      <c r="AI15" s="2088">
        <v>0</v>
      </c>
      <c r="AJ15" s="2089"/>
      <c r="AK15" s="73" t="e">
        <f t="shared" si="8"/>
        <v>#DIV/0!</v>
      </c>
      <c r="AL15" s="2088">
        <v>0</v>
      </c>
      <c r="AM15" s="2089"/>
      <c r="AN15" s="73" t="e">
        <f t="shared" si="9"/>
        <v>#DIV/0!</v>
      </c>
      <c r="AO15" s="2090">
        <v>0</v>
      </c>
      <c r="AP15" s="2089"/>
      <c r="AQ15" s="73" t="e">
        <f t="shared" si="10"/>
        <v>#DIV/0!</v>
      </c>
      <c r="AR15" s="2088">
        <v>0</v>
      </c>
      <c r="AS15" s="2089"/>
      <c r="AT15" s="73" t="e">
        <f t="shared" si="11"/>
        <v>#DIV/0!</v>
      </c>
      <c r="AU15" s="2088">
        <v>10</v>
      </c>
      <c r="AV15" s="2089">
        <v>3</v>
      </c>
      <c r="AW15" s="73">
        <f t="shared" si="12"/>
        <v>0.3</v>
      </c>
      <c r="AX15" s="2090">
        <f>+AV15+AG15</f>
        <v>21</v>
      </c>
      <c r="AY15" s="73">
        <f t="shared" si="13"/>
        <v>1.05</v>
      </c>
    </row>
    <row r="16" spans="1:53" s="22" customFormat="1" ht="66" customHeight="1" thickTop="1" thickBot="1">
      <c r="A16" s="2979"/>
      <c r="B16" s="2982"/>
      <c r="C16" s="561" t="s">
        <v>640</v>
      </c>
      <c r="D16" s="623" t="s">
        <v>109</v>
      </c>
      <c r="E16" s="561" t="s">
        <v>110</v>
      </c>
      <c r="F16" s="561" t="s">
        <v>168</v>
      </c>
      <c r="G16" s="1694">
        <v>72194</v>
      </c>
      <c r="H16" s="85"/>
      <c r="I16" s="2091"/>
      <c r="J16" s="85"/>
      <c r="K16" s="561" t="s">
        <v>21</v>
      </c>
      <c r="L16" s="2092">
        <v>0</v>
      </c>
      <c r="M16" s="2093">
        <v>10454.799999999999</v>
      </c>
      <c r="N16" s="73" t="e">
        <f t="shared" si="0"/>
        <v>#DIV/0!</v>
      </c>
      <c r="O16" s="2092">
        <v>0</v>
      </c>
      <c r="P16" s="2093">
        <v>4593.5</v>
      </c>
      <c r="Q16" s="73" t="e">
        <f t="shared" si="1"/>
        <v>#DIV/0!</v>
      </c>
      <c r="R16" s="2094">
        <v>18024.424185499702</v>
      </c>
      <c r="S16" s="2095">
        <v>4885</v>
      </c>
      <c r="T16" s="73">
        <f t="shared" si="2"/>
        <v>0.27102114052164217</v>
      </c>
      <c r="U16" s="2094">
        <v>5182.6052379063158</v>
      </c>
      <c r="V16" s="2095">
        <v>2226</v>
      </c>
      <c r="W16" s="73">
        <f t="shared" si="3"/>
        <v>0.42951370938282502</v>
      </c>
      <c r="X16" s="2094">
        <v>6812.4188438497031</v>
      </c>
      <c r="Y16" s="2095">
        <v>5464.5</v>
      </c>
      <c r="Z16" s="73">
        <f t="shared" si="4"/>
        <v>0.80213799610007641</v>
      </c>
      <c r="AA16" s="2094">
        <v>7098.9018136683853</v>
      </c>
      <c r="AB16" s="2093">
        <v>4377.5</v>
      </c>
      <c r="AC16" s="73">
        <f t="shared" si="5"/>
        <v>0.61664467475398277</v>
      </c>
      <c r="AD16" s="2070">
        <f t="shared" si="15"/>
        <v>32001.3</v>
      </c>
      <c r="AE16" s="73">
        <f t="shared" si="6"/>
        <v>0.44326813862647862</v>
      </c>
      <c r="AF16" s="2094">
        <v>6605.5276125987266</v>
      </c>
      <c r="AG16" s="2095">
        <v>5344.2</v>
      </c>
      <c r="AH16" s="73">
        <f t="shared" si="7"/>
        <v>0.80904967981770359</v>
      </c>
      <c r="AI16" s="2094">
        <v>4230.5864473707497</v>
      </c>
      <c r="AJ16" s="2095">
        <v>5686.9</v>
      </c>
      <c r="AK16" s="73">
        <f t="shared" si="8"/>
        <v>1.3442344390656118</v>
      </c>
      <c r="AL16" s="2094">
        <v>7461.3623315838049</v>
      </c>
      <c r="AM16" s="2095">
        <v>8161.3</v>
      </c>
      <c r="AN16" s="73">
        <f t="shared" si="9"/>
        <v>1.0938082936213098</v>
      </c>
      <c r="AO16" s="2096">
        <v>6628.5314722639523</v>
      </c>
      <c r="AP16" s="2095">
        <v>7349.8</v>
      </c>
      <c r="AQ16" s="73">
        <f t="shared" si="10"/>
        <v>1.1088127182852012</v>
      </c>
      <c r="AR16" s="2094">
        <v>5671.4184308601652</v>
      </c>
      <c r="AS16" s="2095">
        <v>7516</v>
      </c>
      <c r="AT16" s="73">
        <f t="shared" si="11"/>
        <v>1.3252416642550695</v>
      </c>
      <c r="AU16" s="2094">
        <v>4478.5654562537839</v>
      </c>
      <c r="AV16" s="2095">
        <v>8937.5</v>
      </c>
      <c r="AW16" s="73">
        <f t="shared" si="12"/>
        <v>1.9956166963061452</v>
      </c>
      <c r="AX16" s="2096">
        <f t="shared" si="16"/>
        <v>74997</v>
      </c>
      <c r="AY16" s="73">
        <f t="shared" si="13"/>
        <v>1.0388259412139513</v>
      </c>
    </row>
    <row r="17" spans="1:51" s="22" customFormat="1" ht="60.75" customHeight="1" thickTop="1" thickBot="1">
      <c r="A17" s="2979"/>
      <c r="B17" s="2982"/>
      <c r="C17" s="878" t="s">
        <v>945</v>
      </c>
      <c r="D17" s="627" t="s">
        <v>111</v>
      </c>
      <c r="E17" s="25" t="s">
        <v>112</v>
      </c>
      <c r="F17" s="25" t="s">
        <v>17</v>
      </c>
      <c r="G17" s="25">
        <v>215</v>
      </c>
      <c r="H17" s="25"/>
      <c r="I17" s="25"/>
      <c r="J17" s="25"/>
      <c r="K17" s="25" t="s">
        <v>20</v>
      </c>
      <c r="L17" s="635">
        <v>0</v>
      </c>
      <c r="M17" s="578"/>
      <c r="N17" s="73" t="e">
        <f t="shared" si="0"/>
        <v>#DIV/0!</v>
      </c>
      <c r="O17" s="635">
        <v>0</v>
      </c>
      <c r="P17" s="578"/>
      <c r="Q17" s="73" t="e">
        <f t="shared" si="1"/>
        <v>#DIV/0!</v>
      </c>
      <c r="R17" s="2088">
        <v>0</v>
      </c>
      <c r="S17" s="2089"/>
      <c r="T17" s="73" t="e">
        <f t="shared" si="2"/>
        <v>#DIV/0!</v>
      </c>
      <c r="U17" s="2088">
        <v>0</v>
      </c>
      <c r="V17" s="2089"/>
      <c r="W17" s="73" t="e">
        <f t="shared" si="3"/>
        <v>#DIV/0!</v>
      </c>
      <c r="X17" s="2088">
        <v>0</v>
      </c>
      <c r="Y17" s="2089"/>
      <c r="Z17" s="73" t="e">
        <f t="shared" si="4"/>
        <v>#DIV/0!</v>
      </c>
      <c r="AA17" s="2088">
        <v>0</v>
      </c>
      <c r="AB17" s="578"/>
      <c r="AC17" s="73" t="e">
        <f t="shared" si="5"/>
        <v>#DIV/0!</v>
      </c>
      <c r="AD17" s="2086">
        <f t="shared" si="15"/>
        <v>0</v>
      </c>
      <c r="AE17" s="73">
        <f t="shared" si="6"/>
        <v>0</v>
      </c>
      <c r="AF17" s="2088">
        <v>0</v>
      </c>
      <c r="AG17" s="2089"/>
      <c r="AH17" s="73" t="e">
        <f t="shared" si="7"/>
        <v>#DIV/0!</v>
      </c>
      <c r="AI17" s="2088">
        <v>0</v>
      </c>
      <c r="AJ17" s="2089"/>
      <c r="AK17" s="73" t="e">
        <f t="shared" si="8"/>
        <v>#DIV/0!</v>
      </c>
      <c r="AL17" s="2088">
        <v>0</v>
      </c>
      <c r="AM17" s="2089"/>
      <c r="AN17" s="73" t="e">
        <f t="shared" si="9"/>
        <v>#DIV/0!</v>
      </c>
      <c r="AO17" s="2090">
        <v>210</v>
      </c>
      <c r="AP17" s="2089">
        <v>109</v>
      </c>
      <c r="AQ17" s="73">
        <f t="shared" si="10"/>
        <v>0.51904761904761909</v>
      </c>
      <c r="AR17" s="2088">
        <v>0</v>
      </c>
      <c r="AS17" s="2089"/>
      <c r="AT17" s="73" t="e">
        <f t="shared" si="11"/>
        <v>#DIV/0!</v>
      </c>
      <c r="AU17" s="2088">
        <v>5</v>
      </c>
      <c r="AV17" s="2089">
        <v>5</v>
      </c>
      <c r="AW17" s="73">
        <f t="shared" si="12"/>
        <v>1</v>
      </c>
      <c r="AX17" s="2090">
        <f t="shared" si="16"/>
        <v>114</v>
      </c>
      <c r="AY17" s="73">
        <f t="shared" si="13"/>
        <v>0.53023255813953485</v>
      </c>
    </row>
    <row r="18" spans="1:51" s="22" customFormat="1" ht="63.75" customHeight="1" thickTop="1" thickBot="1">
      <c r="A18" s="2979"/>
      <c r="B18" s="2982"/>
      <c r="C18" s="561" t="s">
        <v>946</v>
      </c>
      <c r="D18" s="623" t="s">
        <v>114</v>
      </c>
      <c r="E18" s="561" t="s">
        <v>115</v>
      </c>
      <c r="F18" s="561" t="s">
        <v>10</v>
      </c>
      <c r="G18" s="1481">
        <v>1</v>
      </c>
      <c r="H18" s="85"/>
      <c r="I18" s="1481"/>
      <c r="J18" s="85"/>
      <c r="K18" s="561" t="s">
        <v>20</v>
      </c>
      <c r="L18" s="653">
        <v>0</v>
      </c>
      <c r="M18" s="50"/>
      <c r="N18" s="73" t="e">
        <f t="shared" si="0"/>
        <v>#DIV/0!</v>
      </c>
      <c r="O18" s="653">
        <v>0</v>
      </c>
      <c r="P18" s="50"/>
      <c r="Q18" s="73" t="e">
        <f t="shared" si="1"/>
        <v>#DIV/0!</v>
      </c>
      <c r="R18" s="873">
        <v>0.25</v>
      </c>
      <c r="S18" s="2097">
        <v>0.25</v>
      </c>
      <c r="T18" s="73">
        <f t="shared" si="2"/>
        <v>1</v>
      </c>
      <c r="U18" s="873">
        <v>0</v>
      </c>
      <c r="V18" s="2097"/>
      <c r="W18" s="73" t="e">
        <f t="shared" si="3"/>
        <v>#DIV/0!</v>
      </c>
      <c r="X18" s="873">
        <v>0</v>
      </c>
      <c r="Y18" s="2097"/>
      <c r="Z18" s="73" t="e">
        <f t="shared" si="4"/>
        <v>#DIV/0!</v>
      </c>
      <c r="AA18" s="873">
        <v>0.25</v>
      </c>
      <c r="AB18" s="50">
        <v>0.25</v>
      </c>
      <c r="AC18" s="73">
        <f t="shared" si="5"/>
        <v>1</v>
      </c>
      <c r="AD18" s="84">
        <f t="shared" si="15"/>
        <v>0.5</v>
      </c>
      <c r="AE18" s="73">
        <f t="shared" si="6"/>
        <v>0.5</v>
      </c>
      <c r="AF18" s="873">
        <v>0</v>
      </c>
      <c r="AG18" s="2097"/>
      <c r="AH18" s="73" t="e">
        <f t="shared" si="7"/>
        <v>#DIV/0!</v>
      </c>
      <c r="AI18" s="873">
        <v>0</v>
      </c>
      <c r="AJ18" s="2097"/>
      <c r="AK18" s="73" t="e">
        <f t="shared" si="8"/>
        <v>#DIV/0!</v>
      </c>
      <c r="AL18" s="873">
        <v>0.25</v>
      </c>
      <c r="AM18" s="2097">
        <v>0.25</v>
      </c>
      <c r="AN18" s="73">
        <f t="shared" si="9"/>
        <v>1</v>
      </c>
      <c r="AO18" s="2098">
        <v>0</v>
      </c>
      <c r="AP18" s="2097"/>
      <c r="AQ18" s="73" t="e">
        <f t="shared" si="10"/>
        <v>#DIV/0!</v>
      </c>
      <c r="AR18" s="873">
        <v>0</v>
      </c>
      <c r="AS18" s="2097"/>
      <c r="AT18" s="73" t="e">
        <f t="shared" si="11"/>
        <v>#DIV/0!</v>
      </c>
      <c r="AU18" s="873">
        <v>0.25</v>
      </c>
      <c r="AV18" s="2097">
        <v>0.25</v>
      </c>
      <c r="AW18" s="73">
        <f t="shared" si="12"/>
        <v>1</v>
      </c>
      <c r="AX18" s="2098">
        <f t="shared" si="16"/>
        <v>1</v>
      </c>
      <c r="AY18" s="73">
        <f t="shared" si="13"/>
        <v>1</v>
      </c>
    </row>
    <row r="19" spans="1:51" s="22" customFormat="1" ht="61.5" customHeight="1" thickTop="1" thickBot="1">
      <c r="A19" s="2979"/>
      <c r="B19" s="2982"/>
      <c r="C19" s="878" t="s">
        <v>309</v>
      </c>
      <c r="D19" s="627" t="s">
        <v>116</v>
      </c>
      <c r="E19" s="25" t="s">
        <v>117</v>
      </c>
      <c r="F19" s="25" t="s">
        <v>17</v>
      </c>
      <c r="G19" s="2099">
        <v>3947</v>
      </c>
      <c r="H19" s="25"/>
      <c r="I19" s="25"/>
      <c r="J19" s="25"/>
      <c r="K19" s="25" t="s">
        <v>118</v>
      </c>
      <c r="L19" s="635">
        <v>0</v>
      </c>
      <c r="M19" s="578"/>
      <c r="N19" s="73" t="e">
        <f t="shared" si="0"/>
        <v>#DIV/0!</v>
      </c>
      <c r="O19" s="635">
        <v>0</v>
      </c>
      <c r="P19" s="578"/>
      <c r="Q19" s="73" t="e">
        <f t="shared" si="1"/>
        <v>#DIV/0!</v>
      </c>
      <c r="R19" s="2088">
        <v>750</v>
      </c>
      <c r="S19" s="2089">
        <v>410</v>
      </c>
      <c r="T19" s="73">
        <f t="shared" si="2"/>
        <v>0.54666666666666663</v>
      </c>
      <c r="U19" s="2088">
        <v>609</v>
      </c>
      <c r="V19" s="2089">
        <v>72</v>
      </c>
      <c r="W19" s="73">
        <f t="shared" si="3"/>
        <v>0.11822660098522167</v>
      </c>
      <c r="X19" s="2088">
        <v>177</v>
      </c>
      <c r="Y19" s="2089">
        <v>29</v>
      </c>
      <c r="Z19" s="73">
        <f t="shared" si="4"/>
        <v>0.16384180790960451</v>
      </c>
      <c r="AA19" s="2088">
        <v>199</v>
      </c>
      <c r="AB19" s="578">
        <v>179</v>
      </c>
      <c r="AC19" s="73">
        <f t="shared" si="5"/>
        <v>0.89949748743718594</v>
      </c>
      <c r="AD19" s="2086">
        <f t="shared" si="15"/>
        <v>690</v>
      </c>
      <c r="AE19" s="73">
        <f t="shared" si="6"/>
        <v>0.17481631618951102</v>
      </c>
      <c r="AF19" s="2088">
        <v>367</v>
      </c>
      <c r="AG19" s="2089">
        <v>0</v>
      </c>
      <c r="AH19" s="73">
        <f t="shared" si="7"/>
        <v>0</v>
      </c>
      <c r="AI19" s="2088">
        <v>561</v>
      </c>
      <c r="AJ19" s="2089">
        <v>478</v>
      </c>
      <c r="AK19" s="73">
        <f t="shared" si="8"/>
        <v>0.85204991087344029</v>
      </c>
      <c r="AL19" s="2088">
        <v>761</v>
      </c>
      <c r="AM19" s="2089">
        <v>555</v>
      </c>
      <c r="AN19" s="73">
        <f t="shared" si="9"/>
        <v>0.72930354796320629</v>
      </c>
      <c r="AO19" s="2090">
        <v>297</v>
      </c>
      <c r="AP19" s="2089">
        <v>473</v>
      </c>
      <c r="AQ19" s="73">
        <f t="shared" si="10"/>
        <v>1.5925925925925926</v>
      </c>
      <c r="AR19" s="2088">
        <v>204</v>
      </c>
      <c r="AS19" s="2089">
        <v>1644</v>
      </c>
      <c r="AT19" s="73">
        <f t="shared" si="11"/>
        <v>8.0588235294117645</v>
      </c>
      <c r="AU19" s="2088">
        <v>22</v>
      </c>
      <c r="AV19" s="2089">
        <v>1272</v>
      </c>
      <c r="AW19" s="73">
        <f t="shared" si="12"/>
        <v>57.81818181818182</v>
      </c>
      <c r="AX19" s="2090">
        <f t="shared" si="16"/>
        <v>5112</v>
      </c>
      <c r="AY19" s="73">
        <f t="shared" si="13"/>
        <v>1.2951608816822904</v>
      </c>
    </row>
    <row r="20" spans="1:51" s="22" customFormat="1" ht="77.650000000000006" customHeight="1" thickTop="1" thickBot="1">
      <c r="A20" s="2979"/>
      <c r="B20" s="2982"/>
      <c r="C20" s="2910" t="s">
        <v>642</v>
      </c>
      <c r="D20" s="728" t="s">
        <v>120</v>
      </c>
      <c r="E20" s="674" t="s">
        <v>121</v>
      </c>
      <c r="F20" s="561" t="s">
        <v>10</v>
      </c>
      <c r="G20" s="2100">
        <v>0.64100000000000001</v>
      </c>
      <c r="H20" s="85"/>
      <c r="I20" s="1481"/>
      <c r="J20" s="85"/>
      <c r="K20" s="561" t="s">
        <v>7</v>
      </c>
      <c r="L20" s="653">
        <v>0</v>
      </c>
      <c r="M20" s="50"/>
      <c r="N20" s="73" t="e">
        <f t="shared" si="0"/>
        <v>#DIV/0!</v>
      </c>
      <c r="O20" s="653">
        <v>0</v>
      </c>
      <c r="P20" s="50"/>
      <c r="Q20" s="73" t="e">
        <f t="shared" si="1"/>
        <v>#DIV/0!</v>
      </c>
      <c r="R20" s="873">
        <v>0</v>
      </c>
      <c r="S20" s="2097"/>
      <c r="T20" s="73" t="e">
        <f t="shared" si="2"/>
        <v>#DIV/0!</v>
      </c>
      <c r="U20" s="873">
        <v>0</v>
      </c>
      <c r="V20" s="2097"/>
      <c r="W20" s="73" t="e">
        <f t="shared" si="3"/>
        <v>#DIV/0!</v>
      </c>
      <c r="X20" s="873">
        <v>0</v>
      </c>
      <c r="Y20" s="2097"/>
      <c r="Z20" s="73" t="e">
        <f t="shared" si="4"/>
        <v>#DIV/0!</v>
      </c>
      <c r="AA20" s="873">
        <v>0</v>
      </c>
      <c r="AB20" s="50"/>
      <c r="AC20" s="73" t="e">
        <f t="shared" si="5"/>
        <v>#DIV/0!</v>
      </c>
      <c r="AD20" s="84">
        <f t="shared" si="15"/>
        <v>0</v>
      </c>
      <c r="AE20" s="73">
        <f t="shared" si="6"/>
        <v>0</v>
      </c>
      <c r="AF20" s="873">
        <v>0</v>
      </c>
      <c r="AG20" s="2097"/>
      <c r="AH20" s="73" t="e">
        <f t="shared" si="7"/>
        <v>#DIV/0!</v>
      </c>
      <c r="AI20" s="873">
        <v>0</v>
      </c>
      <c r="AJ20" s="2097"/>
      <c r="AK20" s="73" t="e">
        <f t="shared" si="8"/>
        <v>#DIV/0!</v>
      </c>
      <c r="AL20" s="873">
        <v>0</v>
      </c>
      <c r="AM20" s="2097"/>
      <c r="AN20" s="73" t="e">
        <f t="shared" si="9"/>
        <v>#DIV/0!</v>
      </c>
      <c r="AO20" s="2098">
        <v>0</v>
      </c>
      <c r="AP20" s="2097"/>
      <c r="AQ20" s="73" t="e">
        <f t="shared" si="10"/>
        <v>#DIV/0!</v>
      </c>
      <c r="AR20" s="873">
        <v>0</v>
      </c>
      <c r="AS20" s="2097"/>
      <c r="AT20" s="73" t="e">
        <f t="shared" si="11"/>
        <v>#DIV/0!</v>
      </c>
      <c r="AU20" s="873">
        <v>0.64100000000000001</v>
      </c>
      <c r="AV20" s="2097">
        <v>0</v>
      </c>
      <c r="AW20" s="73">
        <f t="shared" si="12"/>
        <v>0</v>
      </c>
      <c r="AX20" s="2098">
        <f>+AV20</f>
        <v>0</v>
      </c>
      <c r="AY20" s="73">
        <f t="shared" si="13"/>
        <v>0</v>
      </c>
    </row>
    <row r="21" spans="1:51" s="22" customFormat="1" ht="77.650000000000006" customHeight="1" thickTop="1" thickBot="1">
      <c r="A21" s="2979"/>
      <c r="B21" s="2982"/>
      <c r="C21" s="2910"/>
      <c r="D21" s="731" t="s">
        <v>175</v>
      </c>
      <c r="E21" s="671" t="s">
        <v>123</v>
      </c>
      <c r="F21" s="25" t="s">
        <v>10</v>
      </c>
      <c r="G21" s="1479">
        <v>1</v>
      </c>
      <c r="H21" s="98"/>
      <c r="I21" s="1479"/>
      <c r="J21" s="98"/>
      <c r="K21" s="25" t="s">
        <v>7</v>
      </c>
      <c r="L21" s="655">
        <v>0</v>
      </c>
      <c r="M21" s="45"/>
      <c r="N21" s="73" t="e">
        <f t="shared" si="0"/>
        <v>#DIV/0!</v>
      </c>
      <c r="O21" s="655">
        <v>0</v>
      </c>
      <c r="P21" s="45"/>
      <c r="Q21" s="73" t="e">
        <f t="shared" si="1"/>
        <v>#DIV/0!</v>
      </c>
      <c r="R21" s="647">
        <v>0</v>
      </c>
      <c r="S21" s="84"/>
      <c r="T21" s="73" t="e">
        <f t="shared" si="2"/>
        <v>#DIV/0!</v>
      </c>
      <c r="U21" s="647">
        <v>1</v>
      </c>
      <c r="V21" s="84">
        <v>1</v>
      </c>
      <c r="W21" s="73">
        <f t="shared" si="3"/>
        <v>1</v>
      </c>
      <c r="X21" s="647">
        <v>0</v>
      </c>
      <c r="Y21" s="84"/>
      <c r="Z21" s="73" t="e">
        <f t="shared" si="4"/>
        <v>#DIV/0!</v>
      </c>
      <c r="AA21" s="647">
        <v>0</v>
      </c>
      <c r="AB21" s="45"/>
      <c r="AC21" s="73" t="e">
        <f t="shared" si="5"/>
        <v>#DIV/0!</v>
      </c>
      <c r="AD21" s="84">
        <f>+V21</f>
        <v>1</v>
      </c>
      <c r="AE21" s="73">
        <f t="shared" si="6"/>
        <v>1</v>
      </c>
      <c r="AF21" s="647">
        <v>0</v>
      </c>
      <c r="AG21" s="84"/>
      <c r="AH21" s="73" t="e">
        <f t="shared" si="7"/>
        <v>#DIV/0!</v>
      </c>
      <c r="AI21" s="647">
        <v>0</v>
      </c>
      <c r="AJ21" s="84"/>
      <c r="AK21" s="73" t="e">
        <f t="shared" si="8"/>
        <v>#DIV/0!</v>
      </c>
      <c r="AL21" s="647">
        <v>0</v>
      </c>
      <c r="AM21" s="84"/>
      <c r="AN21" s="73" t="e">
        <f t="shared" si="9"/>
        <v>#DIV/0!</v>
      </c>
      <c r="AO21" s="2101">
        <v>1</v>
      </c>
      <c r="AP21" s="84">
        <v>1</v>
      </c>
      <c r="AQ21" s="73">
        <f t="shared" si="10"/>
        <v>1</v>
      </c>
      <c r="AR21" s="647">
        <v>0</v>
      </c>
      <c r="AS21" s="84"/>
      <c r="AT21" s="73" t="e">
        <f t="shared" si="11"/>
        <v>#DIV/0!</v>
      </c>
      <c r="AU21" s="647"/>
      <c r="AV21" s="84"/>
      <c r="AW21" s="73" t="e">
        <f t="shared" si="12"/>
        <v>#DIV/0!</v>
      </c>
      <c r="AX21" s="2101">
        <f>(+AP21+V21)/2</f>
        <v>1</v>
      </c>
      <c r="AY21" s="73">
        <f t="shared" si="13"/>
        <v>1</v>
      </c>
    </row>
    <row r="22" spans="1:51" s="22" customFormat="1" ht="77.650000000000006" customHeight="1" thickTop="1" thickBot="1">
      <c r="A22" s="2979"/>
      <c r="B22" s="2982"/>
      <c r="C22" s="2910"/>
      <c r="D22" s="728" t="s">
        <v>124</v>
      </c>
      <c r="E22" s="674" t="s">
        <v>125</v>
      </c>
      <c r="F22" s="561" t="s">
        <v>10</v>
      </c>
      <c r="G22" s="1481">
        <v>1</v>
      </c>
      <c r="H22" s="85"/>
      <c r="I22" s="1481"/>
      <c r="J22" s="85"/>
      <c r="K22" s="561" t="s">
        <v>7</v>
      </c>
      <c r="L22" s="653">
        <v>0</v>
      </c>
      <c r="M22" s="50"/>
      <c r="N22" s="73"/>
      <c r="O22" s="653">
        <v>0</v>
      </c>
      <c r="P22" s="50"/>
      <c r="Q22" s="73" t="e">
        <f t="shared" si="1"/>
        <v>#DIV/0!</v>
      </c>
      <c r="R22" s="873">
        <v>0</v>
      </c>
      <c r="S22" s="2102">
        <v>0</v>
      </c>
      <c r="T22" s="73" t="e">
        <f t="shared" si="2"/>
        <v>#DIV/0!</v>
      </c>
      <c r="U22" s="873">
        <v>0</v>
      </c>
      <c r="V22" s="2097"/>
      <c r="W22" s="73" t="e">
        <f t="shared" si="3"/>
        <v>#DIV/0!</v>
      </c>
      <c r="X22" s="873">
        <v>0</v>
      </c>
      <c r="Y22" s="2097"/>
      <c r="Z22" s="73" t="e">
        <f t="shared" si="4"/>
        <v>#DIV/0!</v>
      </c>
      <c r="AA22" s="873">
        <v>0</v>
      </c>
      <c r="AB22" s="50"/>
      <c r="AC22" s="73" t="e">
        <f t="shared" si="5"/>
        <v>#DIV/0!</v>
      </c>
      <c r="AD22" s="84">
        <f>(+S22+AB22)/2</f>
        <v>0</v>
      </c>
      <c r="AE22" s="73">
        <f t="shared" si="6"/>
        <v>0</v>
      </c>
      <c r="AF22" s="873">
        <v>0</v>
      </c>
      <c r="AG22" s="2097"/>
      <c r="AH22" s="73" t="e">
        <f t="shared" si="7"/>
        <v>#DIV/0!</v>
      </c>
      <c r="AI22" s="873">
        <v>0</v>
      </c>
      <c r="AJ22" s="2097"/>
      <c r="AK22" s="73" t="e">
        <f t="shared" si="8"/>
        <v>#DIV/0!</v>
      </c>
      <c r="AL22" s="873">
        <v>1</v>
      </c>
      <c r="AM22" s="2097">
        <v>1</v>
      </c>
      <c r="AN22" s="73">
        <f t="shared" si="9"/>
        <v>1</v>
      </c>
      <c r="AO22" s="2098">
        <v>0</v>
      </c>
      <c r="AP22" s="2097"/>
      <c r="AQ22" s="73" t="e">
        <f t="shared" si="10"/>
        <v>#DIV/0!</v>
      </c>
      <c r="AR22" s="873">
        <v>0</v>
      </c>
      <c r="AS22" s="2097"/>
      <c r="AT22" s="73" t="e">
        <f t="shared" si="11"/>
        <v>#DIV/0!</v>
      </c>
      <c r="AU22" s="873">
        <v>0</v>
      </c>
      <c r="AV22" s="2097"/>
      <c r="AW22" s="73" t="e">
        <f t="shared" si="12"/>
        <v>#DIV/0!</v>
      </c>
      <c r="AX22" s="873" t="s">
        <v>947</v>
      </c>
      <c r="AY22" s="73">
        <v>0.67</v>
      </c>
    </row>
    <row r="23" spans="1:51" s="22" customFormat="1" ht="57.75" customHeight="1" thickTop="1" thickBot="1">
      <c r="A23" s="2979"/>
      <c r="B23" s="2982"/>
      <c r="C23" s="2910"/>
      <c r="D23" s="731" t="s">
        <v>177</v>
      </c>
      <c r="E23" s="671" t="s">
        <v>127</v>
      </c>
      <c r="F23" s="25" t="s">
        <v>10</v>
      </c>
      <c r="G23" s="1479">
        <v>1</v>
      </c>
      <c r="H23" s="98"/>
      <c r="I23" s="1479"/>
      <c r="J23" s="98"/>
      <c r="K23" s="25" t="s">
        <v>7</v>
      </c>
      <c r="L23" s="655">
        <v>0</v>
      </c>
      <c r="M23" s="45"/>
      <c r="N23" s="73" t="e">
        <f t="shared" si="0"/>
        <v>#DIV/0!</v>
      </c>
      <c r="O23" s="655">
        <v>0</v>
      </c>
      <c r="P23" s="45"/>
      <c r="Q23" s="73" t="e">
        <f t="shared" si="1"/>
        <v>#DIV/0!</v>
      </c>
      <c r="R23" s="647">
        <v>0</v>
      </c>
      <c r="S23" s="84"/>
      <c r="T23" s="73" t="e">
        <f t="shared" si="2"/>
        <v>#DIV/0!</v>
      </c>
      <c r="U23" s="647">
        <v>0</v>
      </c>
      <c r="V23" s="84"/>
      <c r="W23" s="73" t="e">
        <f t="shared" si="3"/>
        <v>#DIV/0!</v>
      </c>
      <c r="X23" s="647">
        <v>0</v>
      </c>
      <c r="Y23" s="84"/>
      <c r="Z23" s="73" t="e">
        <f t="shared" si="4"/>
        <v>#DIV/0!</v>
      </c>
      <c r="AA23" s="647">
        <v>0</v>
      </c>
      <c r="AB23" s="45"/>
      <c r="AC23" s="73" t="e">
        <f t="shared" si="5"/>
        <v>#DIV/0!</v>
      </c>
      <c r="AD23" s="84">
        <v>0</v>
      </c>
      <c r="AE23" s="73">
        <f t="shared" si="6"/>
        <v>0</v>
      </c>
      <c r="AF23" s="647">
        <v>1</v>
      </c>
      <c r="AG23" s="84">
        <v>1</v>
      </c>
      <c r="AH23" s="73">
        <f t="shared" si="7"/>
        <v>1</v>
      </c>
      <c r="AI23" s="647">
        <v>1</v>
      </c>
      <c r="AJ23" s="84">
        <v>1</v>
      </c>
      <c r="AK23" s="73">
        <f t="shared" si="8"/>
        <v>1</v>
      </c>
      <c r="AL23" s="647">
        <v>1</v>
      </c>
      <c r="AM23" s="84">
        <v>1</v>
      </c>
      <c r="AN23" s="73">
        <f t="shared" si="9"/>
        <v>1</v>
      </c>
      <c r="AO23" s="2101">
        <v>1</v>
      </c>
      <c r="AP23" s="84">
        <v>1</v>
      </c>
      <c r="AQ23" s="73">
        <f t="shared" si="10"/>
        <v>1</v>
      </c>
      <c r="AR23" s="647">
        <v>1</v>
      </c>
      <c r="AS23" s="84"/>
      <c r="AT23" s="73">
        <f t="shared" si="11"/>
        <v>0</v>
      </c>
      <c r="AU23" s="647">
        <v>1</v>
      </c>
      <c r="AV23" s="84">
        <v>1</v>
      </c>
      <c r="AW23" s="73">
        <f t="shared" si="12"/>
        <v>1</v>
      </c>
      <c r="AX23" s="2101">
        <f>(+M23+P23+S23+V23+Y23+AB23+AG23+AJ23+AM23+AP23+AS23+AV23)/5</f>
        <v>1</v>
      </c>
      <c r="AY23" s="73">
        <f t="shared" si="13"/>
        <v>1</v>
      </c>
    </row>
    <row r="24" spans="1:51" s="22" customFormat="1" ht="77.650000000000006" customHeight="1" thickTop="1" thickBot="1">
      <c r="A24" s="2979"/>
      <c r="B24" s="2982"/>
      <c r="C24" s="2910"/>
      <c r="D24" s="728" t="s">
        <v>128</v>
      </c>
      <c r="E24" s="674" t="s">
        <v>129</v>
      </c>
      <c r="F24" s="561" t="s">
        <v>10</v>
      </c>
      <c r="G24" s="1481">
        <v>1</v>
      </c>
      <c r="H24" s="85"/>
      <c r="I24" s="1481"/>
      <c r="J24" s="85"/>
      <c r="K24" s="561" t="s">
        <v>7</v>
      </c>
      <c r="L24" s="653">
        <v>0</v>
      </c>
      <c r="M24" s="50"/>
      <c r="N24" s="73" t="e">
        <f t="shared" si="0"/>
        <v>#DIV/0!</v>
      </c>
      <c r="O24" s="653">
        <v>1</v>
      </c>
      <c r="P24" s="50"/>
      <c r="Q24" s="73">
        <f t="shared" si="1"/>
        <v>0</v>
      </c>
      <c r="R24" s="873">
        <v>1</v>
      </c>
      <c r="S24" s="2097">
        <v>1</v>
      </c>
      <c r="T24" s="73">
        <f t="shared" si="2"/>
        <v>1</v>
      </c>
      <c r="U24" s="873">
        <v>0</v>
      </c>
      <c r="V24" s="2097"/>
      <c r="W24" s="73" t="e">
        <f t="shared" si="3"/>
        <v>#DIV/0!</v>
      </c>
      <c r="X24" s="873">
        <v>0</v>
      </c>
      <c r="Y24" s="2097"/>
      <c r="Z24" s="73" t="e">
        <f t="shared" si="4"/>
        <v>#DIV/0!</v>
      </c>
      <c r="AA24" s="873">
        <v>0</v>
      </c>
      <c r="AB24" s="50"/>
      <c r="AC24" s="73" t="e">
        <f t="shared" si="5"/>
        <v>#DIV/0!</v>
      </c>
      <c r="AD24" s="84">
        <f>(+M24+P24+S24+V24+Y24+AB24)/6</f>
        <v>0.16666666666666666</v>
      </c>
      <c r="AE24" s="73">
        <f t="shared" si="6"/>
        <v>0.16666666666666666</v>
      </c>
      <c r="AF24" s="873">
        <v>0</v>
      </c>
      <c r="AG24" s="2097"/>
      <c r="AH24" s="73" t="e">
        <f t="shared" si="7"/>
        <v>#DIV/0!</v>
      </c>
      <c r="AI24" s="873">
        <v>1</v>
      </c>
      <c r="AJ24" s="2097"/>
      <c r="AK24" s="73">
        <f t="shared" si="8"/>
        <v>0</v>
      </c>
      <c r="AL24" s="873">
        <v>1</v>
      </c>
      <c r="AM24" s="2097">
        <v>1</v>
      </c>
      <c r="AN24" s="73">
        <f t="shared" si="9"/>
        <v>1</v>
      </c>
      <c r="AO24" s="2098">
        <v>0</v>
      </c>
      <c r="AP24" s="2097"/>
      <c r="AQ24" s="73" t="e">
        <f t="shared" si="10"/>
        <v>#DIV/0!</v>
      </c>
      <c r="AR24" s="873">
        <v>1</v>
      </c>
      <c r="AS24" s="2097">
        <v>1</v>
      </c>
      <c r="AT24" s="73">
        <f t="shared" si="11"/>
        <v>1</v>
      </c>
      <c r="AU24" s="873">
        <v>1</v>
      </c>
      <c r="AV24" s="2097">
        <v>1</v>
      </c>
      <c r="AW24" s="73">
        <f t="shared" si="12"/>
        <v>1</v>
      </c>
      <c r="AX24" s="2098">
        <f>(+M24+P24+S24+V24+Y24+AB24+AG24+AJ24+AM24+AP24+AS24+AV24)/4</f>
        <v>1</v>
      </c>
      <c r="AY24" s="73">
        <f t="shared" si="13"/>
        <v>1</v>
      </c>
    </row>
    <row r="25" spans="1:51" s="22" customFormat="1" ht="77.650000000000006" customHeight="1" thickTop="1" thickBot="1">
      <c r="A25" s="2979"/>
      <c r="B25" s="2982"/>
      <c r="C25" s="2910"/>
      <c r="D25" s="731" t="s">
        <v>179</v>
      </c>
      <c r="E25" s="671" t="s">
        <v>131</v>
      </c>
      <c r="F25" s="25" t="s">
        <v>10</v>
      </c>
      <c r="G25" s="1479">
        <v>1</v>
      </c>
      <c r="H25" s="98"/>
      <c r="I25" s="1479"/>
      <c r="J25" s="98"/>
      <c r="K25" s="25" t="s">
        <v>7</v>
      </c>
      <c r="L25" s="655">
        <v>0</v>
      </c>
      <c r="M25" s="45">
        <v>0</v>
      </c>
      <c r="N25" s="73" t="e">
        <f t="shared" si="0"/>
        <v>#DIV/0!</v>
      </c>
      <c r="O25" s="655">
        <v>0</v>
      </c>
      <c r="P25" s="45">
        <v>0</v>
      </c>
      <c r="Q25" s="73" t="e">
        <f t="shared" si="1"/>
        <v>#DIV/0!</v>
      </c>
      <c r="R25" s="647">
        <v>0</v>
      </c>
      <c r="S25" s="84">
        <v>0</v>
      </c>
      <c r="T25" s="73" t="e">
        <f t="shared" si="2"/>
        <v>#DIV/0!</v>
      </c>
      <c r="U25" s="647">
        <v>1</v>
      </c>
      <c r="V25" s="84">
        <v>0.15</v>
      </c>
      <c r="W25" s="73">
        <f t="shared" si="3"/>
        <v>0.15</v>
      </c>
      <c r="X25" s="647">
        <v>1</v>
      </c>
      <c r="Y25" s="84">
        <v>0.3</v>
      </c>
      <c r="Z25" s="73">
        <f t="shared" si="4"/>
        <v>0.3</v>
      </c>
      <c r="AA25" s="647">
        <v>1</v>
      </c>
      <c r="AB25" s="45">
        <v>0.4</v>
      </c>
      <c r="AC25" s="73">
        <f t="shared" si="5"/>
        <v>0.4</v>
      </c>
      <c r="AD25" s="84">
        <v>1</v>
      </c>
      <c r="AE25" s="73">
        <f t="shared" si="6"/>
        <v>1</v>
      </c>
      <c r="AF25" s="647">
        <v>1</v>
      </c>
      <c r="AG25" s="84">
        <v>0.5</v>
      </c>
      <c r="AH25" s="73">
        <f t="shared" si="7"/>
        <v>0.5</v>
      </c>
      <c r="AI25" s="647">
        <v>1</v>
      </c>
      <c r="AJ25" s="84">
        <v>0.6</v>
      </c>
      <c r="AK25" s="73">
        <f t="shared" si="8"/>
        <v>0.6</v>
      </c>
      <c r="AL25" s="647">
        <v>1</v>
      </c>
      <c r="AM25" s="84">
        <v>0.6</v>
      </c>
      <c r="AN25" s="73">
        <f t="shared" si="9"/>
        <v>0.6</v>
      </c>
      <c r="AO25" s="2101">
        <v>1</v>
      </c>
      <c r="AP25" s="84">
        <v>0.7</v>
      </c>
      <c r="AQ25" s="73">
        <f t="shared" si="10"/>
        <v>0.7</v>
      </c>
      <c r="AR25" s="647">
        <v>1</v>
      </c>
      <c r="AS25" s="84">
        <v>1.3</v>
      </c>
      <c r="AT25" s="73">
        <f t="shared" si="11"/>
        <v>1.3</v>
      </c>
      <c r="AU25" s="647">
        <v>1</v>
      </c>
      <c r="AV25" s="84">
        <v>1.4</v>
      </c>
      <c r="AW25" s="73">
        <f t="shared" si="12"/>
        <v>1.4</v>
      </c>
      <c r="AX25" s="2101">
        <f>+AW25</f>
        <v>1.4</v>
      </c>
      <c r="AY25" s="73">
        <f t="shared" si="13"/>
        <v>1.4</v>
      </c>
    </row>
    <row r="26" spans="1:51" s="22" customFormat="1" ht="81.2" customHeight="1" thickTop="1" thickBot="1">
      <c r="A26" s="2979"/>
      <c r="B26" s="3162"/>
      <c r="C26" s="2910"/>
      <c r="D26" s="728" t="s">
        <v>132</v>
      </c>
      <c r="E26" s="674" t="s">
        <v>133</v>
      </c>
      <c r="F26" s="561" t="s">
        <v>10</v>
      </c>
      <c r="G26" s="1481">
        <v>1</v>
      </c>
      <c r="H26" s="561"/>
      <c r="I26" s="1481"/>
      <c r="J26" s="561"/>
      <c r="K26" s="561" t="s">
        <v>7</v>
      </c>
      <c r="L26" s="2103">
        <v>0</v>
      </c>
      <c r="M26" s="2104"/>
      <c r="N26" s="73" t="e">
        <f t="shared" si="0"/>
        <v>#DIV/0!</v>
      </c>
      <c r="O26" s="2103">
        <v>0</v>
      </c>
      <c r="P26" s="2104"/>
      <c r="Q26" s="73" t="e">
        <f t="shared" si="1"/>
        <v>#DIV/0!</v>
      </c>
      <c r="R26" s="2105">
        <v>0</v>
      </c>
      <c r="S26" s="2106"/>
      <c r="T26" s="73" t="e">
        <f t="shared" si="2"/>
        <v>#DIV/0!</v>
      </c>
      <c r="U26" s="2105">
        <v>0</v>
      </c>
      <c r="V26" s="2106"/>
      <c r="W26" s="73" t="e">
        <f t="shared" si="3"/>
        <v>#DIV/0!</v>
      </c>
      <c r="X26" s="2105">
        <v>0</v>
      </c>
      <c r="Y26" s="2106"/>
      <c r="Z26" s="73" t="e">
        <f t="shared" si="4"/>
        <v>#DIV/0!</v>
      </c>
      <c r="AA26" s="2105">
        <v>0</v>
      </c>
      <c r="AB26" s="2104">
        <v>1</v>
      </c>
      <c r="AC26" s="73" t="e">
        <f t="shared" si="5"/>
        <v>#DIV/0!</v>
      </c>
      <c r="AD26" s="84">
        <f t="shared" si="15"/>
        <v>1</v>
      </c>
      <c r="AE26" s="73">
        <f t="shared" si="6"/>
        <v>1</v>
      </c>
      <c r="AF26" s="2105">
        <v>0</v>
      </c>
      <c r="AG26" s="2106"/>
      <c r="AH26" s="73" t="e">
        <f t="shared" si="7"/>
        <v>#DIV/0!</v>
      </c>
      <c r="AI26" s="2105">
        <v>1</v>
      </c>
      <c r="AJ26" s="2107"/>
      <c r="AK26" s="73">
        <f t="shared" si="8"/>
        <v>0</v>
      </c>
      <c r="AL26" s="2105">
        <v>0</v>
      </c>
      <c r="AM26" s="2106"/>
      <c r="AN26" s="73" t="e">
        <f t="shared" si="9"/>
        <v>#DIV/0!</v>
      </c>
      <c r="AO26" s="2108">
        <v>0</v>
      </c>
      <c r="AP26" s="2106"/>
      <c r="AQ26" s="73" t="e">
        <f t="shared" si="10"/>
        <v>#DIV/0!</v>
      </c>
      <c r="AR26" s="2105">
        <v>0</v>
      </c>
      <c r="AS26" s="2106"/>
      <c r="AT26" s="73" t="e">
        <f t="shared" si="11"/>
        <v>#DIV/0!</v>
      </c>
      <c r="AU26" s="2105">
        <v>0</v>
      </c>
      <c r="AV26" s="2106"/>
      <c r="AW26" s="73" t="e">
        <f t="shared" si="12"/>
        <v>#DIV/0!</v>
      </c>
      <c r="AX26" s="2108">
        <f>+AD26</f>
        <v>1</v>
      </c>
      <c r="AY26" s="73">
        <f t="shared" si="13"/>
        <v>1</v>
      </c>
    </row>
    <row r="27" spans="1:51" s="22" customFormat="1" ht="144" customHeight="1" thickTop="1" thickBot="1">
      <c r="A27" s="2980"/>
      <c r="B27" s="695" t="s">
        <v>418</v>
      </c>
      <c r="C27" s="25" t="s">
        <v>948</v>
      </c>
      <c r="D27" s="627" t="s">
        <v>467</v>
      </c>
      <c r="E27" s="25" t="s">
        <v>139</v>
      </c>
      <c r="F27" s="25" t="s">
        <v>101</v>
      </c>
      <c r="G27" s="1705">
        <f>+'[4]FIS-24'!$AZ$16</f>
        <v>170000000.00000003</v>
      </c>
      <c r="H27" s="98"/>
      <c r="I27" s="2109"/>
      <c r="J27" s="98"/>
      <c r="K27" s="25" t="s">
        <v>140</v>
      </c>
      <c r="L27" s="2110">
        <v>13333333.333333334</v>
      </c>
      <c r="M27" s="2111">
        <v>0</v>
      </c>
      <c r="N27" s="73">
        <f t="shared" si="0"/>
        <v>0</v>
      </c>
      <c r="O27" s="2110">
        <v>13333333.333333334</v>
      </c>
      <c r="P27" s="2111">
        <v>0</v>
      </c>
      <c r="Q27" s="73">
        <f t="shared" si="1"/>
        <v>0</v>
      </c>
      <c r="R27" s="2112">
        <v>13333333.333333334</v>
      </c>
      <c r="S27" s="2113">
        <v>0</v>
      </c>
      <c r="T27" s="73">
        <f t="shared" si="2"/>
        <v>0</v>
      </c>
      <c r="U27" s="2112">
        <v>26444444</v>
      </c>
      <c r="V27" s="2113">
        <v>0</v>
      </c>
      <c r="W27" s="73">
        <f t="shared" si="3"/>
        <v>0</v>
      </c>
      <c r="X27" s="2112">
        <v>26444444</v>
      </c>
      <c r="Y27" s="2112">
        <v>4868875</v>
      </c>
      <c r="Z27" s="73">
        <f t="shared" si="4"/>
        <v>0.18411712494314494</v>
      </c>
      <c r="AA27" s="2112">
        <v>26444444</v>
      </c>
      <c r="AB27" s="2111"/>
      <c r="AC27" s="73">
        <f t="shared" si="5"/>
        <v>0</v>
      </c>
      <c r="AD27" s="2070">
        <f t="shared" si="15"/>
        <v>4868875</v>
      </c>
      <c r="AE27" s="73">
        <f t="shared" si="6"/>
        <v>2.8640441176470584E-2</v>
      </c>
      <c r="AF27" s="2112">
        <v>26444444</v>
      </c>
      <c r="AG27" s="2113"/>
      <c r="AH27" s="73">
        <f t="shared" si="7"/>
        <v>0</v>
      </c>
      <c r="AI27" s="2112">
        <v>5571111.520000007</v>
      </c>
      <c r="AJ27" s="2113"/>
      <c r="AK27" s="73">
        <f t="shared" si="8"/>
        <v>0</v>
      </c>
      <c r="AL27" s="2112">
        <v>5571111.520000007</v>
      </c>
      <c r="AM27" s="2114">
        <v>23956010</v>
      </c>
      <c r="AN27" s="73">
        <f t="shared" si="9"/>
        <v>4.3000413676874247</v>
      </c>
      <c r="AO27" s="2110">
        <v>5571111.520000007</v>
      </c>
      <c r="AP27" s="2114">
        <v>24874952</v>
      </c>
      <c r="AQ27" s="73">
        <f t="shared" si="10"/>
        <v>4.4649890620031902</v>
      </c>
      <c r="AR27" s="2112">
        <v>3754444.7200000049</v>
      </c>
      <c r="AS27" s="2115"/>
      <c r="AT27" s="73">
        <f t="shared" si="11"/>
        <v>0</v>
      </c>
      <c r="AU27" s="2112">
        <v>3754444.7200000049</v>
      </c>
      <c r="AV27" s="2112">
        <v>18165569</v>
      </c>
      <c r="AW27" s="73">
        <f t="shared" si="12"/>
        <v>4.8384169577012646</v>
      </c>
      <c r="AX27" s="2110">
        <f t="shared" si="16"/>
        <v>71865406</v>
      </c>
      <c r="AY27" s="73">
        <f t="shared" si="13"/>
        <v>0.42273768235294112</v>
      </c>
    </row>
    <row r="28" spans="1:51" s="22" customFormat="1" ht="22.9" customHeight="1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93"/>
      <c r="M28" s="896"/>
      <c r="N28" s="896"/>
      <c r="O28" s="896"/>
      <c r="P28" s="896"/>
      <c r="Q28" s="896"/>
      <c r="R28" s="2116"/>
      <c r="S28" s="2116"/>
      <c r="T28" s="896"/>
      <c r="U28" s="2116"/>
      <c r="V28" s="2116"/>
      <c r="W28" s="896"/>
      <c r="X28" s="2116"/>
      <c r="Y28" s="2116"/>
      <c r="Z28" s="896"/>
      <c r="AA28" s="2116"/>
      <c r="AB28" s="896"/>
      <c r="AC28" s="896"/>
      <c r="AD28" s="2116"/>
      <c r="AE28" s="896"/>
      <c r="AF28" s="2116"/>
      <c r="AG28" s="2116"/>
      <c r="AH28" s="896"/>
      <c r="AI28" s="2116"/>
      <c r="AJ28" s="2116"/>
      <c r="AK28" s="896"/>
      <c r="AL28" s="2116"/>
      <c r="AM28" s="2116"/>
      <c r="AN28" s="896"/>
      <c r="AO28" s="896"/>
      <c r="AP28" s="2116"/>
      <c r="AQ28" s="896"/>
      <c r="AR28" s="2116"/>
      <c r="AS28" s="2116"/>
      <c r="AT28" s="896"/>
      <c r="AU28" s="2116"/>
      <c r="AV28" s="2116"/>
      <c r="AW28" s="896"/>
      <c r="AX28" s="896"/>
      <c r="AY28" s="897"/>
    </row>
    <row r="29" spans="1:51" s="22" customFormat="1" ht="126.75" customHeight="1" thickTop="1" thickBot="1">
      <c r="A29" s="2940" t="s">
        <v>181</v>
      </c>
      <c r="B29" s="2863" t="s">
        <v>143</v>
      </c>
      <c r="C29" s="878" t="s">
        <v>667</v>
      </c>
      <c r="D29" s="627" t="s">
        <v>144</v>
      </c>
      <c r="E29" s="25" t="s">
        <v>145</v>
      </c>
      <c r="F29" s="25" t="s">
        <v>17</v>
      </c>
      <c r="G29" s="25">
        <v>430</v>
      </c>
      <c r="H29" s="25"/>
      <c r="I29" s="25"/>
      <c r="J29" s="25"/>
      <c r="K29" s="25" t="s">
        <v>146</v>
      </c>
      <c r="L29" s="665">
        <v>0</v>
      </c>
      <c r="M29" s="28"/>
      <c r="N29" s="73" t="e">
        <f t="shared" si="0"/>
        <v>#DIV/0!</v>
      </c>
      <c r="O29" s="665">
        <v>0</v>
      </c>
      <c r="P29" s="28"/>
      <c r="Q29" s="73" t="e">
        <f t="shared" si="1"/>
        <v>#DIV/0!</v>
      </c>
      <c r="R29" s="2117">
        <v>0</v>
      </c>
      <c r="S29" s="2086"/>
      <c r="T29" s="73" t="e">
        <f t="shared" si="2"/>
        <v>#DIV/0!</v>
      </c>
      <c r="U29" s="2117">
        <v>86</v>
      </c>
      <c r="V29" s="2086">
        <v>385</v>
      </c>
      <c r="W29" s="73">
        <f t="shared" si="3"/>
        <v>4.4767441860465116</v>
      </c>
      <c r="X29" s="2117">
        <v>0</v>
      </c>
      <c r="Y29" s="2086"/>
      <c r="Z29" s="73" t="e">
        <f t="shared" si="4"/>
        <v>#DIV/0!</v>
      </c>
      <c r="AA29" s="2117">
        <v>0</v>
      </c>
      <c r="AB29" s="28"/>
      <c r="AC29" s="73" t="e">
        <f t="shared" si="5"/>
        <v>#DIV/0!</v>
      </c>
      <c r="AD29" s="2086">
        <f t="shared" si="15"/>
        <v>385</v>
      </c>
      <c r="AE29" s="73">
        <f t="shared" si="6"/>
        <v>0.89534883720930236</v>
      </c>
      <c r="AF29" s="2117">
        <v>0</v>
      </c>
      <c r="AG29" s="2086"/>
      <c r="AH29" s="73" t="e">
        <f t="shared" si="7"/>
        <v>#DIV/0!</v>
      </c>
      <c r="AI29" s="2117">
        <v>129</v>
      </c>
      <c r="AJ29" s="2086">
        <v>388</v>
      </c>
      <c r="AK29" s="73">
        <f t="shared" si="8"/>
        <v>3.0077519379844961</v>
      </c>
      <c r="AL29" s="2117">
        <v>0</v>
      </c>
      <c r="AM29" s="2086"/>
      <c r="AN29" s="73" t="e">
        <f t="shared" si="9"/>
        <v>#DIV/0!</v>
      </c>
      <c r="AO29" s="698">
        <v>0</v>
      </c>
      <c r="AP29" s="2086"/>
      <c r="AQ29" s="73" t="e">
        <f t="shared" si="10"/>
        <v>#DIV/0!</v>
      </c>
      <c r="AR29" s="2117">
        <v>0</v>
      </c>
      <c r="AS29" s="2086"/>
      <c r="AT29" s="73" t="e">
        <f t="shared" si="11"/>
        <v>#DIV/0!</v>
      </c>
      <c r="AU29" s="2117">
        <v>215</v>
      </c>
      <c r="AV29" s="2086">
        <v>1218</v>
      </c>
      <c r="AW29" s="73">
        <f t="shared" si="12"/>
        <v>5.6651162790697676</v>
      </c>
      <c r="AX29" s="698">
        <f t="shared" si="16"/>
        <v>1991</v>
      </c>
      <c r="AY29" s="73">
        <f t="shared" si="13"/>
        <v>4.6302325581395349</v>
      </c>
    </row>
    <row r="30" spans="1:51" s="22" customFormat="1" ht="69.2" customHeight="1" thickTop="1" thickBot="1">
      <c r="A30" s="2940"/>
      <c r="B30" s="2864"/>
      <c r="C30" s="561" t="s">
        <v>949</v>
      </c>
      <c r="D30" s="623" t="s">
        <v>950</v>
      </c>
      <c r="E30" s="561" t="s">
        <v>149</v>
      </c>
      <c r="F30" s="561" t="s">
        <v>8</v>
      </c>
      <c r="G30" s="561">
        <v>10.199999999999999</v>
      </c>
      <c r="H30" s="561"/>
      <c r="I30" s="561"/>
      <c r="J30" s="561"/>
      <c r="K30" s="561" t="s">
        <v>9</v>
      </c>
      <c r="L30" s="625">
        <v>0</v>
      </c>
      <c r="M30" s="59"/>
      <c r="N30" s="73" t="e">
        <f>+L30/M30</f>
        <v>#DIV/0!</v>
      </c>
      <c r="O30" s="625">
        <v>0</v>
      </c>
      <c r="P30" s="59"/>
      <c r="Q30" s="1606" t="e">
        <f>+O30/P30</f>
        <v>#DIV/0!</v>
      </c>
      <c r="R30" s="2118">
        <v>0</v>
      </c>
      <c r="S30" s="2119"/>
      <c r="T30" s="73" t="e">
        <f>+R30/S30</f>
        <v>#DIV/0!</v>
      </c>
      <c r="U30" s="2118"/>
      <c r="V30" s="2119"/>
      <c r="W30" s="73" t="e">
        <f>+U30/V30</f>
        <v>#DIV/0!</v>
      </c>
      <c r="X30" s="2118"/>
      <c r="Y30" s="2119"/>
      <c r="Z30" s="73" t="e">
        <f>+X30/Y30</f>
        <v>#DIV/0!</v>
      </c>
      <c r="AA30" s="2118">
        <v>10.199999999999999</v>
      </c>
      <c r="AB30" s="59">
        <v>10.23</v>
      </c>
      <c r="AC30" s="73">
        <f>+AA30/AB30</f>
        <v>0.9970674486803518</v>
      </c>
      <c r="AD30" s="2120">
        <f>+AB30</f>
        <v>10.23</v>
      </c>
      <c r="AE30" s="73">
        <f>+G30/AD30</f>
        <v>0.9970674486803518</v>
      </c>
      <c r="AF30" s="2118">
        <v>10.199999999999999</v>
      </c>
      <c r="AG30" s="2119">
        <v>10.56</v>
      </c>
      <c r="AH30" s="73">
        <f>+AF30/AG30</f>
        <v>0.96590909090909083</v>
      </c>
      <c r="AI30" s="2118">
        <v>10.199999999999999</v>
      </c>
      <c r="AJ30" s="2119">
        <v>10.26</v>
      </c>
      <c r="AK30" s="73">
        <f>AI30/+AJ30</f>
        <v>0.99415204678362568</v>
      </c>
      <c r="AL30" s="2118">
        <v>0</v>
      </c>
      <c r="AM30" s="2119">
        <v>0</v>
      </c>
      <c r="AN30" s="73" t="e">
        <f>+AL30/AM30</f>
        <v>#DIV/0!</v>
      </c>
      <c r="AO30" s="2121">
        <v>10.199999999999999</v>
      </c>
      <c r="AP30" s="2119">
        <v>11.08</v>
      </c>
      <c r="AQ30" s="73">
        <f>+AO30/AP30</f>
        <v>0.92057761732851984</v>
      </c>
      <c r="AR30" s="2118"/>
      <c r="AS30" s="2119"/>
      <c r="AT30" s="73" t="e">
        <f>+AR30/AS30</f>
        <v>#DIV/0!</v>
      </c>
      <c r="AU30" s="2118">
        <v>10.199999999999999</v>
      </c>
      <c r="AV30" s="2119">
        <v>9.73</v>
      </c>
      <c r="AW30" s="73">
        <f>+AU30/AV30</f>
        <v>1.0483042137718395</v>
      </c>
      <c r="AX30" s="2121">
        <f>(+M30+P30+S30+V30+Y30+AB30+AG30+AJ30+AP30+AV30)/5</f>
        <v>10.372</v>
      </c>
      <c r="AY30" s="73">
        <f>+G30/AX30</f>
        <v>0.98341689163131507</v>
      </c>
    </row>
    <row r="31" spans="1:51" s="22" customFormat="1" ht="80.25" customHeight="1" thickTop="1" thickBot="1">
      <c r="A31" s="2941"/>
      <c r="B31" s="695" t="s">
        <v>150</v>
      </c>
      <c r="C31" s="671" t="s">
        <v>951</v>
      </c>
      <c r="D31" s="731" t="s">
        <v>319</v>
      </c>
      <c r="E31" s="671" t="s">
        <v>183</v>
      </c>
      <c r="F31" s="671" t="s">
        <v>17</v>
      </c>
      <c r="G31" s="688">
        <v>37</v>
      </c>
      <c r="H31" s="671"/>
      <c r="I31" s="688"/>
      <c r="J31" s="671"/>
      <c r="K31" s="25" t="s">
        <v>21</v>
      </c>
      <c r="L31" s="665">
        <v>37</v>
      </c>
      <c r="M31" s="28">
        <v>42</v>
      </c>
      <c r="N31" s="73">
        <f>+L31/M31</f>
        <v>0.88095238095238093</v>
      </c>
      <c r="O31" s="665">
        <v>37</v>
      </c>
      <c r="P31" s="28">
        <v>40</v>
      </c>
      <c r="Q31" s="2122">
        <f>+O31/P31*100</f>
        <v>92.5</v>
      </c>
      <c r="R31" s="2117">
        <v>37</v>
      </c>
      <c r="S31" s="2086">
        <v>37</v>
      </c>
      <c r="T31" s="73">
        <f>+R31/S31</f>
        <v>1</v>
      </c>
      <c r="U31" s="2117">
        <v>37</v>
      </c>
      <c r="V31" s="2086">
        <v>40</v>
      </c>
      <c r="W31" s="73">
        <f>+U31/V31</f>
        <v>0.92500000000000004</v>
      </c>
      <c r="X31" s="2117">
        <v>37</v>
      </c>
      <c r="Y31" s="2086">
        <v>11</v>
      </c>
      <c r="Z31" s="73">
        <f>+X31/Y31</f>
        <v>3.3636363636363638</v>
      </c>
      <c r="AA31" s="2117">
        <v>37</v>
      </c>
      <c r="AB31" s="28">
        <v>10</v>
      </c>
      <c r="AC31" s="73">
        <f>+AA31/AB31</f>
        <v>3.7</v>
      </c>
      <c r="AD31" s="2086">
        <f>(+M31+P31+S31+V31+Y31+AB31)/4</f>
        <v>45</v>
      </c>
      <c r="AE31" s="73">
        <f>+G31/AD31</f>
        <v>0.82222222222222219</v>
      </c>
      <c r="AF31" s="2117">
        <v>37</v>
      </c>
      <c r="AG31" s="2086">
        <v>11</v>
      </c>
      <c r="AH31" s="73">
        <f>+AF31/AG31</f>
        <v>3.3636363636363638</v>
      </c>
      <c r="AI31" s="2117">
        <v>37</v>
      </c>
      <c r="AJ31" s="2086">
        <v>15</v>
      </c>
      <c r="AK31" s="73">
        <f>AI31/+AJ31</f>
        <v>2.4666666666666668</v>
      </c>
      <c r="AL31" s="2117">
        <v>37</v>
      </c>
      <c r="AM31" s="2086">
        <v>28</v>
      </c>
      <c r="AN31" s="73">
        <f>+AL31/AM31</f>
        <v>1.3214285714285714</v>
      </c>
      <c r="AO31" s="698">
        <v>37</v>
      </c>
      <c r="AP31" s="2086">
        <v>29</v>
      </c>
      <c r="AQ31" s="73">
        <f>+AO31/AP31</f>
        <v>1.2758620689655173</v>
      </c>
      <c r="AR31" s="2117">
        <v>37</v>
      </c>
      <c r="AS31" s="2086">
        <v>25</v>
      </c>
      <c r="AT31" s="73">
        <f>+AR31/AS31</f>
        <v>1.48</v>
      </c>
      <c r="AU31" s="2117">
        <v>37</v>
      </c>
      <c r="AV31" s="2086">
        <v>31</v>
      </c>
      <c r="AW31" s="73">
        <f>+AU31/AV31</f>
        <v>1.1935483870967742</v>
      </c>
      <c r="AX31" s="698">
        <f>(+M31+P31+S31+V31+Y31+AB31+AG31+AJ31+AM31+AP31+AS31+AV31)/12</f>
        <v>26.583333333333332</v>
      </c>
      <c r="AY31" s="73">
        <f>+G31/AX31</f>
        <v>1.3918495297805644</v>
      </c>
    </row>
    <row r="32" spans="1:51" s="22" customFormat="1" ht="24.2" customHeight="1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1040"/>
      <c r="O32" s="1040"/>
      <c r="P32" s="1040"/>
      <c r="Q32" s="1040"/>
      <c r="R32" s="2123"/>
      <c r="S32" s="2123"/>
      <c r="T32" s="1040"/>
      <c r="U32" s="2123"/>
      <c r="V32" s="2123"/>
      <c r="W32" s="1040"/>
      <c r="X32" s="2123"/>
      <c r="Y32" s="2123"/>
      <c r="Z32" s="1040"/>
      <c r="AA32" s="2123"/>
      <c r="AB32" s="1040"/>
      <c r="AC32" s="1040"/>
      <c r="AD32" s="2123"/>
      <c r="AE32" s="1040"/>
      <c r="AF32" s="2123"/>
      <c r="AG32" s="2123"/>
      <c r="AH32" s="1040"/>
      <c r="AI32" s="2123"/>
      <c r="AJ32" s="2123"/>
      <c r="AK32" s="1040"/>
      <c r="AL32" s="2123"/>
      <c r="AM32" s="2123"/>
      <c r="AN32" s="1040"/>
      <c r="AO32" s="1040"/>
      <c r="AP32" s="2123"/>
      <c r="AQ32" s="1040"/>
      <c r="AR32" s="2123"/>
      <c r="AS32" s="2123"/>
      <c r="AT32" s="1040"/>
      <c r="AU32" s="2123"/>
      <c r="AV32" s="2123"/>
      <c r="AW32" s="1040"/>
      <c r="AX32" s="1040"/>
      <c r="AY32" s="1041"/>
    </row>
    <row r="33" spans="1:51" s="132" customFormat="1" ht="93.6" customHeight="1" thickTop="1" thickBot="1">
      <c r="A33" s="100" t="s">
        <v>155</v>
      </c>
      <c r="B33" s="1101" t="s">
        <v>156</v>
      </c>
      <c r="C33" s="1106" t="s">
        <v>184</v>
      </c>
      <c r="D33" s="1107" t="s">
        <v>158</v>
      </c>
      <c r="E33" s="1106" t="s">
        <v>159</v>
      </c>
      <c r="F33" s="1106" t="s">
        <v>17</v>
      </c>
      <c r="G33" s="1108">
        <v>10</v>
      </c>
      <c r="H33" s="1106"/>
      <c r="I33" s="1108"/>
      <c r="J33" s="1106"/>
      <c r="K33" s="72" t="s">
        <v>27</v>
      </c>
      <c r="L33" s="119">
        <v>0</v>
      </c>
      <c r="M33" s="120"/>
      <c r="N33" s="73" t="e">
        <f t="shared" si="0"/>
        <v>#DIV/0!</v>
      </c>
      <c r="O33" s="119">
        <v>0</v>
      </c>
      <c r="P33" s="120"/>
      <c r="Q33" s="73" t="e">
        <f t="shared" si="1"/>
        <v>#DIV/0!</v>
      </c>
      <c r="R33" s="123">
        <v>0</v>
      </c>
      <c r="S33" s="1036"/>
      <c r="T33" s="73" t="e">
        <f t="shared" si="2"/>
        <v>#DIV/0!</v>
      </c>
      <c r="U33" s="123">
        <v>0</v>
      </c>
      <c r="V33" s="1036"/>
      <c r="W33" s="73" t="e">
        <f t="shared" si="3"/>
        <v>#DIV/0!</v>
      </c>
      <c r="X33" s="123">
        <v>2</v>
      </c>
      <c r="Y33" s="1036">
        <v>2</v>
      </c>
      <c r="Z33" s="73">
        <f t="shared" si="4"/>
        <v>1</v>
      </c>
      <c r="AA33" s="123">
        <v>0</v>
      </c>
      <c r="AB33" s="120"/>
      <c r="AC33" s="73" t="e">
        <f t="shared" si="5"/>
        <v>#DIV/0!</v>
      </c>
      <c r="AD33" s="1036">
        <f>+Y33</f>
        <v>2</v>
      </c>
      <c r="AE33" s="73">
        <f t="shared" si="6"/>
        <v>0.2</v>
      </c>
      <c r="AF33" s="123">
        <v>1</v>
      </c>
      <c r="AG33" s="1036">
        <v>1</v>
      </c>
      <c r="AH33" s="73">
        <f t="shared" si="7"/>
        <v>1</v>
      </c>
      <c r="AI33" s="123">
        <v>3</v>
      </c>
      <c r="AJ33" s="1036">
        <v>3</v>
      </c>
      <c r="AK33" s="73">
        <f t="shared" si="8"/>
        <v>1</v>
      </c>
      <c r="AL33" s="123">
        <v>1</v>
      </c>
      <c r="AM33" s="1036">
        <v>1</v>
      </c>
      <c r="AN33" s="73">
        <f t="shared" si="9"/>
        <v>1</v>
      </c>
      <c r="AO33" s="2124">
        <v>3</v>
      </c>
      <c r="AP33" s="1036">
        <v>3</v>
      </c>
      <c r="AQ33" s="73">
        <f t="shared" si="10"/>
        <v>1</v>
      </c>
      <c r="AR33" s="123">
        <v>0</v>
      </c>
      <c r="AS33" s="1036"/>
      <c r="AT33" s="73" t="e">
        <f t="shared" si="11"/>
        <v>#DIV/0!</v>
      </c>
      <c r="AU33" s="123">
        <v>0</v>
      </c>
      <c r="AV33" s="1036"/>
      <c r="AW33" s="73" t="e">
        <f t="shared" si="12"/>
        <v>#DIV/0!</v>
      </c>
      <c r="AX33" s="2124">
        <f>+AP33+AM33+AJ33+AG33+Y33</f>
        <v>10</v>
      </c>
      <c r="AY33" s="73">
        <f t="shared" si="13"/>
        <v>1</v>
      </c>
    </row>
    <row r="34" spans="1:51" ht="17.25" thickTop="1"/>
    <row r="36" spans="1:51">
      <c r="C36" s="64"/>
    </row>
  </sheetData>
  <sheetProtection algorithmName="SHA-512" hashValue="3oJVjwRxUNLmCh4GEodANrt73ADWTU9DU6mBMTqnPT/QHVaZc70aSJ8boZ93KAZEsne7I0rwaduCk0YRsMFTvQ==" saltValue="cvXOs4BZ9MePhSnuK86DIg==" spinCount="100000" sheet="1" objects="1" scenarios="1"/>
  <mergeCells count="37">
    <mergeCell ref="A29:A31"/>
    <mergeCell ref="B29:B30"/>
    <mergeCell ref="A32:K32"/>
    <mergeCell ref="A9:A27"/>
    <mergeCell ref="B9:B10"/>
    <mergeCell ref="B11:B26"/>
    <mergeCell ref="C12:C15"/>
    <mergeCell ref="C20:C26"/>
    <mergeCell ref="A28:K28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N9:N27">
    <cfRule type="cellIs" dxfId="4434" priority="131" operator="greaterThan">
      <formula>110%</formula>
    </cfRule>
    <cfRule type="cellIs" dxfId="4433" priority="132" operator="between">
      <formula>100.001%</formula>
      <formula>110%</formula>
    </cfRule>
    <cfRule type="cellIs" dxfId="4432" priority="133" operator="between">
      <formula>70.001%</formula>
      <formula>100%</formula>
    </cfRule>
    <cfRule type="cellIs" dxfId="4431" priority="134" operator="between">
      <formula>0.00001%</formula>
      <formula>70%</formula>
    </cfRule>
    <cfRule type="cellIs" dxfId="4430" priority="135" operator="equal">
      <formula>0</formula>
    </cfRule>
  </conditionalFormatting>
  <conditionalFormatting sqref="N33 N29:N31">
    <cfRule type="cellIs" dxfId="4429" priority="126" operator="greaterThan">
      <formula>110%</formula>
    </cfRule>
    <cfRule type="cellIs" dxfId="4428" priority="127" operator="between">
      <formula>100.001%</formula>
      <formula>110%</formula>
    </cfRule>
    <cfRule type="cellIs" dxfId="4427" priority="128" operator="between">
      <formula>70.001%</formula>
      <formula>100%</formula>
    </cfRule>
    <cfRule type="cellIs" dxfId="4426" priority="129" operator="between">
      <formula>0.00001%</formula>
      <formula>70%</formula>
    </cfRule>
    <cfRule type="cellIs" dxfId="4425" priority="130" operator="equal">
      <formula>0</formula>
    </cfRule>
  </conditionalFormatting>
  <conditionalFormatting sqref="Q9:Q27">
    <cfRule type="cellIs" dxfId="4424" priority="121" operator="greaterThan">
      <formula>110%</formula>
    </cfRule>
    <cfRule type="cellIs" dxfId="4423" priority="122" operator="between">
      <formula>100.001%</formula>
      <formula>110%</formula>
    </cfRule>
    <cfRule type="cellIs" dxfId="4422" priority="123" operator="between">
      <formula>70.001%</formula>
      <formula>100%</formula>
    </cfRule>
    <cfRule type="cellIs" dxfId="4421" priority="124" operator="between">
      <formula>0.00001%</formula>
      <formula>70%</formula>
    </cfRule>
    <cfRule type="cellIs" dxfId="4420" priority="125" operator="equal">
      <formula>0</formula>
    </cfRule>
  </conditionalFormatting>
  <conditionalFormatting sqref="Q33 Q29:Q31">
    <cfRule type="cellIs" dxfId="4419" priority="116" operator="greaterThan">
      <formula>110%</formula>
    </cfRule>
    <cfRule type="cellIs" dxfId="4418" priority="117" operator="between">
      <formula>100.001%</formula>
      <formula>110%</formula>
    </cfRule>
    <cfRule type="cellIs" dxfId="4417" priority="118" operator="between">
      <formula>70.001%</formula>
      <formula>100%</formula>
    </cfRule>
    <cfRule type="cellIs" dxfId="4416" priority="119" operator="between">
      <formula>0.00001%</formula>
      <formula>70%</formula>
    </cfRule>
    <cfRule type="cellIs" dxfId="4415" priority="120" operator="equal">
      <formula>0</formula>
    </cfRule>
  </conditionalFormatting>
  <conditionalFormatting sqref="T9:T27">
    <cfRule type="cellIs" dxfId="4414" priority="111" operator="greaterThan">
      <formula>110%</formula>
    </cfRule>
    <cfRule type="cellIs" dxfId="4413" priority="112" operator="between">
      <formula>100.001%</formula>
      <formula>110%</formula>
    </cfRule>
    <cfRule type="cellIs" dxfId="4412" priority="113" operator="between">
      <formula>70.001%</formula>
      <formula>100%</formula>
    </cfRule>
    <cfRule type="cellIs" dxfId="4411" priority="114" operator="between">
      <formula>0.00001%</formula>
      <formula>70%</formula>
    </cfRule>
    <cfRule type="cellIs" dxfId="4410" priority="115" operator="equal">
      <formula>0</formula>
    </cfRule>
  </conditionalFormatting>
  <conditionalFormatting sqref="T33 T29:T31">
    <cfRule type="cellIs" dxfId="4409" priority="106" operator="greaterThan">
      <formula>110%</formula>
    </cfRule>
    <cfRule type="cellIs" dxfId="4408" priority="107" operator="between">
      <formula>100.001%</formula>
      <formula>110%</formula>
    </cfRule>
    <cfRule type="cellIs" dxfId="4407" priority="108" operator="between">
      <formula>70.001%</formula>
      <formula>100%</formula>
    </cfRule>
    <cfRule type="cellIs" dxfId="4406" priority="109" operator="between">
      <formula>0.00001%</formula>
      <formula>70%</formula>
    </cfRule>
    <cfRule type="cellIs" dxfId="4405" priority="110" operator="equal">
      <formula>0</formula>
    </cfRule>
  </conditionalFormatting>
  <conditionalFormatting sqref="W9:W27">
    <cfRule type="cellIs" dxfId="4404" priority="101" operator="greaterThan">
      <formula>110%</formula>
    </cfRule>
    <cfRule type="cellIs" dxfId="4403" priority="102" operator="between">
      <formula>100.001%</formula>
      <formula>110%</formula>
    </cfRule>
    <cfRule type="cellIs" dxfId="4402" priority="103" operator="between">
      <formula>70.001%</formula>
      <formula>100%</formula>
    </cfRule>
    <cfRule type="cellIs" dxfId="4401" priority="104" operator="between">
      <formula>0.00001%</formula>
      <formula>70%</formula>
    </cfRule>
    <cfRule type="cellIs" dxfId="4400" priority="105" operator="equal">
      <formula>0</formula>
    </cfRule>
  </conditionalFormatting>
  <conditionalFormatting sqref="W33 W29:W31">
    <cfRule type="cellIs" dxfId="4399" priority="96" operator="greaterThan">
      <formula>110%</formula>
    </cfRule>
    <cfRule type="cellIs" dxfId="4398" priority="97" operator="between">
      <formula>100.001%</formula>
      <formula>110%</formula>
    </cfRule>
    <cfRule type="cellIs" dxfId="4397" priority="98" operator="between">
      <formula>70.001%</formula>
      <formula>100%</formula>
    </cfRule>
    <cfRule type="cellIs" dxfId="4396" priority="99" operator="between">
      <formula>0.00001%</formula>
      <formula>70%</formula>
    </cfRule>
    <cfRule type="cellIs" dxfId="4395" priority="100" operator="equal">
      <formula>0</formula>
    </cfRule>
  </conditionalFormatting>
  <conditionalFormatting sqref="Z9:Z27">
    <cfRule type="cellIs" dxfId="4394" priority="91" operator="greaterThan">
      <formula>110%</formula>
    </cfRule>
    <cfRule type="cellIs" dxfId="4393" priority="92" operator="between">
      <formula>100.001%</formula>
      <formula>110%</formula>
    </cfRule>
    <cfRule type="cellIs" dxfId="4392" priority="93" operator="between">
      <formula>70.001%</formula>
      <formula>100%</formula>
    </cfRule>
    <cfRule type="cellIs" dxfId="4391" priority="94" operator="between">
      <formula>0.00001%</formula>
      <formula>70%</formula>
    </cfRule>
    <cfRule type="cellIs" dxfId="4390" priority="95" operator="equal">
      <formula>0</formula>
    </cfRule>
  </conditionalFormatting>
  <conditionalFormatting sqref="Z33 Z29:Z31">
    <cfRule type="cellIs" dxfId="4389" priority="86" operator="greaterThan">
      <formula>110%</formula>
    </cfRule>
    <cfRule type="cellIs" dxfId="4388" priority="87" operator="between">
      <formula>100.001%</formula>
      <formula>110%</formula>
    </cfRule>
    <cfRule type="cellIs" dxfId="4387" priority="88" operator="between">
      <formula>70.001%</formula>
      <formula>100%</formula>
    </cfRule>
    <cfRule type="cellIs" dxfId="4386" priority="89" operator="between">
      <formula>0.00001%</formula>
      <formula>70%</formula>
    </cfRule>
    <cfRule type="cellIs" dxfId="4385" priority="90" operator="equal">
      <formula>0</formula>
    </cfRule>
  </conditionalFormatting>
  <conditionalFormatting sqref="AC9:AC27">
    <cfRule type="cellIs" dxfId="4384" priority="81" operator="greaterThan">
      <formula>110%</formula>
    </cfRule>
    <cfRule type="cellIs" dxfId="4383" priority="82" operator="between">
      <formula>100.001%</formula>
      <formula>110%</formula>
    </cfRule>
    <cfRule type="cellIs" dxfId="4382" priority="83" operator="between">
      <formula>70.001%</formula>
      <formula>100%</formula>
    </cfRule>
    <cfRule type="cellIs" dxfId="4381" priority="84" operator="between">
      <formula>0.00001%</formula>
      <formula>70%</formula>
    </cfRule>
    <cfRule type="cellIs" dxfId="4380" priority="85" operator="equal">
      <formula>0</formula>
    </cfRule>
  </conditionalFormatting>
  <conditionalFormatting sqref="AC33 AC29:AC31">
    <cfRule type="cellIs" dxfId="4379" priority="76" operator="greaterThan">
      <formula>110%</formula>
    </cfRule>
    <cfRule type="cellIs" dxfId="4378" priority="77" operator="between">
      <formula>100.001%</formula>
      <formula>110%</formula>
    </cfRule>
    <cfRule type="cellIs" dxfId="4377" priority="78" operator="between">
      <formula>70.001%</formula>
      <formula>100%</formula>
    </cfRule>
    <cfRule type="cellIs" dxfId="4376" priority="79" operator="between">
      <formula>0.00001%</formula>
      <formula>70%</formula>
    </cfRule>
    <cfRule type="cellIs" dxfId="4375" priority="80" operator="equal">
      <formula>0</formula>
    </cfRule>
  </conditionalFormatting>
  <conditionalFormatting sqref="AE9:AE27 AE33 AE29:AE31">
    <cfRule type="cellIs" dxfId="4374" priority="71" operator="greaterThan">
      <formula>110%</formula>
    </cfRule>
    <cfRule type="cellIs" dxfId="4373" priority="72" operator="between">
      <formula>100.001%</formula>
      <formula>110%</formula>
    </cfRule>
    <cfRule type="cellIs" dxfId="4372" priority="73" operator="between">
      <formula>70.001%</formula>
      <formula>100%</formula>
    </cfRule>
    <cfRule type="cellIs" dxfId="4371" priority="74" operator="between">
      <formula>0.00001%</formula>
      <formula>70%</formula>
    </cfRule>
    <cfRule type="cellIs" dxfId="4370" priority="75" operator="equal">
      <formula>0</formula>
    </cfRule>
  </conditionalFormatting>
  <conditionalFormatting sqref="AH9:AH27">
    <cfRule type="cellIs" dxfId="4369" priority="66" operator="greaterThan">
      <formula>110%</formula>
    </cfRule>
    <cfRule type="cellIs" dxfId="4368" priority="67" operator="between">
      <formula>100.001%</formula>
      <formula>110%</formula>
    </cfRule>
    <cfRule type="cellIs" dxfId="4367" priority="68" operator="between">
      <formula>70.001%</formula>
      <formula>100%</formula>
    </cfRule>
    <cfRule type="cellIs" dxfId="4366" priority="69" operator="between">
      <formula>0.00001%</formula>
      <formula>70%</formula>
    </cfRule>
    <cfRule type="cellIs" dxfId="4365" priority="70" operator="equal">
      <formula>0</formula>
    </cfRule>
  </conditionalFormatting>
  <conditionalFormatting sqref="AH33 AH29:AH31">
    <cfRule type="cellIs" dxfId="4364" priority="61" operator="greaterThan">
      <formula>110%</formula>
    </cfRule>
    <cfRule type="cellIs" dxfId="4363" priority="62" operator="between">
      <formula>100.001%</formula>
      <formula>110%</formula>
    </cfRule>
    <cfRule type="cellIs" dxfId="4362" priority="63" operator="between">
      <formula>70.001%</formula>
      <formula>100%</formula>
    </cfRule>
    <cfRule type="cellIs" dxfId="4361" priority="64" operator="between">
      <formula>0.00001%</formula>
      <formula>70%</formula>
    </cfRule>
    <cfRule type="cellIs" dxfId="4360" priority="65" operator="equal">
      <formula>0</formula>
    </cfRule>
  </conditionalFormatting>
  <conditionalFormatting sqref="AK9:AK27">
    <cfRule type="cellIs" dxfId="4359" priority="56" operator="greaterThan">
      <formula>110%</formula>
    </cfRule>
    <cfRule type="cellIs" dxfId="4358" priority="57" operator="between">
      <formula>100.001%</formula>
      <formula>110%</formula>
    </cfRule>
    <cfRule type="cellIs" dxfId="4357" priority="58" operator="between">
      <formula>70.001%</formula>
      <formula>100%</formula>
    </cfRule>
    <cfRule type="cellIs" dxfId="4356" priority="59" operator="between">
      <formula>0.00001%</formula>
      <formula>70%</formula>
    </cfRule>
    <cfRule type="cellIs" dxfId="4355" priority="60" operator="equal">
      <formula>0</formula>
    </cfRule>
  </conditionalFormatting>
  <conditionalFormatting sqref="AK33 AK29:AK31">
    <cfRule type="cellIs" dxfId="4354" priority="51" operator="greaterThan">
      <formula>110%</formula>
    </cfRule>
    <cfRule type="cellIs" dxfId="4353" priority="52" operator="between">
      <formula>100.001%</formula>
      <formula>110%</formula>
    </cfRule>
    <cfRule type="cellIs" dxfId="4352" priority="53" operator="between">
      <formula>70.001%</formula>
      <formula>100%</formula>
    </cfRule>
    <cfRule type="cellIs" dxfId="4351" priority="54" operator="between">
      <formula>0.00001%</formula>
      <formula>70%</formula>
    </cfRule>
    <cfRule type="cellIs" dxfId="4350" priority="55" operator="equal">
      <formula>0</formula>
    </cfRule>
  </conditionalFormatting>
  <conditionalFormatting sqref="AN9:AN27">
    <cfRule type="cellIs" dxfId="4349" priority="46" operator="greaterThan">
      <formula>110%</formula>
    </cfRule>
    <cfRule type="cellIs" dxfId="4348" priority="47" operator="between">
      <formula>100.001%</formula>
      <formula>110%</formula>
    </cfRule>
    <cfRule type="cellIs" dxfId="4347" priority="48" operator="between">
      <formula>70.001%</formula>
      <formula>100%</formula>
    </cfRule>
    <cfRule type="cellIs" dxfId="4346" priority="49" operator="between">
      <formula>0.00001%</formula>
      <formula>70%</formula>
    </cfRule>
    <cfRule type="cellIs" dxfId="4345" priority="50" operator="equal">
      <formula>0</formula>
    </cfRule>
  </conditionalFormatting>
  <conditionalFormatting sqref="AN33 AN29:AN31">
    <cfRule type="cellIs" dxfId="4344" priority="41" operator="greaterThan">
      <formula>110%</formula>
    </cfRule>
    <cfRule type="cellIs" dxfId="4343" priority="42" operator="between">
      <formula>100.001%</formula>
      <formula>110%</formula>
    </cfRule>
    <cfRule type="cellIs" dxfId="4342" priority="43" operator="between">
      <formula>70.001%</formula>
      <formula>100%</formula>
    </cfRule>
    <cfRule type="cellIs" dxfId="4341" priority="44" operator="between">
      <formula>0.00001%</formula>
      <formula>70%</formula>
    </cfRule>
    <cfRule type="cellIs" dxfId="4340" priority="45" operator="equal">
      <formula>0</formula>
    </cfRule>
  </conditionalFormatting>
  <conditionalFormatting sqref="AQ9:AQ27">
    <cfRule type="cellIs" dxfId="4339" priority="36" operator="greaterThan">
      <formula>110%</formula>
    </cfRule>
    <cfRule type="cellIs" dxfId="4338" priority="37" operator="between">
      <formula>100.001%</formula>
      <formula>110%</formula>
    </cfRule>
    <cfRule type="cellIs" dxfId="4337" priority="38" operator="between">
      <formula>70.001%</formula>
      <formula>100%</formula>
    </cfRule>
    <cfRule type="cellIs" dxfId="4336" priority="39" operator="between">
      <formula>0.00001%</formula>
      <formula>70%</formula>
    </cfRule>
    <cfRule type="cellIs" dxfId="4335" priority="40" operator="equal">
      <formula>0</formula>
    </cfRule>
  </conditionalFormatting>
  <conditionalFormatting sqref="AQ33 AQ29:AQ31">
    <cfRule type="cellIs" dxfId="4334" priority="31" operator="greaterThan">
      <formula>110%</formula>
    </cfRule>
    <cfRule type="cellIs" dxfId="4333" priority="32" operator="between">
      <formula>100.001%</formula>
      <formula>110%</formula>
    </cfRule>
    <cfRule type="cellIs" dxfId="4332" priority="33" operator="between">
      <formula>70.001%</formula>
      <formula>100%</formula>
    </cfRule>
    <cfRule type="cellIs" dxfId="4331" priority="34" operator="between">
      <formula>0.00001%</formula>
      <formula>70%</formula>
    </cfRule>
    <cfRule type="cellIs" dxfId="4330" priority="35" operator="equal">
      <formula>0</formula>
    </cfRule>
  </conditionalFormatting>
  <conditionalFormatting sqref="AT9:AT27">
    <cfRule type="cellIs" dxfId="4329" priority="26" operator="greaterThan">
      <formula>110%</formula>
    </cfRule>
    <cfRule type="cellIs" dxfId="4328" priority="27" operator="between">
      <formula>100.001%</formula>
      <formula>110%</formula>
    </cfRule>
    <cfRule type="cellIs" dxfId="4327" priority="28" operator="between">
      <formula>70.001%</formula>
      <formula>100%</formula>
    </cfRule>
    <cfRule type="cellIs" dxfId="4326" priority="29" operator="between">
      <formula>0.00001%</formula>
      <formula>70%</formula>
    </cfRule>
    <cfRule type="cellIs" dxfId="4325" priority="30" operator="equal">
      <formula>0</formula>
    </cfRule>
  </conditionalFormatting>
  <conditionalFormatting sqref="AT33 AT29:AT31">
    <cfRule type="cellIs" dxfId="4324" priority="21" operator="greaterThan">
      <formula>110%</formula>
    </cfRule>
    <cfRule type="cellIs" dxfId="4323" priority="22" operator="between">
      <formula>100.001%</formula>
      <formula>110%</formula>
    </cfRule>
    <cfRule type="cellIs" dxfId="4322" priority="23" operator="between">
      <formula>70.001%</formula>
      <formula>100%</formula>
    </cfRule>
    <cfRule type="cellIs" dxfId="4321" priority="24" operator="between">
      <formula>0.00001%</formula>
      <formula>70%</formula>
    </cfRule>
    <cfRule type="cellIs" dxfId="4320" priority="25" operator="equal">
      <formula>0</formula>
    </cfRule>
  </conditionalFormatting>
  <conditionalFormatting sqref="AW9:AW27">
    <cfRule type="cellIs" dxfId="4319" priority="16" operator="greaterThan">
      <formula>110%</formula>
    </cfRule>
    <cfRule type="cellIs" dxfId="4318" priority="17" operator="between">
      <formula>100.001%</formula>
      <formula>110%</formula>
    </cfRule>
    <cfRule type="cellIs" dxfId="4317" priority="18" operator="between">
      <formula>70.001%</formula>
      <formula>100%</formula>
    </cfRule>
    <cfRule type="cellIs" dxfId="4316" priority="19" operator="between">
      <formula>0.00001%</formula>
      <formula>70%</formula>
    </cfRule>
    <cfRule type="cellIs" dxfId="4315" priority="20" operator="equal">
      <formula>0</formula>
    </cfRule>
  </conditionalFormatting>
  <conditionalFormatting sqref="AW33 AW29:AW31">
    <cfRule type="cellIs" dxfId="4314" priority="11" operator="greaterThan">
      <formula>110%</formula>
    </cfRule>
    <cfRule type="cellIs" dxfId="4313" priority="12" operator="between">
      <formula>100.001%</formula>
      <formula>110%</formula>
    </cfRule>
    <cfRule type="cellIs" dxfId="4312" priority="13" operator="between">
      <formula>70.001%</formula>
      <formula>100%</formula>
    </cfRule>
    <cfRule type="cellIs" dxfId="4311" priority="14" operator="between">
      <formula>0.00001%</formula>
      <formula>70%</formula>
    </cfRule>
    <cfRule type="cellIs" dxfId="4310" priority="15" operator="equal">
      <formula>0</formula>
    </cfRule>
  </conditionalFormatting>
  <conditionalFormatting sqref="AY9:AY27">
    <cfRule type="cellIs" dxfId="4309" priority="6" operator="greaterThan">
      <formula>110%</formula>
    </cfRule>
    <cfRule type="cellIs" dxfId="4308" priority="7" operator="between">
      <formula>100.001%</formula>
      <formula>110%</formula>
    </cfRule>
    <cfRule type="cellIs" dxfId="4307" priority="8" operator="between">
      <formula>70.001%</formula>
      <formula>100%</formula>
    </cfRule>
    <cfRule type="cellIs" dxfId="4306" priority="9" operator="between">
      <formula>0.00001%</formula>
      <formula>70%</formula>
    </cfRule>
    <cfRule type="cellIs" dxfId="4305" priority="10" operator="equal">
      <formula>0</formula>
    </cfRule>
  </conditionalFormatting>
  <conditionalFormatting sqref="AY33 AY29:AY31">
    <cfRule type="cellIs" dxfId="4304" priority="1" operator="greaterThan">
      <formula>110%</formula>
    </cfRule>
    <cfRule type="cellIs" dxfId="4303" priority="2" operator="between">
      <formula>100.001%</formula>
      <formula>110%</formula>
    </cfRule>
    <cfRule type="cellIs" dxfId="4302" priority="3" operator="between">
      <formula>70.001%</formula>
      <formula>100%</formula>
    </cfRule>
    <cfRule type="cellIs" dxfId="4301" priority="4" operator="between">
      <formula>0.00001%</formula>
      <formula>70%</formula>
    </cfRule>
    <cfRule type="cellIs" dxfId="4300" priority="5" operator="equal">
      <formula>0</formula>
    </cfRule>
  </conditionalFormatting>
  <hyperlinks>
    <hyperlink ref="D11" location="'IN1-3'!Área_de_impresión" display="IN1-3 Recaudo Bruto" xr:uid="{00000000-0004-0000-1F00-000000000000}"/>
    <hyperlink ref="D12" location="'FIS-4'!Área_de_impresión" display="FIS-4 Gestión efectiva en fiscalización tributaria" xr:uid="{00000000-0004-0000-1F00-000001000000}"/>
    <hyperlink ref="D13" location="'FIS-10'!Área_de_impresión" display="FIS-10 Gestión aceptada en fiscalización tributaria" xr:uid="{00000000-0004-0000-1F00-000002000000}"/>
    <hyperlink ref="D14" location="'FIS-27'!Área_de_impresión" display="FIS-27 Reclasificación de no responsables a responsables" xr:uid="{00000000-0004-0000-1F00-000003000000}"/>
    <hyperlink ref="D15" location="'FIS-17'!Área_de_impresión" display="FIS-17 Evacuación de expedientes en fiscalización tributaria" xr:uid="{00000000-0004-0000-1F00-000004000000}"/>
    <hyperlink ref="D16" location="'IN1-4'!Área_de_impresión" display="IN1-4 Recaudo por gestión de cartera" xr:uid="{00000000-0004-0000-1F00-000005000000}"/>
    <hyperlink ref="D17" location="'IN1-5'!Área_de_impresión" display="IN1-5 Inscritos en el Régimen Simple de Tributación - RST" xr:uid="{00000000-0004-0000-1F00-000006000000}"/>
    <hyperlink ref="D18" location="'IN1-6.1'!Área_de_impresión" display="IN1-6.1 Grado de cumplimiento del cronograma de campañas del RST" xr:uid="{00000000-0004-0000-1F00-000007000000}"/>
    <hyperlink ref="D19" location="'IN1-8'!Área_de_impresión" display="IN1-8 Contribuyentes habilitados como facturadores electrónicos" xr:uid="{00000000-0004-0000-1F00-000008000000}"/>
    <hyperlink ref="D20" location="'JUR-3.1'!Área_de_impresión" display="JUR-3.1 Porcentaje de éxito de litigiosidad" xr:uid="{00000000-0004-0000-1F00-000009000000}"/>
    <hyperlink ref="D21" location="'JUR-3.2'!Área_de_impresión" display="JUR-3.2 Porcentaje  procesos judiciales revisados con mayor riesgo en Ekogui" xr:uid="{00000000-0004-0000-1F00-00000A000000}"/>
    <hyperlink ref="D22" location="'JUR-3.3'!Área_de_impresión" display="JUR-3.3 Porcentaje de análisis de jurisprudencia remitidos junto con la copia de la sentencia " xr:uid="{00000000-0004-0000-1F00-00000B000000}"/>
    <hyperlink ref="D23" location="'JUR-3.4'!Área_de_impresión" display="JUR-3.4 Porcentaje  de procesos revisados con VoBo del Jefe " xr:uid="{00000000-0004-0000-1F00-00000C000000}"/>
    <hyperlink ref="D24" location="'JUR-3.5'!Área_de_impresión" display="JUR-3.5 Porcentaje de requerimientos atendidos en oportunidad" xr:uid="{00000000-0004-0000-1F00-00000D000000}"/>
    <hyperlink ref="D25" location="'JUR-3.6'!Área_de_impresión" display="JUR-3.6 Porcentaje funcionarios capacitaciones en cursos virtuales de la ANDJE" xr:uid="{00000000-0004-0000-1F00-00000E000000}"/>
    <hyperlink ref="D26" location="'JUR-4'!Área_de_impresión" display="JUR-4 Porcentaje funcionarios que participaron en el concurso de escritura jurídica" xr:uid="{00000000-0004-0000-1F00-00000F000000}"/>
    <hyperlink ref="D27" location="'FIS-24'!Área_de_impresión" display="FIS-24 Valor decomisos de mercancías en firme" xr:uid="{00000000-0004-0000-1F00-000010000000}"/>
    <hyperlink ref="D29" location="'IN1-11'!Área_de_impresión" display="IN1-11  Nivel de cobertura de personas sensibilizadas por el plan de cultura. ACTUALMENTE. Cumplimiento al Plan de Acción de Cultura de la Contribución" xr:uid="{00000000-0004-0000-1F00-000011000000}"/>
    <hyperlink ref="D30" location="'JUR-7'!Área_de_impresión" display="JUR-7  Oportunidad en las decisiones de los recursos Tributarios" xr:uid="{00000000-0004-0000-1F00-000012000000}"/>
    <hyperlink ref="D31" location="'IN1-15'!Área_de_impresión" display="IN1-15 Días en devoluciones ordinarias" xr:uid="{00000000-0004-0000-1F00-000013000000}"/>
    <hyperlink ref="D33" location="'DGRAE-25'!Área_de_impresión" display="DGRAE-25 Actividades que componen el  PIC para la Dirección de Gestión" xr:uid="{00000000-0004-0000-1F00-000014000000}"/>
    <hyperlink ref="D9" location="'DGRAE-1'!Área_de_impresión" display="DGRAE-1 Nivel de Ejecución del presupuesto " xr:uid="{00000000-0004-0000-1F00-000015000000}"/>
    <hyperlink ref="D10" location="'DGRAE-2'!A1" display="DGRAE-2 Nivel de ejecución del PAA de la Dirección" xr:uid="{00000000-0004-0000-1F00-000016000000}"/>
    <hyperlink ref="AY2" location="'Consolidado '!A1" display="VOLVER" xr:uid="{00000000-0004-0000-1F00-000017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Z34"/>
  <sheetViews>
    <sheetView zoomScale="60" zoomScaleNormal="60" workbookViewId="0">
      <selection activeCell="AZ5" sqref="AZ5"/>
    </sheetView>
  </sheetViews>
  <sheetFormatPr baseColWidth="10" defaultColWidth="11.42578125" defaultRowHeight="16.5"/>
  <cols>
    <col min="1" max="1" width="10.140625" style="8" customWidth="1"/>
    <col min="2" max="2" width="18.5703125" style="8" customWidth="1"/>
    <col min="3" max="3" width="37.140625" style="63" customWidth="1"/>
    <col min="4" max="4" width="23.7109375" style="63" customWidth="1"/>
    <col min="5" max="5" width="29.5703125" style="8" customWidth="1"/>
    <col min="6" max="6" width="17.28515625" style="8" customWidth="1"/>
    <col min="7" max="7" width="18.5703125" style="8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53.28515625" style="8" customWidth="1"/>
    <col min="12" max="12" width="19.85546875" style="8" hidden="1" customWidth="1"/>
    <col min="13" max="13" width="19.5703125" style="8" hidden="1" customWidth="1"/>
    <col min="14" max="14" width="12.28515625" style="444" hidden="1" customWidth="1"/>
    <col min="15" max="15" width="19.85546875" style="8" hidden="1" customWidth="1"/>
    <col min="16" max="16" width="19.5703125" style="8" hidden="1" customWidth="1"/>
    <col min="17" max="17" width="11.42578125" style="444" hidden="1" customWidth="1"/>
    <col min="18" max="18" width="20" style="8" hidden="1" customWidth="1"/>
    <col min="19" max="19" width="19.42578125" style="8" hidden="1" customWidth="1"/>
    <col min="20" max="20" width="12.5703125" style="444" hidden="1" customWidth="1"/>
    <col min="21" max="21" width="21" style="8" hidden="1" customWidth="1"/>
    <col min="22" max="22" width="20" style="8" hidden="1" customWidth="1"/>
    <col min="23" max="23" width="11.28515625" style="444" hidden="1" customWidth="1"/>
    <col min="24" max="24" width="21.85546875" style="8" hidden="1" customWidth="1"/>
    <col min="25" max="25" width="20" style="8" hidden="1" customWidth="1"/>
    <col min="26" max="26" width="14.140625" style="444" hidden="1" customWidth="1"/>
    <col min="27" max="27" width="21.7109375" style="8" hidden="1" customWidth="1"/>
    <col min="28" max="28" width="19.140625" style="8" hidden="1" customWidth="1"/>
    <col min="29" max="29" width="12.140625" style="444" hidden="1" customWidth="1"/>
    <col min="30" max="30" width="21.28515625" style="8" hidden="1" customWidth="1"/>
    <col min="31" max="31" width="12.7109375" style="444" hidden="1" customWidth="1"/>
    <col min="32" max="32" width="21.7109375" style="8" hidden="1" customWidth="1"/>
    <col min="33" max="33" width="20.140625" style="8" hidden="1" customWidth="1"/>
    <col min="34" max="34" width="13" style="444" hidden="1" customWidth="1"/>
    <col min="35" max="35" width="21.28515625" style="8" hidden="1" customWidth="1"/>
    <col min="36" max="36" width="19" style="8" hidden="1" customWidth="1"/>
    <col min="37" max="37" width="13.5703125" style="444" hidden="1" customWidth="1"/>
    <col min="38" max="38" width="22.140625" style="8" hidden="1" customWidth="1"/>
    <col min="39" max="39" width="21.7109375" style="8" hidden="1" customWidth="1"/>
    <col min="40" max="40" width="12" style="444" hidden="1" customWidth="1"/>
    <col min="41" max="42" width="21.7109375" style="8" hidden="1" customWidth="1"/>
    <col min="43" max="43" width="12.5703125" style="444" hidden="1" customWidth="1"/>
    <col min="44" max="44" width="20" style="8" hidden="1" customWidth="1"/>
    <col min="45" max="45" width="21.7109375" style="8" hidden="1" customWidth="1"/>
    <col min="46" max="46" width="12.7109375" style="444" hidden="1" customWidth="1"/>
    <col min="47" max="48" width="21.7109375" style="8" hidden="1" customWidth="1"/>
    <col min="49" max="49" width="12.85546875" style="444" hidden="1" customWidth="1"/>
    <col min="50" max="50" width="24.85546875" style="8" customWidth="1"/>
    <col min="51" max="51" width="11.5703125" style="842" customWidth="1"/>
    <col min="52" max="16384" width="11.42578125" style="8"/>
  </cols>
  <sheetData>
    <row r="1" spans="1:52" ht="26.25">
      <c r="A1" s="101"/>
      <c r="B1" s="101"/>
      <c r="C1" s="3032" t="s">
        <v>952</v>
      </c>
      <c r="D1" s="3032"/>
      <c r="E1" s="3032"/>
      <c r="F1" s="3032"/>
      <c r="G1" s="3032"/>
      <c r="H1" s="3032"/>
      <c r="I1" s="3032"/>
      <c r="J1" s="3032"/>
      <c r="K1" s="3032"/>
    </row>
    <row r="2" spans="1:52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AY2" s="1197" t="s">
        <v>185</v>
      </c>
    </row>
    <row r="3" spans="1:52">
      <c r="A3" s="2866" t="s">
        <v>953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  <c r="AZ4" s="444">
        <f>+(AY9+AY10+AY11+AY12+AY13+AY14+AY15+AY16+AY17+AY18+AY19+AY23+AY25+AY26+AY27+AY29+AY30+AY31+AY33)/19</f>
        <v>1.0220180866903394</v>
      </c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160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989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990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31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</row>
    <row r="9" spans="1:52" s="2127" customFormat="1" ht="46.5" thickTop="1" thickBot="1">
      <c r="A9" s="2943" t="s">
        <v>88</v>
      </c>
      <c r="B9" s="3186" t="s">
        <v>166</v>
      </c>
      <c r="C9" s="561" t="s">
        <v>167</v>
      </c>
      <c r="D9" s="2125" t="s">
        <v>90</v>
      </c>
      <c r="E9" s="561" t="s">
        <v>91</v>
      </c>
      <c r="F9" s="561" t="s">
        <v>168</v>
      </c>
      <c r="G9" s="1116">
        <f>211108810/1000000</f>
        <v>211.10881000000001</v>
      </c>
      <c r="H9" s="561"/>
      <c r="I9" s="561"/>
      <c r="J9" s="561"/>
      <c r="K9" s="561" t="s">
        <v>25</v>
      </c>
      <c r="L9" s="1692">
        <v>23.939074000000002</v>
      </c>
      <c r="M9" s="1693">
        <v>26.31</v>
      </c>
      <c r="N9" s="2126">
        <f t="shared" ref="N9:N10" si="0">+M9/L9</f>
        <v>1.0990400046384416</v>
      </c>
      <c r="O9" s="1692">
        <v>13.529983</v>
      </c>
      <c r="P9" s="1693">
        <v>13.11</v>
      </c>
      <c r="Q9" s="2126">
        <f t="shared" ref="Q9:Q10" si="1">+P9/O9</f>
        <v>0.96895908886212201</v>
      </c>
      <c r="R9" s="1692">
        <v>59.203999000000003</v>
      </c>
      <c r="S9" s="1693">
        <v>45.87</v>
      </c>
      <c r="T9" s="2126">
        <f t="shared" ref="T9:T10" si="2">+S9/R9</f>
        <v>0.77477874425340754</v>
      </c>
      <c r="U9" s="1692">
        <v>14.729983000000001</v>
      </c>
      <c r="V9" s="1693">
        <v>9.98</v>
      </c>
      <c r="W9" s="2126">
        <f t="shared" ref="W9:W10" si="3">+V9/U9</f>
        <v>0.67752963462347515</v>
      </c>
      <c r="X9" s="1692">
        <v>13.629982999999999</v>
      </c>
      <c r="Y9" s="1693">
        <v>9.9600000000000009</v>
      </c>
      <c r="Z9" s="2126">
        <f t="shared" ref="Z9:Z10" si="4">+Y9/X9</f>
        <v>0.73074192388941361</v>
      </c>
      <c r="AA9" s="1692">
        <v>25.189983000000002</v>
      </c>
      <c r="AB9" s="1693">
        <v>6.97</v>
      </c>
      <c r="AC9" s="2126">
        <f t="shared" ref="AC9:AC10" si="5">+AB9/AA9</f>
        <v>0.27669728875958349</v>
      </c>
      <c r="AD9" s="1693">
        <f t="shared" ref="AD9:AD10" si="6">+M9+P9+S9+V9+Y9+AB9</f>
        <v>112.19999999999999</v>
      </c>
      <c r="AE9" s="2126">
        <v>0.75</v>
      </c>
      <c r="AF9" s="1692">
        <v>11.329983</v>
      </c>
      <c r="AG9" s="1693">
        <v>20.77</v>
      </c>
      <c r="AH9" s="2126">
        <f t="shared" ref="AH9:AH10" si="7">+AG9/AF9</f>
        <v>1.8331889818369542</v>
      </c>
      <c r="AI9" s="1692">
        <v>13.429983</v>
      </c>
      <c r="AJ9" s="1693">
        <v>13.75</v>
      </c>
      <c r="AK9" s="2126">
        <f t="shared" ref="AK9:AK10" si="8">+AJ9/AI9</f>
        <v>1.0238285484054597</v>
      </c>
      <c r="AL9" s="1692">
        <v>11.789982999999999</v>
      </c>
      <c r="AM9" s="1693">
        <v>10.51</v>
      </c>
      <c r="AN9" s="2126">
        <f t="shared" ref="AN9:AN10" si="9">+AM9/AL9</f>
        <v>0.89143470351059884</v>
      </c>
      <c r="AO9" s="1692">
        <v>14.329983</v>
      </c>
      <c r="AP9" s="1693">
        <v>13.13</v>
      </c>
      <c r="AQ9" s="2126">
        <f t="shared" ref="AQ9:AQ10" si="10">+AP9/AO9</f>
        <v>0.91626068223528256</v>
      </c>
      <c r="AR9" s="1692">
        <v>10.381095</v>
      </c>
      <c r="AS9" s="1693">
        <v>18.605</v>
      </c>
      <c r="AT9" s="2126">
        <f t="shared" ref="AT9:AT10" si="11">+AS9/AR9</f>
        <v>1.7922001484429146</v>
      </c>
      <c r="AU9" s="1692">
        <v>9.1899840000000008</v>
      </c>
      <c r="AV9" s="1693">
        <v>5</v>
      </c>
      <c r="AW9" s="2126">
        <f t="shared" ref="AW9:AW10" si="12">+AV9/AU9</f>
        <v>0.5440705881533634</v>
      </c>
      <c r="AX9" s="1692">
        <f>194058405/1000000</f>
        <v>194.05840499999999</v>
      </c>
      <c r="AY9" s="2126">
        <f t="shared" ref="AY9:AY10" si="13">+AX9/G9</f>
        <v>0.9192340433352828</v>
      </c>
    </row>
    <row r="10" spans="1:52" s="2131" customFormat="1" ht="106.5" thickTop="1" thickBot="1">
      <c r="A10" s="2944"/>
      <c r="B10" s="3187"/>
      <c r="C10" s="76" t="s">
        <v>169</v>
      </c>
      <c r="D10" s="2128" t="s">
        <v>92</v>
      </c>
      <c r="E10" s="2129" t="s">
        <v>170</v>
      </c>
      <c r="F10" s="2129" t="s">
        <v>17</v>
      </c>
      <c r="G10" s="2129">
        <v>5</v>
      </c>
      <c r="H10" s="2129" t="s">
        <v>26</v>
      </c>
      <c r="I10" s="2130"/>
      <c r="J10" s="2130"/>
      <c r="K10" s="2129" t="s">
        <v>26</v>
      </c>
      <c r="L10" s="638">
        <v>0</v>
      </c>
      <c r="M10" s="719">
        <v>1</v>
      </c>
      <c r="N10" s="2126" t="e">
        <f t="shared" si="0"/>
        <v>#DIV/0!</v>
      </c>
      <c r="O10" s="638">
        <v>0</v>
      </c>
      <c r="P10" s="719">
        <v>1</v>
      </c>
      <c r="Q10" s="2126" t="e">
        <f t="shared" si="1"/>
        <v>#DIV/0!</v>
      </c>
      <c r="R10" s="638">
        <v>0</v>
      </c>
      <c r="S10" s="719"/>
      <c r="T10" s="2126" t="e">
        <f t="shared" si="2"/>
        <v>#DIV/0!</v>
      </c>
      <c r="U10" s="638">
        <v>0</v>
      </c>
      <c r="V10" s="719">
        <v>1</v>
      </c>
      <c r="W10" s="2126" t="e">
        <f t="shared" si="3"/>
        <v>#DIV/0!</v>
      </c>
      <c r="X10" s="638">
        <v>0</v>
      </c>
      <c r="Y10" s="719"/>
      <c r="Z10" s="2126" t="e">
        <f t="shared" si="4"/>
        <v>#DIV/0!</v>
      </c>
      <c r="AA10" s="638">
        <v>0</v>
      </c>
      <c r="AB10" s="719"/>
      <c r="AC10" s="2126" t="e">
        <f t="shared" si="5"/>
        <v>#DIV/0!</v>
      </c>
      <c r="AD10" s="719">
        <f t="shared" si="6"/>
        <v>3</v>
      </c>
      <c r="AE10" s="2126">
        <v>1.2</v>
      </c>
      <c r="AF10" s="638">
        <v>0</v>
      </c>
      <c r="AG10" s="719">
        <v>2</v>
      </c>
      <c r="AH10" s="2126" t="e">
        <f t="shared" si="7"/>
        <v>#DIV/0!</v>
      </c>
      <c r="AI10" s="638">
        <v>0</v>
      </c>
      <c r="AJ10" s="719">
        <v>1</v>
      </c>
      <c r="AK10" s="2126" t="e">
        <f t="shared" si="8"/>
        <v>#DIV/0!</v>
      </c>
      <c r="AL10" s="638">
        <v>0</v>
      </c>
      <c r="AM10" s="719"/>
      <c r="AN10" s="2126" t="e">
        <f t="shared" si="9"/>
        <v>#DIV/0!</v>
      </c>
      <c r="AO10" s="638">
        <v>0</v>
      </c>
      <c r="AP10" s="719"/>
      <c r="AQ10" s="2126" t="e">
        <f t="shared" si="10"/>
        <v>#DIV/0!</v>
      </c>
      <c r="AR10" s="638">
        <v>0</v>
      </c>
      <c r="AS10" s="719">
        <v>1</v>
      </c>
      <c r="AT10" s="2126" t="e">
        <f t="shared" si="11"/>
        <v>#DIV/0!</v>
      </c>
      <c r="AU10" s="638">
        <v>0</v>
      </c>
      <c r="AV10" s="719"/>
      <c r="AW10" s="2126" t="e">
        <f t="shared" si="12"/>
        <v>#DIV/0!</v>
      </c>
      <c r="AX10" s="638">
        <f t="shared" ref="AX10" si="14">+M10+P10+S10+V10+Y10+AB10+AG10+AJ10+AM10+AP10+AS10+AV10</f>
        <v>7</v>
      </c>
      <c r="AY10" s="2126">
        <f t="shared" si="13"/>
        <v>1.4</v>
      </c>
    </row>
    <row r="11" spans="1:52" s="80" customFormat="1" ht="31.5" thickTop="1" thickBot="1">
      <c r="A11" s="2944"/>
      <c r="B11" s="2981" t="s">
        <v>94</v>
      </c>
      <c r="C11" s="2132" t="s">
        <v>954</v>
      </c>
      <c r="D11" s="627" t="s">
        <v>96</v>
      </c>
      <c r="E11" s="2132" t="s">
        <v>97</v>
      </c>
      <c r="F11" s="2132" t="s">
        <v>168</v>
      </c>
      <c r="G11" s="2133">
        <v>85890</v>
      </c>
      <c r="H11" s="2134"/>
      <c r="I11" s="2135"/>
      <c r="J11" s="2134"/>
      <c r="K11" s="2132" t="s">
        <v>20</v>
      </c>
      <c r="L11" s="1718">
        <v>7157500</v>
      </c>
      <c r="M11" s="1718">
        <v>7157500</v>
      </c>
      <c r="N11" s="73">
        <f>+M11/L11</f>
        <v>1</v>
      </c>
      <c r="O11" s="1718">
        <v>7157500</v>
      </c>
      <c r="P11" s="1718">
        <v>7157500</v>
      </c>
      <c r="Q11" s="73">
        <f>+P11/O11</f>
        <v>1</v>
      </c>
      <c r="R11" s="1718">
        <v>7157500</v>
      </c>
      <c r="S11" s="1718">
        <v>7157500</v>
      </c>
      <c r="T11" s="73">
        <f>+S11/R11</f>
        <v>1</v>
      </c>
      <c r="U11" s="1718">
        <v>7157500</v>
      </c>
      <c r="V11" s="1718">
        <v>7157500</v>
      </c>
      <c r="W11" s="73">
        <f>+V11/U11</f>
        <v>1</v>
      </c>
      <c r="X11" s="1718">
        <v>7157500</v>
      </c>
      <c r="Y11" s="1718">
        <v>7157500</v>
      </c>
      <c r="Z11" s="73">
        <f>+Y11/X11</f>
        <v>1</v>
      </c>
      <c r="AA11" s="1718">
        <v>7157500</v>
      </c>
      <c r="AB11" s="1718">
        <v>7157500</v>
      </c>
      <c r="AC11" s="73">
        <f>+AB11/AA11</f>
        <v>1</v>
      </c>
      <c r="AD11" s="1719">
        <f>+M11+P11+S11+V11+Y11+AB11</f>
        <v>42945000</v>
      </c>
      <c r="AE11" s="73">
        <f>+AD11/G11</f>
        <v>500</v>
      </c>
      <c r="AF11" s="1718">
        <v>7157500</v>
      </c>
      <c r="AG11" s="1718">
        <v>7157500</v>
      </c>
      <c r="AH11" s="73">
        <f>+AG11/AF11</f>
        <v>1</v>
      </c>
      <c r="AI11" s="1718">
        <v>7157500</v>
      </c>
      <c r="AJ11" s="1718">
        <v>7157500</v>
      </c>
      <c r="AK11" s="73">
        <f>+AJ11/AI11</f>
        <v>1</v>
      </c>
      <c r="AL11" s="1718">
        <v>7157500</v>
      </c>
      <c r="AM11" s="1718">
        <v>7157500</v>
      </c>
      <c r="AN11" s="73">
        <f>+AM11/AL11</f>
        <v>1</v>
      </c>
      <c r="AO11" s="1718">
        <v>7157500</v>
      </c>
      <c r="AP11" s="1718">
        <v>7157500</v>
      </c>
      <c r="AQ11" s="73">
        <f>+AP11/AO11</f>
        <v>1</v>
      </c>
      <c r="AR11" s="1718">
        <v>7157500</v>
      </c>
      <c r="AS11" s="1718">
        <v>7157500</v>
      </c>
      <c r="AT11" s="73">
        <f>+AS11/AR11</f>
        <v>1</v>
      </c>
      <c r="AU11" s="1718">
        <v>7157500</v>
      </c>
      <c r="AV11" s="1718">
        <v>7157500</v>
      </c>
      <c r="AW11" s="73">
        <f>+AV11/AU11</f>
        <v>1</v>
      </c>
      <c r="AX11" s="1718">
        <v>85890</v>
      </c>
      <c r="AY11" s="73">
        <f>+AX11/G11</f>
        <v>1</v>
      </c>
    </row>
    <row r="12" spans="1:52" s="2127" customFormat="1" ht="46.5" thickTop="1" thickBot="1">
      <c r="A12" s="2944"/>
      <c r="B12" s="2982"/>
      <c r="C12" s="3188" t="s">
        <v>955</v>
      </c>
      <c r="D12" s="2125" t="s">
        <v>99</v>
      </c>
      <c r="E12" s="2136" t="s">
        <v>100</v>
      </c>
      <c r="F12" s="2136" t="s">
        <v>101</v>
      </c>
      <c r="G12" s="2137">
        <v>12250000000</v>
      </c>
      <c r="H12" s="2138"/>
      <c r="I12" s="2139"/>
      <c r="J12" s="2138"/>
      <c r="K12" s="2136" t="s">
        <v>172</v>
      </c>
      <c r="L12" s="1692">
        <v>980000000</v>
      </c>
      <c r="M12" s="1693">
        <v>483802000</v>
      </c>
      <c r="N12" s="2126">
        <f t="shared" ref="N12:N33" si="15">+M12/L12</f>
        <v>0.49367551020408162</v>
      </c>
      <c r="O12" s="1692">
        <v>980000000</v>
      </c>
      <c r="P12" s="1693">
        <v>77130000</v>
      </c>
      <c r="Q12" s="2126">
        <f t="shared" ref="Q12:Q33" si="16">+P12/O12</f>
        <v>7.8704081632653064E-2</v>
      </c>
      <c r="R12" s="1692">
        <v>980000000</v>
      </c>
      <c r="S12" s="1693">
        <v>155731000</v>
      </c>
      <c r="T12" s="2126">
        <f t="shared" ref="T12:T33" si="17">+S12/R12</f>
        <v>0.1589091836734694</v>
      </c>
      <c r="U12" s="1692">
        <v>1102500000</v>
      </c>
      <c r="V12" s="1693">
        <v>164984000</v>
      </c>
      <c r="W12" s="2126">
        <f t="shared" ref="W12:W33" si="18">+V12/U12</f>
        <v>0.14964535147392291</v>
      </c>
      <c r="X12" s="1692">
        <v>1225000000</v>
      </c>
      <c r="Y12" s="1693">
        <v>0</v>
      </c>
      <c r="Z12" s="2126">
        <f t="shared" ref="Z12:Z33" si="19">+Y12/X12</f>
        <v>0</v>
      </c>
      <c r="AA12" s="1692">
        <v>1225000000</v>
      </c>
      <c r="AB12" s="1693">
        <v>105055000</v>
      </c>
      <c r="AC12" s="2126">
        <f t="shared" ref="AC12:AC33" si="20">+AB12/AA12</f>
        <v>8.5759183673469394E-2</v>
      </c>
      <c r="AD12" s="1693">
        <f t="shared" ref="AD12:AD29" si="21">+M12+P12+S12+V12+Y12+AB12</f>
        <v>986702000</v>
      </c>
      <c r="AE12" s="2126">
        <v>0.15</v>
      </c>
      <c r="AF12" s="1692">
        <v>1225000000</v>
      </c>
      <c r="AG12" s="1693">
        <v>456647000</v>
      </c>
      <c r="AH12" s="2126">
        <f t="shared" ref="AH12:AH33" si="22">+AG12/AF12</f>
        <v>0.37277306122448978</v>
      </c>
      <c r="AI12" s="1692">
        <v>1225000000</v>
      </c>
      <c r="AJ12" s="1693">
        <v>19901000</v>
      </c>
      <c r="AK12" s="2126">
        <f t="shared" ref="AK12:AK33" si="23">+AJ12/AI12</f>
        <v>1.6245714285714287E-2</v>
      </c>
      <c r="AL12" s="1692">
        <v>1225000000</v>
      </c>
      <c r="AM12" s="1693">
        <v>1400109000</v>
      </c>
      <c r="AN12" s="2126">
        <f t="shared" ref="AN12:AN33" si="24">+AM12/AL12</f>
        <v>1.1429461224489796</v>
      </c>
      <c r="AO12" s="1692">
        <v>1225000000</v>
      </c>
      <c r="AP12" s="1693">
        <v>5714581000</v>
      </c>
      <c r="AQ12" s="2126">
        <f t="shared" ref="AQ12:AQ33" si="25">+AP12/AO12</f>
        <v>4.664964081632653</v>
      </c>
      <c r="AR12" s="1692">
        <v>490000000</v>
      </c>
      <c r="AS12" s="1693">
        <v>1800028500</v>
      </c>
      <c r="AT12" s="2126">
        <f t="shared" ref="AT12:AT33" si="26">+AS12/AR12</f>
        <v>3.673527551020408</v>
      </c>
      <c r="AU12" s="1692">
        <v>367500000</v>
      </c>
      <c r="AV12" s="1693">
        <v>3382575000</v>
      </c>
      <c r="AW12" s="2126">
        <f t="shared" ref="AW12:AW33" si="27">+AV12/AU12</f>
        <v>9.2042857142857137</v>
      </c>
      <c r="AX12" s="1692">
        <f t="shared" ref="AX12:AX29" si="28">+M12+P12+S12+V12+Y12+AB12+AG12+AJ12+AM12+AP12+AS12+AV12</f>
        <v>13760543500</v>
      </c>
      <c r="AY12" s="2126">
        <f t="shared" ref="AY12:AY33" si="29">+AX12/G12</f>
        <v>1.1233096734693877</v>
      </c>
    </row>
    <row r="13" spans="1:52" s="2142" customFormat="1" ht="46.5" thickTop="1" thickBot="1">
      <c r="A13" s="2944"/>
      <c r="B13" s="2982"/>
      <c r="C13" s="3188"/>
      <c r="D13" s="2125" t="s">
        <v>102</v>
      </c>
      <c r="E13" s="2136" t="s">
        <v>527</v>
      </c>
      <c r="F13" s="2136" t="s">
        <v>101</v>
      </c>
      <c r="G13" s="2140">
        <v>9200000000</v>
      </c>
      <c r="H13" s="2141"/>
      <c r="I13" s="2139"/>
      <c r="J13" s="2141"/>
      <c r="K13" s="2136" t="s">
        <v>172</v>
      </c>
      <c r="L13" s="1692">
        <v>736000000</v>
      </c>
      <c r="M13" s="1693">
        <v>136180000</v>
      </c>
      <c r="N13" s="2126">
        <f t="shared" si="15"/>
        <v>0.18502717391304349</v>
      </c>
      <c r="O13" s="1692">
        <v>736000000</v>
      </c>
      <c r="P13" s="1693">
        <v>299142000</v>
      </c>
      <c r="Q13" s="2126">
        <f t="shared" si="16"/>
        <v>0.40644293478260868</v>
      </c>
      <c r="R13" s="1692">
        <v>736000000</v>
      </c>
      <c r="S13" s="1693">
        <v>171125000</v>
      </c>
      <c r="T13" s="2126">
        <f t="shared" si="17"/>
        <v>0.23250679347826086</v>
      </c>
      <c r="U13" s="1692">
        <v>828000000</v>
      </c>
      <c r="V13" s="1693">
        <v>365110000</v>
      </c>
      <c r="W13" s="2126">
        <f t="shared" si="18"/>
        <v>0.44095410628019321</v>
      </c>
      <c r="X13" s="1692">
        <v>920000000</v>
      </c>
      <c r="Y13" s="1693">
        <v>128595000</v>
      </c>
      <c r="Z13" s="2126">
        <f t="shared" si="19"/>
        <v>0.13977717391304348</v>
      </c>
      <c r="AA13" s="1692">
        <v>920000000</v>
      </c>
      <c r="AB13" s="1693">
        <v>182263000</v>
      </c>
      <c r="AC13" s="2126">
        <f t="shared" si="20"/>
        <v>0.19811195652173913</v>
      </c>
      <c r="AD13" s="1693">
        <f t="shared" si="21"/>
        <v>1282415000</v>
      </c>
      <c r="AE13" s="2126">
        <v>0.26</v>
      </c>
      <c r="AF13" s="1692">
        <v>920000000</v>
      </c>
      <c r="AG13" s="1693">
        <v>288604000</v>
      </c>
      <c r="AH13" s="2126">
        <f t="shared" si="22"/>
        <v>0.31369999999999998</v>
      </c>
      <c r="AI13" s="1692">
        <v>920000000</v>
      </c>
      <c r="AJ13" s="1693">
        <v>63448000</v>
      </c>
      <c r="AK13" s="2126">
        <f t="shared" si="23"/>
        <v>6.8965217391304345E-2</v>
      </c>
      <c r="AL13" s="1692">
        <v>920000000</v>
      </c>
      <c r="AM13" s="1693">
        <v>67175000</v>
      </c>
      <c r="AN13" s="2126">
        <f t="shared" si="24"/>
        <v>7.3016304347826091E-2</v>
      </c>
      <c r="AO13" s="1692">
        <v>920000000</v>
      </c>
      <c r="AP13" s="1693">
        <v>907732000</v>
      </c>
      <c r="AQ13" s="2126">
        <f t="shared" si="25"/>
        <v>0.98666521739130431</v>
      </c>
      <c r="AR13" s="1692">
        <v>368000000</v>
      </c>
      <c r="AS13" s="1693">
        <v>3514391122</v>
      </c>
      <c r="AT13" s="2126">
        <f t="shared" si="26"/>
        <v>9.5499758749999994</v>
      </c>
      <c r="AU13" s="1692">
        <v>276000000</v>
      </c>
      <c r="AV13" s="1693">
        <v>2646829000</v>
      </c>
      <c r="AW13" s="2126">
        <f t="shared" si="27"/>
        <v>9.5899601449275362</v>
      </c>
      <c r="AX13" s="1692">
        <f t="shared" si="28"/>
        <v>8770594122</v>
      </c>
      <c r="AY13" s="2126">
        <f t="shared" si="29"/>
        <v>0.9533254480434783</v>
      </c>
    </row>
    <row r="14" spans="1:52" s="2142" customFormat="1" ht="46.5" thickTop="1" thickBot="1">
      <c r="A14" s="2944"/>
      <c r="B14" s="2982"/>
      <c r="C14" s="3188"/>
      <c r="D14" s="2125" t="s">
        <v>104</v>
      </c>
      <c r="E14" s="2136" t="s">
        <v>105</v>
      </c>
      <c r="F14" s="2136" t="s">
        <v>24</v>
      </c>
      <c r="G14" s="2143">
        <v>24</v>
      </c>
      <c r="H14" s="2141"/>
      <c r="I14" s="2139"/>
      <c r="J14" s="2141"/>
      <c r="K14" s="2136" t="s">
        <v>172</v>
      </c>
      <c r="L14" s="625">
        <v>0</v>
      </c>
      <c r="M14" s="59"/>
      <c r="N14" s="2126" t="e">
        <f t="shared" si="15"/>
        <v>#DIV/0!</v>
      </c>
      <c r="O14" s="625">
        <v>0</v>
      </c>
      <c r="P14" s="59"/>
      <c r="Q14" s="2126" t="e">
        <f t="shared" si="16"/>
        <v>#DIV/0!</v>
      </c>
      <c r="R14" s="625">
        <v>6</v>
      </c>
      <c r="S14" s="59">
        <v>7</v>
      </c>
      <c r="T14" s="2126">
        <f t="shared" si="17"/>
        <v>1.1666666666666667</v>
      </c>
      <c r="U14" s="625">
        <v>0</v>
      </c>
      <c r="V14" s="59"/>
      <c r="W14" s="2126" t="e">
        <f t="shared" si="18"/>
        <v>#DIV/0!</v>
      </c>
      <c r="X14" s="625">
        <v>0</v>
      </c>
      <c r="Y14" s="59"/>
      <c r="Z14" s="2126" t="e">
        <f t="shared" si="19"/>
        <v>#DIV/0!</v>
      </c>
      <c r="AA14" s="625">
        <v>6</v>
      </c>
      <c r="AB14" s="59">
        <v>7</v>
      </c>
      <c r="AC14" s="2126">
        <f t="shared" si="20"/>
        <v>1.1666666666666667</v>
      </c>
      <c r="AD14" s="59">
        <f>+AB14+S14</f>
        <v>14</v>
      </c>
      <c r="AE14" s="2126">
        <v>1.1599999999999999</v>
      </c>
      <c r="AF14" s="625">
        <v>0</v>
      </c>
      <c r="AG14" s="59">
        <v>0</v>
      </c>
      <c r="AH14" s="2126" t="e">
        <f t="shared" si="22"/>
        <v>#DIV/0!</v>
      </c>
      <c r="AI14" s="625">
        <v>0</v>
      </c>
      <c r="AJ14" s="59">
        <v>0</v>
      </c>
      <c r="AK14" s="2126" t="e">
        <f t="shared" si="23"/>
        <v>#DIV/0!</v>
      </c>
      <c r="AL14" s="625">
        <v>6</v>
      </c>
      <c r="AM14" s="59">
        <v>6</v>
      </c>
      <c r="AN14" s="2126">
        <f t="shared" si="24"/>
        <v>1</v>
      </c>
      <c r="AO14" s="625">
        <v>0</v>
      </c>
      <c r="AP14" s="59"/>
      <c r="AQ14" s="2126" t="e">
        <f t="shared" si="25"/>
        <v>#DIV/0!</v>
      </c>
      <c r="AR14" s="625">
        <v>0</v>
      </c>
      <c r="AS14" s="59"/>
      <c r="AT14" s="2126" t="e">
        <f t="shared" si="26"/>
        <v>#DIV/0!</v>
      </c>
      <c r="AU14" s="625">
        <v>6</v>
      </c>
      <c r="AV14" s="59">
        <v>9</v>
      </c>
      <c r="AW14" s="2126">
        <f t="shared" si="27"/>
        <v>1.5</v>
      </c>
      <c r="AX14" s="625">
        <f>+AV14+AM14+AB14+S14</f>
        <v>29</v>
      </c>
      <c r="AY14" s="2126">
        <f t="shared" si="29"/>
        <v>1.2083333333333333</v>
      </c>
    </row>
    <row r="15" spans="1:52" s="2142" customFormat="1" ht="46.5" thickTop="1" thickBot="1">
      <c r="A15" s="2944"/>
      <c r="B15" s="2982"/>
      <c r="C15" s="3188"/>
      <c r="D15" s="2125" t="s">
        <v>106</v>
      </c>
      <c r="E15" s="2136" t="s">
        <v>173</v>
      </c>
      <c r="F15" s="2136" t="s">
        <v>24</v>
      </c>
      <c r="G15" s="2144">
        <v>191</v>
      </c>
      <c r="H15" s="2138"/>
      <c r="I15" s="2145"/>
      <c r="J15" s="2138"/>
      <c r="K15" s="2136" t="s">
        <v>172</v>
      </c>
      <c r="L15" s="625">
        <v>0</v>
      </c>
      <c r="M15" s="59"/>
      <c r="N15" s="2126" t="e">
        <f t="shared" si="15"/>
        <v>#DIV/0!</v>
      </c>
      <c r="O15" s="625">
        <v>0</v>
      </c>
      <c r="P15" s="59"/>
      <c r="Q15" s="2126" t="e">
        <f t="shared" si="16"/>
        <v>#DIV/0!</v>
      </c>
      <c r="R15" s="625">
        <v>0</v>
      </c>
      <c r="S15" s="59">
        <v>0</v>
      </c>
      <c r="T15" s="2126" t="e">
        <f t="shared" si="17"/>
        <v>#DIV/0!</v>
      </c>
      <c r="U15" s="625">
        <v>0</v>
      </c>
      <c r="V15" s="59"/>
      <c r="W15" s="2126" t="e">
        <f t="shared" si="18"/>
        <v>#DIV/0!</v>
      </c>
      <c r="X15" s="625">
        <v>0</v>
      </c>
      <c r="Y15" s="59"/>
      <c r="Z15" s="2126" t="e">
        <f t="shared" si="19"/>
        <v>#DIV/0!</v>
      </c>
      <c r="AA15" s="625">
        <v>0</v>
      </c>
      <c r="AB15" s="59"/>
      <c r="AC15" s="2126" t="e">
        <f t="shared" si="20"/>
        <v>#DIV/0!</v>
      </c>
      <c r="AD15" s="59">
        <f t="shared" si="21"/>
        <v>0</v>
      </c>
      <c r="AE15" s="2126">
        <f t="shared" ref="AE15:AE29" si="30">+AD15/G15</f>
        <v>0</v>
      </c>
      <c r="AF15" s="625">
        <v>96</v>
      </c>
      <c r="AG15" s="59">
        <v>91</v>
      </c>
      <c r="AH15" s="2126">
        <f t="shared" si="22"/>
        <v>0.94791666666666663</v>
      </c>
      <c r="AI15" s="625">
        <v>0</v>
      </c>
      <c r="AJ15" s="59">
        <v>0</v>
      </c>
      <c r="AK15" s="2126" t="e">
        <f t="shared" si="23"/>
        <v>#DIV/0!</v>
      </c>
      <c r="AL15" s="625">
        <v>0</v>
      </c>
      <c r="AM15" s="59">
        <v>0</v>
      </c>
      <c r="AN15" s="2126" t="e">
        <f t="shared" si="24"/>
        <v>#DIV/0!</v>
      </c>
      <c r="AO15" s="625">
        <v>0</v>
      </c>
      <c r="AP15" s="59"/>
      <c r="AQ15" s="2126" t="e">
        <f t="shared" si="25"/>
        <v>#DIV/0!</v>
      </c>
      <c r="AR15" s="625">
        <v>0</v>
      </c>
      <c r="AS15" s="59"/>
      <c r="AT15" s="2126" t="e">
        <f t="shared" si="26"/>
        <v>#DIV/0!</v>
      </c>
      <c r="AU15" s="625">
        <v>95</v>
      </c>
      <c r="AV15" s="59">
        <v>46</v>
      </c>
      <c r="AW15" s="2126">
        <f t="shared" si="27"/>
        <v>0.48421052631578948</v>
      </c>
      <c r="AX15" s="625">
        <f>+AV15+AG15</f>
        <v>137</v>
      </c>
      <c r="AY15" s="2126">
        <f t="shared" si="29"/>
        <v>0.7172774869109948</v>
      </c>
    </row>
    <row r="16" spans="1:52" s="2142" customFormat="1" ht="91.5" thickTop="1" thickBot="1">
      <c r="A16" s="2944"/>
      <c r="B16" s="2982"/>
      <c r="C16" s="2146" t="s">
        <v>956</v>
      </c>
      <c r="D16" s="2125" t="s">
        <v>109</v>
      </c>
      <c r="E16" s="2136" t="s">
        <v>110</v>
      </c>
      <c r="F16" s="2136" t="s">
        <v>18</v>
      </c>
      <c r="G16" s="2137">
        <v>28061</v>
      </c>
      <c r="H16" s="2138"/>
      <c r="I16" s="2147"/>
      <c r="J16" s="2138"/>
      <c r="K16" s="2136" t="s">
        <v>21</v>
      </c>
      <c r="L16" s="1692">
        <v>0</v>
      </c>
      <c r="M16" s="1693">
        <v>0</v>
      </c>
      <c r="N16" s="2126" t="e">
        <f t="shared" si="15"/>
        <v>#DIV/0!</v>
      </c>
      <c r="O16" s="1692">
        <v>0</v>
      </c>
      <c r="P16" s="1693">
        <v>0</v>
      </c>
      <c r="Q16" s="2126" t="e">
        <f t="shared" si="16"/>
        <v>#DIV/0!</v>
      </c>
      <c r="R16" s="1692">
        <v>6033.3140235147475</v>
      </c>
      <c r="S16" s="1693">
        <v>7605</v>
      </c>
      <c r="T16" s="2126">
        <f t="shared" si="17"/>
        <v>1.2605012718316386</v>
      </c>
      <c r="U16" s="1692">
        <v>2402.1861352712449</v>
      </c>
      <c r="V16" s="1693">
        <v>1898.6</v>
      </c>
      <c r="W16" s="2126">
        <f t="shared" si="18"/>
        <v>0.79036339945639467</v>
      </c>
      <c r="X16" s="1692">
        <v>4322.3530921254887</v>
      </c>
      <c r="Y16" s="1693">
        <v>3052.9</v>
      </c>
      <c r="Z16" s="2126">
        <f t="shared" si="19"/>
        <v>0.70630509237244121</v>
      </c>
      <c r="AA16" s="1692">
        <v>1985.8718798762711</v>
      </c>
      <c r="AB16" s="1693">
        <v>1966.9</v>
      </c>
      <c r="AC16" s="2126">
        <f t="shared" si="20"/>
        <v>0.99044657408742143</v>
      </c>
      <c r="AD16" s="1693">
        <f t="shared" si="21"/>
        <v>14523.4</v>
      </c>
      <c r="AE16" s="2126">
        <f t="shared" si="30"/>
        <v>0.51756530415879687</v>
      </c>
      <c r="AF16" s="1692">
        <v>1830.6240371351428</v>
      </c>
      <c r="AG16" s="1693">
        <v>2523.1999999999998</v>
      </c>
      <c r="AH16" s="2126">
        <f t="shared" si="22"/>
        <v>1.3783277990540932</v>
      </c>
      <c r="AI16" s="1692">
        <v>1575.0950808093485</v>
      </c>
      <c r="AJ16" s="1693">
        <v>2482.84</v>
      </c>
      <c r="AK16" s="2126">
        <f t="shared" si="23"/>
        <v>1.5763111892421218</v>
      </c>
      <c r="AL16" s="1692">
        <v>3436.4505102953485</v>
      </c>
      <c r="AM16" s="1693">
        <v>3699</v>
      </c>
      <c r="AN16" s="2126">
        <f t="shared" si="24"/>
        <v>1.0764013591693151</v>
      </c>
      <c r="AO16" s="1692">
        <v>2729.9692135966484</v>
      </c>
      <c r="AP16" s="1693">
        <v>3648.29</v>
      </c>
      <c r="AQ16" s="2126">
        <f t="shared" si="25"/>
        <v>1.3363850338786396</v>
      </c>
      <c r="AR16" s="1692">
        <v>2135.3260132291925</v>
      </c>
      <c r="AS16" s="1693">
        <v>2588.27</v>
      </c>
      <c r="AT16" s="2126">
        <f t="shared" si="26"/>
        <v>1.2121193597439639</v>
      </c>
      <c r="AU16" s="1692">
        <v>1609.5312602452843</v>
      </c>
      <c r="AV16" s="1693">
        <v>2644</v>
      </c>
      <c r="AW16" s="2126">
        <f t="shared" si="27"/>
        <v>1.6427142891260578</v>
      </c>
      <c r="AX16" s="1692">
        <f t="shared" si="28"/>
        <v>32109</v>
      </c>
      <c r="AY16" s="2126">
        <f t="shared" si="29"/>
        <v>1.1442571540572324</v>
      </c>
    </row>
    <row r="17" spans="1:51" s="2142" customFormat="1" ht="61.5" thickTop="1" thickBot="1">
      <c r="A17" s="2944"/>
      <c r="B17" s="2982"/>
      <c r="C17" s="2146" t="s">
        <v>606</v>
      </c>
      <c r="D17" s="623" t="s">
        <v>111</v>
      </c>
      <c r="E17" s="2136" t="s">
        <v>112</v>
      </c>
      <c r="F17" s="2136" t="s">
        <v>17</v>
      </c>
      <c r="G17" s="2143">
        <v>69</v>
      </c>
      <c r="H17" s="2138"/>
      <c r="I17" s="2147"/>
      <c r="J17" s="2138"/>
      <c r="K17" s="2136" t="s">
        <v>20</v>
      </c>
      <c r="L17" s="2148">
        <v>0</v>
      </c>
      <c r="M17" s="2149"/>
      <c r="N17" s="2126" t="e">
        <f t="shared" si="15"/>
        <v>#DIV/0!</v>
      </c>
      <c r="O17" s="2148">
        <v>0</v>
      </c>
      <c r="P17" s="2149"/>
      <c r="Q17" s="2126" t="e">
        <f t="shared" si="16"/>
        <v>#DIV/0!</v>
      </c>
      <c r="R17" s="2148">
        <v>0</v>
      </c>
      <c r="S17" s="2149"/>
      <c r="T17" s="2126" t="e">
        <f t="shared" si="17"/>
        <v>#DIV/0!</v>
      </c>
      <c r="U17" s="2148">
        <v>0</v>
      </c>
      <c r="V17" s="2149"/>
      <c r="W17" s="2126" t="e">
        <f t="shared" si="18"/>
        <v>#DIV/0!</v>
      </c>
      <c r="X17" s="2148">
        <v>0</v>
      </c>
      <c r="Y17" s="2149"/>
      <c r="Z17" s="2126" t="e">
        <f t="shared" si="19"/>
        <v>#DIV/0!</v>
      </c>
      <c r="AA17" s="2148">
        <v>0</v>
      </c>
      <c r="AB17" s="2149"/>
      <c r="AC17" s="2126" t="e">
        <f t="shared" si="20"/>
        <v>#DIV/0!</v>
      </c>
      <c r="AD17" s="59">
        <f t="shared" si="21"/>
        <v>0</v>
      </c>
      <c r="AE17" s="2126">
        <f t="shared" si="30"/>
        <v>0</v>
      </c>
      <c r="AF17" s="2148">
        <v>0</v>
      </c>
      <c r="AG17" s="2149"/>
      <c r="AH17" s="2126" t="e">
        <f t="shared" si="22"/>
        <v>#DIV/0!</v>
      </c>
      <c r="AI17" s="2148">
        <v>0</v>
      </c>
      <c r="AJ17" s="2149"/>
      <c r="AK17" s="2126" t="e">
        <f t="shared" si="23"/>
        <v>#DIV/0!</v>
      </c>
      <c r="AL17" s="2148">
        <v>0</v>
      </c>
      <c r="AM17" s="2149"/>
      <c r="AN17" s="2126" t="e">
        <f t="shared" si="24"/>
        <v>#DIV/0!</v>
      </c>
      <c r="AO17" s="2148">
        <v>67</v>
      </c>
      <c r="AP17" s="2149">
        <v>25</v>
      </c>
      <c r="AQ17" s="2126">
        <f t="shared" si="25"/>
        <v>0.37313432835820898</v>
      </c>
      <c r="AR17" s="2148">
        <v>0</v>
      </c>
      <c r="AS17" s="2149"/>
      <c r="AT17" s="2126" t="e">
        <f t="shared" si="26"/>
        <v>#DIV/0!</v>
      </c>
      <c r="AU17" s="2148">
        <v>2</v>
      </c>
      <c r="AV17" s="2149">
        <v>4</v>
      </c>
      <c r="AW17" s="2126">
        <f t="shared" si="27"/>
        <v>2</v>
      </c>
      <c r="AX17" s="2148">
        <f t="shared" si="28"/>
        <v>29</v>
      </c>
      <c r="AY17" s="2126">
        <f t="shared" si="29"/>
        <v>0.42028985507246375</v>
      </c>
    </row>
    <row r="18" spans="1:51" s="2142" customFormat="1" ht="76.5" thickTop="1" thickBot="1">
      <c r="A18" s="2944"/>
      <c r="B18" s="2982"/>
      <c r="C18" s="2136" t="s">
        <v>957</v>
      </c>
      <c r="D18" s="623" t="s">
        <v>114</v>
      </c>
      <c r="E18" s="2136" t="s">
        <v>115</v>
      </c>
      <c r="F18" s="2136" t="s">
        <v>10</v>
      </c>
      <c r="G18" s="2150">
        <v>1</v>
      </c>
      <c r="H18" s="2141"/>
      <c r="I18" s="2139"/>
      <c r="J18" s="2141"/>
      <c r="K18" s="2136" t="s">
        <v>20</v>
      </c>
      <c r="L18" s="653">
        <v>0</v>
      </c>
      <c r="M18" s="50"/>
      <c r="N18" s="2126" t="e">
        <f t="shared" si="15"/>
        <v>#DIV/0!</v>
      </c>
      <c r="O18" s="653">
        <v>0</v>
      </c>
      <c r="P18" s="50"/>
      <c r="Q18" s="2126" t="e">
        <f t="shared" si="16"/>
        <v>#DIV/0!</v>
      </c>
      <c r="R18" s="653">
        <v>0.25</v>
      </c>
      <c r="S18" s="50">
        <v>0.25</v>
      </c>
      <c r="T18" s="2126">
        <f t="shared" si="17"/>
        <v>1</v>
      </c>
      <c r="U18" s="653">
        <v>0</v>
      </c>
      <c r="V18" s="50"/>
      <c r="W18" s="2126" t="e">
        <f t="shared" si="18"/>
        <v>#DIV/0!</v>
      </c>
      <c r="X18" s="653">
        <v>0</v>
      </c>
      <c r="Y18" s="50"/>
      <c r="Z18" s="2126" t="e">
        <f t="shared" si="19"/>
        <v>#DIV/0!</v>
      </c>
      <c r="AA18" s="653">
        <v>0.25</v>
      </c>
      <c r="AB18" s="50">
        <v>0.25</v>
      </c>
      <c r="AC18" s="2126">
        <f t="shared" si="20"/>
        <v>1</v>
      </c>
      <c r="AD18" s="50">
        <f t="shared" si="21"/>
        <v>0.5</v>
      </c>
      <c r="AE18" s="2126">
        <v>1</v>
      </c>
      <c r="AF18" s="653">
        <v>0</v>
      </c>
      <c r="AG18" s="50"/>
      <c r="AH18" s="2126" t="e">
        <f t="shared" si="22"/>
        <v>#DIV/0!</v>
      </c>
      <c r="AI18" s="653">
        <v>0</v>
      </c>
      <c r="AJ18" s="50"/>
      <c r="AK18" s="2126" t="e">
        <f t="shared" si="23"/>
        <v>#DIV/0!</v>
      </c>
      <c r="AL18" s="653">
        <v>0.25</v>
      </c>
      <c r="AM18" s="50">
        <v>0.25</v>
      </c>
      <c r="AN18" s="2126">
        <f t="shared" si="24"/>
        <v>1</v>
      </c>
      <c r="AO18" s="653">
        <v>0</v>
      </c>
      <c r="AP18" s="50"/>
      <c r="AQ18" s="2126" t="e">
        <f t="shared" si="25"/>
        <v>#DIV/0!</v>
      </c>
      <c r="AR18" s="653">
        <v>0</v>
      </c>
      <c r="AS18" s="50"/>
      <c r="AT18" s="2126" t="e">
        <f t="shared" si="26"/>
        <v>#DIV/0!</v>
      </c>
      <c r="AU18" s="653">
        <v>0.25</v>
      </c>
      <c r="AV18" s="50">
        <v>0.25</v>
      </c>
      <c r="AW18" s="2126">
        <f t="shared" si="27"/>
        <v>1</v>
      </c>
      <c r="AX18" s="653">
        <f t="shared" si="28"/>
        <v>1</v>
      </c>
      <c r="AY18" s="2126">
        <f t="shared" si="29"/>
        <v>1</v>
      </c>
    </row>
    <row r="19" spans="1:51" s="2142" customFormat="1" ht="46.5" thickTop="1" thickBot="1">
      <c r="A19" s="2944"/>
      <c r="B19" s="2982"/>
      <c r="C19" s="2151" t="s">
        <v>958</v>
      </c>
      <c r="D19" s="2125" t="s">
        <v>116</v>
      </c>
      <c r="E19" s="2152" t="s">
        <v>117</v>
      </c>
      <c r="F19" s="2152" t="s">
        <v>17</v>
      </c>
      <c r="G19" s="2153">
        <v>1293</v>
      </c>
      <c r="H19" s="2154"/>
      <c r="I19" s="2155"/>
      <c r="J19" s="2154"/>
      <c r="K19" s="2152" t="s">
        <v>118</v>
      </c>
      <c r="L19" s="2156">
        <v>0</v>
      </c>
      <c r="M19" s="2157"/>
      <c r="N19" s="91" t="e">
        <f t="shared" si="15"/>
        <v>#DIV/0!</v>
      </c>
      <c r="O19" s="2156">
        <v>0</v>
      </c>
      <c r="P19" s="2157"/>
      <c r="Q19" s="91" t="e">
        <f t="shared" si="16"/>
        <v>#DIV/0!</v>
      </c>
      <c r="R19" s="2156">
        <v>246</v>
      </c>
      <c r="S19" s="2157">
        <v>0</v>
      </c>
      <c r="T19" s="91">
        <f t="shared" si="17"/>
        <v>0</v>
      </c>
      <c r="U19" s="2156">
        <v>200</v>
      </c>
      <c r="V19" s="2157">
        <v>0</v>
      </c>
      <c r="W19" s="91">
        <f t="shared" si="18"/>
        <v>0</v>
      </c>
      <c r="X19" s="2156">
        <v>58</v>
      </c>
      <c r="Y19" s="2157">
        <v>0</v>
      </c>
      <c r="Z19" s="91">
        <f t="shared" si="19"/>
        <v>0</v>
      </c>
      <c r="AA19" s="2156">
        <v>65</v>
      </c>
      <c r="AB19" s="2157">
        <v>180</v>
      </c>
      <c r="AC19" s="91">
        <f t="shared" si="20"/>
        <v>2.7692307692307692</v>
      </c>
      <c r="AD19" s="1136">
        <f t="shared" si="21"/>
        <v>180</v>
      </c>
      <c r="AE19" s="91">
        <f t="shared" si="30"/>
        <v>0.13921113689095127</v>
      </c>
      <c r="AF19" s="2156">
        <v>120</v>
      </c>
      <c r="AG19" s="2157">
        <v>0</v>
      </c>
      <c r="AH19" s="91">
        <f t="shared" si="22"/>
        <v>0</v>
      </c>
      <c r="AI19" s="2156">
        <v>184</v>
      </c>
      <c r="AJ19" s="2157">
        <v>172</v>
      </c>
      <c r="AK19" s="91">
        <f t="shared" si="23"/>
        <v>0.93478260869565222</v>
      </c>
      <c r="AL19" s="2156">
        <v>249</v>
      </c>
      <c r="AM19" s="2157">
        <v>105</v>
      </c>
      <c r="AN19" s="91">
        <f t="shared" si="24"/>
        <v>0.42168674698795183</v>
      </c>
      <c r="AO19" s="2156">
        <v>97</v>
      </c>
      <c r="AP19" s="2157">
        <v>406</v>
      </c>
      <c r="AQ19" s="91">
        <f t="shared" si="25"/>
        <v>4.1855670103092786</v>
      </c>
      <c r="AR19" s="2156">
        <v>67</v>
      </c>
      <c r="AS19" s="2157">
        <v>148</v>
      </c>
      <c r="AT19" s="91">
        <f t="shared" si="26"/>
        <v>2.2089552238805972</v>
      </c>
      <c r="AU19" s="2156">
        <v>7</v>
      </c>
      <c r="AV19" s="2157">
        <v>202</v>
      </c>
      <c r="AW19" s="91">
        <f t="shared" si="27"/>
        <v>28.857142857142858</v>
      </c>
      <c r="AX19" s="2156">
        <f t="shared" si="28"/>
        <v>1213</v>
      </c>
      <c r="AY19" s="91">
        <f t="shared" si="29"/>
        <v>0.93812838360402162</v>
      </c>
    </row>
    <row r="20" spans="1:51" s="132" customFormat="1" ht="136.5" thickTop="1" thickBot="1">
      <c r="A20" s="2944"/>
      <c r="B20" s="2982"/>
      <c r="C20" s="3189" t="s">
        <v>959</v>
      </c>
      <c r="D20" s="129" t="s">
        <v>574</v>
      </c>
      <c r="E20" s="2158" t="s">
        <v>121</v>
      </c>
      <c r="F20" s="2158" t="s">
        <v>10</v>
      </c>
      <c r="G20" s="2159">
        <v>0.64100000000000001</v>
      </c>
      <c r="H20" s="2160"/>
      <c r="I20" s="2161"/>
      <c r="J20" s="2160"/>
      <c r="K20" s="2158" t="s">
        <v>7</v>
      </c>
      <c r="L20" s="144"/>
      <c r="M20" s="145"/>
      <c r="N20" s="2162"/>
      <c r="O20" s="144"/>
      <c r="P20" s="145"/>
      <c r="Q20" s="2162"/>
      <c r="R20" s="144"/>
      <c r="S20" s="145"/>
      <c r="T20" s="2162" t="e">
        <f t="shared" si="17"/>
        <v>#DIV/0!</v>
      </c>
      <c r="U20" s="144"/>
      <c r="V20" s="145"/>
      <c r="W20" s="2162"/>
      <c r="X20" s="144"/>
      <c r="Y20" s="145"/>
      <c r="Z20" s="2162"/>
      <c r="AA20" s="144"/>
      <c r="AB20" s="145"/>
      <c r="AC20" s="2162"/>
      <c r="AD20" s="145"/>
      <c r="AE20" s="2162"/>
      <c r="AF20" s="144"/>
      <c r="AG20" s="145"/>
      <c r="AH20" s="2162"/>
      <c r="AI20" s="144"/>
      <c r="AJ20" s="145"/>
      <c r="AK20" s="2162" t="e">
        <f t="shared" si="23"/>
        <v>#DIV/0!</v>
      </c>
      <c r="AL20" s="144"/>
      <c r="AM20" s="145"/>
      <c r="AN20" s="2162" t="e">
        <f t="shared" si="24"/>
        <v>#DIV/0!</v>
      </c>
      <c r="AO20" s="144"/>
      <c r="AP20" s="145"/>
      <c r="AQ20" s="2162" t="e">
        <f t="shared" si="25"/>
        <v>#DIV/0!</v>
      </c>
      <c r="AR20" s="144"/>
      <c r="AS20" s="145"/>
      <c r="AT20" s="2162"/>
      <c r="AU20" s="144"/>
      <c r="AV20" s="145"/>
      <c r="AW20" s="2162" t="e">
        <f t="shared" si="27"/>
        <v>#DIV/0!</v>
      </c>
      <c r="AX20" s="144"/>
      <c r="AY20" s="2162"/>
    </row>
    <row r="21" spans="1:51" s="132" customFormat="1" ht="106.5" thickTop="1" thickBot="1">
      <c r="A21" s="2944"/>
      <c r="B21" s="2982"/>
      <c r="C21" s="3189"/>
      <c r="D21" s="129" t="s">
        <v>122</v>
      </c>
      <c r="E21" s="2158" t="s">
        <v>960</v>
      </c>
      <c r="F21" s="2158" t="s">
        <v>10</v>
      </c>
      <c r="G21" s="2163">
        <v>1</v>
      </c>
      <c r="H21" s="2160"/>
      <c r="I21" s="2161"/>
      <c r="J21" s="2160"/>
      <c r="K21" s="2158" t="s">
        <v>7</v>
      </c>
      <c r="L21" s="144"/>
      <c r="M21" s="145"/>
      <c r="N21" s="2162" t="e">
        <f t="shared" si="15"/>
        <v>#DIV/0!</v>
      </c>
      <c r="O21" s="144"/>
      <c r="P21" s="145"/>
      <c r="Q21" s="2162" t="e">
        <f t="shared" si="16"/>
        <v>#DIV/0!</v>
      </c>
      <c r="R21" s="144"/>
      <c r="S21" s="145"/>
      <c r="T21" s="2162" t="e">
        <f t="shared" si="17"/>
        <v>#DIV/0!</v>
      </c>
      <c r="U21" s="144"/>
      <c r="V21" s="145"/>
      <c r="W21" s="2162" t="e">
        <f t="shared" si="18"/>
        <v>#DIV/0!</v>
      </c>
      <c r="X21" s="144"/>
      <c r="Y21" s="145"/>
      <c r="Z21" s="2162" t="e">
        <f t="shared" si="19"/>
        <v>#DIV/0!</v>
      </c>
      <c r="AA21" s="144"/>
      <c r="AB21" s="145"/>
      <c r="AC21" s="2162" t="e">
        <f t="shared" si="20"/>
        <v>#DIV/0!</v>
      </c>
      <c r="AD21" s="145"/>
      <c r="AE21" s="2162"/>
      <c r="AF21" s="144"/>
      <c r="AG21" s="145"/>
      <c r="AH21" s="2162" t="e">
        <f t="shared" si="22"/>
        <v>#DIV/0!</v>
      </c>
      <c r="AI21" s="144"/>
      <c r="AJ21" s="145"/>
      <c r="AK21" s="2162" t="e">
        <f t="shared" si="23"/>
        <v>#DIV/0!</v>
      </c>
      <c r="AL21" s="144"/>
      <c r="AM21" s="145"/>
      <c r="AN21" s="2162" t="e">
        <f t="shared" si="24"/>
        <v>#DIV/0!</v>
      </c>
      <c r="AO21" s="144"/>
      <c r="AP21" s="145"/>
      <c r="AQ21" s="2162" t="e">
        <f t="shared" si="25"/>
        <v>#DIV/0!</v>
      </c>
      <c r="AR21" s="144"/>
      <c r="AS21" s="145"/>
      <c r="AT21" s="2162" t="e">
        <f t="shared" si="26"/>
        <v>#DIV/0!</v>
      </c>
      <c r="AU21" s="144"/>
      <c r="AV21" s="145"/>
      <c r="AW21" s="2162" t="e">
        <f t="shared" si="27"/>
        <v>#DIV/0!</v>
      </c>
      <c r="AX21" s="144"/>
      <c r="AY21" s="2162"/>
    </row>
    <row r="22" spans="1:51" s="132" customFormat="1" ht="106.5" thickTop="1" thickBot="1">
      <c r="A22" s="2944"/>
      <c r="B22" s="2982"/>
      <c r="C22" s="3189"/>
      <c r="D22" s="129" t="s">
        <v>124</v>
      </c>
      <c r="E22" s="2158" t="s">
        <v>125</v>
      </c>
      <c r="F22" s="2158" t="s">
        <v>10</v>
      </c>
      <c r="G22" s="2163">
        <v>1</v>
      </c>
      <c r="H22" s="2160"/>
      <c r="I22" s="2161"/>
      <c r="J22" s="2160"/>
      <c r="K22" s="2158" t="s">
        <v>7</v>
      </c>
      <c r="L22" s="144"/>
      <c r="M22" s="145"/>
      <c r="N22" s="2162" t="e">
        <f t="shared" si="15"/>
        <v>#DIV/0!</v>
      </c>
      <c r="O22" s="144"/>
      <c r="P22" s="145"/>
      <c r="Q22" s="2162" t="e">
        <f t="shared" si="16"/>
        <v>#DIV/0!</v>
      </c>
      <c r="R22" s="144"/>
      <c r="S22" s="145"/>
      <c r="T22" s="2162" t="e">
        <f t="shared" si="17"/>
        <v>#DIV/0!</v>
      </c>
      <c r="U22" s="144"/>
      <c r="V22" s="145"/>
      <c r="W22" s="2162" t="e">
        <f t="shared" si="18"/>
        <v>#DIV/0!</v>
      </c>
      <c r="X22" s="144"/>
      <c r="Y22" s="145"/>
      <c r="Z22" s="2162" t="e">
        <f t="shared" si="19"/>
        <v>#DIV/0!</v>
      </c>
      <c r="AA22" s="144"/>
      <c r="AB22" s="145"/>
      <c r="AC22" s="2162" t="e">
        <f t="shared" si="20"/>
        <v>#DIV/0!</v>
      </c>
      <c r="AD22" s="145"/>
      <c r="AE22" s="2162"/>
      <c r="AF22" s="144"/>
      <c r="AG22" s="145"/>
      <c r="AH22" s="2162" t="e">
        <f t="shared" si="22"/>
        <v>#DIV/0!</v>
      </c>
      <c r="AI22" s="144"/>
      <c r="AJ22" s="145"/>
      <c r="AK22" s="2162" t="e">
        <f t="shared" si="23"/>
        <v>#DIV/0!</v>
      </c>
      <c r="AL22" s="144"/>
      <c r="AM22" s="145"/>
      <c r="AN22" s="2162" t="e">
        <f t="shared" si="24"/>
        <v>#DIV/0!</v>
      </c>
      <c r="AO22" s="144"/>
      <c r="AP22" s="145"/>
      <c r="AQ22" s="2162" t="e">
        <f t="shared" si="25"/>
        <v>#DIV/0!</v>
      </c>
      <c r="AR22" s="144"/>
      <c r="AS22" s="145"/>
      <c r="AT22" s="2162" t="e">
        <f t="shared" si="26"/>
        <v>#DIV/0!</v>
      </c>
      <c r="AU22" s="144"/>
      <c r="AV22" s="145"/>
      <c r="AW22" s="2162" t="e">
        <f t="shared" si="27"/>
        <v>#DIV/0!</v>
      </c>
      <c r="AX22" s="144"/>
      <c r="AY22" s="2162"/>
    </row>
    <row r="23" spans="1:51" s="2168" customFormat="1" ht="76.5" thickTop="1" thickBot="1">
      <c r="A23" s="2944"/>
      <c r="B23" s="2982"/>
      <c r="C23" s="3189"/>
      <c r="D23" s="627" t="s">
        <v>365</v>
      </c>
      <c r="E23" s="2132" t="s">
        <v>127</v>
      </c>
      <c r="F23" s="2132" t="s">
        <v>10</v>
      </c>
      <c r="G23" s="2164">
        <v>1</v>
      </c>
      <c r="H23" s="2165"/>
      <c r="I23" s="2166"/>
      <c r="J23" s="2165"/>
      <c r="K23" s="2132" t="s">
        <v>7</v>
      </c>
      <c r="L23" s="655">
        <v>1</v>
      </c>
      <c r="M23" s="45">
        <v>1</v>
      </c>
      <c r="N23" s="2167">
        <f t="shared" si="15"/>
        <v>1</v>
      </c>
      <c r="O23" s="655">
        <v>1</v>
      </c>
      <c r="P23" s="45">
        <v>1</v>
      </c>
      <c r="Q23" s="2167">
        <f t="shared" si="16"/>
        <v>1</v>
      </c>
      <c r="R23" s="655">
        <v>1</v>
      </c>
      <c r="S23" s="45">
        <v>1</v>
      </c>
      <c r="T23" s="2167">
        <f t="shared" si="17"/>
        <v>1</v>
      </c>
      <c r="U23" s="655">
        <v>1</v>
      </c>
      <c r="V23" s="45">
        <v>1</v>
      </c>
      <c r="W23" s="2167">
        <f t="shared" si="18"/>
        <v>1</v>
      </c>
      <c r="X23" s="655">
        <v>1</v>
      </c>
      <c r="Y23" s="45">
        <v>1</v>
      </c>
      <c r="Z23" s="2167">
        <f t="shared" si="19"/>
        <v>1</v>
      </c>
      <c r="AA23" s="655">
        <v>1</v>
      </c>
      <c r="AB23" s="45">
        <v>1</v>
      </c>
      <c r="AC23" s="2167">
        <f t="shared" si="20"/>
        <v>1</v>
      </c>
      <c r="AD23" s="45">
        <f>(+M23+P23+S23+V23+Y23+AB23)/6</f>
        <v>1</v>
      </c>
      <c r="AE23" s="2167">
        <f t="shared" si="30"/>
        <v>1</v>
      </c>
      <c r="AF23" s="655">
        <v>1</v>
      </c>
      <c r="AG23" s="45">
        <v>1</v>
      </c>
      <c r="AH23" s="2167">
        <f t="shared" si="22"/>
        <v>1</v>
      </c>
      <c r="AI23" s="655">
        <v>1</v>
      </c>
      <c r="AJ23" s="45">
        <v>1</v>
      </c>
      <c r="AK23" s="2167">
        <f t="shared" si="23"/>
        <v>1</v>
      </c>
      <c r="AL23" s="655">
        <v>1</v>
      </c>
      <c r="AM23" s="45">
        <v>1</v>
      </c>
      <c r="AN23" s="2167">
        <f t="shared" si="24"/>
        <v>1</v>
      </c>
      <c r="AO23" s="655">
        <v>1</v>
      </c>
      <c r="AP23" s="45">
        <v>1</v>
      </c>
      <c r="AQ23" s="2167">
        <f t="shared" si="25"/>
        <v>1</v>
      </c>
      <c r="AR23" s="655"/>
      <c r="AS23" s="45"/>
      <c r="AT23" s="2167" t="e">
        <f t="shared" si="26"/>
        <v>#DIV/0!</v>
      </c>
      <c r="AU23" s="655"/>
      <c r="AV23" s="45"/>
      <c r="AW23" s="2167" t="e">
        <f t="shared" si="27"/>
        <v>#DIV/0!</v>
      </c>
      <c r="AX23" s="655">
        <v>1</v>
      </c>
      <c r="AY23" s="2167">
        <f t="shared" si="29"/>
        <v>1</v>
      </c>
    </row>
    <row r="24" spans="1:51" s="2168" customFormat="1" ht="151.5" thickTop="1" thickBot="1">
      <c r="A24" s="2944"/>
      <c r="B24" s="2982"/>
      <c r="C24" s="3189"/>
      <c r="D24" s="627" t="s">
        <v>128</v>
      </c>
      <c r="E24" s="2132" t="s">
        <v>961</v>
      </c>
      <c r="F24" s="2132" t="s">
        <v>10</v>
      </c>
      <c r="G24" s="2164">
        <v>1</v>
      </c>
      <c r="H24" s="2165"/>
      <c r="I24" s="2166"/>
      <c r="J24" s="2165"/>
      <c r="K24" s="2132" t="s">
        <v>7</v>
      </c>
      <c r="L24" s="655"/>
      <c r="M24" s="45"/>
      <c r="N24" s="2167" t="e">
        <f t="shared" si="15"/>
        <v>#DIV/0!</v>
      </c>
      <c r="O24" s="655"/>
      <c r="P24" s="45"/>
      <c r="Q24" s="2167" t="e">
        <f t="shared" si="16"/>
        <v>#DIV/0!</v>
      </c>
      <c r="R24" s="655"/>
      <c r="S24" s="45"/>
      <c r="T24" s="2167" t="e">
        <f t="shared" si="17"/>
        <v>#DIV/0!</v>
      </c>
      <c r="U24" s="655"/>
      <c r="V24" s="45"/>
      <c r="W24" s="2167" t="e">
        <f t="shared" si="18"/>
        <v>#DIV/0!</v>
      </c>
      <c r="X24" s="655"/>
      <c r="Y24" s="45"/>
      <c r="Z24" s="2167" t="e">
        <f t="shared" si="19"/>
        <v>#DIV/0!</v>
      </c>
      <c r="AA24" s="655"/>
      <c r="AB24" s="45"/>
      <c r="AC24" s="2167" t="e">
        <f t="shared" si="20"/>
        <v>#DIV/0!</v>
      </c>
      <c r="AD24" s="45"/>
      <c r="AE24" s="2167"/>
      <c r="AF24" s="655"/>
      <c r="AG24" s="45"/>
      <c r="AH24" s="2167" t="e">
        <f t="shared" si="22"/>
        <v>#DIV/0!</v>
      </c>
      <c r="AI24" s="655"/>
      <c r="AJ24" s="45"/>
      <c r="AK24" s="2167" t="e">
        <f t="shared" si="23"/>
        <v>#DIV/0!</v>
      </c>
      <c r="AL24" s="655"/>
      <c r="AM24" s="45"/>
      <c r="AN24" s="2167" t="e">
        <f t="shared" si="24"/>
        <v>#DIV/0!</v>
      </c>
      <c r="AO24" s="655"/>
      <c r="AP24" s="45"/>
      <c r="AQ24" s="2167" t="e">
        <f t="shared" si="25"/>
        <v>#DIV/0!</v>
      </c>
      <c r="AR24" s="655"/>
      <c r="AS24" s="45"/>
      <c r="AT24" s="2167" t="e">
        <f t="shared" si="26"/>
        <v>#DIV/0!</v>
      </c>
      <c r="AU24" s="655"/>
      <c r="AV24" s="45"/>
      <c r="AW24" s="2167" t="e">
        <f t="shared" si="27"/>
        <v>#DIV/0!</v>
      </c>
      <c r="AX24" s="655"/>
      <c r="AY24" s="2167"/>
    </row>
    <row r="25" spans="1:51" s="2168" customFormat="1" ht="106.5" thickTop="1" thickBot="1">
      <c r="A25" s="2944"/>
      <c r="B25" s="2982"/>
      <c r="C25" s="3189"/>
      <c r="D25" s="627" t="s">
        <v>962</v>
      </c>
      <c r="E25" s="2132" t="s">
        <v>131</v>
      </c>
      <c r="F25" s="2132" t="s">
        <v>10</v>
      </c>
      <c r="G25" s="2164">
        <v>1</v>
      </c>
      <c r="H25" s="2165"/>
      <c r="I25" s="2166"/>
      <c r="J25" s="2165"/>
      <c r="K25" s="2132" t="s">
        <v>7</v>
      </c>
      <c r="L25" s="655"/>
      <c r="M25" s="45"/>
      <c r="N25" s="2167" t="e">
        <f t="shared" si="15"/>
        <v>#DIV/0!</v>
      </c>
      <c r="O25" s="655"/>
      <c r="P25" s="45"/>
      <c r="Q25" s="2167" t="e">
        <f t="shared" si="16"/>
        <v>#DIV/0!</v>
      </c>
      <c r="R25" s="655"/>
      <c r="S25" s="45"/>
      <c r="T25" s="2167" t="e">
        <f t="shared" si="17"/>
        <v>#DIV/0!</v>
      </c>
      <c r="U25" s="655">
        <v>1</v>
      </c>
      <c r="V25" s="45">
        <v>0</v>
      </c>
      <c r="W25" s="2167">
        <f t="shared" si="18"/>
        <v>0</v>
      </c>
      <c r="X25" s="655">
        <v>1</v>
      </c>
      <c r="Y25" s="45">
        <v>0</v>
      </c>
      <c r="Z25" s="2167">
        <f t="shared" si="19"/>
        <v>0</v>
      </c>
      <c r="AA25" s="655">
        <v>1</v>
      </c>
      <c r="AB25" s="45">
        <v>0</v>
      </c>
      <c r="AC25" s="2167">
        <f t="shared" si="20"/>
        <v>0</v>
      </c>
      <c r="AD25" s="45">
        <f>(+M25+P25+S25+V25+Y25+AB25)/6</f>
        <v>0</v>
      </c>
      <c r="AE25" s="2167">
        <f t="shared" si="30"/>
        <v>0</v>
      </c>
      <c r="AF25" s="655">
        <v>1</v>
      </c>
      <c r="AG25" s="45">
        <v>0</v>
      </c>
      <c r="AH25" s="2167">
        <f t="shared" si="22"/>
        <v>0</v>
      </c>
      <c r="AI25" s="655">
        <v>1</v>
      </c>
      <c r="AJ25" s="45">
        <v>0.1</v>
      </c>
      <c r="AK25" s="2167">
        <f t="shared" si="23"/>
        <v>0.1</v>
      </c>
      <c r="AL25" s="655">
        <v>1</v>
      </c>
      <c r="AM25" s="45">
        <v>0.2</v>
      </c>
      <c r="AN25" s="2167">
        <f t="shared" si="24"/>
        <v>0.2</v>
      </c>
      <c r="AO25" s="655">
        <v>1</v>
      </c>
      <c r="AP25" s="45">
        <v>0.3</v>
      </c>
      <c r="AQ25" s="2167">
        <f t="shared" si="25"/>
        <v>0.3</v>
      </c>
      <c r="AR25" s="655">
        <v>1</v>
      </c>
      <c r="AS25" s="45">
        <v>0.4</v>
      </c>
      <c r="AT25" s="2167">
        <f t="shared" si="26"/>
        <v>0.4</v>
      </c>
      <c r="AU25" s="655">
        <v>1</v>
      </c>
      <c r="AV25" s="45">
        <v>1.2</v>
      </c>
      <c r="AW25" s="2167">
        <f t="shared" si="27"/>
        <v>1.2</v>
      </c>
      <c r="AX25" s="655">
        <v>1.2</v>
      </c>
      <c r="AY25" s="2167">
        <f t="shared" si="29"/>
        <v>1.2</v>
      </c>
    </row>
    <row r="26" spans="1:51" s="2168" customFormat="1" ht="76.5" thickTop="1" thickBot="1">
      <c r="A26" s="2944"/>
      <c r="B26" s="3162"/>
      <c r="C26" s="3189"/>
      <c r="D26" s="627" t="s">
        <v>963</v>
      </c>
      <c r="E26" s="2132" t="s">
        <v>964</v>
      </c>
      <c r="F26" s="2132" t="s">
        <v>10</v>
      </c>
      <c r="G26" s="2164">
        <v>1</v>
      </c>
      <c r="H26" s="2165"/>
      <c r="I26" s="2166"/>
      <c r="J26" s="2165"/>
      <c r="K26" s="2132" t="s">
        <v>7</v>
      </c>
      <c r="L26" s="655"/>
      <c r="M26" s="45"/>
      <c r="N26" s="2167" t="e">
        <f t="shared" si="15"/>
        <v>#DIV/0!</v>
      </c>
      <c r="O26" s="655"/>
      <c r="P26" s="45"/>
      <c r="Q26" s="2167" t="e">
        <f t="shared" si="16"/>
        <v>#DIV/0!</v>
      </c>
      <c r="R26" s="655"/>
      <c r="S26" s="45"/>
      <c r="T26" s="2167" t="e">
        <f t="shared" si="17"/>
        <v>#DIV/0!</v>
      </c>
      <c r="U26" s="655"/>
      <c r="V26" s="45"/>
      <c r="W26" s="2167" t="e">
        <f t="shared" si="18"/>
        <v>#DIV/0!</v>
      </c>
      <c r="X26" s="655"/>
      <c r="Y26" s="45"/>
      <c r="Z26" s="2167" t="e">
        <f t="shared" si="19"/>
        <v>#DIV/0!</v>
      </c>
      <c r="AA26" s="655">
        <v>1</v>
      </c>
      <c r="AB26" s="45">
        <v>1</v>
      </c>
      <c r="AC26" s="2167">
        <f t="shared" si="20"/>
        <v>1</v>
      </c>
      <c r="AD26" s="45"/>
      <c r="AE26" s="2167">
        <f t="shared" si="30"/>
        <v>0</v>
      </c>
      <c r="AF26" s="655"/>
      <c r="AG26" s="45"/>
      <c r="AH26" s="2167" t="e">
        <f t="shared" si="22"/>
        <v>#DIV/0!</v>
      </c>
      <c r="AI26" s="655"/>
      <c r="AJ26" s="45"/>
      <c r="AK26" s="2167"/>
      <c r="AL26" s="655"/>
      <c r="AM26" s="45"/>
      <c r="AN26" s="2167" t="e">
        <f t="shared" si="24"/>
        <v>#DIV/0!</v>
      </c>
      <c r="AO26" s="655"/>
      <c r="AP26" s="45"/>
      <c r="AQ26" s="2167" t="e">
        <f t="shared" si="25"/>
        <v>#DIV/0!</v>
      </c>
      <c r="AR26" s="655"/>
      <c r="AS26" s="45"/>
      <c r="AT26" s="2167" t="e">
        <f t="shared" si="26"/>
        <v>#DIV/0!</v>
      </c>
      <c r="AU26" s="655"/>
      <c r="AV26" s="45"/>
      <c r="AW26" s="2167" t="e">
        <f t="shared" si="27"/>
        <v>#DIV/0!</v>
      </c>
      <c r="AX26" s="655">
        <v>1</v>
      </c>
      <c r="AY26" s="2167">
        <f t="shared" si="29"/>
        <v>1</v>
      </c>
    </row>
    <row r="27" spans="1:51" s="2142" customFormat="1" ht="226.5" thickTop="1" thickBot="1">
      <c r="A27" s="2945"/>
      <c r="B27" s="97" t="s">
        <v>137</v>
      </c>
      <c r="C27" s="2136" t="s">
        <v>965</v>
      </c>
      <c r="D27" s="2125" t="s">
        <v>227</v>
      </c>
      <c r="E27" s="2136" t="s">
        <v>139</v>
      </c>
      <c r="F27" s="2136" t="s">
        <v>101</v>
      </c>
      <c r="G27" s="2137">
        <f>+'[4]FIS-24'!$BC$16</f>
        <v>150000000</v>
      </c>
      <c r="H27" s="2141"/>
      <c r="I27" s="2139"/>
      <c r="J27" s="2141"/>
      <c r="K27" s="2136" t="s">
        <v>140</v>
      </c>
      <c r="L27" s="1692">
        <v>10000000</v>
      </c>
      <c r="M27" s="1693">
        <v>7947569</v>
      </c>
      <c r="N27" s="2126">
        <f t="shared" si="15"/>
        <v>0.79475689999999999</v>
      </c>
      <c r="O27" s="1692">
        <v>10000000</v>
      </c>
      <c r="P27" s="1693">
        <v>24991423</v>
      </c>
      <c r="Q27" s="2126">
        <f t="shared" si="16"/>
        <v>2.4991422999999999</v>
      </c>
      <c r="R27" s="1692">
        <v>10000000</v>
      </c>
      <c r="S27" s="1693">
        <v>13002715</v>
      </c>
      <c r="T27" s="2126">
        <f t="shared" si="17"/>
        <v>1.3002715</v>
      </c>
      <c r="U27" s="1692">
        <v>19833333</v>
      </c>
      <c r="V27" s="1693">
        <v>0</v>
      </c>
      <c r="W27" s="2126">
        <f t="shared" si="18"/>
        <v>0</v>
      </c>
      <c r="X27" s="1692">
        <v>19833333</v>
      </c>
      <c r="Y27" s="1693">
        <v>0</v>
      </c>
      <c r="Z27" s="2126">
        <f t="shared" si="19"/>
        <v>0</v>
      </c>
      <c r="AA27" s="1692">
        <v>19833333</v>
      </c>
      <c r="AB27" s="1693">
        <v>22309778</v>
      </c>
      <c r="AC27" s="2126">
        <f t="shared" si="20"/>
        <v>1.1248627752077778</v>
      </c>
      <c r="AD27" s="1693">
        <f t="shared" si="21"/>
        <v>68251485</v>
      </c>
      <c r="AE27" s="2126">
        <f t="shared" si="30"/>
        <v>0.45500990000000002</v>
      </c>
      <c r="AF27" s="1692">
        <v>19833333</v>
      </c>
      <c r="AG27" s="1693">
        <v>2394231</v>
      </c>
      <c r="AH27" s="2126">
        <f t="shared" si="22"/>
        <v>0.12071753144063078</v>
      </c>
      <c r="AI27" s="1692">
        <v>9353333.6400000006</v>
      </c>
      <c r="AJ27" s="1693">
        <v>7311124</v>
      </c>
      <c r="AK27" s="2126">
        <f t="shared" si="23"/>
        <v>0.78165970352363046</v>
      </c>
      <c r="AL27" s="1692">
        <v>9353333.6400000006</v>
      </c>
      <c r="AM27" s="1693">
        <v>37870667</v>
      </c>
      <c r="AN27" s="2126">
        <f t="shared" si="24"/>
        <v>4.0488951274061469</v>
      </c>
      <c r="AO27" s="1692">
        <v>9353333.6400000006</v>
      </c>
      <c r="AP27" s="1693">
        <v>45796662</v>
      </c>
      <c r="AQ27" s="2126">
        <f t="shared" si="25"/>
        <v>4.8962929969854043</v>
      </c>
      <c r="AR27" s="1692">
        <v>6303333.54</v>
      </c>
      <c r="AS27" s="1693">
        <v>21174794</v>
      </c>
      <c r="AT27" s="2126">
        <f t="shared" si="26"/>
        <v>3.3593008946183738</v>
      </c>
      <c r="AU27" s="1692">
        <v>6303333.54</v>
      </c>
      <c r="AV27" s="1693"/>
      <c r="AW27" s="2126">
        <f t="shared" si="27"/>
        <v>0</v>
      </c>
      <c r="AX27" s="1692">
        <f t="shared" si="28"/>
        <v>182798963</v>
      </c>
      <c r="AY27" s="2126">
        <f t="shared" si="29"/>
        <v>1.2186597533333334</v>
      </c>
    </row>
    <row r="28" spans="1:51" ht="22.5" thickTop="1" thickBot="1">
      <c r="A28" s="2904" t="s">
        <v>141</v>
      </c>
      <c r="B28" s="2904"/>
      <c r="C28" s="2904"/>
      <c r="D28" s="2904"/>
      <c r="E28" s="2904"/>
      <c r="F28" s="2904"/>
      <c r="G28" s="2904"/>
      <c r="H28" s="2904"/>
      <c r="I28" s="2904"/>
      <c r="J28" s="2904"/>
      <c r="K28" s="2904"/>
      <c r="L28" s="2169"/>
      <c r="M28" s="2170"/>
      <c r="N28" s="2170"/>
      <c r="O28" s="2170"/>
      <c r="P28" s="2170"/>
      <c r="Q28" s="2170"/>
      <c r="R28" s="2170"/>
      <c r="S28" s="2170"/>
      <c r="T28" s="2170"/>
      <c r="U28" s="2170"/>
      <c r="V28" s="2170"/>
      <c r="W28" s="2170"/>
      <c r="X28" s="2170"/>
      <c r="Y28" s="2170"/>
      <c r="Z28" s="2170"/>
      <c r="AA28" s="2170"/>
      <c r="AB28" s="2170"/>
      <c r="AC28" s="2170"/>
      <c r="AD28" s="2170"/>
      <c r="AE28" s="2170"/>
      <c r="AF28" s="2170"/>
      <c r="AG28" s="2170"/>
      <c r="AH28" s="2170"/>
      <c r="AI28" s="2170"/>
      <c r="AJ28" s="2170"/>
      <c r="AK28" s="2170"/>
      <c r="AL28" s="2170"/>
      <c r="AM28" s="2170"/>
      <c r="AN28" s="2170"/>
      <c r="AO28" s="2170"/>
      <c r="AP28" s="2170"/>
      <c r="AQ28" s="2170"/>
      <c r="AR28" s="2170"/>
      <c r="AS28" s="2170"/>
      <c r="AT28" s="2170"/>
      <c r="AU28" s="2170"/>
      <c r="AV28" s="2170"/>
      <c r="AW28" s="2170"/>
      <c r="AX28" s="2170"/>
      <c r="AY28" s="2171"/>
    </row>
    <row r="29" spans="1:51" s="2177" customFormat="1" ht="121.5" thickTop="1" thickBot="1">
      <c r="A29" s="3190" t="s">
        <v>181</v>
      </c>
      <c r="B29" s="3044" t="s">
        <v>143</v>
      </c>
      <c r="C29" s="76" t="s">
        <v>366</v>
      </c>
      <c r="D29" s="623" t="s">
        <v>144</v>
      </c>
      <c r="E29" s="76" t="s">
        <v>145</v>
      </c>
      <c r="F29" s="76" t="s">
        <v>17</v>
      </c>
      <c r="G29" s="637">
        <v>120</v>
      </c>
      <c r="H29" s="710"/>
      <c r="I29" s="2173"/>
      <c r="J29" s="710"/>
      <c r="K29" s="76" t="s">
        <v>146</v>
      </c>
      <c r="L29" s="2174">
        <v>0</v>
      </c>
      <c r="M29" s="2175"/>
      <c r="N29" s="2126" t="e">
        <f t="shared" si="15"/>
        <v>#DIV/0!</v>
      </c>
      <c r="O29" s="2174">
        <v>0</v>
      </c>
      <c r="P29" s="2175"/>
      <c r="Q29" s="2126" t="e">
        <f t="shared" si="16"/>
        <v>#DIV/0!</v>
      </c>
      <c r="R29" s="2174">
        <v>0</v>
      </c>
      <c r="S29" s="2175"/>
      <c r="T29" s="2126" t="e">
        <f t="shared" si="17"/>
        <v>#DIV/0!</v>
      </c>
      <c r="U29" s="2174">
        <v>24</v>
      </c>
      <c r="V29" s="2175">
        <v>0</v>
      </c>
      <c r="W29" s="2126">
        <f t="shared" si="18"/>
        <v>0</v>
      </c>
      <c r="X29" s="2174">
        <v>0</v>
      </c>
      <c r="Y29" s="2175"/>
      <c r="Z29" s="2126" t="e">
        <f t="shared" si="19"/>
        <v>#DIV/0!</v>
      </c>
      <c r="AA29" s="2174">
        <v>0</v>
      </c>
      <c r="AB29" s="2175"/>
      <c r="AC29" s="2126" t="e">
        <f t="shared" si="20"/>
        <v>#DIV/0!</v>
      </c>
      <c r="AD29" s="59">
        <f t="shared" si="21"/>
        <v>0</v>
      </c>
      <c r="AE29" s="2126">
        <f t="shared" si="30"/>
        <v>0</v>
      </c>
      <c r="AF29" s="2174">
        <v>0</v>
      </c>
      <c r="AG29" s="2175"/>
      <c r="AH29" s="2126" t="e">
        <f t="shared" si="22"/>
        <v>#DIV/0!</v>
      </c>
      <c r="AI29" s="2174">
        <v>36</v>
      </c>
      <c r="AJ29" s="2175">
        <v>0</v>
      </c>
      <c r="AK29" s="2126">
        <f t="shared" si="23"/>
        <v>0</v>
      </c>
      <c r="AL29" s="2174">
        <v>0</v>
      </c>
      <c r="AM29" s="2175">
        <v>11</v>
      </c>
      <c r="AN29" s="2126" t="e">
        <f t="shared" si="24"/>
        <v>#DIV/0!</v>
      </c>
      <c r="AO29" s="2174">
        <v>0</v>
      </c>
      <c r="AP29" s="2175">
        <v>30</v>
      </c>
      <c r="AQ29" s="2126" t="e">
        <f t="shared" si="25"/>
        <v>#DIV/0!</v>
      </c>
      <c r="AR29" s="2174">
        <v>0</v>
      </c>
      <c r="AS29" s="2175"/>
      <c r="AT29" s="2126" t="e">
        <f t="shared" si="26"/>
        <v>#DIV/0!</v>
      </c>
      <c r="AU29" s="2174">
        <v>60</v>
      </c>
      <c r="AV29" s="2175">
        <v>88</v>
      </c>
      <c r="AW29" s="2126">
        <f t="shared" si="27"/>
        <v>1.4666666666666666</v>
      </c>
      <c r="AX29" s="2176">
        <f t="shared" si="28"/>
        <v>129</v>
      </c>
      <c r="AY29" s="2126">
        <f t="shared" si="29"/>
        <v>1.075</v>
      </c>
    </row>
    <row r="30" spans="1:51" s="2178" customFormat="1" ht="76.5" thickTop="1" thickBot="1">
      <c r="A30" s="3190"/>
      <c r="B30" s="3046"/>
      <c r="C30" s="76" t="s">
        <v>665</v>
      </c>
      <c r="D30" s="623" t="s">
        <v>182</v>
      </c>
      <c r="E30" s="76" t="s">
        <v>149</v>
      </c>
      <c r="F30" s="78" t="s">
        <v>8</v>
      </c>
      <c r="G30" s="78">
        <v>10.199999999999999</v>
      </c>
      <c r="H30" s="710"/>
      <c r="I30" s="2173"/>
      <c r="J30" s="710"/>
      <c r="K30" s="76" t="s">
        <v>9</v>
      </c>
      <c r="L30" s="2174">
        <v>10.199999999999999</v>
      </c>
      <c r="M30" s="2175"/>
      <c r="N30" s="73"/>
      <c r="O30" s="2174">
        <v>10.199999999999999</v>
      </c>
      <c r="P30" s="2175">
        <v>28.67</v>
      </c>
      <c r="Q30" s="73">
        <v>0.35</v>
      </c>
      <c r="R30" s="2174">
        <v>10.199999999999999</v>
      </c>
      <c r="S30" s="2175"/>
      <c r="T30" s="73"/>
      <c r="U30" s="2174">
        <v>10.199999999999999</v>
      </c>
      <c r="V30" s="2175"/>
      <c r="W30" s="73"/>
      <c r="X30" s="2174">
        <v>10.199999999999999</v>
      </c>
      <c r="Y30" s="2175"/>
      <c r="Z30" s="73"/>
      <c r="AA30" s="2174">
        <v>10.199999999999999</v>
      </c>
      <c r="AB30" s="2175">
        <v>11.97</v>
      </c>
      <c r="AC30" s="73">
        <v>0.85</v>
      </c>
      <c r="AD30" s="28"/>
      <c r="AE30" s="73">
        <v>0.6</v>
      </c>
      <c r="AF30" s="2174">
        <v>10.199999999999999</v>
      </c>
      <c r="AG30" s="2175"/>
      <c r="AH30" s="73"/>
      <c r="AI30" s="2174">
        <v>10.199999999999999</v>
      </c>
      <c r="AJ30" s="2175"/>
      <c r="AK30" s="73"/>
      <c r="AL30" s="2174">
        <v>10.199999999999999</v>
      </c>
      <c r="AM30" s="2175">
        <v>14.67</v>
      </c>
      <c r="AN30" s="73">
        <f>+AL30/AM30</f>
        <v>0.69529652351738236</v>
      </c>
      <c r="AO30" s="2174">
        <v>10.199999999999999</v>
      </c>
      <c r="AP30" s="2175">
        <v>11.51</v>
      </c>
      <c r="AQ30" s="73">
        <v>0.87</v>
      </c>
      <c r="AR30" s="2174">
        <v>10.199999999999999</v>
      </c>
      <c r="AS30" s="2175"/>
      <c r="AT30" s="73"/>
      <c r="AU30" s="2174">
        <v>10.199999999999999</v>
      </c>
      <c r="AV30" s="2175"/>
      <c r="AW30" s="73"/>
      <c r="AX30" s="2174">
        <f>+(P30+AB30+AM30+AP30)/4</f>
        <v>16.705000000000002</v>
      </c>
      <c r="AY30" s="73">
        <f>+G30/AX30</f>
        <v>0.61059563005088291</v>
      </c>
    </row>
    <row r="31" spans="1:51" s="2184" customFormat="1" ht="114" thickTop="1" thickBot="1">
      <c r="A31" s="3190"/>
      <c r="B31" s="1169" t="s">
        <v>966</v>
      </c>
      <c r="C31" s="76" t="s">
        <v>367</v>
      </c>
      <c r="D31" s="2125" t="s">
        <v>152</v>
      </c>
      <c r="E31" s="76" t="s">
        <v>183</v>
      </c>
      <c r="F31" s="78" t="s">
        <v>17</v>
      </c>
      <c r="G31" s="2179">
        <v>37</v>
      </c>
      <c r="H31" s="2180"/>
      <c r="I31" s="2180"/>
      <c r="J31" s="2180"/>
      <c r="K31" s="2181" t="s">
        <v>21</v>
      </c>
      <c r="L31" s="2174">
        <v>37</v>
      </c>
      <c r="M31" s="2182">
        <v>37</v>
      </c>
      <c r="N31" s="2126">
        <v>1</v>
      </c>
      <c r="O31" s="2174">
        <v>37</v>
      </c>
      <c r="P31" s="2182">
        <v>40</v>
      </c>
      <c r="Q31" s="2126">
        <v>0.93</v>
      </c>
      <c r="R31" s="2174">
        <v>37</v>
      </c>
      <c r="S31" s="2182">
        <v>37</v>
      </c>
      <c r="T31" s="2126">
        <v>1</v>
      </c>
      <c r="U31" s="2174">
        <v>37</v>
      </c>
      <c r="V31" s="2182">
        <v>23</v>
      </c>
      <c r="W31" s="2126">
        <v>1.61</v>
      </c>
      <c r="X31" s="2174">
        <v>37</v>
      </c>
      <c r="Y31" s="2182">
        <v>12</v>
      </c>
      <c r="Z31" s="2126">
        <v>3.08</v>
      </c>
      <c r="AA31" s="2174">
        <v>37</v>
      </c>
      <c r="AB31" s="2182">
        <v>12</v>
      </c>
      <c r="AC31" s="2126">
        <v>3.08</v>
      </c>
      <c r="AD31" s="59">
        <v>161</v>
      </c>
      <c r="AE31" s="2126">
        <v>1.38</v>
      </c>
      <c r="AF31" s="2174">
        <v>37</v>
      </c>
      <c r="AG31" s="2182">
        <v>13</v>
      </c>
      <c r="AH31" s="2126">
        <v>2.84</v>
      </c>
      <c r="AI31" s="2174">
        <v>37</v>
      </c>
      <c r="AJ31" s="2182">
        <v>13</v>
      </c>
      <c r="AK31" s="2126">
        <v>2.84</v>
      </c>
      <c r="AL31" s="2174">
        <v>37</v>
      </c>
      <c r="AM31" s="2182">
        <v>12</v>
      </c>
      <c r="AN31" s="2126">
        <v>3.08</v>
      </c>
      <c r="AO31" s="2174">
        <v>37</v>
      </c>
      <c r="AP31" s="2182">
        <v>25</v>
      </c>
      <c r="AQ31" s="2126">
        <v>1.48</v>
      </c>
      <c r="AR31" s="2174">
        <v>37</v>
      </c>
      <c r="AS31" s="2182">
        <v>37</v>
      </c>
      <c r="AT31" s="2126">
        <v>1</v>
      </c>
      <c r="AU31" s="2174">
        <v>37</v>
      </c>
      <c r="AV31" s="2182">
        <v>37</v>
      </c>
      <c r="AW31" s="2126">
        <v>1</v>
      </c>
      <c r="AX31" s="2183">
        <f>+(M31+P31+S31+V31+Y31+AB31+AG31+AJ31+AM31+AP31+AS31+AV31)/12</f>
        <v>24.833333333333332</v>
      </c>
      <c r="AY31" s="2126">
        <f>+G31/AX31</f>
        <v>1.4899328859060403</v>
      </c>
    </row>
    <row r="32" spans="1:5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1040"/>
      <c r="O32" s="1040"/>
      <c r="P32" s="1040"/>
      <c r="Q32" s="1040"/>
      <c r="R32" s="1040"/>
      <c r="S32" s="1040"/>
      <c r="T32" s="1040"/>
      <c r="U32" s="1040"/>
      <c r="V32" s="1040"/>
      <c r="W32" s="1040"/>
      <c r="X32" s="1040"/>
      <c r="Y32" s="1040"/>
      <c r="Z32" s="1040"/>
      <c r="AA32" s="1040"/>
      <c r="AB32" s="1040"/>
      <c r="AC32" s="1040"/>
      <c r="AD32" s="1040"/>
      <c r="AE32" s="1040"/>
      <c r="AF32" s="1040"/>
      <c r="AG32" s="1040"/>
      <c r="AH32" s="1040"/>
      <c r="AI32" s="1040"/>
      <c r="AJ32" s="1040"/>
      <c r="AK32" s="1040"/>
      <c r="AL32" s="1040"/>
      <c r="AM32" s="1040"/>
      <c r="AN32" s="1040"/>
      <c r="AO32" s="1040"/>
      <c r="AP32" s="1040"/>
      <c r="AQ32" s="1040"/>
      <c r="AR32" s="1040"/>
      <c r="AS32" s="1040"/>
      <c r="AT32" s="1040"/>
      <c r="AU32" s="1040"/>
      <c r="AV32" s="1040"/>
      <c r="AW32" s="1040"/>
      <c r="AX32" s="1040"/>
      <c r="AY32" s="1041"/>
    </row>
    <row r="33" spans="1:51" s="2188" customFormat="1" ht="127.5" thickTop="1" thickBot="1">
      <c r="A33" s="100" t="s">
        <v>155</v>
      </c>
      <c r="B33" s="1101" t="s">
        <v>156</v>
      </c>
      <c r="C33" s="1106" t="s">
        <v>184</v>
      </c>
      <c r="D33" s="1107" t="s">
        <v>158</v>
      </c>
      <c r="E33" s="1106" t="s">
        <v>159</v>
      </c>
      <c r="F33" s="1106" t="s">
        <v>17</v>
      </c>
      <c r="G33" s="1108">
        <v>10</v>
      </c>
      <c r="H33" s="1106"/>
      <c r="I33" s="1108"/>
      <c r="J33" s="1106"/>
      <c r="K33" s="72" t="s">
        <v>27</v>
      </c>
      <c r="L33" s="2185">
        <v>0</v>
      </c>
      <c r="M33" s="2186"/>
      <c r="N33" s="73" t="e">
        <f t="shared" si="15"/>
        <v>#DIV/0!</v>
      </c>
      <c r="O33" s="2185">
        <v>0</v>
      </c>
      <c r="P33" s="2186"/>
      <c r="Q33" s="73" t="e">
        <f t="shared" si="16"/>
        <v>#DIV/0!</v>
      </c>
      <c r="R33" s="2185">
        <v>0</v>
      </c>
      <c r="S33" s="2186"/>
      <c r="T33" s="73" t="e">
        <f t="shared" si="17"/>
        <v>#DIV/0!</v>
      </c>
      <c r="U33" s="2185">
        <v>0</v>
      </c>
      <c r="V33" s="2186"/>
      <c r="W33" s="73" t="e">
        <f t="shared" si="18"/>
        <v>#DIV/0!</v>
      </c>
      <c r="X33" s="2185">
        <v>2</v>
      </c>
      <c r="Y33" s="2186">
        <v>2</v>
      </c>
      <c r="Z33" s="73">
        <f t="shared" si="19"/>
        <v>1</v>
      </c>
      <c r="AA33" s="2185">
        <v>0</v>
      </c>
      <c r="AB33" s="2186"/>
      <c r="AC33" s="73" t="e">
        <f t="shared" si="20"/>
        <v>#DIV/0!</v>
      </c>
      <c r="AD33" s="28">
        <f>+Y33</f>
        <v>2</v>
      </c>
      <c r="AE33" s="73">
        <f t="shared" ref="AE33" si="31">+AD33/G33</f>
        <v>0.2</v>
      </c>
      <c r="AF33" s="2185">
        <v>1</v>
      </c>
      <c r="AG33" s="2186">
        <v>1</v>
      </c>
      <c r="AH33" s="73">
        <f t="shared" si="22"/>
        <v>1</v>
      </c>
      <c r="AI33" s="2185">
        <v>3</v>
      </c>
      <c r="AJ33" s="2186">
        <v>3</v>
      </c>
      <c r="AK33" s="73">
        <f t="shared" si="23"/>
        <v>1</v>
      </c>
      <c r="AL33" s="2185">
        <v>1</v>
      </c>
      <c r="AM33" s="2186">
        <v>1</v>
      </c>
      <c r="AN33" s="73">
        <f t="shared" si="24"/>
        <v>1</v>
      </c>
      <c r="AO33" s="2185">
        <v>3</v>
      </c>
      <c r="AP33" s="2186">
        <v>3</v>
      </c>
      <c r="AQ33" s="73">
        <f t="shared" si="25"/>
        <v>1</v>
      </c>
      <c r="AR33" s="2185">
        <v>0</v>
      </c>
      <c r="AS33" s="2186"/>
      <c r="AT33" s="73" t="e">
        <f t="shared" si="26"/>
        <v>#DIV/0!</v>
      </c>
      <c r="AU33" s="2185">
        <v>0</v>
      </c>
      <c r="AV33" s="2186"/>
      <c r="AW33" s="73" t="e">
        <f t="shared" si="27"/>
        <v>#DIV/0!</v>
      </c>
      <c r="AX33" s="2187">
        <f>+AP33+AM33+AJ33+AG33+Y33</f>
        <v>10</v>
      </c>
      <c r="AY33" s="73">
        <f t="shared" si="29"/>
        <v>1</v>
      </c>
    </row>
    <row r="34" spans="1:51" ht="17.25" thickTop="1"/>
  </sheetData>
  <sheetProtection algorithmName="SHA-512" hashValue="Wtu5b9vmBoNyKAvmcsnYXe7hXFiY++xI+WQAcXU1McaGe5HaN/5nQkMXpDkvCfAcVwuqMzWYXkIDjGVRuIQmxg==" saltValue="743HCxJCaZMuch8CYNVmJA==" spinCount="100000" sheet="1" objects="1" scenarios="1"/>
  <mergeCells count="36">
    <mergeCell ref="A28:K28"/>
    <mergeCell ref="A29:A31"/>
    <mergeCell ref="B29:B30"/>
    <mergeCell ref="A32:K32"/>
    <mergeCell ref="AO5:AQ7"/>
    <mergeCell ref="K5:K7"/>
    <mergeCell ref="L5:N7"/>
    <mergeCell ref="O5:Q7"/>
    <mergeCell ref="R5:T7"/>
    <mergeCell ref="U5:W7"/>
    <mergeCell ref="AR5:AT7"/>
    <mergeCell ref="AU5:AW7"/>
    <mergeCell ref="AX5:AY7"/>
    <mergeCell ref="A8:K8"/>
    <mergeCell ref="A9:A27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C1:K1"/>
    <mergeCell ref="A2:K2"/>
    <mergeCell ref="A3:K3"/>
    <mergeCell ref="A5:A7"/>
    <mergeCell ref="B5:B7"/>
    <mergeCell ref="C5:C7"/>
    <mergeCell ref="D5:D7"/>
    <mergeCell ref="E5:E7"/>
    <mergeCell ref="F5:F7"/>
    <mergeCell ref="G5:G7"/>
  </mergeCells>
  <conditionalFormatting sqref="N9:N10 N12:N27">
    <cfRule type="cellIs" dxfId="4299" priority="201" operator="greaterThan">
      <formula>110%</formula>
    </cfRule>
    <cfRule type="cellIs" dxfId="4298" priority="202" operator="between">
      <formula>100.001%</formula>
      <formula>110%</formula>
    </cfRule>
    <cfRule type="cellIs" dxfId="4297" priority="203" operator="between">
      <formula>70.001%</formula>
      <formula>100%</formula>
    </cfRule>
    <cfRule type="cellIs" dxfId="4296" priority="204" operator="between">
      <formula>0.00001%</formula>
      <formula>70%</formula>
    </cfRule>
    <cfRule type="cellIs" dxfId="4295" priority="205" operator="equal">
      <formula>0</formula>
    </cfRule>
  </conditionalFormatting>
  <conditionalFormatting sqref="N33 N29:N31">
    <cfRule type="cellIs" dxfId="4294" priority="196" operator="greaterThan">
      <formula>110%</formula>
    </cfRule>
    <cfRule type="cellIs" dxfId="4293" priority="197" operator="between">
      <formula>100.001%</formula>
      <formula>110%</formula>
    </cfRule>
    <cfRule type="cellIs" dxfId="4292" priority="198" operator="between">
      <formula>70.001%</formula>
      <formula>100%</formula>
    </cfRule>
    <cfRule type="cellIs" dxfId="4291" priority="199" operator="between">
      <formula>0.00001%</formula>
      <formula>70%</formula>
    </cfRule>
    <cfRule type="cellIs" dxfId="4290" priority="200" operator="equal">
      <formula>0</formula>
    </cfRule>
  </conditionalFormatting>
  <conditionalFormatting sqref="Q9:Q10 Q12:Q27">
    <cfRule type="cellIs" dxfId="4289" priority="191" operator="greaterThan">
      <formula>110%</formula>
    </cfRule>
    <cfRule type="cellIs" dxfId="4288" priority="192" operator="between">
      <formula>100.001%</formula>
      <formula>110%</formula>
    </cfRule>
    <cfRule type="cellIs" dxfId="4287" priority="193" operator="between">
      <formula>70.001%</formula>
      <formula>100%</formula>
    </cfRule>
    <cfRule type="cellIs" dxfId="4286" priority="194" operator="between">
      <formula>0.00001%</formula>
      <formula>70%</formula>
    </cfRule>
    <cfRule type="cellIs" dxfId="4285" priority="195" operator="equal">
      <formula>0</formula>
    </cfRule>
  </conditionalFormatting>
  <conditionalFormatting sqref="Q29:Q31 Q33">
    <cfRule type="cellIs" dxfId="4284" priority="186" operator="greaterThan">
      <formula>110%</formula>
    </cfRule>
    <cfRule type="cellIs" dxfId="4283" priority="187" operator="between">
      <formula>100.001%</formula>
      <formula>110%</formula>
    </cfRule>
    <cfRule type="cellIs" dxfId="4282" priority="188" operator="between">
      <formula>70.001%</formula>
      <formula>100%</formula>
    </cfRule>
    <cfRule type="cellIs" dxfId="4281" priority="189" operator="between">
      <formula>0.00001%</formula>
      <formula>70%</formula>
    </cfRule>
    <cfRule type="cellIs" dxfId="4280" priority="190" operator="equal">
      <formula>0</formula>
    </cfRule>
  </conditionalFormatting>
  <conditionalFormatting sqref="T9:T10 T12:T27">
    <cfRule type="cellIs" dxfId="4279" priority="181" operator="greaterThan">
      <formula>110%</formula>
    </cfRule>
    <cfRule type="cellIs" dxfId="4278" priority="182" operator="between">
      <formula>100.001%</formula>
      <formula>110%</formula>
    </cfRule>
    <cfRule type="cellIs" dxfId="4277" priority="183" operator="between">
      <formula>70.001%</formula>
      <formula>100%</formula>
    </cfRule>
    <cfRule type="cellIs" dxfId="4276" priority="184" operator="between">
      <formula>0.00001%</formula>
      <formula>70%</formula>
    </cfRule>
    <cfRule type="cellIs" dxfId="4275" priority="185" operator="equal">
      <formula>0</formula>
    </cfRule>
  </conditionalFormatting>
  <conditionalFormatting sqref="T33 T29:T31">
    <cfRule type="cellIs" dxfId="4274" priority="176" operator="greaterThan">
      <formula>110%</formula>
    </cfRule>
    <cfRule type="cellIs" dxfId="4273" priority="177" operator="between">
      <formula>100.001%</formula>
      <formula>110%</formula>
    </cfRule>
    <cfRule type="cellIs" dxfId="4272" priority="178" operator="between">
      <formula>70.001%</formula>
      <formula>100%</formula>
    </cfRule>
    <cfRule type="cellIs" dxfId="4271" priority="179" operator="between">
      <formula>0.00001%</formula>
      <formula>70%</formula>
    </cfRule>
    <cfRule type="cellIs" dxfId="4270" priority="180" operator="equal">
      <formula>0</formula>
    </cfRule>
  </conditionalFormatting>
  <conditionalFormatting sqref="W9:W10 W12:W27">
    <cfRule type="cellIs" dxfId="4269" priority="171" operator="greaterThan">
      <formula>110%</formula>
    </cfRule>
    <cfRule type="cellIs" dxfId="4268" priority="172" operator="between">
      <formula>100.001%</formula>
      <formula>110%</formula>
    </cfRule>
    <cfRule type="cellIs" dxfId="4267" priority="173" operator="between">
      <formula>70.001%</formula>
      <formula>100%</formula>
    </cfRule>
    <cfRule type="cellIs" dxfId="4266" priority="174" operator="between">
      <formula>0.00001%</formula>
      <formula>70%</formula>
    </cfRule>
    <cfRule type="cellIs" dxfId="4265" priority="175" operator="equal">
      <formula>0</formula>
    </cfRule>
  </conditionalFormatting>
  <conditionalFormatting sqref="W33 W29:W31">
    <cfRule type="cellIs" dxfId="4264" priority="166" operator="greaterThan">
      <formula>110%</formula>
    </cfRule>
    <cfRule type="cellIs" dxfId="4263" priority="167" operator="between">
      <formula>100.001%</formula>
      <formula>110%</formula>
    </cfRule>
    <cfRule type="cellIs" dxfId="4262" priority="168" operator="between">
      <formula>70.001%</formula>
      <formula>100%</formula>
    </cfRule>
    <cfRule type="cellIs" dxfId="4261" priority="169" operator="between">
      <formula>0.00001%</formula>
      <formula>70%</formula>
    </cfRule>
    <cfRule type="cellIs" dxfId="4260" priority="170" operator="equal">
      <formula>0</formula>
    </cfRule>
  </conditionalFormatting>
  <conditionalFormatting sqref="Z9:Z10 Z12:Z27">
    <cfRule type="cellIs" dxfId="4259" priority="161" operator="greaterThan">
      <formula>110%</formula>
    </cfRule>
    <cfRule type="cellIs" dxfId="4258" priority="162" operator="between">
      <formula>100.001%</formula>
      <formula>110%</formula>
    </cfRule>
    <cfRule type="cellIs" dxfId="4257" priority="163" operator="between">
      <formula>70.001%</formula>
      <formula>100%</formula>
    </cfRule>
    <cfRule type="cellIs" dxfId="4256" priority="164" operator="between">
      <formula>0.00001%</formula>
      <formula>70%</formula>
    </cfRule>
    <cfRule type="cellIs" dxfId="4255" priority="165" operator="equal">
      <formula>0</formula>
    </cfRule>
  </conditionalFormatting>
  <conditionalFormatting sqref="Z33 Z29:Z31">
    <cfRule type="cellIs" dxfId="4254" priority="156" operator="greaterThan">
      <formula>110%</formula>
    </cfRule>
    <cfRule type="cellIs" dxfId="4253" priority="157" operator="between">
      <formula>100.001%</formula>
      <formula>110%</formula>
    </cfRule>
    <cfRule type="cellIs" dxfId="4252" priority="158" operator="between">
      <formula>70.001%</formula>
      <formula>100%</formula>
    </cfRule>
    <cfRule type="cellIs" dxfId="4251" priority="159" operator="between">
      <formula>0.00001%</formula>
      <formula>70%</formula>
    </cfRule>
    <cfRule type="cellIs" dxfId="4250" priority="160" operator="equal">
      <formula>0</formula>
    </cfRule>
  </conditionalFormatting>
  <conditionalFormatting sqref="AC9:AC10 AC12:AC27">
    <cfRule type="cellIs" dxfId="4249" priority="151" operator="greaterThan">
      <formula>110%</formula>
    </cfRule>
    <cfRule type="cellIs" dxfId="4248" priority="152" operator="between">
      <formula>100.001%</formula>
      <formula>110%</formula>
    </cfRule>
    <cfRule type="cellIs" dxfId="4247" priority="153" operator="between">
      <formula>70.001%</formula>
      <formula>100%</formula>
    </cfRule>
    <cfRule type="cellIs" dxfId="4246" priority="154" operator="between">
      <formula>0.00001%</formula>
      <formula>70%</formula>
    </cfRule>
    <cfRule type="cellIs" dxfId="4245" priority="155" operator="equal">
      <formula>0</formula>
    </cfRule>
  </conditionalFormatting>
  <conditionalFormatting sqref="AC33 AC29:AC31">
    <cfRule type="cellIs" dxfId="4244" priority="146" operator="greaterThan">
      <formula>110%</formula>
    </cfRule>
    <cfRule type="cellIs" dxfId="4243" priority="147" operator="between">
      <formula>100.001%</formula>
      <formula>110%</formula>
    </cfRule>
    <cfRule type="cellIs" dxfId="4242" priority="148" operator="between">
      <formula>70.001%</formula>
      <formula>100%</formula>
    </cfRule>
    <cfRule type="cellIs" dxfId="4241" priority="149" operator="between">
      <formula>0.00001%</formula>
      <formula>70%</formula>
    </cfRule>
    <cfRule type="cellIs" dxfId="4240" priority="150" operator="equal">
      <formula>0</formula>
    </cfRule>
  </conditionalFormatting>
  <conditionalFormatting sqref="AE9:AE10 AE33 AE29:AE31 AE12:AE27">
    <cfRule type="cellIs" dxfId="4239" priority="141" operator="greaterThan">
      <formula>110%</formula>
    </cfRule>
    <cfRule type="cellIs" dxfId="4238" priority="142" operator="between">
      <formula>100.001%</formula>
      <formula>110%</formula>
    </cfRule>
    <cfRule type="cellIs" dxfId="4237" priority="143" operator="between">
      <formula>70.001%</formula>
      <formula>100%</formula>
    </cfRule>
    <cfRule type="cellIs" dxfId="4236" priority="144" operator="between">
      <formula>0.00001%</formula>
      <formula>70%</formula>
    </cfRule>
    <cfRule type="cellIs" dxfId="4235" priority="145" operator="equal">
      <formula>0</formula>
    </cfRule>
  </conditionalFormatting>
  <conditionalFormatting sqref="AH9:AH10 AH12:AH27">
    <cfRule type="cellIs" dxfId="4234" priority="136" operator="greaterThan">
      <formula>110%</formula>
    </cfRule>
    <cfRule type="cellIs" dxfId="4233" priority="137" operator="between">
      <formula>100.001%</formula>
      <formula>110%</formula>
    </cfRule>
    <cfRule type="cellIs" dxfId="4232" priority="138" operator="between">
      <formula>70.001%</formula>
      <formula>100%</formula>
    </cfRule>
    <cfRule type="cellIs" dxfId="4231" priority="139" operator="between">
      <formula>0.00001%</formula>
      <formula>70%</formula>
    </cfRule>
    <cfRule type="cellIs" dxfId="4230" priority="140" operator="equal">
      <formula>0</formula>
    </cfRule>
  </conditionalFormatting>
  <conditionalFormatting sqref="AH33 AH29:AH31">
    <cfRule type="cellIs" dxfId="4229" priority="131" operator="greaterThan">
      <formula>110%</formula>
    </cfRule>
    <cfRule type="cellIs" dxfId="4228" priority="132" operator="between">
      <formula>100.001%</formula>
      <formula>110%</formula>
    </cfRule>
    <cfRule type="cellIs" dxfId="4227" priority="133" operator="between">
      <formula>70.001%</formula>
      <formula>100%</formula>
    </cfRule>
    <cfRule type="cellIs" dxfId="4226" priority="134" operator="between">
      <formula>0.00001%</formula>
      <formula>70%</formula>
    </cfRule>
    <cfRule type="cellIs" dxfId="4225" priority="135" operator="equal">
      <formula>0</formula>
    </cfRule>
  </conditionalFormatting>
  <conditionalFormatting sqref="AK9:AK10 AK12:AK27">
    <cfRule type="cellIs" dxfId="4224" priority="126" operator="greaterThan">
      <formula>110%</formula>
    </cfRule>
    <cfRule type="cellIs" dxfId="4223" priority="127" operator="between">
      <formula>100.001%</formula>
      <formula>110%</formula>
    </cfRule>
    <cfRule type="cellIs" dxfId="4222" priority="128" operator="between">
      <formula>70.001%</formula>
      <formula>100%</formula>
    </cfRule>
    <cfRule type="cellIs" dxfId="4221" priority="129" operator="between">
      <formula>0.00001%</formula>
      <formula>70%</formula>
    </cfRule>
    <cfRule type="cellIs" dxfId="4220" priority="130" operator="equal">
      <formula>0</formula>
    </cfRule>
  </conditionalFormatting>
  <conditionalFormatting sqref="AK33 AK29:AK31">
    <cfRule type="cellIs" dxfId="4219" priority="121" operator="greaterThan">
      <formula>110%</formula>
    </cfRule>
    <cfRule type="cellIs" dxfId="4218" priority="122" operator="between">
      <formula>100.001%</formula>
      <formula>110%</formula>
    </cfRule>
    <cfRule type="cellIs" dxfId="4217" priority="123" operator="between">
      <formula>70.001%</formula>
      <formula>100%</formula>
    </cfRule>
    <cfRule type="cellIs" dxfId="4216" priority="124" operator="between">
      <formula>0.00001%</formula>
      <formula>70%</formula>
    </cfRule>
    <cfRule type="cellIs" dxfId="4215" priority="125" operator="equal">
      <formula>0</formula>
    </cfRule>
  </conditionalFormatting>
  <conditionalFormatting sqref="AN9:AN10 AN12:AN27">
    <cfRule type="cellIs" dxfId="4214" priority="116" operator="greaterThan">
      <formula>110%</formula>
    </cfRule>
    <cfRule type="cellIs" dxfId="4213" priority="117" operator="between">
      <formula>100.001%</formula>
      <formula>110%</formula>
    </cfRule>
    <cfRule type="cellIs" dxfId="4212" priority="118" operator="between">
      <formula>70.001%</formula>
      <formula>100%</formula>
    </cfRule>
    <cfRule type="cellIs" dxfId="4211" priority="119" operator="between">
      <formula>0.00001%</formula>
      <formula>70%</formula>
    </cfRule>
    <cfRule type="cellIs" dxfId="4210" priority="120" operator="equal">
      <formula>0</formula>
    </cfRule>
  </conditionalFormatting>
  <conditionalFormatting sqref="AN33 AN29:AN31">
    <cfRule type="cellIs" dxfId="4209" priority="111" operator="greaterThan">
      <formula>110%</formula>
    </cfRule>
    <cfRule type="cellIs" dxfId="4208" priority="112" operator="between">
      <formula>100.001%</formula>
      <formula>110%</formula>
    </cfRule>
    <cfRule type="cellIs" dxfId="4207" priority="113" operator="between">
      <formula>70.001%</formula>
      <formula>100%</formula>
    </cfRule>
    <cfRule type="cellIs" dxfId="4206" priority="114" operator="between">
      <formula>0.00001%</formula>
      <formula>70%</formula>
    </cfRule>
    <cfRule type="cellIs" dxfId="4205" priority="115" operator="equal">
      <formula>0</formula>
    </cfRule>
  </conditionalFormatting>
  <conditionalFormatting sqref="AQ9:AQ10 AQ12:AQ27">
    <cfRule type="cellIs" dxfId="4204" priority="106" operator="greaterThan">
      <formula>110%</formula>
    </cfRule>
    <cfRule type="cellIs" dxfId="4203" priority="107" operator="between">
      <formula>100.001%</formula>
      <formula>110%</formula>
    </cfRule>
    <cfRule type="cellIs" dxfId="4202" priority="108" operator="between">
      <formula>70.001%</formula>
      <formula>100%</formula>
    </cfRule>
    <cfRule type="cellIs" dxfId="4201" priority="109" operator="between">
      <formula>0.00001%</formula>
      <formula>70%</formula>
    </cfRule>
    <cfRule type="cellIs" dxfId="4200" priority="110" operator="equal">
      <formula>0</formula>
    </cfRule>
  </conditionalFormatting>
  <conditionalFormatting sqref="AQ33 AQ29:AQ31">
    <cfRule type="cellIs" dxfId="4199" priority="101" operator="greaterThan">
      <formula>110%</formula>
    </cfRule>
    <cfRule type="cellIs" dxfId="4198" priority="102" operator="between">
      <formula>100.001%</formula>
      <formula>110%</formula>
    </cfRule>
    <cfRule type="cellIs" dxfId="4197" priority="103" operator="between">
      <formula>70.001%</formula>
      <formula>100%</formula>
    </cfRule>
    <cfRule type="cellIs" dxfId="4196" priority="104" operator="between">
      <formula>0.00001%</formula>
      <formula>70%</formula>
    </cfRule>
    <cfRule type="cellIs" dxfId="4195" priority="105" operator="equal">
      <formula>0</formula>
    </cfRule>
  </conditionalFormatting>
  <conditionalFormatting sqref="AT9:AT10 AT12:AT27">
    <cfRule type="cellIs" dxfId="4194" priority="96" operator="greaterThan">
      <formula>110%</formula>
    </cfRule>
    <cfRule type="cellIs" dxfId="4193" priority="97" operator="between">
      <formula>100.001%</formula>
      <formula>110%</formula>
    </cfRule>
    <cfRule type="cellIs" dxfId="4192" priority="98" operator="between">
      <formula>70.001%</formula>
      <formula>100%</formula>
    </cfRule>
    <cfRule type="cellIs" dxfId="4191" priority="99" operator="between">
      <formula>0.00001%</formula>
      <formula>70%</formula>
    </cfRule>
    <cfRule type="cellIs" dxfId="4190" priority="100" operator="equal">
      <formula>0</formula>
    </cfRule>
  </conditionalFormatting>
  <conditionalFormatting sqref="AT33 AT29:AT31">
    <cfRule type="cellIs" dxfId="4189" priority="91" operator="greaterThan">
      <formula>110%</formula>
    </cfRule>
    <cfRule type="cellIs" dxfId="4188" priority="92" operator="between">
      <formula>100.001%</formula>
      <formula>110%</formula>
    </cfRule>
    <cfRule type="cellIs" dxfId="4187" priority="93" operator="between">
      <formula>70.001%</formula>
      <formula>100%</formula>
    </cfRule>
    <cfRule type="cellIs" dxfId="4186" priority="94" operator="between">
      <formula>0.00001%</formula>
      <formula>70%</formula>
    </cfRule>
    <cfRule type="cellIs" dxfId="4185" priority="95" operator="equal">
      <formula>0</formula>
    </cfRule>
  </conditionalFormatting>
  <conditionalFormatting sqref="AW9:AW10 AW12:AW27">
    <cfRule type="cellIs" dxfId="4184" priority="86" operator="greaterThan">
      <formula>110%</formula>
    </cfRule>
    <cfRule type="cellIs" dxfId="4183" priority="87" operator="between">
      <formula>100.001%</formula>
      <formula>110%</formula>
    </cfRule>
    <cfRule type="cellIs" dxfId="4182" priority="88" operator="between">
      <formula>70.001%</formula>
      <formula>100%</formula>
    </cfRule>
    <cfRule type="cellIs" dxfId="4181" priority="89" operator="between">
      <formula>0.00001%</formula>
      <formula>70%</formula>
    </cfRule>
    <cfRule type="cellIs" dxfId="4180" priority="90" operator="equal">
      <formula>0</formula>
    </cfRule>
  </conditionalFormatting>
  <conditionalFormatting sqref="AW33 AW29:AW31">
    <cfRule type="cellIs" dxfId="4179" priority="81" operator="greaterThan">
      <formula>110%</formula>
    </cfRule>
    <cfRule type="cellIs" dxfId="4178" priority="82" operator="between">
      <formula>100.001%</formula>
      <formula>110%</formula>
    </cfRule>
    <cfRule type="cellIs" dxfId="4177" priority="83" operator="between">
      <formula>70.001%</formula>
      <formula>100%</formula>
    </cfRule>
    <cfRule type="cellIs" dxfId="4176" priority="84" operator="between">
      <formula>0.00001%</formula>
      <formula>70%</formula>
    </cfRule>
    <cfRule type="cellIs" dxfId="4175" priority="85" operator="equal">
      <formula>0</formula>
    </cfRule>
  </conditionalFormatting>
  <conditionalFormatting sqref="AY9:AY10 AY12:AY27">
    <cfRule type="cellIs" dxfId="4174" priority="76" operator="greaterThan">
      <formula>110%</formula>
    </cfRule>
    <cfRule type="cellIs" dxfId="4173" priority="77" operator="between">
      <formula>100.001%</formula>
      <formula>110%</formula>
    </cfRule>
    <cfRule type="cellIs" dxfId="4172" priority="78" operator="between">
      <formula>70.001%</formula>
      <formula>100%</formula>
    </cfRule>
    <cfRule type="cellIs" dxfId="4171" priority="79" operator="between">
      <formula>0.00001%</formula>
      <formula>70%</formula>
    </cfRule>
    <cfRule type="cellIs" dxfId="4170" priority="80" operator="equal">
      <formula>0</formula>
    </cfRule>
  </conditionalFormatting>
  <conditionalFormatting sqref="AY33 AY29:AY31">
    <cfRule type="cellIs" dxfId="4169" priority="71" operator="greaterThan">
      <formula>110%</formula>
    </cfRule>
    <cfRule type="cellIs" dxfId="4168" priority="72" operator="between">
      <formula>100.001%</formula>
      <formula>110%</formula>
    </cfRule>
    <cfRule type="cellIs" dxfId="4167" priority="73" operator="between">
      <formula>70.001%</formula>
      <formula>100%</formula>
    </cfRule>
    <cfRule type="cellIs" dxfId="4166" priority="74" operator="between">
      <formula>0.00001%</formula>
      <formula>70%</formula>
    </cfRule>
    <cfRule type="cellIs" dxfId="4165" priority="75" operator="equal">
      <formula>0</formula>
    </cfRule>
  </conditionalFormatting>
  <conditionalFormatting sqref="N11">
    <cfRule type="cellIs" dxfId="4164" priority="66" operator="greaterThan">
      <formula>110%</formula>
    </cfRule>
    <cfRule type="cellIs" dxfId="4163" priority="67" operator="between">
      <formula>100.001%</formula>
      <formula>110%</formula>
    </cfRule>
    <cfRule type="cellIs" dxfId="4162" priority="68" operator="between">
      <formula>70.001%</formula>
      <formula>100%</formula>
    </cfRule>
    <cfRule type="cellIs" dxfId="4161" priority="69" operator="between">
      <formula>0.00001%</formula>
      <formula>70%</formula>
    </cfRule>
    <cfRule type="cellIs" dxfId="4160" priority="70" operator="equal">
      <formula>0</formula>
    </cfRule>
  </conditionalFormatting>
  <conditionalFormatting sqref="Q11">
    <cfRule type="cellIs" dxfId="4159" priority="61" operator="greaterThan">
      <formula>110%</formula>
    </cfRule>
    <cfRule type="cellIs" dxfId="4158" priority="62" operator="between">
      <formula>100.001%</formula>
      <formula>110%</formula>
    </cfRule>
    <cfRule type="cellIs" dxfId="4157" priority="63" operator="between">
      <formula>70.001%</formula>
      <formula>100%</formula>
    </cfRule>
    <cfRule type="cellIs" dxfId="4156" priority="64" operator="between">
      <formula>0.00001%</formula>
      <formula>70%</formula>
    </cfRule>
    <cfRule type="cellIs" dxfId="4155" priority="65" operator="equal">
      <formula>0</formula>
    </cfRule>
  </conditionalFormatting>
  <conditionalFormatting sqref="T11">
    <cfRule type="cellIs" dxfId="4154" priority="56" operator="greaterThan">
      <formula>110%</formula>
    </cfRule>
    <cfRule type="cellIs" dxfId="4153" priority="57" operator="between">
      <formula>100.001%</formula>
      <formula>110%</formula>
    </cfRule>
    <cfRule type="cellIs" dxfId="4152" priority="58" operator="between">
      <formula>70.001%</formula>
      <formula>100%</formula>
    </cfRule>
    <cfRule type="cellIs" dxfId="4151" priority="59" operator="between">
      <formula>0.00001%</formula>
      <formula>70%</formula>
    </cfRule>
    <cfRule type="cellIs" dxfId="4150" priority="60" operator="equal">
      <formula>0</formula>
    </cfRule>
  </conditionalFormatting>
  <conditionalFormatting sqref="W11">
    <cfRule type="cellIs" dxfId="4149" priority="51" operator="greaterThan">
      <formula>110%</formula>
    </cfRule>
    <cfRule type="cellIs" dxfId="4148" priority="52" operator="between">
      <formula>100.001%</formula>
      <formula>110%</formula>
    </cfRule>
    <cfRule type="cellIs" dxfId="4147" priority="53" operator="between">
      <formula>70.001%</formula>
      <formula>100%</formula>
    </cfRule>
    <cfRule type="cellIs" dxfId="4146" priority="54" operator="between">
      <formula>0.00001%</formula>
      <formula>70%</formula>
    </cfRule>
    <cfRule type="cellIs" dxfId="4145" priority="55" operator="equal">
      <formula>0</formula>
    </cfRule>
  </conditionalFormatting>
  <conditionalFormatting sqref="Z11">
    <cfRule type="cellIs" dxfId="4144" priority="46" operator="greaterThan">
      <formula>110%</formula>
    </cfRule>
    <cfRule type="cellIs" dxfId="4143" priority="47" operator="between">
      <formula>100.001%</formula>
      <formula>110%</formula>
    </cfRule>
    <cfRule type="cellIs" dxfId="4142" priority="48" operator="between">
      <formula>70.001%</formula>
      <formula>100%</formula>
    </cfRule>
    <cfRule type="cellIs" dxfId="4141" priority="49" operator="between">
      <formula>0.00001%</formula>
      <formula>70%</formula>
    </cfRule>
    <cfRule type="cellIs" dxfId="4140" priority="50" operator="equal">
      <formula>0</formula>
    </cfRule>
  </conditionalFormatting>
  <conditionalFormatting sqref="AC11">
    <cfRule type="cellIs" dxfId="4139" priority="41" operator="greaterThan">
      <formula>110%</formula>
    </cfRule>
    <cfRule type="cellIs" dxfId="4138" priority="42" operator="between">
      <formula>100.001%</formula>
      <formula>110%</formula>
    </cfRule>
    <cfRule type="cellIs" dxfId="4137" priority="43" operator="between">
      <formula>70.001%</formula>
      <formula>100%</formula>
    </cfRule>
    <cfRule type="cellIs" dxfId="4136" priority="44" operator="between">
      <formula>0.00001%</formula>
      <formula>70%</formula>
    </cfRule>
    <cfRule type="cellIs" dxfId="4135" priority="45" operator="equal">
      <formula>0</formula>
    </cfRule>
  </conditionalFormatting>
  <conditionalFormatting sqref="AE11">
    <cfRule type="cellIs" dxfId="4134" priority="36" operator="greaterThan">
      <formula>110%</formula>
    </cfRule>
    <cfRule type="cellIs" dxfId="4133" priority="37" operator="between">
      <formula>100.001%</formula>
      <formula>110%</formula>
    </cfRule>
    <cfRule type="cellIs" dxfId="4132" priority="38" operator="between">
      <formula>70.001%</formula>
      <formula>100%</formula>
    </cfRule>
    <cfRule type="cellIs" dxfId="4131" priority="39" operator="between">
      <formula>0.00001%</formula>
      <formula>70%</formula>
    </cfRule>
    <cfRule type="cellIs" dxfId="4130" priority="40" operator="equal">
      <formula>0</formula>
    </cfRule>
  </conditionalFormatting>
  <conditionalFormatting sqref="AH11">
    <cfRule type="cellIs" dxfId="4129" priority="31" operator="greaterThan">
      <formula>110%</formula>
    </cfRule>
    <cfRule type="cellIs" dxfId="4128" priority="32" operator="between">
      <formula>100.001%</formula>
      <formula>110%</formula>
    </cfRule>
    <cfRule type="cellIs" dxfId="4127" priority="33" operator="between">
      <formula>70.001%</formula>
      <formula>100%</formula>
    </cfRule>
    <cfRule type="cellIs" dxfId="4126" priority="34" operator="between">
      <formula>0.00001%</formula>
      <formula>70%</formula>
    </cfRule>
    <cfRule type="cellIs" dxfId="4125" priority="35" operator="equal">
      <formula>0</formula>
    </cfRule>
  </conditionalFormatting>
  <conditionalFormatting sqref="AK11">
    <cfRule type="cellIs" dxfId="4124" priority="26" operator="greaterThan">
      <formula>110%</formula>
    </cfRule>
    <cfRule type="cellIs" dxfId="4123" priority="27" operator="between">
      <formula>100.001%</formula>
      <formula>110%</formula>
    </cfRule>
    <cfRule type="cellIs" dxfId="4122" priority="28" operator="between">
      <formula>70.001%</formula>
      <formula>100%</formula>
    </cfRule>
    <cfRule type="cellIs" dxfId="4121" priority="29" operator="between">
      <formula>0.00001%</formula>
      <formula>70%</formula>
    </cfRule>
    <cfRule type="cellIs" dxfId="4120" priority="30" operator="equal">
      <formula>0</formula>
    </cfRule>
  </conditionalFormatting>
  <conditionalFormatting sqref="AN11">
    <cfRule type="cellIs" dxfId="4119" priority="21" operator="greaterThan">
      <formula>110%</formula>
    </cfRule>
    <cfRule type="cellIs" dxfId="4118" priority="22" operator="between">
      <formula>100.001%</formula>
      <formula>110%</formula>
    </cfRule>
    <cfRule type="cellIs" dxfId="4117" priority="23" operator="between">
      <formula>70.001%</formula>
      <formula>100%</formula>
    </cfRule>
    <cfRule type="cellIs" dxfId="4116" priority="24" operator="between">
      <formula>0.00001%</formula>
      <formula>70%</formula>
    </cfRule>
    <cfRule type="cellIs" dxfId="4115" priority="25" operator="equal">
      <formula>0</formula>
    </cfRule>
  </conditionalFormatting>
  <conditionalFormatting sqref="AQ11">
    <cfRule type="cellIs" dxfId="4114" priority="16" operator="greaterThan">
      <formula>110%</formula>
    </cfRule>
    <cfRule type="cellIs" dxfId="4113" priority="17" operator="between">
      <formula>100.001%</formula>
      <formula>110%</formula>
    </cfRule>
    <cfRule type="cellIs" dxfId="4112" priority="18" operator="between">
      <formula>70.001%</formula>
      <formula>100%</formula>
    </cfRule>
    <cfRule type="cellIs" dxfId="4111" priority="19" operator="between">
      <formula>0.00001%</formula>
      <formula>70%</formula>
    </cfRule>
    <cfRule type="cellIs" dxfId="4110" priority="20" operator="equal">
      <formula>0</formula>
    </cfRule>
  </conditionalFormatting>
  <conditionalFormatting sqref="AT11">
    <cfRule type="cellIs" dxfId="4109" priority="11" operator="greaterThan">
      <formula>110%</formula>
    </cfRule>
    <cfRule type="cellIs" dxfId="4108" priority="12" operator="between">
      <formula>100.001%</formula>
      <formula>110%</formula>
    </cfRule>
    <cfRule type="cellIs" dxfId="4107" priority="13" operator="between">
      <formula>70.001%</formula>
      <formula>100%</formula>
    </cfRule>
    <cfRule type="cellIs" dxfId="4106" priority="14" operator="between">
      <formula>0.00001%</formula>
      <formula>70%</formula>
    </cfRule>
    <cfRule type="cellIs" dxfId="4105" priority="15" operator="equal">
      <formula>0</formula>
    </cfRule>
  </conditionalFormatting>
  <conditionalFormatting sqref="AW11">
    <cfRule type="cellIs" dxfId="4104" priority="6" operator="greaterThan">
      <formula>110%</formula>
    </cfRule>
    <cfRule type="cellIs" dxfId="4103" priority="7" operator="between">
      <formula>100.001%</formula>
      <formula>110%</formula>
    </cfRule>
    <cfRule type="cellIs" dxfId="4102" priority="8" operator="between">
      <formula>70.001%</formula>
      <formula>100%</formula>
    </cfRule>
    <cfRule type="cellIs" dxfId="4101" priority="9" operator="between">
      <formula>0.00001%</formula>
      <formula>70%</formula>
    </cfRule>
    <cfRule type="cellIs" dxfId="4100" priority="10" operator="equal">
      <formula>0</formula>
    </cfRule>
  </conditionalFormatting>
  <conditionalFormatting sqref="AY11">
    <cfRule type="cellIs" dxfId="4099" priority="1" operator="greaterThan">
      <formula>110%</formula>
    </cfRule>
    <cfRule type="cellIs" dxfId="4098" priority="2" operator="between">
      <formula>100.001%</formula>
      <formula>110%</formula>
    </cfRule>
    <cfRule type="cellIs" dxfId="4097" priority="3" operator="between">
      <formula>70.001%</formula>
      <formula>100%</formula>
    </cfRule>
    <cfRule type="cellIs" dxfId="4096" priority="4" operator="between">
      <formula>0.00001%</formula>
      <formula>70%</formula>
    </cfRule>
    <cfRule type="cellIs" dxfId="4095" priority="5" operator="equal">
      <formula>0</formula>
    </cfRule>
  </conditionalFormatting>
  <hyperlinks>
    <hyperlink ref="D12" location="'FIS-4'!Área_de_impresión" display="FIS-4 Gestión efectiva en fiscalización tributaria" xr:uid="{00000000-0004-0000-2000-000000000000}"/>
    <hyperlink ref="D13" location="'FIS-10'!Área_de_impresión" display="FIS-10 Gestión aceptada en fiscalización tributaria" xr:uid="{00000000-0004-0000-2000-000001000000}"/>
    <hyperlink ref="D14" location="'FIS-27'!Área_de_impresión" display="FIS-27 Reclasificación de no responsables a responsables" xr:uid="{00000000-0004-0000-2000-000002000000}"/>
    <hyperlink ref="D15" location="'FIS-17'!Área_de_impresión" display="FIS-17 Evacuación de expedientes en fiscalización tributaria" xr:uid="{00000000-0004-0000-2000-000003000000}"/>
    <hyperlink ref="D16" location="'IN1-4'!Área_de_impresión" display="IN1-4 Recaudo por gestión de cartera" xr:uid="{00000000-0004-0000-2000-000004000000}"/>
    <hyperlink ref="D17" location="'IN1-5'!Área_de_impresión" display="IN1-5 Inscritos en el Régimen Simple de Tributación - RST" xr:uid="{00000000-0004-0000-2000-000005000000}"/>
    <hyperlink ref="D18" location="'IN1-6.1'!Área_de_impresión" display="IN1-6.1 Grado de cumplimiento del cronograma de campañas del RST" xr:uid="{00000000-0004-0000-2000-000006000000}"/>
    <hyperlink ref="D19" location="'IN1-8'!Área_de_impresión" display="IN1-8 Contribuyentes habilitados como facturadores electrónicos" xr:uid="{00000000-0004-0000-2000-000007000000}"/>
    <hyperlink ref="D20" location="'JUR-3.1'!Área_de_impresión" display=" JUR-3.1 Porcentaje de éxito de litigiosidad" xr:uid="{00000000-0004-0000-2000-000008000000}"/>
    <hyperlink ref="D21" location="'JUR-3.2'!Área_de_impresión" display="JUR-3.2 Porcentaje procesos judiciales revisados con mayor riesgo en Ekogui" xr:uid="{00000000-0004-0000-2000-000009000000}"/>
    <hyperlink ref="D22" location="'JUR-3.3'!Área_de_impresión" display="JUR-3.3 Porcentaje de análisis de jurisprudencia remitidos junto con la copia de la sentencia " xr:uid="{00000000-0004-0000-2000-00000A000000}"/>
    <hyperlink ref="D23" location="'JUR-3.4'!Área_de_impresión" display="JUR-3.4 Porcentaje de procesos revisados con VoBo del Jefe" xr:uid="{00000000-0004-0000-2000-00000B000000}"/>
    <hyperlink ref="D24" location="'JUR-3.5'!Área_de_impresión" display="JUR-3.5 Porcentaje de requerimientos atendidos en oportunidad" xr:uid="{00000000-0004-0000-2000-00000C000000}"/>
    <hyperlink ref="D25" location="'JUR-3.6'!Área_de_impresión" display="JUR-3.6 Porcentaje  funcionarios capacitaciones en cursos virtuales de la ANDJE" xr:uid="{00000000-0004-0000-2000-00000D000000}"/>
    <hyperlink ref="D26" location="'JUR-4'!Área_de_impresión" display="JUR-4 Porcentaje  funcionarios que participaron en el concurso de escritura jurídica" xr:uid="{00000000-0004-0000-2000-00000E000000}"/>
    <hyperlink ref="D27" location="'FIS-24'!Área_de_impresión" display="FIS-24 Valor Decomisos de mercancías en firme" xr:uid="{00000000-0004-0000-2000-00000F000000}"/>
    <hyperlink ref="D29" location="'IN1-11'!Área_de_impresión" display="IN1-11  Nivel de cobertura de personas sensibilizadas por el plan de cultura. ACTUALMENTE. Cumplimiento al Plan de Acción de Cultura de la Contribución" xr:uid="{00000000-0004-0000-2000-000010000000}"/>
    <hyperlink ref="D30" location="'JUR-7'!Área_de_impresión" display="JUR-7  Oportunidad en las decisiones de los recursos Tributarios hasta su remisión a notificaciones" xr:uid="{00000000-0004-0000-2000-000011000000}"/>
    <hyperlink ref="D31" location="'IN1-15'!Área_de_impresión" display="'IN1-15'!Área_de_impresión" xr:uid="{00000000-0004-0000-2000-000012000000}"/>
    <hyperlink ref="D9" location="'DGRAE-1'!Área_de_impresión" display="DGRAE-1 Nivel de Ejecución del presupuesto " xr:uid="{00000000-0004-0000-2000-000013000000}"/>
    <hyperlink ref="D33" location="'DGRAE-25'!Área_de_impresión" display="DGRAE-25 Actividades que componen el  PIC para la Dirección de Gestión" xr:uid="{00000000-0004-0000-2000-000014000000}"/>
    <hyperlink ref="D10" location="'DGRAE-2'!A1" display="DGRAE-2 Nivel de ejecución del PAA de la Dirección" xr:uid="{00000000-0004-0000-2000-000015000000}"/>
    <hyperlink ref="D11" location="'IN1-3'!Área_de_impresión" display="IN1-3 Recaudo Bruto" xr:uid="{00000000-0004-0000-2000-000016000000}"/>
    <hyperlink ref="AY2" location="'Consolidado '!A1" display="VOLVER" xr:uid="{00000000-0004-0000-2000-00001700000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E45"/>
  <sheetViews>
    <sheetView topLeftCell="F1" zoomScale="60" zoomScaleNormal="60" workbookViewId="0">
      <selection activeCell="AZ5" sqref="AZ5"/>
    </sheetView>
  </sheetViews>
  <sheetFormatPr baseColWidth="10" defaultColWidth="11.42578125" defaultRowHeight="16.5"/>
  <cols>
    <col min="1" max="1" width="18.85546875" style="1698" bestFit="1" customWidth="1"/>
    <col min="2" max="2" width="37" style="2281" customWidth="1"/>
    <col min="3" max="3" width="59.28515625" style="2283" bestFit="1" customWidth="1"/>
    <col min="4" max="4" width="25.85546875" style="1698" bestFit="1" customWidth="1"/>
    <col min="5" max="5" width="75.7109375" style="2283" customWidth="1"/>
    <col min="6" max="6" width="23.85546875" style="1698" bestFit="1" customWidth="1"/>
    <col min="7" max="7" width="22.28515625" style="1698" bestFit="1" customWidth="1"/>
    <col min="8" max="8" width="25.85546875" style="2283" customWidth="1"/>
    <col min="9" max="9" width="12" style="8" customWidth="1"/>
    <col min="10" max="10" width="9.140625" style="8" customWidth="1"/>
    <col min="11" max="11" width="15" style="8" customWidth="1"/>
    <col min="12" max="13" width="21.7109375" style="8" hidden="1" customWidth="1"/>
    <col min="14" max="14" width="21.7109375" style="374" hidden="1" customWidth="1"/>
    <col min="15" max="16" width="21.7109375" style="8" hidden="1" customWidth="1"/>
    <col min="17" max="17" width="21.7109375" style="374" hidden="1" customWidth="1"/>
    <col min="18" max="19" width="21.7109375" style="8" hidden="1" customWidth="1"/>
    <col min="20" max="20" width="21.7109375" style="374" hidden="1" customWidth="1"/>
    <col min="21" max="22" width="21.7109375" style="8" hidden="1" customWidth="1"/>
    <col min="23" max="23" width="21.7109375" style="374" hidden="1" customWidth="1"/>
    <col min="24" max="25" width="21.7109375" style="8" hidden="1" customWidth="1"/>
    <col min="26" max="26" width="21.7109375" style="374" hidden="1" customWidth="1"/>
    <col min="27" max="28" width="21.7109375" style="8" hidden="1" customWidth="1"/>
    <col min="29" max="29" width="21.7109375" style="374" hidden="1" customWidth="1"/>
    <col min="30" max="30" width="21.7109375" style="8" hidden="1" customWidth="1"/>
    <col min="31" max="31" width="21.7109375" style="374" hidden="1" customWidth="1"/>
    <col min="32" max="33" width="21.7109375" style="8" hidden="1" customWidth="1"/>
    <col min="34" max="34" width="21.7109375" style="374" hidden="1" customWidth="1"/>
    <col min="35" max="36" width="21.7109375" style="8" hidden="1" customWidth="1"/>
    <col min="37" max="37" width="21.7109375" style="374" hidden="1" customWidth="1"/>
    <col min="38" max="39" width="21.7109375" style="8" hidden="1" customWidth="1"/>
    <col min="40" max="40" width="21.7109375" style="374" hidden="1" customWidth="1"/>
    <col min="41" max="42" width="21.7109375" style="8" hidden="1" customWidth="1"/>
    <col min="43" max="43" width="21.7109375" style="374" hidden="1" customWidth="1"/>
    <col min="44" max="45" width="21.7109375" style="8" hidden="1" customWidth="1"/>
    <col min="46" max="46" width="21.7109375" style="374" hidden="1" customWidth="1"/>
    <col min="47" max="48" width="21.7109375" style="8" hidden="1" customWidth="1"/>
    <col min="49" max="49" width="21.7109375" style="374" hidden="1" customWidth="1"/>
    <col min="50" max="50" width="21.7109375" style="63" customWidth="1"/>
    <col min="51" max="51" width="11.5703125" style="1743" bestFit="1" customWidth="1"/>
    <col min="52" max="52" width="16.85546875" style="899" customWidth="1"/>
    <col min="53" max="57" width="11.42578125" style="899"/>
    <col min="58" max="16384" width="11.42578125" style="1698"/>
  </cols>
  <sheetData>
    <row r="1" spans="1:57" s="2190" customFormat="1" ht="29.25" customHeight="1">
      <c r="A1" s="2189"/>
      <c r="B1" s="2189"/>
      <c r="C1" s="3191" t="s">
        <v>967</v>
      </c>
      <c r="D1" s="3191"/>
      <c r="E1" s="3191"/>
      <c r="F1" s="3191"/>
      <c r="G1" s="3191"/>
      <c r="H1" s="3191"/>
      <c r="I1" s="101"/>
      <c r="J1" s="101"/>
      <c r="K1" s="101"/>
      <c r="L1" s="8"/>
      <c r="M1" s="8"/>
      <c r="N1" s="374"/>
      <c r="O1" s="8"/>
      <c r="P1" s="8"/>
      <c r="Q1" s="374"/>
      <c r="R1" s="8"/>
      <c r="S1" s="8"/>
      <c r="T1" s="374"/>
      <c r="U1" s="8"/>
      <c r="V1" s="8"/>
      <c r="W1" s="374"/>
      <c r="X1" s="8"/>
      <c r="Y1" s="8"/>
      <c r="Z1" s="374"/>
      <c r="AA1" s="8"/>
      <c r="AB1" s="8"/>
      <c r="AC1" s="374"/>
      <c r="AD1" s="8"/>
      <c r="AE1" s="374"/>
      <c r="AF1" s="8"/>
      <c r="AG1" s="8"/>
      <c r="AH1" s="374"/>
      <c r="AI1" s="8"/>
      <c r="AJ1" s="8"/>
      <c r="AK1" s="374"/>
      <c r="AL1" s="8"/>
      <c r="AM1" s="8"/>
      <c r="AN1" s="374"/>
      <c r="AO1" s="8"/>
      <c r="AP1" s="8"/>
      <c r="AQ1" s="374"/>
      <c r="AR1" s="8"/>
      <c r="AS1" s="8"/>
      <c r="AT1" s="374"/>
      <c r="AU1" s="8"/>
      <c r="AV1" s="8"/>
      <c r="AW1" s="374"/>
      <c r="AX1" s="63"/>
      <c r="AY1" s="374"/>
      <c r="AZ1" s="899"/>
      <c r="BA1" s="899"/>
      <c r="BB1" s="899"/>
      <c r="BC1" s="899"/>
      <c r="BD1" s="899"/>
      <c r="BE1" s="899"/>
    </row>
    <row r="2" spans="1:57" s="2190" customFormat="1" ht="18.75" customHeight="1">
      <c r="A2" s="3002" t="s">
        <v>69</v>
      </c>
      <c r="B2" s="3002"/>
      <c r="C2" s="3002"/>
      <c r="D2" s="3002"/>
      <c r="E2" s="3002"/>
      <c r="F2" s="3002"/>
      <c r="G2" s="3002"/>
      <c r="H2" s="3002"/>
      <c r="I2" s="105"/>
      <c r="J2" s="105"/>
      <c r="K2" s="105"/>
      <c r="L2" s="8"/>
      <c r="M2" s="8"/>
      <c r="N2" s="374"/>
      <c r="O2" s="8"/>
      <c r="P2" s="8"/>
      <c r="Q2" s="374"/>
      <c r="R2" s="8"/>
      <c r="S2" s="8"/>
      <c r="T2" s="374"/>
      <c r="U2" s="8"/>
      <c r="V2" s="8"/>
      <c r="W2" s="374"/>
      <c r="X2" s="8"/>
      <c r="Y2" s="8"/>
      <c r="Z2" s="374"/>
      <c r="AA2" s="8"/>
      <c r="AB2" s="8"/>
      <c r="AC2" s="374"/>
      <c r="AD2" s="8"/>
      <c r="AE2" s="374"/>
      <c r="AF2" s="8"/>
      <c r="AG2" s="8"/>
      <c r="AH2" s="374"/>
      <c r="AI2" s="8"/>
      <c r="AJ2" s="8"/>
      <c r="AK2" s="374"/>
      <c r="AL2" s="8"/>
      <c r="AM2" s="8"/>
      <c r="AN2" s="374"/>
      <c r="AO2" s="8"/>
      <c r="AP2" s="8"/>
      <c r="AQ2" s="374"/>
      <c r="AR2" s="8"/>
      <c r="AS2" s="8"/>
      <c r="AT2" s="374"/>
      <c r="AU2" s="8"/>
      <c r="AV2" s="8"/>
      <c r="AW2" s="374"/>
      <c r="AX2" s="63"/>
      <c r="AY2" s="2284" t="s">
        <v>185</v>
      </c>
      <c r="AZ2" s="899"/>
      <c r="BA2" s="899"/>
      <c r="BB2" s="899"/>
      <c r="BC2" s="899"/>
      <c r="BD2" s="899"/>
      <c r="BE2" s="899"/>
    </row>
    <row r="3" spans="1:57" s="2190" customFormat="1">
      <c r="A3" s="2972" t="s">
        <v>968</v>
      </c>
      <c r="B3" s="2973"/>
      <c r="C3" s="2973"/>
      <c r="D3" s="2973"/>
      <c r="E3" s="2973"/>
      <c r="F3" s="2973"/>
      <c r="G3" s="2973"/>
      <c r="H3" s="2973"/>
      <c r="I3" s="108"/>
      <c r="J3" s="108"/>
      <c r="K3" s="108"/>
      <c r="L3" s="8"/>
      <c r="M3" s="8"/>
      <c r="N3" s="374"/>
      <c r="O3" s="8"/>
      <c r="P3" s="8"/>
      <c r="Q3" s="374"/>
      <c r="R3" s="8"/>
      <c r="S3" s="8"/>
      <c r="T3" s="374"/>
      <c r="U3" s="8"/>
      <c r="V3" s="8"/>
      <c r="W3" s="374"/>
      <c r="X3" s="8"/>
      <c r="Y3" s="8"/>
      <c r="Z3" s="374"/>
      <c r="AA3" s="8"/>
      <c r="AB3" s="8"/>
      <c r="AC3" s="374"/>
      <c r="AD3" s="8"/>
      <c r="AE3" s="374"/>
      <c r="AF3" s="8"/>
      <c r="AG3" s="8"/>
      <c r="AH3" s="374"/>
      <c r="AI3" s="8"/>
      <c r="AJ3" s="8"/>
      <c r="AK3" s="374"/>
      <c r="AL3" s="8"/>
      <c r="AM3" s="8"/>
      <c r="AN3" s="374"/>
      <c r="AO3" s="8"/>
      <c r="AP3" s="8"/>
      <c r="AQ3" s="374"/>
      <c r="AR3" s="8"/>
      <c r="AS3" s="8"/>
      <c r="AT3" s="374"/>
      <c r="AU3" s="8"/>
      <c r="AV3" s="8"/>
      <c r="AW3" s="374"/>
      <c r="AX3" s="63"/>
      <c r="AY3" s="374"/>
      <c r="AZ3" s="899"/>
      <c r="BA3" s="899"/>
      <c r="BB3" s="899"/>
      <c r="BC3" s="899"/>
      <c r="BD3" s="899"/>
      <c r="BE3" s="899"/>
    </row>
    <row r="4" spans="1:57" s="2190" customFormat="1" ht="24.75" customHeight="1" thickBot="1">
      <c r="A4" s="1052"/>
      <c r="B4" s="1053"/>
      <c r="C4" s="1053"/>
      <c r="D4" s="1053"/>
      <c r="E4" s="1053"/>
      <c r="F4" s="1053"/>
      <c r="G4" s="1053"/>
      <c r="H4" s="1053"/>
      <c r="I4" s="445"/>
      <c r="J4" s="70"/>
      <c r="K4" s="109"/>
      <c r="L4" s="8"/>
      <c r="M4" s="8"/>
      <c r="N4" s="374"/>
      <c r="O4" s="8"/>
      <c r="P4" s="8"/>
      <c r="Q4" s="374"/>
      <c r="R4" s="8"/>
      <c r="S4" s="8"/>
      <c r="T4" s="374"/>
      <c r="U4" s="8"/>
      <c r="V4" s="8"/>
      <c r="W4" s="374"/>
      <c r="X4" s="8"/>
      <c r="Y4" s="8"/>
      <c r="Z4" s="374"/>
      <c r="AA4" s="8"/>
      <c r="AB4" s="8"/>
      <c r="AC4" s="374"/>
      <c r="AD4" s="8"/>
      <c r="AE4" s="374"/>
      <c r="AF4" s="8"/>
      <c r="AG4" s="8"/>
      <c r="AH4" s="374"/>
      <c r="AI4" s="8"/>
      <c r="AJ4" s="8"/>
      <c r="AK4" s="374"/>
      <c r="AL4" s="8"/>
      <c r="AM4" s="8"/>
      <c r="AN4" s="374"/>
      <c r="AO4" s="8"/>
      <c r="AP4" s="8"/>
      <c r="AQ4" s="374"/>
      <c r="AR4" s="8"/>
      <c r="AS4" s="8"/>
      <c r="AT4" s="374"/>
      <c r="AU4" s="8"/>
      <c r="AV4" s="8"/>
      <c r="AW4" s="374"/>
      <c r="AX4" s="63"/>
      <c r="AY4" s="374"/>
      <c r="AZ4" s="2291">
        <f>+(AY9+AY10+AY11+AY12+AY14+AY15+AY16+AY17+AY18+AY19+AY20+AY21+AY22+AY24+AY26+AY31+AY32+AY33+AY34+AY36+AY39+AY41+AY42+AY44)/24</f>
        <v>0.96452485305141133</v>
      </c>
      <c r="BA4" s="899"/>
      <c r="BB4" s="899"/>
      <c r="BC4" s="899"/>
      <c r="BD4" s="899"/>
      <c r="BE4" s="899"/>
    </row>
    <row r="5" spans="1:57" s="2190" customFormat="1" ht="16.5" customHeight="1" thickTop="1" thickBot="1">
      <c r="A5" s="2823" t="s">
        <v>0</v>
      </c>
      <c r="B5" s="2823" t="s">
        <v>969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0" t="s">
        <v>5</v>
      </c>
      <c r="I5" s="2833" t="s">
        <v>161</v>
      </c>
      <c r="J5" s="2834"/>
      <c r="K5" s="2835"/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84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  <c r="AZ5" s="899"/>
      <c r="BA5" s="899"/>
      <c r="BB5" s="899"/>
      <c r="BC5" s="899"/>
      <c r="BD5" s="899"/>
      <c r="BE5" s="899"/>
    </row>
    <row r="6" spans="1:57" s="2190" customFormat="1" ht="18" customHeight="1" thickTop="1" thickBot="1">
      <c r="A6" s="2823"/>
      <c r="B6" s="2823"/>
      <c r="C6" s="2823"/>
      <c r="D6" s="2823"/>
      <c r="E6" s="2823"/>
      <c r="F6" s="2823"/>
      <c r="G6" s="2831"/>
      <c r="H6" s="2831"/>
      <c r="I6" s="2836"/>
      <c r="J6" s="2837"/>
      <c r="K6" s="2838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8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  <c r="AZ6" s="899"/>
      <c r="BA6" s="899"/>
      <c r="BB6" s="899"/>
      <c r="BC6" s="899"/>
      <c r="BD6" s="899"/>
      <c r="BE6" s="899"/>
    </row>
    <row r="7" spans="1:57" s="2191" customFormat="1" ht="18.75" thickTop="1" thickBot="1">
      <c r="A7" s="2823"/>
      <c r="B7" s="2823"/>
      <c r="C7" s="2823"/>
      <c r="D7" s="2823"/>
      <c r="E7" s="2823"/>
      <c r="F7" s="2823"/>
      <c r="G7" s="2832"/>
      <c r="H7" s="2832"/>
      <c r="I7" s="68" t="s">
        <v>162</v>
      </c>
      <c r="J7" s="68" t="s">
        <v>163</v>
      </c>
      <c r="K7" s="68" t="s">
        <v>164</v>
      </c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8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 s="2285"/>
      <c r="BA7" s="2285"/>
      <c r="BB7" s="2285"/>
      <c r="BC7" s="2285"/>
      <c r="BD7" s="2285"/>
      <c r="BE7" s="2285"/>
    </row>
    <row r="8" spans="1:57" s="2188" customFormat="1" ht="29.25" customHeight="1" thickTop="1" thickBot="1">
      <c r="A8" s="3192" t="s">
        <v>83</v>
      </c>
      <c r="B8" s="3192"/>
      <c r="C8" s="3192"/>
      <c r="D8" s="3192"/>
      <c r="E8" s="3192"/>
      <c r="F8" s="3192"/>
      <c r="G8" s="3192"/>
      <c r="H8" s="3192"/>
      <c r="I8" s="2192"/>
      <c r="J8" s="2192"/>
      <c r="K8" s="2192"/>
      <c r="L8" s="13" t="s">
        <v>84</v>
      </c>
      <c r="M8" s="13" t="s">
        <v>85</v>
      </c>
      <c r="N8" s="1744" t="s">
        <v>86</v>
      </c>
      <c r="O8" s="13" t="s">
        <v>84</v>
      </c>
      <c r="P8" s="13" t="s">
        <v>85</v>
      </c>
      <c r="Q8" s="1744" t="s">
        <v>86</v>
      </c>
      <c r="R8" s="16" t="s">
        <v>84</v>
      </c>
      <c r="S8" s="13" t="s">
        <v>85</v>
      </c>
      <c r="T8" s="1744" t="s">
        <v>86</v>
      </c>
      <c r="U8" s="16" t="s">
        <v>84</v>
      </c>
      <c r="V8" s="13" t="s">
        <v>85</v>
      </c>
      <c r="W8" s="1744" t="s">
        <v>86</v>
      </c>
      <c r="X8" s="16" t="s">
        <v>84</v>
      </c>
      <c r="Y8" s="13" t="s">
        <v>85</v>
      </c>
      <c r="Z8" s="1744" t="s">
        <v>86</v>
      </c>
      <c r="AA8" s="16" t="s">
        <v>84</v>
      </c>
      <c r="AB8" s="16" t="s">
        <v>85</v>
      </c>
      <c r="AC8" s="71" t="s">
        <v>86</v>
      </c>
      <c r="AD8" s="16" t="s">
        <v>87</v>
      </c>
      <c r="AE8" s="71" t="s">
        <v>6</v>
      </c>
      <c r="AF8" s="13" t="s">
        <v>84</v>
      </c>
      <c r="AG8" s="13" t="s">
        <v>85</v>
      </c>
      <c r="AH8" s="1744" t="s">
        <v>86</v>
      </c>
      <c r="AI8" s="16" t="s">
        <v>84</v>
      </c>
      <c r="AJ8" s="13" t="s">
        <v>85</v>
      </c>
      <c r="AK8" s="1744" t="s">
        <v>86</v>
      </c>
      <c r="AL8" s="13" t="s">
        <v>84</v>
      </c>
      <c r="AM8" s="13" t="s">
        <v>85</v>
      </c>
      <c r="AN8" s="1744" t="s">
        <v>86</v>
      </c>
      <c r="AO8" s="16" t="s">
        <v>84</v>
      </c>
      <c r="AP8" s="13" t="s">
        <v>85</v>
      </c>
      <c r="AQ8" s="1744" t="s">
        <v>86</v>
      </c>
      <c r="AR8" s="16" t="s">
        <v>84</v>
      </c>
      <c r="AS8" s="13" t="s">
        <v>85</v>
      </c>
      <c r="AT8" s="1744" t="s">
        <v>86</v>
      </c>
      <c r="AU8" s="13" t="s">
        <v>84</v>
      </c>
      <c r="AV8" s="13" t="s">
        <v>85</v>
      </c>
      <c r="AW8" s="1744" t="s">
        <v>86</v>
      </c>
      <c r="AX8" s="13" t="s">
        <v>87</v>
      </c>
      <c r="AY8" s="1744" t="s">
        <v>6</v>
      </c>
      <c r="AZ8" s="2286"/>
      <c r="BA8" s="2286"/>
      <c r="BB8" s="2286"/>
      <c r="BC8" s="2286"/>
      <c r="BD8" s="2286"/>
      <c r="BE8" s="2286"/>
    </row>
    <row r="9" spans="1:57" s="2188" customFormat="1" ht="92.65" customHeight="1" thickTop="1" thickBot="1">
      <c r="A9" s="2944" t="s">
        <v>88</v>
      </c>
      <c r="B9" s="2946" t="s">
        <v>166</v>
      </c>
      <c r="C9" s="72" t="s">
        <v>167</v>
      </c>
      <c r="D9" s="2193" t="s">
        <v>90</v>
      </c>
      <c r="E9" s="838" t="s">
        <v>91</v>
      </c>
      <c r="F9" s="838" t="s">
        <v>168</v>
      </c>
      <c r="G9" s="2194">
        <f>718398435/1000000</f>
        <v>718.39843499999995</v>
      </c>
      <c r="H9" s="72" t="s">
        <v>25</v>
      </c>
      <c r="I9" s="82"/>
      <c r="J9" s="629"/>
      <c r="K9" s="82" t="s">
        <v>970</v>
      </c>
      <c r="L9" s="214">
        <v>256.19499999999999</v>
      </c>
      <c r="M9" s="1719">
        <v>294</v>
      </c>
      <c r="N9" s="73">
        <f>+M9/L9</f>
        <v>1.1475633794570543</v>
      </c>
      <c r="O9" s="214">
        <v>86.990499999999997</v>
      </c>
      <c r="P9" s="1719">
        <v>82</v>
      </c>
      <c r="Q9" s="73">
        <f>+P9/O9</f>
        <v>0.94263166667624632</v>
      </c>
      <c r="R9" s="214">
        <v>76.859215000000006</v>
      </c>
      <c r="S9" s="1719">
        <v>71</v>
      </c>
      <c r="T9" s="73">
        <f>+S9/R9</f>
        <v>0.92376691591242499</v>
      </c>
      <c r="U9" s="214">
        <v>99.9405</v>
      </c>
      <c r="V9" s="1719">
        <v>10</v>
      </c>
      <c r="W9" s="73">
        <f>+V9/U9</f>
        <v>0.10005953542357703</v>
      </c>
      <c r="X9" s="214">
        <v>59.1355</v>
      </c>
      <c r="Y9" s="1719">
        <v>9</v>
      </c>
      <c r="Z9" s="73">
        <f>+Y9/X9</f>
        <v>0.15219284524524185</v>
      </c>
      <c r="AA9" s="214">
        <v>49.6355</v>
      </c>
      <c r="AB9" s="1719">
        <v>9</v>
      </c>
      <c r="AC9" s="73">
        <f>+AB9/AA9</f>
        <v>0.18132183618579445</v>
      </c>
      <c r="AD9" s="1719">
        <f>+M9+P9+S9+V9+Y9+AB9</f>
        <v>475</v>
      </c>
      <c r="AE9" s="73">
        <f>+AD9/G9</f>
        <v>0.66119297712556968</v>
      </c>
      <c r="AF9" s="214">
        <v>48.115499999999997</v>
      </c>
      <c r="AG9" s="1719">
        <v>22</v>
      </c>
      <c r="AH9" s="73">
        <f>+AG9/AF9</f>
        <v>0.4572331161476032</v>
      </c>
      <c r="AI9" s="214">
        <v>46.490499999999997</v>
      </c>
      <c r="AJ9" s="1719">
        <v>31</v>
      </c>
      <c r="AK9" s="73">
        <f>+AJ9/AI9</f>
        <v>0.66680289521515157</v>
      </c>
      <c r="AL9" s="214">
        <v>49.115499999999997</v>
      </c>
      <c r="AM9" s="1719">
        <v>36</v>
      </c>
      <c r="AN9" s="73">
        <f>+AM9/AL9</f>
        <v>0.73296617157516475</v>
      </c>
      <c r="AO9" s="214">
        <v>38.615499999999997</v>
      </c>
      <c r="AP9" s="1719">
        <v>93</v>
      </c>
      <c r="AQ9" s="73">
        <f>+AP9/AO9</f>
        <v>2.4083593375717007</v>
      </c>
      <c r="AR9" s="214">
        <v>18.625499999999999</v>
      </c>
      <c r="AS9" s="1719">
        <v>16</v>
      </c>
      <c r="AT9" s="73">
        <f>+AS9/AR9</f>
        <v>0.85903734127942877</v>
      </c>
      <c r="AU9" s="214">
        <v>12.66</v>
      </c>
      <c r="AV9" s="1719">
        <v>32</v>
      </c>
      <c r="AW9" s="73">
        <f t="shared" ref="AW9:AW10" si="0">+AV9/AU9</f>
        <v>2.5276461295418642</v>
      </c>
      <c r="AX9" s="2195">
        <f>699679891.69/1000000</f>
        <v>699.67989169000009</v>
      </c>
      <c r="AY9" s="73">
        <f t="shared" ref="AY9:AY10" si="1">+AX9/G9</f>
        <v>0.97394406446612058</v>
      </c>
      <c r="AZ9" s="2286"/>
      <c r="BA9" s="2286"/>
      <c r="BB9" s="2286"/>
      <c r="BC9" s="2286"/>
      <c r="BD9" s="2286"/>
      <c r="BE9" s="2286"/>
    </row>
    <row r="10" spans="1:57" s="2197" customFormat="1" ht="92.65" customHeight="1" thickTop="1" thickBot="1">
      <c r="A10" s="2944"/>
      <c r="B10" s="3201"/>
      <c r="C10" s="74" t="s">
        <v>169</v>
      </c>
      <c r="D10" s="2196" t="s">
        <v>92</v>
      </c>
      <c r="E10" s="2129" t="s">
        <v>170</v>
      </c>
      <c r="F10" s="2129" t="s">
        <v>17</v>
      </c>
      <c r="G10" s="2174">
        <v>8</v>
      </c>
      <c r="H10" s="2129" t="s">
        <v>26</v>
      </c>
      <c r="I10" s="2130"/>
      <c r="J10" s="2130"/>
      <c r="K10" s="2129" t="s">
        <v>326</v>
      </c>
      <c r="L10" s="29">
        <v>0</v>
      </c>
      <c r="M10" s="736">
        <v>2</v>
      </c>
      <c r="N10" s="73" t="e">
        <f t="shared" ref="N10:N20" si="2">+M10/L10</f>
        <v>#DIV/0!</v>
      </c>
      <c r="O10" s="29">
        <v>0</v>
      </c>
      <c r="P10" s="736">
        <v>1</v>
      </c>
      <c r="Q10" s="73" t="e">
        <f t="shared" ref="Q10:Q44" si="3">+P10/O10</f>
        <v>#DIV/0!</v>
      </c>
      <c r="R10" s="29">
        <v>0</v>
      </c>
      <c r="S10" s="736">
        <v>2</v>
      </c>
      <c r="T10" s="73" t="e">
        <f t="shared" ref="T10:T44" si="4">+S10/R10</f>
        <v>#DIV/0!</v>
      </c>
      <c r="U10" s="29">
        <v>0</v>
      </c>
      <c r="V10" s="736">
        <v>0</v>
      </c>
      <c r="W10" s="73" t="e">
        <f t="shared" ref="W10:W44" si="5">+V10/U10</f>
        <v>#DIV/0!</v>
      </c>
      <c r="X10" s="29">
        <v>0</v>
      </c>
      <c r="Y10" s="736">
        <v>0</v>
      </c>
      <c r="Z10" s="73" t="e">
        <f t="shared" ref="Z10:Z44" si="6">+Y10/X10</f>
        <v>#DIV/0!</v>
      </c>
      <c r="AA10" s="29">
        <v>0</v>
      </c>
      <c r="AB10" s="736">
        <v>0</v>
      </c>
      <c r="AC10" s="73" t="e">
        <f t="shared" ref="AC10" si="7">+AB10/AA10</f>
        <v>#DIV/0!</v>
      </c>
      <c r="AD10" s="1517">
        <f t="shared" ref="AD10" si="8">+M10+P10+S10+V10+Y10+AB10</f>
        <v>5</v>
      </c>
      <c r="AE10" s="73">
        <f t="shared" ref="AE10" si="9">+AD10/G10</f>
        <v>0.625</v>
      </c>
      <c r="AF10" s="29">
        <v>0</v>
      </c>
      <c r="AG10" s="736">
        <v>0</v>
      </c>
      <c r="AH10" s="73" t="e">
        <f t="shared" ref="AH10:AH44" si="10">+AG10/AF10</f>
        <v>#DIV/0!</v>
      </c>
      <c r="AI10" s="29">
        <v>0</v>
      </c>
      <c r="AJ10" s="736">
        <v>0</v>
      </c>
      <c r="AK10" s="73" t="e">
        <f t="shared" ref="AK10:AK44" si="11">+AJ10/AI10</f>
        <v>#DIV/0!</v>
      </c>
      <c r="AL10" s="29">
        <v>0</v>
      </c>
      <c r="AM10" s="736">
        <v>1</v>
      </c>
      <c r="AN10" s="73" t="e">
        <f t="shared" ref="AN10:AN44" si="12">+AM10/AL10</f>
        <v>#DIV/0!</v>
      </c>
      <c r="AO10" s="29">
        <v>0</v>
      </c>
      <c r="AP10" s="736">
        <v>2</v>
      </c>
      <c r="AQ10" s="73" t="e">
        <f t="shared" ref="AQ10:AQ44" si="13">+AP10/AO10</f>
        <v>#DIV/0!</v>
      </c>
      <c r="AR10" s="29">
        <v>0</v>
      </c>
      <c r="AS10" s="736">
        <v>0</v>
      </c>
      <c r="AT10" s="73" t="e">
        <f t="shared" ref="AT10:AT44" si="14">+AS10/AR10</f>
        <v>#DIV/0!</v>
      </c>
      <c r="AU10" s="29">
        <v>0</v>
      </c>
      <c r="AV10" s="736">
        <v>0</v>
      </c>
      <c r="AW10" s="73" t="e">
        <f t="shared" si="0"/>
        <v>#DIV/0!</v>
      </c>
      <c r="AX10" s="29">
        <f t="shared" ref="AX10" si="15">+M10+P10+S10+V10+Y10+AB10+AG10+AJ10+AM10+AP10+AS10+AV10</f>
        <v>8</v>
      </c>
      <c r="AY10" s="73">
        <f t="shared" si="1"/>
        <v>1</v>
      </c>
      <c r="AZ10" s="2287"/>
      <c r="BA10" s="2287"/>
      <c r="BB10" s="2287"/>
      <c r="BC10" s="2287"/>
      <c r="BD10" s="2287"/>
      <c r="BE10" s="2287"/>
    </row>
    <row r="11" spans="1:57" s="2188" customFormat="1" ht="54.75" customHeight="1" thickTop="1" thickBot="1">
      <c r="A11" s="2944"/>
      <c r="B11" s="3202" t="s">
        <v>971</v>
      </c>
      <c r="C11" s="2198" t="s">
        <v>95</v>
      </c>
      <c r="D11" s="2199" t="s">
        <v>96</v>
      </c>
      <c r="E11" s="2200" t="s">
        <v>97</v>
      </c>
      <c r="F11" s="2200" t="s">
        <v>168</v>
      </c>
      <c r="G11" s="2201">
        <v>85890</v>
      </c>
      <c r="H11" s="2202" t="s">
        <v>20</v>
      </c>
      <c r="I11" s="82"/>
      <c r="J11" s="629"/>
      <c r="K11" s="82"/>
      <c r="L11" s="214" t="s">
        <v>98</v>
      </c>
      <c r="M11" s="1719"/>
      <c r="N11" s="73" t="e">
        <f>+M11/L11</f>
        <v>#VALUE!</v>
      </c>
      <c r="O11" s="214" t="s">
        <v>98</v>
      </c>
      <c r="P11" s="1719"/>
      <c r="Q11" s="73" t="e">
        <f>+P11/O11</f>
        <v>#VALUE!</v>
      </c>
      <c r="R11" s="214" t="s">
        <v>98</v>
      </c>
      <c r="S11" s="1719"/>
      <c r="T11" s="73" t="e">
        <f>+S11/R11</f>
        <v>#VALUE!</v>
      </c>
      <c r="U11" s="214" t="s">
        <v>98</v>
      </c>
      <c r="V11" s="1719"/>
      <c r="W11" s="73" t="e">
        <f>+V11/U11</f>
        <v>#VALUE!</v>
      </c>
      <c r="X11" s="214" t="s">
        <v>98</v>
      </c>
      <c r="Y11" s="1719"/>
      <c r="Z11" s="73" t="e">
        <f>+Y11/X11</f>
        <v>#VALUE!</v>
      </c>
      <c r="AA11" s="214" t="s">
        <v>98</v>
      </c>
      <c r="AB11" s="1719"/>
      <c r="AC11" s="73" t="e">
        <f>+AB11/AA11</f>
        <v>#VALUE!</v>
      </c>
      <c r="AD11" s="1719">
        <f>+M11+P11+S11+V11+Y11+AB11</f>
        <v>0</v>
      </c>
      <c r="AE11" s="73">
        <f>+AD11/G11</f>
        <v>0</v>
      </c>
      <c r="AF11" s="214" t="s">
        <v>98</v>
      </c>
      <c r="AG11" s="1719"/>
      <c r="AH11" s="73" t="e">
        <f>+AG11/AF11</f>
        <v>#VALUE!</v>
      </c>
      <c r="AI11" s="214" t="s">
        <v>98</v>
      </c>
      <c r="AJ11" s="1719"/>
      <c r="AK11" s="73" t="e">
        <f>+AJ11/AI11</f>
        <v>#VALUE!</v>
      </c>
      <c r="AL11" s="214" t="s">
        <v>98</v>
      </c>
      <c r="AM11" s="1719"/>
      <c r="AN11" s="73" t="e">
        <f>+AM11/AL11</f>
        <v>#VALUE!</v>
      </c>
      <c r="AO11" s="214" t="s">
        <v>98</v>
      </c>
      <c r="AP11" s="1719"/>
      <c r="AQ11" s="73" t="e">
        <f>+AP11/AO11</f>
        <v>#VALUE!</v>
      </c>
      <c r="AR11" s="214" t="s">
        <v>98</v>
      </c>
      <c r="AS11" s="1719"/>
      <c r="AT11" s="73" t="e">
        <f>+AS11/AR11</f>
        <v>#VALUE!</v>
      </c>
      <c r="AU11" s="214" t="s">
        <v>98</v>
      </c>
      <c r="AV11" s="1719"/>
      <c r="AW11" s="73" t="e">
        <f>+AV11/AU11</f>
        <v>#VALUE!</v>
      </c>
      <c r="AX11" s="214">
        <v>85890</v>
      </c>
      <c r="AY11" s="73">
        <f>+AX11/G11</f>
        <v>1</v>
      </c>
      <c r="AZ11" s="2286"/>
      <c r="BA11" s="2286"/>
      <c r="BB11" s="2286"/>
      <c r="BC11" s="2286"/>
      <c r="BD11" s="2286"/>
      <c r="BE11" s="2286"/>
    </row>
    <row r="12" spans="1:57" s="2188" customFormat="1" ht="51.75" customHeight="1" thickTop="1" thickBot="1">
      <c r="A12" s="2944"/>
      <c r="B12" s="3203"/>
      <c r="C12" s="3204" t="s">
        <v>972</v>
      </c>
      <c r="D12" s="1200" t="s">
        <v>99</v>
      </c>
      <c r="E12" s="561" t="s">
        <v>100</v>
      </c>
      <c r="F12" s="1047" t="s">
        <v>101</v>
      </c>
      <c r="G12" s="2203">
        <v>32830000000</v>
      </c>
      <c r="H12" s="2204" t="s">
        <v>523</v>
      </c>
      <c r="I12" s="710"/>
      <c r="J12" s="79"/>
      <c r="K12" s="710"/>
      <c r="L12" s="2195">
        <v>2626400000</v>
      </c>
      <c r="M12" s="2205">
        <v>195459000</v>
      </c>
      <c r="N12" s="73">
        <f t="shared" si="2"/>
        <v>7.4420880292415476E-2</v>
      </c>
      <c r="O12" s="2195">
        <v>2626400000</v>
      </c>
      <c r="P12" s="2205">
        <v>706929000</v>
      </c>
      <c r="Q12" s="73">
        <f t="shared" si="3"/>
        <v>0.26916273225708193</v>
      </c>
      <c r="R12" s="2195">
        <v>2626400000</v>
      </c>
      <c r="S12" s="2205">
        <v>1501634000</v>
      </c>
      <c r="T12" s="73">
        <f t="shared" si="4"/>
        <v>0.57174611635699057</v>
      </c>
      <c r="U12" s="2195">
        <v>2954700000</v>
      </c>
      <c r="V12" s="2205">
        <v>75325000</v>
      </c>
      <c r="W12" s="73">
        <f t="shared" si="5"/>
        <v>2.5493281889870375E-2</v>
      </c>
      <c r="X12" s="2195">
        <v>3283000000</v>
      </c>
      <c r="Y12" s="2205">
        <v>1574178000</v>
      </c>
      <c r="Z12" s="73">
        <f t="shared" si="6"/>
        <v>0.4794937557112397</v>
      </c>
      <c r="AA12" s="2195">
        <v>3283000000</v>
      </c>
      <c r="AB12" s="2205">
        <v>437617000</v>
      </c>
      <c r="AC12" s="73">
        <f t="shared" ref="AC12:AC44" si="16">+AB12/AA12</f>
        <v>0.13329789826378313</v>
      </c>
      <c r="AD12" s="2205">
        <f t="shared" ref="AD12:AD41" si="17">+M12+P12+S12+V12+Y12+AB12</f>
        <v>4491142000</v>
      </c>
      <c r="AE12" s="73">
        <f t="shared" ref="AE12:AE19" si="18">+AD12/G12</f>
        <v>0.13679993908010965</v>
      </c>
      <c r="AF12" s="2195">
        <v>3283000000</v>
      </c>
      <c r="AG12" s="2205">
        <v>1311870000</v>
      </c>
      <c r="AH12" s="73">
        <f t="shared" si="10"/>
        <v>0.39959488272921106</v>
      </c>
      <c r="AI12" s="2195">
        <v>3283000000</v>
      </c>
      <c r="AJ12" s="2205">
        <v>697049000</v>
      </c>
      <c r="AK12" s="73">
        <f t="shared" si="11"/>
        <v>0.2123207432226622</v>
      </c>
      <c r="AL12" s="2195">
        <v>3283000000</v>
      </c>
      <c r="AM12" s="2205">
        <v>2569239000</v>
      </c>
      <c r="AN12" s="73">
        <f t="shared" si="12"/>
        <v>0.78258879074017662</v>
      </c>
      <c r="AO12" s="2195">
        <v>3283000000</v>
      </c>
      <c r="AP12" s="2205">
        <v>2731973000</v>
      </c>
      <c r="AQ12" s="73">
        <f t="shared" si="13"/>
        <v>0.83215747791653971</v>
      </c>
      <c r="AR12" s="2195">
        <v>1313200000</v>
      </c>
      <c r="AS12" s="2205">
        <v>2745132177</v>
      </c>
      <c r="AT12" s="73">
        <f t="shared" si="14"/>
        <v>2.0904143900395979</v>
      </c>
      <c r="AU12" s="2195">
        <v>984900000</v>
      </c>
      <c r="AV12" s="2205">
        <v>1941637000</v>
      </c>
      <c r="AW12" s="73">
        <f t="shared" ref="AW12:AW41" si="19">+AV12/AU12</f>
        <v>1.9714052188039395</v>
      </c>
      <c r="AX12" s="2195">
        <f t="shared" ref="AX12:AX35" si="20">+M12+P12+S12+V12+Y12+AB12+AG12+AJ12+AM12+AP12+AS12+AV12</f>
        <v>16488042177</v>
      </c>
      <c r="AY12" s="73">
        <f t="shared" ref="AY12:AY20" si="21">+AX12/G12</f>
        <v>0.50222486070667072</v>
      </c>
      <c r="AZ12" s="2286"/>
      <c r="BA12" s="2286"/>
      <c r="BB12" s="2286"/>
      <c r="BC12" s="2286"/>
      <c r="BD12" s="2286"/>
      <c r="BE12" s="2286"/>
    </row>
    <row r="13" spans="1:57" s="2188" customFormat="1" ht="51.2" customHeight="1" thickTop="1" thickBot="1">
      <c r="A13" s="2944"/>
      <c r="B13" s="3203"/>
      <c r="C13" s="3205"/>
      <c r="D13" s="212" t="s">
        <v>973</v>
      </c>
      <c r="E13" s="2206" t="s">
        <v>302</v>
      </c>
      <c r="F13" s="98" t="s">
        <v>101</v>
      </c>
      <c r="G13" s="2207">
        <v>121714286</v>
      </c>
      <c r="H13" s="2208" t="s">
        <v>196</v>
      </c>
      <c r="I13" s="82"/>
      <c r="J13" s="629"/>
      <c r="K13" s="82"/>
      <c r="L13" s="214">
        <v>4057144</v>
      </c>
      <c r="M13" s="1719">
        <v>0</v>
      </c>
      <c r="N13" s="73">
        <f t="shared" si="2"/>
        <v>0</v>
      </c>
      <c r="O13" s="214">
        <v>4057144</v>
      </c>
      <c r="P13" s="1719"/>
      <c r="Q13" s="73"/>
      <c r="R13" s="214">
        <v>4057143</v>
      </c>
      <c r="S13" s="1719"/>
      <c r="T13" s="73"/>
      <c r="U13" s="214">
        <v>16228571</v>
      </c>
      <c r="V13" s="1719"/>
      <c r="W13" s="73"/>
      <c r="X13" s="214">
        <v>16228571</v>
      </c>
      <c r="Y13" s="1719"/>
      <c r="Z13" s="73"/>
      <c r="AA13" s="214">
        <v>16228571</v>
      </c>
      <c r="AB13" s="1719"/>
      <c r="AC13" s="73"/>
      <c r="AD13" s="1719"/>
      <c r="AE13" s="73"/>
      <c r="AF13" s="214">
        <v>16228571</v>
      </c>
      <c r="AG13" s="1719"/>
      <c r="AH13" s="73"/>
      <c r="AI13" s="214">
        <v>16228571</v>
      </c>
      <c r="AJ13" s="1719"/>
      <c r="AK13" s="73"/>
      <c r="AL13" s="214">
        <v>16228571</v>
      </c>
      <c r="AM13" s="1719"/>
      <c r="AN13" s="73"/>
      <c r="AO13" s="214">
        <v>4057143</v>
      </c>
      <c r="AP13" s="1719"/>
      <c r="AQ13" s="73"/>
      <c r="AR13" s="214">
        <v>4057143</v>
      </c>
      <c r="AS13" s="1719"/>
      <c r="AT13" s="73"/>
      <c r="AU13" s="214">
        <v>4057143</v>
      </c>
      <c r="AV13" s="1719"/>
      <c r="AW13" s="73"/>
      <c r="AX13" s="214">
        <f t="shared" si="20"/>
        <v>0</v>
      </c>
      <c r="AY13" s="73"/>
      <c r="AZ13" s="2286"/>
      <c r="BA13" s="2286"/>
      <c r="BB13" s="2286"/>
      <c r="BC13" s="2286"/>
      <c r="BD13" s="2286"/>
      <c r="BE13" s="2286"/>
    </row>
    <row r="14" spans="1:57" s="2188" customFormat="1" ht="77.45" customHeight="1" thickTop="1" thickBot="1">
      <c r="A14" s="2944"/>
      <c r="B14" s="3203"/>
      <c r="C14" s="3205"/>
      <c r="D14" s="2209" t="s">
        <v>102</v>
      </c>
      <c r="E14" s="2210" t="s">
        <v>974</v>
      </c>
      <c r="F14" s="85" t="s">
        <v>101</v>
      </c>
      <c r="G14" s="2211">
        <v>24700000000</v>
      </c>
      <c r="H14" s="2204" t="s">
        <v>523</v>
      </c>
      <c r="I14" s="710"/>
      <c r="J14" s="2212"/>
      <c r="K14" s="710"/>
      <c r="L14" s="2195">
        <v>1976000000</v>
      </c>
      <c r="M14" s="2205">
        <v>195459000</v>
      </c>
      <c r="N14" s="73">
        <f t="shared" si="2"/>
        <v>9.8916497975708506E-2</v>
      </c>
      <c r="O14" s="2195">
        <v>1976000000</v>
      </c>
      <c r="P14" s="2205">
        <v>478813000</v>
      </c>
      <c r="Q14" s="73">
        <f t="shared" si="3"/>
        <v>0.24231427125506072</v>
      </c>
      <c r="R14" s="2195">
        <v>1976000000</v>
      </c>
      <c r="S14" s="2205">
        <v>846222000</v>
      </c>
      <c r="T14" s="73">
        <f t="shared" si="4"/>
        <v>0.42825000000000002</v>
      </c>
      <c r="U14" s="2195">
        <v>2223000000</v>
      </c>
      <c r="V14" s="2205">
        <v>75325000</v>
      </c>
      <c r="W14" s="73">
        <f t="shared" si="5"/>
        <v>3.3884390463337834E-2</v>
      </c>
      <c r="X14" s="2195">
        <v>2470000000</v>
      </c>
      <c r="Y14" s="2205">
        <v>1574178000</v>
      </c>
      <c r="Z14" s="73">
        <f t="shared" si="6"/>
        <v>0.63731902834008092</v>
      </c>
      <c r="AA14" s="2195">
        <v>2470000000</v>
      </c>
      <c r="AB14" s="2205">
        <v>405863000</v>
      </c>
      <c r="AC14" s="73">
        <f t="shared" si="16"/>
        <v>0.16431700404858299</v>
      </c>
      <c r="AD14" s="2205">
        <f t="shared" si="17"/>
        <v>3575860000</v>
      </c>
      <c r="AE14" s="73">
        <f t="shared" si="18"/>
        <v>0.14477165991902835</v>
      </c>
      <c r="AF14" s="2195">
        <v>2470000000</v>
      </c>
      <c r="AG14" s="2205">
        <v>772111000</v>
      </c>
      <c r="AH14" s="73">
        <f t="shared" si="10"/>
        <v>0.31259554655870447</v>
      </c>
      <c r="AI14" s="2195">
        <v>2470000000</v>
      </c>
      <c r="AJ14" s="2205">
        <v>1103136000</v>
      </c>
      <c r="AK14" s="73">
        <f t="shared" si="11"/>
        <v>0.44661376518218626</v>
      </c>
      <c r="AL14" s="2195">
        <v>2470000000</v>
      </c>
      <c r="AM14" s="2205">
        <v>551427000</v>
      </c>
      <c r="AN14" s="73">
        <f t="shared" si="12"/>
        <v>0.2232497975708502</v>
      </c>
      <c r="AO14" s="2195">
        <v>2470000000</v>
      </c>
      <c r="AP14" s="2205">
        <v>1142002000</v>
      </c>
      <c r="AQ14" s="73">
        <f t="shared" si="13"/>
        <v>0.46234898785425099</v>
      </c>
      <c r="AR14" s="2195">
        <v>988000000</v>
      </c>
      <c r="AS14" s="2205">
        <v>1417057177</v>
      </c>
      <c r="AT14" s="73">
        <f t="shared" si="14"/>
        <v>1.4342683977732793</v>
      </c>
      <c r="AU14" s="2195">
        <v>741000000</v>
      </c>
      <c r="AV14" s="2205">
        <v>3993734000</v>
      </c>
      <c r="AW14" s="73">
        <f t="shared" si="19"/>
        <v>5.3896545209176789</v>
      </c>
      <c r="AX14" s="2195">
        <f t="shared" si="20"/>
        <v>12555327177</v>
      </c>
      <c r="AY14" s="73">
        <f t="shared" si="21"/>
        <v>0.50831284117408904</v>
      </c>
      <c r="AZ14" s="2286"/>
      <c r="BA14" s="2286"/>
      <c r="BB14" s="2286"/>
      <c r="BC14" s="2286"/>
      <c r="BD14" s="2286"/>
      <c r="BE14" s="2286"/>
    </row>
    <row r="15" spans="1:57" s="2188" customFormat="1" ht="54.75" customHeight="1" thickTop="1" thickBot="1">
      <c r="A15" s="2944"/>
      <c r="B15" s="3203"/>
      <c r="C15" s="3205"/>
      <c r="D15" s="2213" t="s">
        <v>459</v>
      </c>
      <c r="E15" s="25" t="s">
        <v>975</v>
      </c>
      <c r="F15" s="2214" t="s">
        <v>101</v>
      </c>
      <c r="G15" s="2215">
        <v>15800000</v>
      </c>
      <c r="H15" s="2208" t="s">
        <v>196</v>
      </c>
      <c r="I15" s="715"/>
      <c r="J15" s="2216"/>
      <c r="K15" s="715"/>
      <c r="L15" s="214">
        <v>526666</v>
      </c>
      <c r="M15" s="1719">
        <v>0</v>
      </c>
      <c r="N15" s="73">
        <f t="shared" si="2"/>
        <v>0</v>
      </c>
      <c r="O15" s="214">
        <v>526666</v>
      </c>
      <c r="P15" s="1719">
        <v>0</v>
      </c>
      <c r="Q15" s="73">
        <f t="shared" si="3"/>
        <v>0</v>
      </c>
      <c r="R15" s="214">
        <v>526666</v>
      </c>
      <c r="S15" s="1719">
        <v>0</v>
      </c>
      <c r="T15" s="73">
        <f t="shared" si="4"/>
        <v>0</v>
      </c>
      <c r="U15" s="214">
        <v>2106666</v>
      </c>
      <c r="V15" s="1719">
        <v>0</v>
      </c>
      <c r="W15" s="73">
        <f t="shared" si="5"/>
        <v>0</v>
      </c>
      <c r="X15" s="214">
        <v>2106667</v>
      </c>
      <c r="Y15" s="1719">
        <v>0</v>
      </c>
      <c r="Z15" s="73">
        <f t="shared" si="6"/>
        <v>0</v>
      </c>
      <c r="AA15" s="214">
        <v>2106667</v>
      </c>
      <c r="AB15" s="1719">
        <v>0</v>
      </c>
      <c r="AC15" s="73">
        <f t="shared" si="16"/>
        <v>0</v>
      </c>
      <c r="AD15" s="1719">
        <f t="shared" si="17"/>
        <v>0</v>
      </c>
      <c r="AE15" s="73">
        <f t="shared" si="18"/>
        <v>0</v>
      </c>
      <c r="AF15" s="214">
        <v>2106667</v>
      </c>
      <c r="AG15" s="1719">
        <v>0</v>
      </c>
      <c r="AH15" s="73">
        <f t="shared" si="10"/>
        <v>0</v>
      </c>
      <c r="AI15" s="214">
        <v>2106667</v>
      </c>
      <c r="AJ15" s="1719">
        <v>0</v>
      </c>
      <c r="AK15" s="73">
        <f t="shared" si="11"/>
        <v>0</v>
      </c>
      <c r="AL15" s="214">
        <v>2106667</v>
      </c>
      <c r="AM15" s="1719">
        <v>14028000</v>
      </c>
      <c r="AN15" s="73">
        <f t="shared" si="12"/>
        <v>6.6588597058766288</v>
      </c>
      <c r="AO15" s="214">
        <v>526667</v>
      </c>
      <c r="AP15" s="1719">
        <v>3532000</v>
      </c>
      <c r="AQ15" s="73">
        <f t="shared" si="13"/>
        <v>6.7063248694146393</v>
      </c>
      <c r="AR15" s="214">
        <v>526667</v>
      </c>
      <c r="AS15" s="1719">
        <v>3382000</v>
      </c>
      <c r="AT15" s="73">
        <f t="shared" si="14"/>
        <v>6.4215149230918209</v>
      </c>
      <c r="AU15" s="214">
        <v>526667</v>
      </c>
      <c r="AV15" s="1719">
        <v>0</v>
      </c>
      <c r="AW15" s="73">
        <f t="shared" si="19"/>
        <v>0</v>
      </c>
      <c r="AX15" s="214">
        <f t="shared" si="20"/>
        <v>20942000</v>
      </c>
      <c r="AY15" s="73">
        <f t="shared" si="21"/>
        <v>1.3254430379746835</v>
      </c>
      <c r="AZ15" s="2286"/>
      <c r="BA15" s="2286"/>
      <c r="BB15" s="2286"/>
      <c r="BC15" s="2286"/>
      <c r="BD15" s="2286"/>
      <c r="BE15" s="2286"/>
    </row>
    <row r="16" spans="1:57" s="2188" customFormat="1" ht="56.25" customHeight="1" thickTop="1" thickBot="1">
      <c r="A16" s="2944"/>
      <c r="B16" s="3203"/>
      <c r="C16" s="3205"/>
      <c r="D16" s="218" t="s">
        <v>203</v>
      </c>
      <c r="E16" s="2217" t="s">
        <v>975</v>
      </c>
      <c r="F16" s="2218" t="s">
        <v>101</v>
      </c>
      <c r="G16" s="2211">
        <v>72680018</v>
      </c>
      <c r="H16" s="2219" t="s">
        <v>196</v>
      </c>
      <c r="I16" s="710"/>
      <c r="J16" s="2173"/>
      <c r="K16" s="710"/>
      <c r="L16" s="2195">
        <v>2422668</v>
      </c>
      <c r="M16" s="2205">
        <v>0</v>
      </c>
      <c r="N16" s="73">
        <f t="shared" si="2"/>
        <v>0</v>
      </c>
      <c r="O16" s="2195">
        <v>2422668</v>
      </c>
      <c r="P16" s="2205">
        <v>0</v>
      </c>
      <c r="Q16" s="73">
        <f t="shared" si="3"/>
        <v>0</v>
      </c>
      <c r="R16" s="2195">
        <v>2422667</v>
      </c>
      <c r="S16" s="2205">
        <v>4364366</v>
      </c>
      <c r="T16" s="73">
        <f t="shared" si="4"/>
        <v>1.8014716838921734</v>
      </c>
      <c r="U16" s="2195">
        <v>9690669</v>
      </c>
      <c r="V16" s="2205">
        <v>0</v>
      </c>
      <c r="W16" s="73">
        <f t="shared" si="5"/>
        <v>0</v>
      </c>
      <c r="X16" s="2195">
        <v>9690669</v>
      </c>
      <c r="Y16" s="2205">
        <v>0</v>
      </c>
      <c r="Z16" s="73">
        <f t="shared" si="6"/>
        <v>0</v>
      </c>
      <c r="AA16" s="2195">
        <v>9690669</v>
      </c>
      <c r="AB16" s="2205">
        <v>0</v>
      </c>
      <c r="AC16" s="73">
        <f t="shared" si="16"/>
        <v>0</v>
      </c>
      <c r="AD16" s="2205">
        <f t="shared" si="17"/>
        <v>4364366</v>
      </c>
      <c r="AE16" s="73">
        <f t="shared" si="18"/>
        <v>6.0049049520048275E-2</v>
      </c>
      <c r="AF16" s="2195">
        <v>9690669</v>
      </c>
      <c r="AG16" s="2205">
        <v>0</v>
      </c>
      <c r="AH16" s="73">
        <f t="shared" si="10"/>
        <v>0</v>
      </c>
      <c r="AI16" s="2195">
        <v>9690669</v>
      </c>
      <c r="AJ16" s="2205">
        <v>8141939</v>
      </c>
      <c r="AK16" s="73">
        <f t="shared" si="11"/>
        <v>0.84018337640053542</v>
      </c>
      <c r="AL16" s="2195">
        <v>9690669</v>
      </c>
      <c r="AM16" s="2205">
        <v>0</v>
      </c>
      <c r="AN16" s="73">
        <f t="shared" si="12"/>
        <v>0</v>
      </c>
      <c r="AO16" s="2195">
        <v>2422667</v>
      </c>
      <c r="AP16" s="2205">
        <v>0</v>
      </c>
      <c r="AQ16" s="73">
        <f t="shared" si="13"/>
        <v>0</v>
      </c>
      <c r="AR16" s="2195">
        <v>2422667</v>
      </c>
      <c r="AS16" s="2205">
        <v>0</v>
      </c>
      <c r="AT16" s="73">
        <f t="shared" si="14"/>
        <v>0</v>
      </c>
      <c r="AU16" s="2195">
        <v>2422667</v>
      </c>
      <c r="AV16" s="2205">
        <v>0</v>
      </c>
      <c r="AW16" s="73">
        <f t="shared" si="19"/>
        <v>0</v>
      </c>
      <c r="AX16" s="2195">
        <f t="shared" si="20"/>
        <v>12506305</v>
      </c>
      <c r="AY16" s="73">
        <f t="shared" si="21"/>
        <v>0.17207349893611748</v>
      </c>
      <c r="AZ16" s="2286"/>
      <c r="BA16" s="2286"/>
      <c r="BB16" s="2286"/>
      <c r="BC16" s="2286"/>
      <c r="BD16" s="2286"/>
      <c r="BE16" s="2286"/>
    </row>
    <row r="17" spans="1:57" s="2188" customFormat="1" ht="77.45" customHeight="1" thickTop="1" thickBot="1">
      <c r="A17" s="2944"/>
      <c r="B17" s="3203"/>
      <c r="C17" s="3205"/>
      <c r="D17" s="212" t="s">
        <v>104</v>
      </c>
      <c r="E17" s="319" t="s">
        <v>105</v>
      </c>
      <c r="F17" s="1758" t="s">
        <v>17</v>
      </c>
      <c r="G17" s="2220">
        <v>32</v>
      </c>
      <c r="H17" s="321" t="s">
        <v>523</v>
      </c>
      <c r="I17" s="82"/>
      <c r="J17" s="629"/>
      <c r="K17" s="82"/>
      <c r="L17" s="27">
        <v>0</v>
      </c>
      <c r="M17" s="28">
        <v>0</v>
      </c>
      <c r="N17" s="73" t="e">
        <f t="shared" si="2"/>
        <v>#DIV/0!</v>
      </c>
      <c r="O17" s="27">
        <v>0</v>
      </c>
      <c r="P17" s="28">
        <v>0</v>
      </c>
      <c r="Q17" s="73" t="e">
        <f t="shared" si="3"/>
        <v>#DIV/0!</v>
      </c>
      <c r="R17" s="27">
        <v>8</v>
      </c>
      <c r="S17" s="28">
        <v>6</v>
      </c>
      <c r="T17" s="73">
        <f t="shared" si="4"/>
        <v>0.75</v>
      </c>
      <c r="U17" s="27">
        <v>0</v>
      </c>
      <c r="V17" s="28">
        <v>0</v>
      </c>
      <c r="W17" s="73" t="e">
        <f t="shared" si="5"/>
        <v>#DIV/0!</v>
      </c>
      <c r="X17" s="27">
        <v>0</v>
      </c>
      <c r="Y17" s="28">
        <v>0</v>
      </c>
      <c r="Z17" s="73" t="e">
        <f t="shared" si="6"/>
        <v>#DIV/0!</v>
      </c>
      <c r="AA17" s="27">
        <v>8</v>
      </c>
      <c r="AB17" s="28">
        <v>0</v>
      </c>
      <c r="AC17" s="73">
        <f t="shared" si="16"/>
        <v>0</v>
      </c>
      <c r="AD17" s="28">
        <f t="shared" si="17"/>
        <v>6</v>
      </c>
      <c r="AE17" s="73">
        <f t="shared" si="18"/>
        <v>0.1875</v>
      </c>
      <c r="AF17" s="27">
        <v>0</v>
      </c>
      <c r="AG17" s="28">
        <v>0</v>
      </c>
      <c r="AH17" s="73" t="e">
        <f t="shared" si="10"/>
        <v>#DIV/0!</v>
      </c>
      <c r="AI17" s="27">
        <v>0</v>
      </c>
      <c r="AJ17" s="28">
        <v>0</v>
      </c>
      <c r="AK17" s="73" t="e">
        <f t="shared" si="11"/>
        <v>#DIV/0!</v>
      </c>
      <c r="AL17" s="27">
        <v>8</v>
      </c>
      <c r="AM17" s="28">
        <v>0</v>
      </c>
      <c r="AN17" s="73">
        <f t="shared" si="12"/>
        <v>0</v>
      </c>
      <c r="AO17" s="27">
        <v>0</v>
      </c>
      <c r="AP17" s="28">
        <v>0</v>
      </c>
      <c r="AQ17" s="73" t="e">
        <f t="shared" si="13"/>
        <v>#DIV/0!</v>
      </c>
      <c r="AR17" s="27">
        <v>0</v>
      </c>
      <c r="AS17" s="28">
        <v>0</v>
      </c>
      <c r="AT17" s="73" t="e">
        <f t="shared" si="14"/>
        <v>#DIV/0!</v>
      </c>
      <c r="AU17" s="27">
        <v>8</v>
      </c>
      <c r="AV17" s="28">
        <v>1</v>
      </c>
      <c r="AW17" s="73">
        <f t="shared" si="19"/>
        <v>0.125</v>
      </c>
      <c r="AX17" s="27">
        <f t="shared" si="20"/>
        <v>7</v>
      </c>
      <c r="AY17" s="73">
        <f t="shared" si="21"/>
        <v>0.21875</v>
      </c>
      <c r="AZ17" s="2286"/>
      <c r="BA17" s="2286"/>
      <c r="BB17" s="2286"/>
      <c r="BC17" s="2286"/>
      <c r="BD17" s="2286"/>
      <c r="BE17" s="2286"/>
    </row>
    <row r="18" spans="1:57" s="2223" customFormat="1" ht="77.45" customHeight="1" thickTop="1" thickBot="1">
      <c r="A18" s="2944"/>
      <c r="B18" s="3203"/>
      <c r="C18" s="3206"/>
      <c r="D18" s="218" t="s">
        <v>106</v>
      </c>
      <c r="E18" s="561" t="s">
        <v>976</v>
      </c>
      <c r="F18" s="2221" t="s">
        <v>24</v>
      </c>
      <c r="G18" s="2222">
        <v>31</v>
      </c>
      <c r="H18" s="2204" t="s">
        <v>523</v>
      </c>
      <c r="I18" s="85"/>
      <c r="J18" s="18"/>
      <c r="K18" s="85"/>
      <c r="L18" s="1752">
        <v>0</v>
      </c>
      <c r="M18" s="36">
        <v>0</v>
      </c>
      <c r="N18" s="73" t="e">
        <f t="shared" si="2"/>
        <v>#DIV/0!</v>
      </c>
      <c r="O18" s="1752">
        <v>0</v>
      </c>
      <c r="P18" s="36"/>
      <c r="Q18" s="73" t="e">
        <f t="shared" si="3"/>
        <v>#DIV/0!</v>
      </c>
      <c r="R18" s="1752">
        <v>0</v>
      </c>
      <c r="S18" s="36">
        <v>13</v>
      </c>
      <c r="T18" s="73" t="e">
        <f t="shared" si="4"/>
        <v>#DIV/0!</v>
      </c>
      <c r="U18" s="1752">
        <v>0</v>
      </c>
      <c r="V18" s="36">
        <v>0</v>
      </c>
      <c r="W18" s="73" t="e">
        <f t="shared" si="5"/>
        <v>#DIV/0!</v>
      </c>
      <c r="X18" s="1752">
        <v>0</v>
      </c>
      <c r="Y18" s="36">
        <v>0</v>
      </c>
      <c r="Z18" s="73" t="e">
        <f t="shared" si="6"/>
        <v>#DIV/0!</v>
      </c>
      <c r="AA18" s="1752">
        <v>0</v>
      </c>
      <c r="AB18" s="36">
        <v>5</v>
      </c>
      <c r="AC18" s="73" t="e">
        <f t="shared" si="16"/>
        <v>#DIV/0!</v>
      </c>
      <c r="AD18" s="36">
        <f t="shared" si="17"/>
        <v>18</v>
      </c>
      <c r="AE18" s="73">
        <f t="shared" si="18"/>
        <v>0.58064516129032262</v>
      </c>
      <c r="AF18" s="1752">
        <v>16</v>
      </c>
      <c r="AG18" s="36">
        <v>0</v>
      </c>
      <c r="AH18" s="73">
        <f t="shared" si="10"/>
        <v>0</v>
      </c>
      <c r="AI18" s="1752">
        <v>0</v>
      </c>
      <c r="AJ18" s="36">
        <v>0</v>
      </c>
      <c r="AK18" s="73" t="e">
        <f t="shared" si="11"/>
        <v>#DIV/0!</v>
      </c>
      <c r="AL18" s="1752">
        <v>0</v>
      </c>
      <c r="AM18" s="36">
        <v>0</v>
      </c>
      <c r="AN18" s="73" t="e">
        <f t="shared" si="12"/>
        <v>#DIV/0!</v>
      </c>
      <c r="AO18" s="1752">
        <v>0</v>
      </c>
      <c r="AP18" s="36">
        <v>0</v>
      </c>
      <c r="AQ18" s="73" t="e">
        <f t="shared" si="13"/>
        <v>#DIV/0!</v>
      </c>
      <c r="AR18" s="1752">
        <v>0</v>
      </c>
      <c r="AS18" s="36">
        <v>0</v>
      </c>
      <c r="AT18" s="73" t="e">
        <f t="shared" si="14"/>
        <v>#DIV/0!</v>
      </c>
      <c r="AU18" s="1752">
        <v>15</v>
      </c>
      <c r="AV18" s="36">
        <v>12</v>
      </c>
      <c r="AW18" s="73">
        <f t="shared" si="19"/>
        <v>0.8</v>
      </c>
      <c r="AX18" s="1752">
        <f t="shared" si="20"/>
        <v>30</v>
      </c>
      <c r="AY18" s="73">
        <f t="shared" si="21"/>
        <v>0.967741935483871</v>
      </c>
      <c r="AZ18" s="2288"/>
      <c r="BA18" s="2288"/>
      <c r="BB18" s="2288"/>
      <c r="BC18" s="2288"/>
      <c r="BD18" s="2288"/>
      <c r="BE18" s="2288"/>
    </row>
    <row r="19" spans="1:57" s="2224" customFormat="1" ht="68.45" customHeight="1" thickTop="1" thickBot="1">
      <c r="A19" s="2944"/>
      <c r="B19" s="2909"/>
      <c r="C19" s="319" t="s">
        <v>626</v>
      </c>
      <c r="D19" s="24" t="s">
        <v>109</v>
      </c>
      <c r="E19" s="25" t="s">
        <v>569</v>
      </c>
      <c r="F19" s="98" t="s">
        <v>168</v>
      </c>
      <c r="G19" s="1948">
        <v>40786</v>
      </c>
      <c r="H19" s="25" t="s">
        <v>361</v>
      </c>
      <c r="I19" s="82"/>
      <c r="J19" s="88"/>
      <c r="K19" s="82"/>
      <c r="L19" s="214">
        <v>3889.7057463190299</v>
      </c>
      <c r="M19" s="1719">
        <v>5185.3647970000002</v>
      </c>
      <c r="N19" s="73">
        <f t="shared" si="2"/>
        <v>1.3330995029398045</v>
      </c>
      <c r="O19" s="214">
        <v>4075.9799715949098</v>
      </c>
      <c r="P19" s="1719">
        <v>2457.0758489999998</v>
      </c>
      <c r="Q19" s="73">
        <f t="shared" si="3"/>
        <v>0.60281843044448491</v>
      </c>
      <c r="R19" s="214">
        <v>3234.79103460845</v>
      </c>
      <c r="S19" s="1719">
        <v>5940.7741070000002</v>
      </c>
      <c r="T19" s="73">
        <f t="shared" si="4"/>
        <v>1.8365248461000176</v>
      </c>
      <c r="U19" s="214">
        <v>3081.1706962551734</v>
      </c>
      <c r="V19" s="1719">
        <v>1684.3853120000001</v>
      </c>
      <c r="W19" s="73">
        <f t="shared" si="5"/>
        <v>0.54667056065643704</v>
      </c>
      <c r="X19" s="214">
        <v>4289.0529509110365</v>
      </c>
      <c r="Y19" s="1719">
        <v>3135.3325159999999</v>
      </c>
      <c r="Z19" s="73">
        <f t="shared" si="6"/>
        <v>0.73100811575059355</v>
      </c>
      <c r="AA19" s="214">
        <v>2995.5130134972596</v>
      </c>
      <c r="AB19" s="1719">
        <v>2369.5057270000002</v>
      </c>
      <c r="AC19" s="73">
        <f t="shared" si="16"/>
        <v>0.79101833853614401</v>
      </c>
      <c r="AD19" s="1719">
        <f t="shared" si="17"/>
        <v>20772.438308000001</v>
      </c>
      <c r="AE19" s="73">
        <f t="shared" si="18"/>
        <v>0.50930315078703481</v>
      </c>
      <c r="AF19" s="214">
        <v>2917.9553879949317</v>
      </c>
      <c r="AG19" s="1719">
        <v>3425.319</v>
      </c>
      <c r="AH19" s="73">
        <f t="shared" si="10"/>
        <v>1.1738764115765672</v>
      </c>
      <c r="AI19" s="214">
        <v>3275.0140410173167</v>
      </c>
      <c r="AJ19" s="1719">
        <v>2236.7825809999999</v>
      </c>
      <c r="AK19" s="73">
        <f t="shared" si="11"/>
        <v>0.68298411945287074</v>
      </c>
      <c r="AL19" s="214">
        <v>4438.6143185575038</v>
      </c>
      <c r="AM19" s="1719">
        <v>3306.2229649999999</v>
      </c>
      <c r="AN19" s="73">
        <f t="shared" si="12"/>
        <v>0.74487728099666983</v>
      </c>
      <c r="AO19" s="214">
        <v>3434.0252885285181</v>
      </c>
      <c r="AP19" s="1719">
        <v>3787.2734</v>
      </c>
      <c r="AQ19" s="73">
        <f t="shared" si="13"/>
        <v>1.1028670675931012</v>
      </c>
      <c r="AR19" s="214">
        <v>2655.8892863662795</v>
      </c>
      <c r="AS19" s="1719">
        <v>3646.97</v>
      </c>
      <c r="AT19" s="73">
        <f t="shared" si="14"/>
        <v>1.373163414123219</v>
      </c>
      <c r="AU19" s="214">
        <v>2498.3684601742984</v>
      </c>
      <c r="AV19" s="1719">
        <v>3382.5</v>
      </c>
      <c r="AW19" s="73">
        <f t="shared" si="19"/>
        <v>1.3538835659829056</v>
      </c>
      <c r="AX19" s="214">
        <f t="shared" si="20"/>
        <v>40557.506254</v>
      </c>
      <c r="AY19" s="73">
        <f t="shared" si="21"/>
        <v>0.99439774074437304</v>
      </c>
      <c r="AZ19" s="2289"/>
      <c r="BA19" s="2289"/>
      <c r="BB19" s="2289"/>
      <c r="BC19" s="2289"/>
      <c r="BD19" s="2289"/>
      <c r="BE19" s="2289"/>
    </row>
    <row r="20" spans="1:57" s="2188" customFormat="1" ht="55.5" customHeight="1" thickTop="1" thickBot="1">
      <c r="A20" s="2944"/>
      <c r="B20" s="2909"/>
      <c r="C20" s="561" t="s">
        <v>350</v>
      </c>
      <c r="D20" s="17" t="s">
        <v>111</v>
      </c>
      <c r="E20" s="561" t="s">
        <v>112</v>
      </c>
      <c r="F20" s="85" t="s">
        <v>17</v>
      </c>
      <c r="G20" s="1945">
        <v>143</v>
      </c>
      <c r="H20" s="561" t="s">
        <v>20</v>
      </c>
      <c r="I20" s="78"/>
      <c r="J20" s="91"/>
      <c r="K20" s="78"/>
      <c r="L20" s="1752">
        <v>0</v>
      </c>
      <c r="M20" s="36"/>
      <c r="N20" s="73" t="e">
        <f t="shared" si="2"/>
        <v>#DIV/0!</v>
      </c>
      <c r="O20" s="1752">
        <v>0</v>
      </c>
      <c r="P20" s="36"/>
      <c r="Q20" s="73" t="e">
        <f t="shared" si="3"/>
        <v>#DIV/0!</v>
      </c>
      <c r="R20" s="1752">
        <v>13</v>
      </c>
      <c r="S20" s="36"/>
      <c r="T20" s="73">
        <f t="shared" si="4"/>
        <v>0</v>
      </c>
      <c r="U20" s="1752">
        <v>17</v>
      </c>
      <c r="V20" s="36">
        <v>26</v>
      </c>
      <c r="W20" s="73">
        <f t="shared" si="5"/>
        <v>1.5294117647058822</v>
      </c>
      <c r="X20" s="1752">
        <v>19</v>
      </c>
      <c r="Y20" s="36"/>
      <c r="Z20" s="73">
        <f t="shared" si="6"/>
        <v>0</v>
      </c>
      <c r="AA20" s="1752">
        <v>20</v>
      </c>
      <c r="AB20" s="36">
        <v>48</v>
      </c>
      <c r="AC20" s="73">
        <f t="shared" si="16"/>
        <v>2.4</v>
      </c>
      <c r="AD20" s="36"/>
      <c r="AE20" s="73"/>
      <c r="AF20" s="1752">
        <v>53</v>
      </c>
      <c r="AG20" s="36">
        <v>19</v>
      </c>
      <c r="AH20" s="73">
        <f t="shared" si="10"/>
        <v>0.35849056603773582</v>
      </c>
      <c r="AI20" s="1752">
        <v>7</v>
      </c>
      <c r="AJ20" s="36">
        <v>30</v>
      </c>
      <c r="AK20" s="73">
        <f t="shared" si="11"/>
        <v>4.2857142857142856</v>
      </c>
      <c r="AL20" s="1752">
        <v>6</v>
      </c>
      <c r="AM20" s="36">
        <v>18</v>
      </c>
      <c r="AN20" s="73">
        <f t="shared" si="12"/>
        <v>3</v>
      </c>
      <c r="AO20" s="1752">
        <v>4</v>
      </c>
      <c r="AP20" s="36">
        <v>14</v>
      </c>
      <c r="AQ20" s="73">
        <f t="shared" si="13"/>
        <v>3.5</v>
      </c>
      <c r="AR20" s="1752">
        <v>3</v>
      </c>
      <c r="AS20" s="36"/>
      <c r="AT20" s="73">
        <f t="shared" si="14"/>
        <v>0</v>
      </c>
      <c r="AU20" s="1752">
        <v>1</v>
      </c>
      <c r="AV20" s="36"/>
      <c r="AW20" s="73">
        <f t="shared" si="19"/>
        <v>0</v>
      </c>
      <c r="AX20" s="1752">
        <v>167</v>
      </c>
      <c r="AY20" s="73">
        <f t="shared" si="21"/>
        <v>1.1678321678321679</v>
      </c>
      <c r="AZ20" s="2286"/>
      <c r="BA20" s="2286"/>
      <c r="BB20" s="2286"/>
      <c r="BC20" s="2286"/>
      <c r="BD20" s="2286"/>
      <c r="BE20" s="2286"/>
    </row>
    <row r="21" spans="1:57" s="2188" customFormat="1" ht="66" customHeight="1" thickTop="1" thickBot="1">
      <c r="A21" s="2944"/>
      <c r="B21" s="2909"/>
      <c r="C21" s="319" t="s">
        <v>627</v>
      </c>
      <c r="D21" s="24" t="s">
        <v>114</v>
      </c>
      <c r="E21" s="319" t="s">
        <v>115</v>
      </c>
      <c r="F21" s="319" t="s">
        <v>10</v>
      </c>
      <c r="G21" s="2225">
        <v>1</v>
      </c>
      <c r="H21" s="319" t="s">
        <v>20</v>
      </c>
      <c r="I21" s="82"/>
      <c r="J21" s="88"/>
      <c r="K21" s="82"/>
      <c r="L21" s="646">
        <v>0</v>
      </c>
      <c r="M21" s="649">
        <v>0</v>
      </c>
      <c r="N21" s="73" t="e">
        <f t="shared" ref="N21:N36" si="22">+M21/L21</f>
        <v>#DIV/0!</v>
      </c>
      <c r="O21" s="646">
        <v>0</v>
      </c>
      <c r="P21" s="649">
        <v>0</v>
      </c>
      <c r="Q21" s="73" t="e">
        <f t="shared" si="3"/>
        <v>#DIV/0!</v>
      </c>
      <c r="R21" s="646">
        <v>1</v>
      </c>
      <c r="S21" s="649">
        <v>1</v>
      </c>
      <c r="T21" s="73">
        <f t="shared" si="4"/>
        <v>1</v>
      </c>
      <c r="U21" s="646">
        <v>0</v>
      </c>
      <c r="V21" s="649">
        <v>0</v>
      </c>
      <c r="W21" s="73" t="e">
        <f t="shared" si="5"/>
        <v>#DIV/0!</v>
      </c>
      <c r="X21" s="646">
        <v>0</v>
      </c>
      <c r="Y21" s="649">
        <v>0</v>
      </c>
      <c r="Z21" s="73" t="e">
        <f t="shared" si="6"/>
        <v>#DIV/0!</v>
      </c>
      <c r="AA21" s="646">
        <v>1</v>
      </c>
      <c r="AB21" s="649">
        <v>1</v>
      </c>
      <c r="AC21" s="73">
        <f t="shared" si="16"/>
        <v>1</v>
      </c>
      <c r="AD21" s="649">
        <v>1</v>
      </c>
      <c r="AE21" s="73">
        <f t="shared" ref="AE21:AE36" si="23">+AD21/G21</f>
        <v>1</v>
      </c>
      <c r="AF21" s="646">
        <v>0</v>
      </c>
      <c r="AG21" s="649">
        <v>0</v>
      </c>
      <c r="AH21" s="73" t="e">
        <f t="shared" si="10"/>
        <v>#DIV/0!</v>
      </c>
      <c r="AI21" s="646">
        <v>0</v>
      </c>
      <c r="AJ21" s="649">
        <v>0</v>
      </c>
      <c r="AK21" s="73" t="e">
        <f t="shared" si="11"/>
        <v>#DIV/0!</v>
      </c>
      <c r="AL21" s="646">
        <v>0</v>
      </c>
      <c r="AM21" s="649">
        <v>1</v>
      </c>
      <c r="AN21" s="73" t="e">
        <f t="shared" si="12"/>
        <v>#DIV/0!</v>
      </c>
      <c r="AO21" s="646">
        <v>0</v>
      </c>
      <c r="AP21" s="649">
        <v>0</v>
      </c>
      <c r="AQ21" s="73" t="e">
        <f t="shared" si="13"/>
        <v>#DIV/0!</v>
      </c>
      <c r="AR21" s="646">
        <v>0</v>
      </c>
      <c r="AS21" s="649">
        <v>1</v>
      </c>
      <c r="AT21" s="73" t="e">
        <f t="shared" si="14"/>
        <v>#DIV/0!</v>
      </c>
      <c r="AU21" s="646">
        <v>0</v>
      </c>
      <c r="AV21" s="649">
        <v>1</v>
      </c>
      <c r="AW21" s="73" t="e">
        <f t="shared" si="19"/>
        <v>#DIV/0!</v>
      </c>
      <c r="AX21" s="646">
        <v>1</v>
      </c>
      <c r="AY21" s="73">
        <f>+AX21/G21</f>
        <v>1</v>
      </c>
      <c r="AZ21" s="2286"/>
      <c r="BA21" s="2286"/>
      <c r="BB21" s="2286"/>
      <c r="BC21" s="2286"/>
      <c r="BD21" s="2286"/>
      <c r="BE21" s="2286"/>
    </row>
    <row r="22" spans="1:57" s="2188" customFormat="1" ht="60.2" customHeight="1" thickTop="1" thickBot="1">
      <c r="A22" s="2944"/>
      <c r="B22" s="2909"/>
      <c r="C22" s="372" t="s">
        <v>629</v>
      </c>
      <c r="D22" s="17" t="s">
        <v>116</v>
      </c>
      <c r="E22" s="372" t="s">
        <v>117</v>
      </c>
      <c r="F22" s="372" t="s">
        <v>17</v>
      </c>
      <c r="G22" s="2226">
        <v>1874</v>
      </c>
      <c r="H22" s="372" t="s">
        <v>118</v>
      </c>
      <c r="I22" s="78"/>
      <c r="J22" s="91"/>
      <c r="K22" s="78"/>
      <c r="L22" s="58">
        <v>0</v>
      </c>
      <c r="M22" s="59">
        <v>20</v>
      </c>
      <c r="N22" s="73" t="e">
        <f t="shared" si="22"/>
        <v>#DIV/0!</v>
      </c>
      <c r="O22" s="58">
        <v>0</v>
      </c>
      <c r="P22" s="59">
        <v>168</v>
      </c>
      <c r="Q22" s="73" t="e">
        <f t="shared" si="3"/>
        <v>#DIV/0!</v>
      </c>
      <c r="R22" s="58">
        <v>356</v>
      </c>
      <c r="S22" s="59">
        <v>68</v>
      </c>
      <c r="T22" s="73">
        <f t="shared" si="4"/>
        <v>0.19101123595505617</v>
      </c>
      <c r="U22" s="58">
        <v>289</v>
      </c>
      <c r="V22" s="59">
        <v>14</v>
      </c>
      <c r="W22" s="73">
        <f t="shared" si="5"/>
        <v>4.8442906574394463E-2</v>
      </c>
      <c r="X22" s="58">
        <v>84</v>
      </c>
      <c r="Y22" s="59">
        <v>22</v>
      </c>
      <c r="Z22" s="73">
        <f t="shared" si="6"/>
        <v>0.26190476190476192</v>
      </c>
      <c r="AA22" s="58">
        <v>95</v>
      </c>
      <c r="AB22" s="59">
        <v>30</v>
      </c>
      <c r="AC22" s="73">
        <f t="shared" si="16"/>
        <v>0.31578947368421051</v>
      </c>
      <c r="AD22" s="59">
        <f t="shared" si="17"/>
        <v>322</v>
      </c>
      <c r="AE22" s="73">
        <f t="shared" si="23"/>
        <v>0.17182497331910351</v>
      </c>
      <c r="AF22" s="58">
        <v>174</v>
      </c>
      <c r="AG22" s="59">
        <v>84</v>
      </c>
      <c r="AH22" s="73">
        <f t="shared" si="10"/>
        <v>0.48275862068965519</v>
      </c>
      <c r="AI22" s="58">
        <v>266</v>
      </c>
      <c r="AJ22" s="59">
        <v>136</v>
      </c>
      <c r="AK22" s="73">
        <f t="shared" si="11"/>
        <v>0.51127819548872178</v>
      </c>
      <c r="AL22" s="58">
        <v>361</v>
      </c>
      <c r="AM22" s="59">
        <v>189</v>
      </c>
      <c r="AN22" s="73">
        <f t="shared" si="12"/>
        <v>0.52354570637119113</v>
      </c>
      <c r="AO22" s="58">
        <v>141</v>
      </c>
      <c r="AP22" s="59">
        <v>447</v>
      </c>
      <c r="AQ22" s="73">
        <f t="shared" si="13"/>
        <v>3.1702127659574466</v>
      </c>
      <c r="AR22" s="58">
        <v>97</v>
      </c>
      <c r="AS22" s="59">
        <v>677</v>
      </c>
      <c r="AT22" s="73">
        <f t="shared" si="14"/>
        <v>6.9793814432989691</v>
      </c>
      <c r="AU22" s="58">
        <v>11</v>
      </c>
      <c r="AV22" s="59">
        <v>133</v>
      </c>
      <c r="AW22" s="73">
        <f t="shared" si="19"/>
        <v>12.090909090909092</v>
      </c>
      <c r="AX22" s="58">
        <f t="shared" si="20"/>
        <v>1988</v>
      </c>
      <c r="AY22" s="73">
        <f>+AX22/G22</f>
        <v>1.0608324439701173</v>
      </c>
      <c r="AZ22" s="2286"/>
      <c r="BA22" s="2286"/>
      <c r="BB22" s="2286"/>
      <c r="BC22" s="2286"/>
      <c r="BD22" s="2286"/>
      <c r="BE22" s="2286"/>
    </row>
    <row r="23" spans="1:57" s="2188" customFormat="1" ht="69.2" customHeight="1" thickTop="1" thickBot="1">
      <c r="A23" s="2944"/>
      <c r="B23" s="3203"/>
      <c r="C23" s="2854" t="s">
        <v>677</v>
      </c>
      <c r="D23" s="24" t="s">
        <v>120</v>
      </c>
      <c r="E23" s="25" t="s">
        <v>218</v>
      </c>
      <c r="F23" s="25" t="s">
        <v>10</v>
      </c>
      <c r="G23" s="2227">
        <v>0.64100000000000001</v>
      </c>
      <c r="H23" s="2208" t="s">
        <v>7</v>
      </c>
      <c r="I23" s="82"/>
      <c r="J23" s="88"/>
      <c r="K23" s="82"/>
      <c r="L23" s="44">
        <v>0</v>
      </c>
      <c r="M23" s="45"/>
      <c r="N23" s="73" t="e">
        <f t="shared" si="22"/>
        <v>#DIV/0!</v>
      </c>
      <c r="O23" s="44">
        <v>0</v>
      </c>
      <c r="P23" s="45"/>
      <c r="Q23" s="73" t="e">
        <f t="shared" si="3"/>
        <v>#DIV/0!</v>
      </c>
      <c r="R23" s="44">
        <v>0</v>
      </c>
      <c r="S23" s="45"/>
      <c r="T23" s="73" t="e">
        <f t="shared" si="4"/>
        <v>#DIV/0!</v>
      </c>
      <c r="U23" s="44">
        <v>0</v>
      </c>
      <c r="V23" s="45"/>
      <c r="W23" s="73" t="e">
        <f t="shared" si="5"/>
        <v>#DIV/0!</v>
      </c>
      <c r="X23" s="44">
        <v>0</v>
      </c>
      <c r="Y23" s="45"/>
      <c r="Z23" s="73" t="e">
        <f t="shared" si="6"/>
        <v>#DIV/0!</v>
      </c>
      <c r="AA23" s="44">
        <v>0</v>
      </c>
      <c r="AB23" s="45"/>
      <c r="AC23" s="73" t="e">
        <f t="shared" si="16"/>
        <v>#DIV/0!</v>
      </c>
      <c r="AD23" s="45">
        <f t="shared" si="17"/>
        <v>0</v>
      </c>
      <c r="AE23" s="73">
        <f t="shared" si="23"/>
        <v>0</v>
      </c>
      <c r="AF23" s="44">
        <v>0</v>
      </c>
      <c r="AG23" s="45"/>
      <c r="AH23" s="73" t="e">
        <f t="shared" si="10"/>
        <v>#DIV/0!</v>
      </c>
      <c r="AI23" s="44">
        <v>0</v>
      </c>
      <c r="AJ23" s="45"/>
      <c r="AK23" s="73" t="e">
        <f t="shared" si="11"/>
        <v>#DIV/0!</v>
      </c>
      <c r="AL23" s="44">
        <v>0</v>
      </c>
      <c r="AM23" s="45"/>
      <c r="AN23" s="73" t="e">
        <f t="shared" si="12"/>
        <v>#DIV/0!</v>
      </c>
      <c r="AO23" s="44">
        <v>0</v>
      </c>
      <c r="AP23" s="45"/>
      <c r="AQ23" s="73" t="e">
        <f t="shared" si="13"/>
        <v>#DIV/0!</v>
      </c>
      <c r="AR23" s="44">
        <v>0</v>
      </c>
      <c r="AS23" s="45"/>
      <c r="AT23" s="73" t="e">
        <f t="shared" si="14"/>
        <v>#DIV/0!</v>
      </c>
      <c r="AU23" s="44">
        <v>0.64100000000000001</v>
      </c>
      <c r="AV23" s="45"/>
      <c r="AW23" s="73">
        <f t="shared" si="19"/>
        <v>0</v>
      </c>
      <c r="AX23" s="44">
        <f>+AV23</f>
        <v>0</v>
      </c>
      <c r="AY23" s="73"/>
      <c r="AZ23" s="2286" t="s">
        <v>977</v>
      </c>
      <c r="BA23" s="2286"/>
      <c r="BB23" s="2286"/>
      <c r="BC23" s="2286"/>
      <c r="BD23" s="2286"/>
      <c r="BE23" s="2286"/>
    </row>
    <row r="24" spans="1:57" s="2188" customFormat="1" ht="57.75" customHeight="1" thickTop="1" thickBot="1">
      <c r="A24" s="2944"/>
      <c r="B24" s="3203"/>
      <c r="C24" s="2855"/>
      <c r="D24" s="2228" t="s">
        <v>122</v>
      </c>
      <c r="E24" s="372" t="s">
        <v>123</v>
      </c>
      <c r="F24" s="389" t="s">
        <v>10</v>
      </c>
      <c r="G24" s="2229">
        <v>1</v>
      </c>
      <c r="H24" s="1766" t="s">
        <v>7</v>
      </c>
      <c r="I24" s="78"/>
      <c r="J24" s="91"/>
      <c r="K24" s="78"/>
      <c r="L24" s="49">
        <v>0</v>
      </c>
      <c r="M24" s="50">
        <v>0</v>
      </c>
      <c r="N24" s="73" t="e">
        <f t="shared" si="22"/>
        <v>#DIV/0!</v>
      </c>
      <c r="O24" s="49">
        <v>0</v>
      </c>
      <c r="P24" s="50">
        <v>0</v>
      </c>
      <c r="Q24" s="73" t="e">
        <f t="shared" si="3"/>
        <v>#DIV/0!</v>
      </c>
      <c r="R24" s="49">
        <v>0</v>
      </c>
      <c r="S24" s="50">
        <v>0</v>
      </c>
      <c r="T24" s="73" t="e">
        <f t="shared" si="4"/>
        <v>#DIV/0!</v>
      </c>
      <c r="U24" s="49">
        <v>1</v>
      </c>
      <c r="V24" s="50">
        <v>1</v>
      </c>
      <c r="W24" s="73">
        <f t="shared" si="5"/>
        <v>1</v>
      </c>
      <c r="X24" s="49">
        <v>0</v>
      </c>
      <c r="Y24" s="50">
        <v>0</v>
      </c>
      <c r="Z24" s="73" t="e">
        <f t="shared" si="6"/>
        <v>#DIV/0!</v>
      </c>
      <c r="AA24" s="49">
        <v>0</v>
      </c>
      <c r="AB24" s="50">
        <v>0</v>
      </c>
      <c r="AC24" s="73" t="e">
        <f t="shared" si="16"/>
        <v>#DIV/0!</v>
      </c>
      <c r="AD24" s="50">
        <f t="shared" si="17"/>
        <v>1</v>
      </c>
      <c r="AE24" s="73">
        <f t="shared" si="23"/>
        <v>1</v>
      </c>
      <c r="AF24" s="49">
        <v>0</v>
      </c>
      <c r="AG24" s="50">
        <v>0</v>
      </c>
      <c r="AH24" s="73" t="e">
        <f t="shared" si="10"/>
        <v>#DIV/0!</v>
      </c>
      <c r="AI24" s="49">
        <v>0</v>
      </c>
      <c r="AJ24" s="50">
        <v>0</v>
      </c>
      <c r="AK24" s="73" t="e">
        <f t="shared" si="11"/>
        <v>#DIV/0!</v>
      </c>
      <c r="AL24" s="49">
        <v>0</v>
      </c>
      <c r="AM24" s="50">
        <v>0</v>
      </c>
      <c r="AN24" s="73" t="e">
        <f t="shared" si="12"/>
        <v>#DIV/0!</v>
      </c>
      <c r="AO24" s="49">
        <v>1</v>
      </c>
      <c r="AP24" s="50">
        <v>1</v>
      </c>
      <c r="AQ24" s="73">
        <f t="shared" si="13"/>
        <v>1</v>
      </c>
      <c r="AR24" s="49">
        <v>0</v>
      </c>
      <c r="AS24" s="50">
        <v>1</v>
      </c>
      <c r="AT24" s="73" t="e">
        <f t="shared" si="14"/>
        <v>#DIV/0!</v>
      </c>
      <c r="AU24" s="49">
        <v>0</v>
      </c>
      <c r="AV24" s="50">
        <v>1</v>
      </c>
      <c r="AW24" s="73" t="e">
        <f t="shared" si="19"/>
        <v>#DIV/0!</v>
      </c>
      <c r="AX24" s="49">
        <f>(+AP24+V24)/2</f>
        <v>1</v>
      </c>
      <c r="AY24" s="73">
        <f>+AX24/G24</f>
        <v>1</v>
      </c>
      <c r="AZ24" s="2286"/>
      <c r="BA24" s="2286"/>
      <c r="BB24" s="2286"/>
      <c r="BC24" s="2286"/>
      <c r="BD24" s="2286"/>
      <c r="BE24" s="2286"/>
    </row>
    <row r="25" spans="1:57" s="2188" customFormat="1" ht="74.25" customHeight="1" thickTop="1" thickBot="1">
      <c r="A25" s="2944"/>
      <c r="B25" s="3203"/>
      <c r="C25" s="2855"/>
      <c r="D25" s="212" t="s">
        <v>124</v>
      </c>
      <c r="E25" s="25" t="s">
        <v>176</v>
      </c>
      <c r="F25" s="2230" t="s">
        <v>10</v>
      </c>
      <c r="G25" s="2231">
        <v>1</v>
      </c>
      <c r="H25" s="2208" t="s">
        <v>7</v>
      </c>
      <c r="I25" s="81"/>
      <c r="J25" s="88"/>
      <c r="K25" s="81"/>
      <c r="L25" s="44">
        <v>0</v>
      </c>
      <c r="M25" s="45"/>
      <c r="N25" s="73" t="e">
        <f t="shared" si="22"/>
        <v>#DIV/0!</v>
      </c>
      <c r="O25" s="44">
        <v>0</v>
      </c>
      <c r="P25" s="45"/>
      <c r="Q25" s="73" t="e">
        <f t="shared" si="3"/>
        <v>#DIV/0!</v>
      </c>
      <c r="R25" s="44">
        <v>1</v>
      </c>
      <c r="S25" s="45"/>
      <c r="T25" s="73">
        <f t="shared" si="4"/>
        <v>0</v>
      </c>
      <c r="U25" s="44">
        <v>0</v>
      </c>
      <c r="V25" s="45"/>
      <c r="W25" s="73" t="e">
        <f t="shared" si="5"/>
        <v>#DIV/0!</v>
      </c>
      <c r="X25" s="44">
        <v>0</v>
      </c>
      <c r="Y25" s="45"/>
      <c r="Z25" s="73" t="e">
        <f t="shared" si="6"/>
        <v>#DIV/0!</v>
      </c>
      <c r="AA25" s="44">
        <v>1</v>
      </c>
      <c r="AB25" s="45"/>
      <c r="AC25" s="73">
        <f t="shared" si="16"/>
        <v>0</v>
      </c>
      <c r="AD25" s="45">
        <f>(+AB25+S25)/2</f>
        <v>0</v>
      </c>
      <c r="AE25" s="73">
        <f t="shared" si="23"/>
        <v>0</v>
      </c>
      <c r="AF25" s="44">
        <v>0</v>
      </c>
      <c r="AG25" s="45"/>
      <c r="AH25" s="73" t="e">
        <f t="shared" si="10"/>
        <v>#DIV/0!</v>
      </c>
      <c r="AI25" s="44">
        <v>0</v>
      </c>
      <c r="AJ25" s="45"/>
      <c r="AK25" s="73" t="e">
        <f t="shared" si="11"/>
        <v>#DIV/0!</v>
      </c>
      <c r="AL25" s="44">
        <v>1</v>
      </c>
      <c r="AM25" s="45">
        <v>1</v>
      </c>
      <c r="AN25" s="73">
        <f t="shared" si="12"/>
        <v>1</v>
      </c>
      <c r="AO25" s="44">
        <v>0</v>
      </c>
      <c r="AP25" s="45"/>
      <c r="AQ25" s="73" t="e">
        <f t="shared" si="13"/>
        <v>#DIV/0!</v>
      </c>
      <c r="AR25" s="44">
        <v>0</v>
      </c>
      <c r="AS25" s="45"/>
      <c r="AT25" s="73" t="e">
        <f t="shared" si="14"/>
        <v>#DIV/0!</v>
      </c>
      <c r="AU25" s="44">
        <v>1</v>
      </c>
      <c r="AV25" s="45"/>
      <c r="AW25" s="73">
        <f t="shared" si="19"/>
        <v>0</v>
      </c>
      <c r="AX25" s="44"/>
      <c r="AY25" s="73"/>
      <c r="AZ25" s="2286" t="s">
        <v>977</v>
      </c>
      <c r="BA25" s="2286"/>
      <c r="BB25" s="2286"/>
      <c r="BC25" s="2286"/>
      <c r="BD25" s="2286"/>
      <c r="BE25" s="2286"/>
    </row>
    <row r="26" spans="1:57" s="2188" customFormat="1" ht="77.45" customHeight="1" thickTop="1" thickBot="1">
      <c r="A26" s="2944"/>
      <c r="B26" s="3203"/>
      <c r="C26" s="2855"/>
      <c r="D26" s="2228" t="s">
        <v>978</v>
      </c>
      <c r="E26" s="372" t="s">
        <v>127</v>
      </c>
      <c r="F26" s="2232" t="s">
        <v>10</v>
      </c>
      <c r="G26" s="2229">
        <v>1</v>
      </c>
      <c r="H26" s="328" t="s">
        <v>7</v>
      </c>
      <c r="I26" s="78"/>
      <c r="J26" s="79"/>
      <c r="K26" s="78"/>
      <c r="L26" s="49">
        <v>1</v>
      </c>
      <c r="M26" s="50">
        <v>0</v>
      </c>
      <c r="N26" s="73">
        <f t="shared" si="22"/>
        <v>0</v>
      </c>
      <c r="O26" s="49">
        <v>1</v>
      </c>
      <c r="P26" s="50">
        <v>0</v>
      </c>
      <c r="Q26" s="73">
        <f t="shared" si="3"/>
        <v>0</v>
      </c>
      <c r="R26" s="49">
        <v>1</v>
      </c>
      <c r="S26" s="50">
        <v>1</v>
      </c>
      <c r="T26" s="73">
        <f t="shared" si="4"/>
        <v>1</v>
      </c>
      <c r="U26" s="49">
        <v>1</v>
      </c>
      <c r="V26" s="50">
        <v>1</v>
      </c>
      <c r="W26" s="73">
        <f t="shared" si="5"/>
        <v>1</v>
      </c>
      <c r="X26" s="49">
        <v>1</v>
      </c>
      <c r="Y26" s="50">
        <v>1</v>
      </c>
      <c r="Z26" s="73">
        <f t="shared" si="6"/>
        <v>1</v>
      </c>
      <c r="AA26" s="49">
        <v>1</v>
      </c>
      <c r="AB26" s="50">
        <v>1</v>
      </c>
      <c r="AC26" s="73">
        <f t="shared" si="16"/>
        <v>1</v>
      </c>
      <c r="AD26" s="50">
        <f>(+M26+P26+S26+V26+Y26+AB26)/6</f>
        <v>0.66666666666666663</v>
      </c>
      <c r="AE26" s="73">
        <f t="shared" si="23"/>
        <v>0.66666666666666663</v>
      </c>
      <c r="AF26" s="49">
        <v>1</v>
      </c>
      <c r="AG26" s="50">
        <v>1</v>
      </c>
      <c r="AH26" s="73">
        <f t="shared" si="10"/>
        <v>1</v>
      </c>
      <c r="AI26" s="49">
        <v>1</v>
      </c>
      <c r="AJ26" s="50">
        <v>1</v>
      </c>
      <c r="AK26" s="73">
        <f t="shared" si="11"/>
        <v>1</v>
      </c>
      <c r="AL26" s="49">
        <v>1</v>
      </c>
      <c r="AM26" s="50">
        <v>1</v>
      </c>
      <c r="AN26" s="73">
        <f t="shared" si="12"/>
        <v>1</v>
      </c>
      <c r="AO26" s="49">
        <v>1</v>
      </c>
      <c r="AP26" s="50">
        <v>1</v>
      </c>
      <c r="AQ26" s="73">
        <f t="shared" si="13"/>
        <v>1</v>
      </c>
      <c r="AR26" s="49">
        <v>1</v>
      </c>
      <c r="AS26" s="50">
        <v>1</v>
      </c>
      <c r="AT26" s="73">
        <f t="shared" si="14"/>
        <v>1</v>
      </c>
      <c r="AU26" s="49">
        <v>1</v>
      </c>
      <c r="AV26" s="50">
        <v>1</v>
      </c>
      <c r="AW26" s="73">
        <f t="shared" si="19"/>
        <v>1</v>
      </c>
      <c r="AX26" s="49">
        <f>(+M26+P26+S26+V26+Y26+AB26+AG26+AJ26+AM26+AP26+AS26+AV26)/12</f>
        <v>0.83333333333333337</v>
      </c>
      <c r="AY26" s="73">
        <f>+AX26/G26</f>
        <v>0.83333333333333337</v>
      </c>
      <c r="AZ26" s="2286"/>
      <c r="BA26" s="2286"/>
      <c r="BB26" s="2286"/>
      <c r="BC26" s="2286"/>
      <c r="BD26" s="2286"/>
      <c r="BE26" s="2286"/>
    </row>
    <row r="27" spans="1:57" s="2188" customFormat="1" ht="77.45" customHeight="1" thickTop="1" thickBot="1">
      <c r="A27" s="2944"/>
      <c r="B27" s="3203"/>
      <c r="C27" s="2855"/>
      <c r="D27" s="24" t="s">
        <v>128</v>
      </c>
      <c r="E27" s="211" t="s">
        <v>178</v>
      </c>
      <c r="F27" s="25" t="s">
        <v>10</v>
      </c>
      <c r="G27" s="2231">
        <v>1</v>
      </c>
      <c r="H27" s="2233" t="s">
        <v>7</v>
      </c>
      <c r="I27" s="2234"/>
      <c r="J27" s="2234"/>
      <c r="K27" s="2234"/>
      <c r="L27" s="44">
        <v>1</v>
      </c>
      <c r="M27" s="45"/>
      <c r="N27" s="73">
        <f t="shared" si="22"/>
        <v>0</v>
      </c>
      <c r="O27" s="44">
        <v>1</v>
      </c>
      <c r="P27" s="45"/>
      <c r="Q27" s="73">
        <f t="shared" si="3"/>
        <v>0</v>
      </c>
      <c r="R27" s="44">
        <v>1</v>
      </c>
      <c r="S27" s="45"/>
      <c r="T27" s="73">
        <f t="shared" si="4"/>
        <v>0</v>
      </c>
      <c r="U27" s="44">
        <v>1</v>
      </c>
      <c r="V27" s="45"/>
      <c r="W27" s="73">
        <f t="shared" si="5"/>
        <v>0</v>
      </c>
      <c r="X27" s="44">
        <v>1</v>
      </c>
      <c r="Y27" s="45">
        <v>0.67</v>
      </c>
      <c r="Z27" s="73">
        <f t="shared" si="6"/>
        <v>0.67</v>
      </c>
      <c r="AA27" s="44">
        <v>1</v>
      </c>
      <c r="AB27" s="45"/>
      <c r="AC27" s="73">
        <f t="shared" si="16"/>
        <v>0</v>
      </c>
      <c r="AD27" s="45">
        <f>(+M27+P27+S27+V27+Y27+AB27)/6</f>
        <v>0.11166666666666668</v>
      </c>
      <c r="AE27" s="73">
        <f t="shared" si="23"/>
        <v>0.11166666666666668</v>
      </c>
      <c r="AF27" s="44">
        <v>1</v>
      </c>
      <c r="AG27" s="45"/>
      <c r="AH27" s="73">
        <f t="shared" si="10"/>
        <v>0</v>
      </c>
      <c r="AI27" s="44">
        <v>1</v>
      </c>
      <c r="AJ27" s="45"/>
      <c r="AK27" s="73">
        <f t="shared" si="11"/>
        <v>0</v>
      </c>
      <c r="AL27" s="44">
        <v>1</v>
      </c>
      <c r="AM27" s="45"/>
      <c r="AN27" s="73">
        <f t="shared" si="12"/>
        <v>0</v>
      </c>
      <c r="AO27" s="44">
        <v>1</v>
      </c>
      <c r="AP27" s="45"/>
      <c r="AQ27" s="73">
        <f t="shared" si="13"/>
        <v>0</v>
      </c>
      <c r="AR27" s="44">
        <v>1</v>
      </c>
      <c r="AS27" s="45"/>
      <c r="AT27" s="73">
        <f t="shared" si="14"/>
        <v>0</v>
      </c>
      <c r="AU27" s="44">
        <v>1</v>
      </c>
      <c r="AV27" s="45"/>
      <c r="AW27" s="73">
        <f t="shared" si="19"/>
        <v>0</v>
      </c>
      <c r="AX27" s="44"/>
      <c r="AY27" s="73"/>
      <c r="AZ27" s="2286" t="s">
        <v>977</v>
      </c>
      <c r="BA27" s="2286"/>
      <c r="BB27" s="2286"/>
      <c r="BC27" s="2286"/>
      <c r="BD27" s="2286"/>
      <c r="BE27" s="2286"/>
    </row>
    <row r="28" spans="1:57" s="2188" customFormat="1" ht="77.45" customHeight="1" thickTop="1" thickBot="1">
      <c r="A28" s="2944"/>
      <c r="B28" s="3203"/>
      <c r="C28" s="2855"/>
      <c r="D28" s="17" t="s">
        <v>179</v>
      </c>
      <c r="E28" s="2235" t="s">
        <v>131</v>
      </c>
      <c r="F28" s="389" t="s">
        <v>10</v>
      </c>
      <c r="G28" s="2229">
        <v>1</v>
      </c>
      <c r="H28" s="328" t="s">
        <v>7</v>
      </c>
      <c r="I28" s="604"/>
      <c r="J28" s="604"/>
      <c r="K28" s="604"/>
      <c r="L28" s="49">
        <v>1</v>
      </c>
      <c r="M28" s="50"/>
      <c r="N28" s="73">
        <f t="shared" si="22"/>
        <v>0</v>
      </c>
      <c r="O28" s="49">
        <v>1</v>
      </c>
      <c r="P28" s="50"/>
      <c r="Q28" s="73">
        <f t="shared" si="3"/>
        <v>0</v>
      </c>
      <c r="R28" s="49">
        <v>1</v>
      </c>
      <c r="S28" s="50"/>
      <c r="T28" s="73">
        <f t="shared" si="4"/>
        <v>0</v>
      </c>
      <c r="U28" s="49">
        <v>1</v>
      </c>
      <c r="V28" s="50">
        <v>0.1333</v>
      </c>
      <c r="W28" s="73">
        <f t="shared" si="5"/>
        <v>0.1333</v>
      </c>
      <c r="X28" s="49">
        <v>1</v>
      </c>
      <c r="Y28" s="50">
        <v>0.25</v>
      </c>
      <c r="Z28" s="73">
        <f t="shared" si="6"/>
        <v>0.25</v>
      </c>
      <c r="AA28" s="49">
        <v>1</v>
      </c>
      <c r="AB28" s="50">
        <v>0.3</v>
      </c>
      <c r="AC28" s="73">
        <f t="shared" si="16"/>
        <v>0.3</v>
      </c>
      <c r="AD28" s="50">
        <f>(+M28+P28+S28+V28+Y28+AB28)/6</f>
        <v>0.11388333333333334</v>
      </c>
      <c r="AE28" s="73">
        <f t="shared" si="23"/>
        <v>0.11388333333333334</v>
      </c>
      <c r="AF28" s="49">
        <v>1</v>
      </c>
      <c r="AG28" s="50">
        <v>0.4</v>
      </c>
      <c r="AH28" s="73">
        <f t="shared" si="10"/>
        <v>0.4</v>
      </c>
      <c r="AI28" s="49">
        <v>1</v>
      </c>
      <c r="AJ28" s="50">
        <v>0.45</v>
      </c>
      <c r="AK28" s="73">
        <f t="shared" si="11"/>
        <v>0.45</v>
      </c>
      <c r="AL28" s="49">
        <v>1</v>
      </c>
      <c r="AM28" s="50">
        <v>0.5</v>
      </c>
      <c r="AN28" s="73">
        <f t="shared" si="12"/>
        <v>0.5</v>
      </c>
      <c r="AO28" s="49">
        <v>1</v>
      </c>
      <c r="AP28" s="50">
        <v>0.45</v>
      </c>
      <c r="AQ28" s="73">
        <f t="shared" si="13"/>
        <v>0.45</v>
      </c>
      <c r="AR28" s="49">
        <v>1</v>
      </c>
      <c r="AS28" s="50"/>
      <c r="AT28" s="73">
        <f t="shared" si="14"/>
        <v>0</v>
      </c>
      <c r="AU28" s="49">
        <v>1</v>
      </c>
      <c r="AV28" s="50"/>
      <c r="AW28" s="73">
        <f t="shared" si="19"/>
        <v>0</v>
      </c>
      <c r="AX28" s="49"/>
      <c r="AY28" s="73"/>
      <c r="AZ28" s="2286"/>
      <c r="BA28" s="2286"/>
      <c r="BB28" s="2286"/>
      <c r="BC28" s="2286"/>
      <c r="BD28" s="2286"/>
      <c r="BE28" s="2286"/>
    </row>
    <row r="29" spans="1:57" s="2188" customFormat="1" ht="77.45" customHeight="1" thickTop="1" thickBot="1">
      <c r="A29" s="2944"/>
      <c r="B29" s="3203"/>
      <c r="C29" s="2856"/>
      <c r="D29" s="24" t="s">
        <v>132</v>
      </c>
      <c r="E29" s="25" t="s">
        <v>133</v>
      </c>
      <c r="F29" s="25" t="s">
        <v>10</v>
      </c>
      <c r="G29" s="2236">
        <v>1</v>
      </c>
      <c r="H29" s="25" t="s">
        <v>7</v>
      </c>
      <c r="I29" s="2237"/>
      <c r="J29" s="2238"/>
      <c r="K29" s="2237"/>
      <c r="L29" s="44">
        <v>0</v>
      </c>
      <c r="M29" s="649">
        <v>0</v>
      </c>
      <c r="N29" s="73" t="e">
        <f t="shared" si="22"/>
        <v>#DIV/0!</v>
      </c>
      <c r="O29" s="44">
        <v>0</v>
      </c>
      <c r="P29" s="649">
        <v>0</v>
      </c>
      <c r="Q29" s="73" t="e">
        <f t="shared" si="3"/>
        <v>#DIV/0!</v>
      </c>
      <c r="R29" s="44">
        <v>0</v>
      </c>
      <c r="S29" s="649">
        <v>0</v>
      </c>
      <c r="T29" s="73" t="e">
        <f t="shared" si="4"/>
        <v>#DIV/0!</v>
      </c>
      <c r="U29" s="646">
        <v>0</v>
      </c>
      <c r="V29" s="649">
        <v>0</v>
      </c>
      <c r="W29" s="73" t="e">
        <f t="shared" si="5"/>
        <v>#DIV/0!</v>
      </c>
      <c r="X29" s="44">
        <v>0</v>
      </c>
      <c r="Y29" s="649">
        <v>0</v>
      </c>
      <c r="Z29" s="73" t="e">
        <f t="shared" si="6"/>
        <v>#DIV/0!</v>
      </c>
      <c r="AA29" s="44">
        <v>0</v>
      </c>
      <c r="AB29" s="649">
        <v>0</v>
      </c>
      <c r="AC29" s="73" t="e">
        <f t="shared" si="16"/>
        <v>#DIV/0!</v>
      </c>
      <c r="AD29" s="649">
        <v>1.5</v>
      </c>
      <c r="AE29" s="73">
        <f t="shared" si="23"/>
        <v>1.5</v>
      </c>
      <c r="AF29" s="646">
        <v>0</v>
      </c>
      <c r="AG29" s="649">
        <v>0</v>
      </c>
      <c r="AH29" s="73" t="e">
        <f t="shared" si="10"/>
        <v>#DIV/0!</v>
      </c>
      <c r="AI29" s="44">
        <v>1</v>
      </c>
      <c r="AJ29" s="649">
        <v>0</v>
      </c>
      <c r="AK29" s="73">
        <f t="shared" si="11"/>
        <v>0</v>
      </c>
      <c r="AL29" s="44">
        <v>0</v>
      </c>
      <c r="AM29" s="649">
        <v>0</v>
      </c>
      <c r="AN29" s="73" t="e">
        <f t="shared" si="12"/>
        <v>#DIV/0!</v>
      </c>
      <c r="AO29" s="646">
        <v>0</v>
      </c>
      <c r="AP29" s="649">
        <v>0</v>
      </c>
      <c r="AQ29" s="73" t="e">
        <f t="shared" si="13"/>
        <v>#DIV/0!</v>
      </c>
      <c r="AR29" s="44">
        <v>0</v>
      </c>
      <c r="AS29" s="649"/>
      <c r="AT29" s="73" t="e">
        <f t="shared" si="14"/>
        <v>#DIV/0!</v>
      </c>
      <c r="AU29" s="646">
        <v>0</v>
      </c>
      <c r="AV29" s="649"/>
      <c r="AW29" s="73" t="e">
        <f t="shared" si="19"/>
        <v>#DIV/0!</v>
      </c>
      <c r="AX29" s="646">
        <f>+AJ29</f>
        <v>0</v>
      </c>
      <c r="AY29" s="73"/>
      <c r="AZ29" s="2286" t="s">
        <v>977</v>
      </c>
      <c r="BA29" s="2286"/>
      <c r="BB29" s="2286"/>
      <c r="BC29" s="2286"/>
      <c r="BD29" s="2286"/>
      <c r="BE29" s="2286"/>
    </row>
    <row r="30" spans="1:57" s="2188" customFormat="1" ht="46.5" thickTop="1" thickBot="1">
      <c r="A30" s="2944"/>
      <c r="B30" s="3159"/>
      <c r="C30" s="372" t="s">
        <v>134</v>
      </c>
      <c r="D30" s="218" t="s">
        <v>135</v>
      </c>
      <c r="E30" s="2239" t="s">
        <v>22</v>
      </c>
      <c r="F30" s="2240" t="s">
        <v>16</v>
      </c>
      <c r="G30" s="2239" t="s">
        <v>136</v>
      </c>
      <c r="H30" s="2239" t="s">
        <v>23</v>
      </c>
      <c r="I30" s="2241"/>
      <c r="J30" s="2241"/>
      <c r="K30" s="2241"/>
      <c r="L30" s="2242">
        <v>0</v>
      </c>
      <c r="M30" s="2243"/>
      <c r="N30" s="73" t="e">
        <f t="shared" si="22"/>
        <v>#DIV/0!</v>
      </c>
      <c r="O30" s="2244">
        <v>0</v>
      </c>
      <c r="P30" s="2243"/>
      <c r="Q30" s="73" t="e">
        <f t="shared" si="3"/>
        <v>#DIV/0!</v>
      </c>
      <c r="R30" s="2245">
        <v>0</v>
      </c>
      <c r="S30" s="2243"/>
      <c r="T30" s="73" t="e">
        <f t="shared" si="4"/>
        <v>#DIV/0!</v>
      </c>
      <c r="U30" s="2246">
        <v>0</v>
      </c>
      <c r="V30" s="2243"/>
      <c r="W30" s="73" t="e">
        <f t="shared" si="5"/>
        <v>#DIV/0!</v>
      </c>
      <c r="X30" s="2247">
        <v>0</v>
      </c>
      <c r="Y30" s="2243"/>
      <c r="Z30" s="73" t="e">
        <f t="shared" si="6"/>
        <v>#DIV/0!</v>
      </c>
      <c r="AA30" s="2245">
        <v>0</v>
      </c>
      <c r="AB30" s="2243"/>
      <c r="AC30" s="73" t="e">
        <f t="shared" si="16"/>
        <v>#DIV/0!</v>
      </c>
      <c r="AD30" s="2248">
        <f t="shared" si="17"/>
        <v>0</v>
      </c>
      <c r="AE30" s="73" t="e">
        <f t="shared" si="23"/>
        <v>#VALUE!</v>
      </c>
      <c r="AF30" s="2246">
        <v>0</v>
      </c>
      <c r="AG30" s="2243"/>
      <c r="AH30" s="73" t="e">
        <f t="shared" si="10"/>
        <v>#DIV/0!</v>
      </c>
      <c r="AI30" s="2195">
        <v>0</v>
      </c>
      <c r="AJ30" s="2243"/>
      <c r="AK30" s="73" t="e">
        <f t="shared" si="11"/>
        <v>#DIV/0!</v>
      </c>
      <c r="AL30" s="2249">
        <v>0</v>
      </c>
      <c r="AM30" s="2243"/>
      <c r="AN30" s="73" t="e">
        <f t="shared" si="12"/>
        <v>#DIV/0!</v>
      </c>
      <c r="AO30" s="2195">
        <v>0</v>
      </c>
      <c r="AP30" s="2243"/>
      <c r="AQ30" s="73" t="e">
        <f t="shared" si="13"/>
        <v>#DIV/0!</v>
      </c>
      <c r="AR30" s="2249">
        <v>0</v>
      </c>
      <c r="AS30" s="2243"/>
      <c r="AT30" s="73" t="e">
        <f t="shared" si="14"/>
        <v>#DIV/0!</v>
      </c>
      <c r="AU30" s="2249">
        <v>0</v>
      </c>
      <c r="AV30" s="2243"/>
      <c r="AW30" s="73" t="e">
        <f t="shared" si="19"/>
        <v>#DIV/0!</v>
      </c>
      <c r="AX30" s="2246">
        <f t="shared" si="20"/>
        <v>0</v>
      </c>
      <c r="AY30" s="73"/>
      <c r="AZ30" s="2286" t="s">
        <v>977</v>
      </c>
      <c r="BA30" s="2286"/>
      <c r="BB30" s="2286"/>
      <c r="BC30" s="2286"/>
      <c r="BD30" s="2286"/>
      <c r="BE30" s="2286"/>
    </row>
    <row r="31" spans="1:57" s="2188" customFormat="1" ht="75.75" customHeight="1" thickTop="1" thickBot="1">
      <c r="A31" s="2944"/>
      <c r="B31" s="2863" t="s">
        <v>418</v>
      </c>
      <c r="C31" s="25" t="s">
        <v>441</v>
      </c>
      <c r="D31" s="1201" t="s">
        <v>227</v>
      </c>
      <c r="E31" s="418" t="s">
        <v>139</v>
      </c>
      <c r="F31" s="98" t="s">
        <v>101</v>
      </c>
      <c r="G31" s="2250">
        <f>+'[4]FIS-24'!$BX$16</f>
        <v>6799999999.999999</v>
      </c>
      <c r="H31" s="2251" t="s">
        <v>140</v>
      </c>
      <c r="I31" s="418"/>
      <c r="J31" s="418"/>
      <c r="K31" s="418"/>
      <c r="L31" s="214">
        <v>566666666.66666663</v>
      </c>
      <c r="M31" s="1719">
        <v>635996752</v>
      </c>
      <c r="N31" s="73">
        <f t="shared" si="22"/>
        <v>1.1223472094117648</v>
      </c>
      <c r="O31" s="214">
        <v>566666666.66666663</v>
      </c>
      <c r="P31" s="1719">
        <v>471881143</v>
      </c>
      <c r="Q31" s="73">
        <f t="shared" si="3"/>
        <v>0.83273142882352946</v>
      </c>
      <c r="R31" s="2252">
        <v>566666666.66666663</v>
      </c>
      <c r="S31" s="1719">
        <v>252449437</v>
      </c>
      <c r="T31" s="73">
        <f t="shared" si="4"/>
        <v>0.44549900647058827</v>
      </c>
      <c r="U31" s="214">
        <v>1123888889</v>
      </c>
      <c r="V31" s="1719">
        <v>0</v>
      </c>
      <c r="W31" s="73">
        <f t="shared" si="5"/>
        <v>0</v>
      </c>
      <c r="X31" s="214">
        <v>1123888889</v>
      </c>
      <c r="Y31" s="1719">
        <v>0</v>
      </c>
      <c r="Z31" s="73">
        <f t="shared" si="6"/>
        <v>0</v>
      </c>
      <c r="AA31" s="2252">
        <v>1123888889</v>
      </c>
      <c r="AB31" s="1719">
        <v>202423145</v>
      </c>
      <c r="AC31" s="73">
        <f t="shared" si="16"/>
        <v>0.18010957042213449</v>
      </c>
      <c r="AD31" s="1719">
        <f t="shared" si="17"/>
        <v>1562750477</v>
      </c>
      <c r="AE31" s="73">
        <f t="shared" si="23"/>
        <v>0.2298162466176471</v>
      </c>
      <c r="AF31" s="214">
        <v>1123888889</v>
      </c>
      <c r="AG31" s="1719">
        <v>514758673</v>
      </c>
      <c r="AH31" s="73">
        <f t="shared" si="10"/>
        <v>0.45801562595570777</v>
      </c>
      <c r="AI31" s="214">
        <v>139022222.12</v>
      </c>
      <c r="AJ31" s="1719">
        <v>595346242</v>
      </c>
      <c r="AK31" s="73">
        <f t="shared" si="11"/>
        <v>4.2823818589672245</v>
      </c>
      <c r="AL31" s="2252">
        <v>139022222.12</v>
      </c>
      <c r="AM31" s="1719">
        <v>415806325</v>
      </c>
      <c r="AN31" s="73">
        <f t="shared" si="12"/>
        <v>2.9909342453258145</v>
      </c>
      <c r="AO31" s="214">
        <v>139022222.12</v>
      </c>
      <c r="AP31" s="1719">
        <v>511594563</v>
      </c>
      <c r="AQ31" s="73">
        <f t="shared" si="13"/>
        <v>3.67994810612656</v>
      </c>
      <c r="AR31" s="2252">
        <v>93688888.819999993</v>
      </c>
      <c r="AS31" s="1719">
        <v>470264444</v>
      </c>
      <c r="AT31" s="73">
        <f t="shared" si="14"/>
        <v>5.0194259951518552</v>
      </c>
      <c r="AU31" s="2252">
        <v>93688888.819999993</v>
      </c>
      <c r="AV31" s="1719">
        <v>288417661</v>
      </c>
      <c r="AW31" s="73">
        <f t="shared" si="19"/>
        <v>3.0784617539239165</v>
      </c>
      <c r="AX31" s="214">
        <f t="shared" si="20"/>
        <v>4358938385</v>
      </c>
      <c r="AY31" s="73">
        <f>+AX31/G31</f>
        <v>0.64102035073529418</v>
      </c>
      <c r="AZ31" s="2286"/>
      <c r="BA31" s="2286"/>
      <c r="BB31" s="2286"/>
      <c r="BC31" s="2286"/>
      <c r="BD31" s="2286"/>
      <c r="BE31" s="2286"/>
    </row>
    <row r="32" spans="1:57" s="2188" customFormat="1" ht="87.75" customHeight="1" thickTop="1" thickBot="1">
      <c r="A32" s="2944"/>
      <c r="B32" s="2942"/>
      <c r="C32" s="371" t="s">
        <v>442</v>
      </c>
      <c r="D32" s="1110" t="s">
        <v>979</v>
      </c>
      <c r="E32" s="561" t="s">
        <v>469</v>
      </c>
      <c r="F32" s="2253" t="s">
        <v>24</v>
      </c>
      <c r="G32" s="1114">
        <v>194</v>
      </c>
      <c r="H32" s="2254" t="s">
        <v>140</v>
      </c>
      <c r="I32" s="561"/>
      <c r="J32" s="561"/>
      <c r="K32" s="561"/>
      <c r="L32" s="58">
        <v>12.9333333333333</v>
      </c>
      <c r="M32" s="59">
        <v>25</v>
      </c>
      <c r="N32" s="73">
        <f t="shared" si="22"/>
        <v>1.9329896907216544</v>
      </c>
      <c r="O32" s="58">
        <v>12.9333333333333</v>
      </c>
      <c r="P32" s="59">
        <v>42</v>
      </c>
      <c r="Q32" s="73">
        <f t="shared" si="3"/>
        <v>3.2474226804123796</v>
      </c>
      <c r="R32" s="58">
        <v>12.9333333333333</v>
      </c>
      <c r="S32" s="59">
        <v>18</v>
      </c>
      <c r="T32" s="73">
        <f t="shared" si="4"/>
        <v>1.3917525773195913</v>
      </c>
      <c r="U32" s="58">
        <v>19.399999999999999</v>
      </c>
      <c r="V32" s="59">
        <v>6</v>
      </c>
      <c r="W32" s="73">
        <f t="shared" si="5"/>
        <v>0.30927835051546393</v>
      </c>
      <c r="X32" s="58">
        <v>19.399999999999999</v>
      </c>
      <c r="Y32" s="59">
        <v>7</v>
      </c>
      <c r="Z32" s="73">
        <f t="shared" si="6"/>
        <v>0.36082474226804129</v>
      </c>
      <c r="AA32" s="58">
        <v>19.399999999999999</v>
      </c>
      <c r="AB32" s="59">
        <v>14</v>
      </c>
      <c r="AC32" s="73">
        <f t="shared" si="16"/>
        <v>0.72164948453608257</v>
      </c>
      <c r="AD32" s="59">
        <f t="shared" si="17"/>
        <v>112</v>
      </c>
      <c r="AE32" s="73">
        <f t="shared" si="23"/>
        <v>0.57731958762886593</v>
      </c>
      <c r="AF32" s="58">
        <v>19.399999999999999</v>
      </c>
      <c r="AG32" s="59">
        <v>37</v>
      </c>
      <c r="AH32" s="73">
        <f t="shared" si="10"/>
        <v>1.9072164948453609</v>
      </c>
      <c r="AI32" s="58">
        <v>19.399999999999999</v>
      </c>
      <c r="AJ32" s="59">
        <v>47</v>
      </c>
      <c r="AK32" s="73">
        <f t="shared" si="11"/>
        <v>2.4226804123711343</v>
      </c>
      <c r="AL32" s="58">
        <v>19.399999999999999</v>
      </c>
      <c r="AM32" s="59">
        <v>47</v>
      </c>
      <c r="AN32" s="73">
        <f t="shared" si="12"/>
        <v>2.4226804123711343</v>
      </c>
      <c r="AO32" s="58">
        <v>12.9333333333333</v>
      </c>
      <c r="AP32" s="59">
        <v>37</v>
      </c>
      <c r="AQ32" s="73">
        <f t="shared" si="13"/>
        <v>2.8608247422680488</v>
      </c>
      <c r="AR32" s="58">
        <v>12.9333333333333</v>
      </c>
      <c r="AS32" s="59">
        <v>13</v>
      </c>
      <c r="AT32" s="73">
        <f t="shared" si="14"/>
        <v>1.0051546391752604</v>
      </c>
      <c r="AU32" s="58">
        <v>12.9333333333333</v>
      </c>
      <c r="AV32" s="59">
        <v>9</v>
      </c>
      <c r="AW32" s="73">
        <f t="shared" si="19"/>
        <v>0.69587628865979567</v>
      </c>
      <c r="AX32" s="58">
        <f>+M32+P32+S32+V32+Y32+AB32+AG32+AJ32+AM32+AP32+AS32+AV32</f>
        <v>302</v>
      </c>
      <c r="AY32" s="73">
        <f>+AX32/G32</f>
        <v>1.5567010309278351</v>
      </c>
      <c r="AZ32" s="2286"/>
      <c r="BA32" s="2286"/>
      <c r="BB32" s="2286"/>
      <c r="BC32" s="2286"/>
      <c r="BD32" s="2286"/>
      <c r="BE32" s="2286"/>
    </row>
    <row r="33" spans="1:57" s="2188" customFormat="1" ht="87.75" customHeight="1" thickTop="1" thickBot="1">
      <c r="A33" s="2944"/>
      <c r="B33" s="2942"/>
      <c r="C33" s="25" t="s">
        <v>980</v>
      </c>
      <c r="D33" s="24" t="s">
        <v>224</v>
      </c>
      <c r="E33" s="25" t="s">
        <v>937</v>
      </c>
      <c r="F33" s="25" t="s">
        <v>17</v>
      </c>
      <c r="G33" s="605">
        <v>1801</v>
      </c>
      <c r="H33" s="605" t="s">
        <v>226</v>
      </c>
      <c r="I33" s="25"/>
      <c r="J33" s="25"/>
      <c r="K33" s="25"/>
      <c r="L33" s="27">
        <v>260</v>
      </c>
      <c r="M33" s="28">
        <v>199</v>
      </c>
      <c r="N33" s="73">
        <f t="shared" si="22"/>
        <v>0.76538461538461533</v>
      </c>
      <c r="O33" s="27">
        <v>229</v>
      </c>
      <c r="P33" s="28">
        <v>169</v>
      </c>
      <c r="Q33" s="73">
        <f t="shared" si="3"/>
        <v>0.73799126637554591</v>
      </c>
      <c r="R33" s="27">
        <v>156</v>
      </c>
      <c r="S33" s="28">
        <v>118</v>
      </c>
      <c r="T33" s="73">
        <f t="shared" si="4"/>
        <v>0.75641025641025639</v>
      </c>
      <c r="U33" s="27">
        <v>12</v>
      </c>
      <c r="V33" s="28">
        <v>10</v>
      </c>
      <c r="W33" s="73">
        <f t="shared" si="5"/>
        <v>0.83333333333333337</v>
      </c>
      <c r="X33" s="27">
        <v>71</v>
      </c>
      <c r="Y33" s="28">
        <v>207</v>
      </c>
      <c r="Z33" s="73">
        <f t="shared" si="6"/>
        <v>2.915492957746479</v>
      </c>
      <c r="AA33" s="27">
        <v>98</v>
      </c>
      <c r="AB33" s="28">
        <v>405</v>
      </c>
      <c r="AC33" s="73">
        <f t="shared" si="16"/>
        <v>4.1326530612244898</v>
      </c>
      <c r="AD33" s="28">
        <f t="shared" si="17"/>
        <v>1108</v>
      </c>
      <c r="AE33" s="73">
        <f t="shared" si="23"/>
        <v>0.61521377012770684</v>
      </c>
      <c r="AF33" s="27">
        <v>89</v>
      </c>
      <c r="AG33" s="28">
        <v>386</v>
      </c>
      <c r="AH33" s="73">
        <f t="shared" si="10"/>
        <v>4.3370786516853936</v>
      </c>
      <c r="AI33" s="27">
        <v>117</v>
      </c>
      <c r="AJ33" s="28">
        <v>377</v>
      </c>
      <c r="AK33" s="73">
        <f t="shared" si="11"/>
        <v>3.2222222222222223</v>
      </c>
      <c r="AL33" s="27">
        <v>146</v>
      </c>
      <c r="AM33" s="28">
        <v>423</v>
      </c>
      <c r="AN33" s="73">
        <f t="shared" si="12"/>
        <v>2.8972602739726026</v>
      </c>
      <c r="AO33" s="27">
        <v>162</v>
      </c>
      <c r="AP33" s="28">
        <v>547</v>
      </c>
      <c r="AQ33" s="73">
        <f t="shared" si="13"/>
        <v>3.3765432098765431</v>
      </c>
      <c r="AR33" s="27">
        <v>261</v>
      </c>
      <c r="AS33" s="28">
        <v>535</v>
      </c>
      <c r="AT33" s="73">
        <f t="shared" si="14"/>
        <v>2.0498084291187739</v>
      </c>
      <c r="AU33" s="27">
        <v>200</v>
      </c>
      <c r="AV33" s="28">
        <v>446</v>
      </c>
      <c r="AW33" s="73">
        <f t="shared" si="19"/>
        <v>2.23</v>
      </c>
      <c r="AX33" s="27">
        <f t="shared" si="20"/>
        <v>3822</v>
      </c>
      <c r="AY33" s="73">
        <f>+AX33/G33</f>
        <v>2.1221543586896168</v>
      </c>
      <c r="AZ33" s="2286"/>
      <c r="BA33" s="2286"/>
      <c r="BB33" s="2286"/>
      <c r="BC33" s="2286"/>
      <c r="BD33" s="2286"/>
      <c r="BE33" s="2286"/>
    </row>
    <row r="34" spans="1:57" s="2223" customFormat="1" ht="66" customHeight="1" thickTop="1" thickBot="1">
      <c r="A34" s="2944"/>
      <c r="B34" s="2942"/>
      <c r="C34" s="3182" t="s">
        <v>981</v>
      </c>
      <c r="D34" s="1198" t="s">
        <v>982</v>
      </c>
      <c r="E34" s="2255" t="s">
        <v>206</v>
      </c>
      <c r="F34" s="371" t="s">
        <v>24</v>
      </c>
      <c r="G34" s="2256">
        <v>6</v>
      </c>
      <c r="H34" s="2257" t="s">
        <v>196</v>
      </c>
      <c r="I34" s="561"/>
      <c r="J34" s="561"/>
      <c r="K34" s="561"/>
      <c r="L34" s="58">
        <v>0</v>
      </c>
      <c r="M34" s="59">
        <v>0</v>
      </c>
      <c r="N34" s="73" t="e">
        <f t="shared" si="22"/>
        <v>#DIV/0!</v>
      </c>
      <c r="O34" s="58">
        <v>0</v>
      </c>
      <c r="P34" s="59">
        <v>0</v>
      </c>
      <c r="Q34" s="73" t="e">
        <f t="shared" si="3"/>
        <v>#DIV/0!</v>
      </c>
      <c r="R34" s="58">
        <v>0</v>
      </c>
      <c r="S34" s="59">
        <v>0</v>
      </c>
      <c r="T34" s="73" t="e">
        <f t="shared" si="4"/>
        <v>#DIV/0!</v>
      </c>
      <c r="U34" s="58">
        <v>0</v>
      </c>
      <c r="V34" s="59"/>
      <c r="W34" s="73" t="e">
        <f t="shared" si="5"/>
        <v>#DIV/0!</v>
      </c>
      <c r="X34" s="58">
        <v>3</v>
      </c>
      <c r="Y34" s="59">
        <v>0</v>
      </c>
      <c r="Z34" s="73">
        <f t="shared" si="6"/>
        <v>0</v>
      </c>
      <c r="AA34" s="58">
        <v>0</v>
      </c>
      <c r="AB34" s="59">
        <v>0</v>
      </c>
      <c r="AC34" s="73" t="e">
        <f t="shared" si="16"/>
        <v>#DIV/0!</v>
      </c>
      <c r="AD34" s="59">
        <f>+Y34</f>
        <v>0</v>
      </c>
      <c r="AE34" s="73">
        <f t="shared" si="23"/>
        <v>0</v>
      </c>
      <c r="AF34" s="58">
        <v>0</v>
      </c>
      <c r="AG34" s="59">
        <v>1</v>
      </c>
      <c r="AH34" s="73" t="e">
        <f t="shared" si="10"/>
        <v>#DIV/0!</v>
      </c>
      <c r="AI34" s="58">
        <v>0</v>
      </c>
      <c r="AJ34" s="59">
        <v>0</v>
      </c>
      <c r="AK34" s="73" t="e">
        <f t="shared" si="11"/>
        <v>#DIV/0!</v>
      </c>
      <c r="AL34" s="58">
        <v>3</v>
      </c>
      <c r="AM34" s="59">
        <v>1</v>
      </c>
      <c r="AN34" s="73">
        <f t="shared" si="12"/>
        <v>0.33333333333333331</v>
      </c>
      <c r="AO34" s="58">
        <v>0</v>
      </c>
      <c r="AP34" s="59">
        <v>0</v>
      </c>
      <c r="AQ34" s="73" t="e">
        <f t="shared" si="13"/>
        <v>#DIV/0!</v>
      </c>
      <c r="AR34" s="58">
        <v>0</v>
      </c>
      <c r="AS34" s="59">
        <v>2</v>
      </c>
      <c r="AT34" s="73" t="e">
        <f t="shared" si="14"/>
        <v>#DIV/0!</v>
      </c>
      <c r="AU34" s="58">
        <v>0</v>
      </c>
      <c r="AV34" s="59">
        <v>2</v>
      </c>
      <c r="AW34" s="73" t="e">
        <f t="shared" si="19"/>
        <v>#DIV/0!</v>
      </c>
      <c r="AX34" s="58">
        <f>+AM34+Y34+AS34+AV34+AG34</f>
        <v>6</v>
      </c>
      <c r="AY34" s="73">
        <f>+AX34/G34</f>
        <v>1</v>
      </c>
      <c r="AZ34" s="2288"/>
      <c r="BA34" s="2288"/>
      <c r="BB34" s="2288"/>
      <c r="BC34" s="2288"/>
      <c r="BD34" s="2288"/>
      <c r="BE34" s="2288"/>
    </row>
    <row r="35" spans="1:57" s="2224" customFormat="1" ht="56.25" customHeight="1" thickTop="1" thickBot="1">
      <c r="A35" s="2944"/>
      <c r="B35" s="2942"/>
      <c r="C35" s="3182"/>
      <c r="D35" s="24" t="s">
        <v>207</v>
      </c>
      <c r="E35" s="550" t="s">
        <v>206</v>
      </c>
      <c r="F35" s="25" t="s">
        <v>24</v>
      </c>
      <c r="G35" s="2258">
        <v>0</v>
      </c>
      <c r="H35" s="2208" t="s">
        <v>196</v>
      </c>
      <c r="I35" s="25"/>
      <c r="J35" s="25"/>
      <c r="K35" s="25"/>
      <c r="L35" s="27">
        <v>0</v>
      </c>
      <c r="M35" s="28">
        <v>0</v>
      </c>
      <c r="N35" s="73" t="e">
        <f t="shared" si="22"/>
        <v>#DIV/0!</v>
      </c>
      <c r="O35" s="27">
        <v>0</v>
      </c>
      <c r="P35" s="28">
        <v>0</v>
      </c>
      <c r="Q35" s="73" t="e">
        <f t="shared" si="3"/>
        <v>#DIV/0!</v>
      </c>
      <c r="R35" s="27">
        <v>0</v>
      </c>
      <c r="S35" s="28">
        <v>0</v>
      </c>
      <c r="T35" s="73" t="e">
        <f t="shared" si="4"/>
        <v>#DIV/0!</v>
      </c>
      <c r="U35" s="27">
        <v>0</v>
      </c>
      <c r="V35" s="28">
        <v>0</v>
      </c>
      <c r="W35" s="73" t="e">
        <f t="shared" si="5"/>
        <v>#DIV/0!</v>
      </c>
      <c r="X35" s="27">
        <v>0</v>
      </c>
      <c r="Y35" s="28">
        <v>0</v>
      </c>
      <c r="Z35" s="73" t="e">
        <f t="shared" si="6"/>
        <v>#DIV/0!</v>
      </c>
      <c r="AA35" s="27">
        <v>0</v>
      </c>
      <c r="AB35" s="28">
        <v>0</v>
      </c>
      <c r="AC35" s="73" t="e">
        <f t="shared" si="16"/>
        <v>#DIV/0!</v>
      </c>
      <c r="AD35" s="28">
        <f t="shared" si="17"/>
        <v>0</v>
      </c>
      <c r="AE35" s="73" t="e">
        <f t="shared" si="23"/>
        <v>#DIV/0!</v>
      </c>
      <c r="AF35" s="27">
        <v>0</v>
      </c>
      <c r="AG35" s="28">
        <v>0</v>
      </c>
      <c r="AH35" s="73" t="e">
        <f t="shared" si="10"/>
        <v>#DIV/0!</v>
      </c>
      <c r="AI35" s="27">
        <v>0</v>
      </c>
      <c r="AJ35" s="28">
        <v>0</v>
      </c>
      <c r="AK35" s="73" t="e">
        <f t="shared" si="11"/>
        <v>#DIV/0!</v>
      </c>
      <c r="AL35" s="27">
        <v>0</v>
      </c>
      <c r="AM35" s="28">
        <v>0</v>
      </c>
      <c r="AN35" s="73" t="e">
        <f t="shared" si="12"/>
        <v>#DIV/0!</v>
      </c>
      <c r="AO35" s="27">
        <v>0</v>
      </c>
      <c r="AP35" s="28">
        <v>0</v>
      </c>
      <c r="AQ35" s="73" t="e">
        <f t="shared" si="13"/>
        <v>#DIV/0!</v>
      </c>
      <c r="AR35" s="27">
        <v>0</v>
      </c>
      <c r="AS35" s="28">
        <v>0</v>
      </c>
      <c r="AT35" s="73" t="e">
        <f t="shared" si="14"/>
        <v>#DIV/0!</v>
      </c>
      <c r="AU35" s="27">
        <v>0</v>
      </c>
      <c r="AV35" s="28">
        <v>0</v>
      </c>
      <c r="AW35" s="73" t="e">
        <f t="shared" si="19"/>
        <v>#DIV/0!</v>
      </c>
      <c r="AX35" s="27">
        <f t="shared" si="20"/>
        <v>0</v>
      </c>
      <c r="AY35" s="73"/>
      <c r="AZ35" s="2289"/>
      <c r="BA35" s="2289"/>
      <c r="BB35" s="2289"/>
      <c r="BC35" s="2289"/>
      <c r="BD35" s="2289"/>
      <c r="BE35" s="2289"/>
    </row>
    <row r="36" spans="1:57" s="2223" customFormat="1" ht="46.5" thickTop="1" thickBot="1">
      <c r="A36" s="2945"/>
      <c r="B36" s="2864"/>
      <c r="C36" s="3193"/>
      <c r="D36" s="17" t="s">
        <v>433</v>
      </c>
      <c r="E36" s="1745" t="s">
        <v>480</v>
      </c>
      <c r="F36" s="1112" t="s">
        <v>10</v>
      </c>
      <c r="G36" s="2259">
        <v>1</v>
      </c>
      <c r="H36" s="2260" t="s">
        <v>196</v>
      </c>
      <c r="I36" s="561"/>
      <c r="J36" s="561"/>
      <c r="K36" s="561"/>
      <c r="L36" s="49">
        <v>1</v>
      </c>
      <c r="M36" s="50">
        <v>0</v>
      </c>
      <c r="N36" s="73">
        <f t="shared" si="22"/>
        <v>0</v>
      </c>
      <c r="O36" s="49">
        <v>1</v>
      </c>
      <c r="P36" s="50">
        <v>0</v>
      </c>
      <c r="Q36" s="73">
        <f t="shared" si="3"/>
        <v>0</v>
      </c>
      <c r="R36" s="49">
        <v>1</v>
      </c>
      <c r="S36" s="50">
        <v>0</v>
      </c>
      <c r="T36" s="73">
        <f t="shared" si="4"/>
        <v>0</v>
      </c>
      <c r="U36" s="49">
        <v>1</v>
      </c>
      <c r="V36" s="50">
        <v>0</v>
      </c>
      <c r="W36" s="73">
        <f t="shared" si="5"/>
        <v>0</v>
      </c>
      <c r="X36" s="49">
        <v>1</v>
      </c>
      <c r="Y36" s="50">
        <v>0</v>
      </c>
      <c r="Z36" s="73">
        <f t="shared" si="6"/>
        <v>0</v>
      </c>
      <c r="AA36" s="49">
        <v>1</v>
      </c>
      <c r="AB36" s="50">
        <v>0</v>
      </c>
      <c r="AC36" s="73">
        <f t="shared" si="16"/>
        <v>0</v>
      </c>
      <c r="AD36" s="50">
        <f>(+M36+P36+S36+V36+Y36+AB36)/6</f>
        <v>0</v>
      </c>
      <c r="AE36" s="73">
        <f t="shared" si="23"/>
        <v>0</v>
      </c>
      <c r="AF36" s="49">
        <v>1</v>
      </c>
      <c r="AG36" s="50">
        <v>1</v>
      </c>
      <c r="AH36" s="73">
        <f t="shared" si="10"/>
        <v>1</v>
      </c>
      <c r="AI36" s="49">
        <v>1</v>
      </c>
      <c r="AJ36" s="50">
        <v>1</v>
      </c>
      <c r="AK36" s="73">
        <f t="shared" si="11"/>
        <v>1</v>
      </c>
      <c r="AL36" s="49">
        <v>1</v>
      </c>
      <c r="AM36" s="50">
        <v>1</v>
      </c>
      <c r="AN36" s="73">
        <f t="shared" si="12"/>
        <v>1</v>
      </c>
      <c r="AO36" s="49">
        <v>1</v>
      </c>
      <c r="AP36" s="50">
        <v>1</v>
      </c>
      <c r="AQ36" s="73">
        <f t="shared" si="13"/>
        <v>1</v>
      </c>
      <c r="AR36" s="49">
        <v>1</v>
      </c>
      <c r="AS36" s="50">
        <v>0</v>
      </c>
      <c r="AT36" s="73">
        <f t="shared" si="14"/>
        <v>0</v>
      </c>
      <c r="AU36" s="49">
        <v>1</v>
      </c>
      <c r="AV36" s="50">
        <v>0</v>
      </c>
      <c r="AW36" s="73">
        <f t="shared" si="19"/>
        <v>0</v>
      </c>
      <c r="AX36" s="49">
        <f>(+M36+P36+S36+V36+Y36+AB36+AG36+AJ36+AM36+AP36+AS36+AV36)/12</f>
        <v>0.33333333333333331</v>
      </c>
      <c r="AY36" s="73">
        <f>+AX36/G36</f>
        <v>0.33333333333333331</v>
      </c>
      <c r="AZ36" s="2288"/>
      <c r="BA36" s="2288"/>
      <c r="BB36" s="2288"/>
      <c r="BC36" s="2288"/>
      <c r="BD36" s="2288"/>
      <c r="BE36" s="2288"/>
    </row>
    <row r="37" spans="1:57" s="2188" customFormat="1" ht="22.5" thickTop="1" thickBot="1">
      <c r="A37" s="3194" t="s">
        <v>141</v>
      </c>
      <c r="B37" s="3195"/>
      <c r="C37" s="3195"/>
      <c r="D37" s="3195"/>
      <c r="E37" s="3195"/>
      <c r="F37" s="3195"/>
      <c r="G37" s="3195"/>
      <c r="H37" s="3196"/>
      <c r="I37" s="55"/>
      <c r="J37" s="55"/>
      <c r="K37" s="55"/>
      <c r="L37" s="2261"/>
      <c r="M37" s="2262"/>
      <c r="N37" s="1095"/>
      <c r="O37" s="2262"/>
      <c r="P37" s="2262"/>
      <c r="Q37" s="1095"/>
      <c r="R37" s="2262"/>
      <c r="S37" s="2262"/>
      <c r="T37" s="1095"/>
      <c r="U37" s="2262"/>
      <c r="V37" s="2262"/>
      <c r="W37" s="1095"/>
      <c r="X37" s="2262"/>
      <c r="Y37" s="2262"/>
      <c r="Z37" s="1095"/>
      <c r="AA37" s="2262"/>
      <c r="AB37" s="2262"/>
      <c r="AC37" s="1095"/>
      <c r="AD37" s="2262"/>
      <c r="AE37" s="1095"/>
      <c r="AF37" s="2262"/>
      <c r="AG37" s="2262"/>
      <c r="AH37" s="1095"/>
      <c r="AI37" s="2262"/>
      <c r="AJ37" s="2262"/>
      <c r="AK37" s="1095"/>
      <c r="AL37" s="2262"/>
      <c r="AM37" s="2262"/>
      <c r="AN37" s="1095"/>
      <c r="AO37" s="2262"/>
      <c r="AP37" s="2262"/>
      <c r="AQ37" s="1095"/>
      <c r="AR37" s="2262"/>
      <c r="AS37" s="2262"/>
      <c r="AT37" s="1095"/>
      <c r="AU37" s="2262"/>
      <c r="AV37" s="2262"/>
      <c r="AW37" s="1095"/>
      <c r="AX37" s="2263"/>
      <c r="AY37" s="2264"/>
      <c r="AZ37" s="2286"/>
      <c r="BA37" s="2286"/>
      <c r="BB37" s="2286"/>
      <c r="BC37" s="2286"/>
      <c r="BD37" s="2286"/>
      <c r="BE37" s="2286"/>
    </row>
    <row r="38" spans="1:57" s="2224" customFormat="1" ht="127.5" customHeight="1" thickTop="1" thickBot="1">
      <c r="A38" s="3197" t="s">
        <v>181</v>
      </c>
      <c r="B38" s="3044" t="s">
        <v>631</v>
      </c>
      <c r="C38" s="2265" t="s">
        <v>632</v>
      </c>
      <c r="D38" s="1201" t="s">
        <v>144</v>
      </c>
      <c r="E38" s="418" t="s">
        <v>633</v>
      </c>
      <c r="F38" s="418" t="s">
        <v>17</v>
      </c>
      <c r="G38" s="1780">
        <v>130</v>
      </c>
      <c r="H38" s="2208" t="s">
        <v>146</v>
      </c>
      <c r="I38" s="25"/>
      <c r="J38" s="25"/>
      <c r="K38" s="25"/>
      <c r="L38" s="27">
        <v>0</v>
      </c>
      <c r="M38" s="28">
        <v>0</v>
      </c>
      <c r="N38" s="73" t="e">
        <f>+M38/L38</f>
        <v>#DIV/0!</v>
      </c>
      <c r="O38" s="27">
        <v>0</v>
      </c>
      <c r="P38" s="28">
        <v>0</v>
      </c>
      <c r="Q38" s="73" t="e">
        <f t="shared" si="3"/>
        <v>#DIV/0!</v>
      </c>
      <c r="R38" s="27">
        <v>0</v>
      </c>
      <c r="S38" s="28">
        <v>0</v>
      </c>
      <c r="T38" s="73" t="e">
        <f t="shared" si="4"/>
        <v>#DIV/0!</v>
      </c>
      <c r="U38" s="27">
        <v>26</v>
      </c>
      <c r="V38" s="28">
        <v>11</v>
      </c>
      <c r="W38" s="73">
        <f t="shared" si="5"/>
        <v>0.42307692307692307</v>
      </c>
      <c r="X38" s="27">
        <v>0</v>
      </c>
      <c r="Y38" s="28">
        <v>0</v>
      </c>
      <c r="Z38" s="73" t="e">
        <f t="shared" si="6"/>
        <v>#DIV/0!</v>
      </c>
      <c r="AA38" s="27">
        <v>0</v>
      </c>
      <c r="AB38" s="28">
        <v>0</v>
      </c>
      <c r="AC38" s="73" t="e">
        <f t="shared" si="16"/>
        <v>#DIV/0!</v>
      </c>
      <c r="AD38" s="28">
        <f t="shared" si="17"/>
        <v>11</v>
      </c>
      <c r="AE38" s="73">
        <f>+AD38/G38</f>
        <v>8.461538461538462E-2</v>
      </c>
      <c r="AF38" s="27">
        <v>0</v>
      </c>
      <c r="AG38" s="28">
        <v>0</v>
      </c>
      <c r="AH38" s="73" t="e">
        <f t="shared" si="10"/>
        <v>#DIV/0!</v>
      </c>
      <c r="AI38" s="27">
        <v>39</v>
      </c>
      <c r="AJ38" s="28">
        <v>0</v>
      </c>
      <c r="AK38" s="73">
        <f t="shared" si="11"/>
        <v>0</v>
      </c>
      <c r="AL38" s="27">
        <v>0</v>
      </c>
      <c r="AM38" s="28">
        <v>0</v>
      </c>
      <c r="AN38" s="73" t="e">
        <f t="shared" si="12"/>
        <v>#DIV/0!</v>
      </c>
      <c r="AO38" s="27">
        <v>0</v>
      </c>
      <c r="AP38" s="28">
        <v>0</v>
      </c>
      <c r="AQ38" s="73" t="e">
        <f t="shared" si="13"/>
        <v>#DIV/0!</v>
      </c>
      <c r="AR38" s="27">
        <v>0</v>
      </c>
      <c r="AS38" s="28">
        <v>163</v>
      </c>
      <c r="AT38" s="73" t="e">
        <f t="shared" si="14"/>
        <v>#DIV/0!</v>
      </c>
      <c r="AU38" s="27">
        <v>65</v>
      </c>
      <c r="AV38" s="28">
        <v>163</v>
      </c>
      <c r="AW38" s="73">
        <f t="shared" si="19"/>
        <v>2.5076923076923077</v>
      </c>
      <c r="AX38" s="27">
        <v>0</v>
      </c>
      <c r="AY38" s="73"/>
      <c r="AZ38" s="2289"/>
      <c r="BA38" s="2289"/>
      <c r="BB38" s="2289"/>
      <c r="BC38" s="2289"/>
      <c r="BD38" s="2289"/>
      <c r="BE38" s="2289"/>
    </row>
    <row r="39" spans="1:57" s="2223" customFormat="1" ht="76.7" customHeight="1" thickTop="1" thickBot="1">
      <c r="A39" s="3198"/>
      <c r="B39" s="3045"/>
      <c r="C39" s="1051" t="s">
        <v>317</v>
      </c>
      <c r="D39" s="2266" t="s">
        <v>182</v>
      </c>
      <c r="E39" s="1047" t="s">
        <v>149</v>
      </c>
      <c r="F39" s="1051" t="s">
        <v>8</v>
      </c>
      <c r="G39" s="2267">
        <v>10.199999999999999</v>
      </c>
      <c r="H39" s="2204" t="s">
        <v>9</v>
      </c>
      <c r="I39" s="561"/>
      <c r="J39" s="561"/>
      <c r="K39" s="561"/>
      <c r="L39" s="58">
        <v>10.199999999999999</v>
      </c>
      <c r="M39" s="59">
        <v>9</v>
      </c>
      <c r="N39" s="73">
        <f>+L39/M39</f>
        <v>1.1333333333333333</v>
      </c>
      <c r="O39" s="58">
        <v>10.199999999999999</v>
      </c>
      <c r="P39" s="59">
        <v>9</v>
      </c>
      <c r="Q39" s="73">
        <f>+O39/P39</f>
        <v>1.1333333333333333</v>
      </c>
      <c r="R39" s="58">
        <v>10.199999999999999</v>
      </c>
      <c r="S39" s="59">
        <v>9</v>
      </c>
      <c r="T39" s="73">
        <f>+R39/S39</f>
        <v>1.1333333333333333</v>
      </c>
      <c r="U39" s="58">
        <v>10.199999999999999</v>
      </c>
      <c r="V39" s="59">
        <v>9</v>
      </c>
      <c r="W39" s="73">
        <f>+U39/V39</f>
        <v>1.1333333333333333</v>
      </c>
      <c r="X39" s="58">
        <v>10.199999999999999</v>
      </c>
      <c r="Y39" s="59">
        <v>9</v>
      </c>
      <c r="Z39" s="73">
        <f>+X39/Y39</f>
        <v>1.1333333333333333</v>
      </c>
      <c r="AA39" s="58">
        <v>10.199999999999999</v>
      </c>
      <c r="AB39" s="59">
        <v>9</v>
      </c>
      <c r="AC39" s="73">
        <f>+AA39/AB39</f>
        <v>1.1333333333333333</v>
      </c>
      <c r="AD39" s="59">
        <f>(+M39+P39+S39+V39+Y39+AB39)/6</f>
        <v>9</v>
      </c>
      <c r="AE39" s="73">
        <f>+G39/AD39</f>
        <v>1.1333333333333333</v>
      </c>
      <c r="AF39" s="58">
        <v>10.199999999999999</v>
      </c>
      <c r="AG39" s="59">
        <v>9</v>
      </c>
      <c r="AH39" s="73">
        <f>+AF39/AG39</f>
        <v>1.1333333333333333</v>
      </c>
      <c r="AI39" s="58">
        <v>10.199999999999999</v>
      </c>
      <c r="AJ39" s="59">
        <v>9</v>
      </c>
      <c r="AK39" s="73">
        <f>+AI39/AJ39</f>
        <v>1.1333333333333333</v>
      </c>
      <c r="AL39" s="58">
        <v>10.199999999999999</v>
      </c>
      <c r="AM39" s="59">
        <v>9</v>
      </c>
      <c r="AN39" s="73">
        <f>+AL39/AM39</f>
        <v>1.1333333333333333</v>
      </c>
      <c r="AO39" s="58">
        <v>10.199999999999999</v>
      </c>
      <c r="AP39" s="59">
        <v>9</v>
      </c>
      <c r="AQ39" s="73">
        <f>+AO39/AP39</f>
        <v>1.1333333333333333</v>
      </c>
      <c r="AR39" s="58">
        <v>10.199999999999999</v>
      </c>
      <c r="AS39" s="59">
        <v>9</v>
      </c>
      <c r="AT39" s="73">
        <f>+AR39/AS39</f>
        <v>1.1333333333333333</v>
      </c>
      <c r="AU39" s="58">
        <v>10.199999999999999</v>
      </c>
      <c r="AV39" s="59">
        <v>9</v>
      </c>
      <c r="AW39" s="73">
        <f>+AU39/AV39</f>
        <v>1.1333333333333333</v>
      </c>
      <c r="AX39" s="58">
        <f>(+M39+P39+S39+V39+Y39+AB39+AG39+AJ39+AM39+AP39+AS39+AV39)/12</f>
        <v>9</v>
      </c>
      <c r="AY39" s="73">
        <f>+G39/AX39</f>
        <v>1.1333333333333333</v>
      </c>
      <c r="AZ39" s="2288"/>
      <c r="BA39" s="2288"/>
      <c r="BB39" s="2288"/>
      <c r="BC39" s="2288"/>
      <c r="BD39" s="2288"/>
      <c r="BE39" s="2288"/>
    </row>
    <row r="40" spans="1:57" s="2223" customFormat="1" ht="76.7" customHeight="1" thickTop="1" thickBot="1">
      <c r="A40" s="3198"/>
      <c r="B40" s="3045"/>
      <c r="C40" s="3200" t="s">
        <v>983</v>
      </c>
      <c r="D40" s="24" t="s">
        <v>984</v>
      </c>
      <c r="E40" s="25" t="s">
        <v>985</v>
      </c>
      <c r="F40" s="25" t="s">
        <v>10</v>
      </c>
      <c r="G40" s="591">
        <v>0.03</v>
      </c>
      <c r="H40" s="25" t="s">
        <v>226</v>
      </c>
      <c r="I40" s="25"/>
      <c r="J40" s="25"/>
      <c r="K40" s="25"/>
      <c r="L40" s="44">
        <v>0</v>
      </c>
      <c r="M40" s="45">
        <v>0</v>
      </c>
      <c r="N40" s="73" t="e">
        <f>+M40/L40</f>
        <v>#DIV/0!</v>
      </c>
      <c r="O40" s="44">
        <v>0</v>
      </c>
      <c r="P40" s="45">
        <v>0</v>
      </c>
      <c r="Q40" s="73" t="e">
        <f t="shared" si="3"/>
        <v>#DIV/0!</v>
      </c>
      <c r="R40" s="44">
        <v>0</v>
      </c>
      <c r="S40" s="45">
        <v>0</v>
      </c>
      <c r="T40" s="73" t="e">
        <f t="shared" si="4"/>
        <v>#DIV/0!</v>
      </c>
      <c r="U40" s="44">
        <v>0</v>
      </c>
      <c r="V40" s="45">
        <v>0</v>
      </c>
      <c r="W40" s="73" t="e">
        <f t="shared" si="5"/>
        <v>#DIV/0!</v>
      </c>
      <c r="X40" s="44">
        <v>0</v>
      </c>
      <c r="Y40" s="45">
        <v>0</v>
      </c>
      <c r="Z40" s="73" t="e">
        <f t="shared" si="6"/>
        <v>#DIV/0!</v>
      </c>
      <c r="AA40" s="44">
        <v>0</v>
      </c>
      <c r="AB40" s="45">
        <v>0</v>
      </c>
      <c r="AC40" s="73" t="e">
        <f t="shared" si="16"/>
        <v>#DIV/0!</v>
      </c>
      <c r="AD40" s="45">
        <f t="shared" si="17"/>
        <v>0</v>
      </c>
      <c r="AE40" s="73">
        <f>+AD40/G40</f>
        <v>0</v>
      </c>
      <c r="AF40" s="44">
        <v>0</v>
      </c>
      <c r="AG40" s="45">
        <v>0</v>
      </c>
      <c r="AH40" s="73" t="e">
        <f t="shared" si="10"/>
        <v>#DIV/0!</v>
      </c>
      <c r="AI40" s="44">
        <v>0</v>
      </c>
      <c r="AJ40" s="45">
        <v>0</v>
      </c>
      <c r="AK40" s="73" t="e">
        <f t="shared" si="11"/>
        <v>#DIV/0!</v>
      </c>
      <c r="AL40" s="44">
        <v>0</v>
      </c>
      <c r="AM40" s="45">
        <v>0</v>
      </c>
      <c r="AN40" s="73" t="e">
        <f t="shared" si="12"/>
        <v>#DIV/0!</v>
      </c>
      <c r="AO40" s="44">
        <v>0</v>
      </c>
      <c r="AP40" s="45">
        <v>0</v>
      </c>
      <c r="AQ40" s="73" t="e">
        <f t="shared" si="13"/>
        <v>#DIV/0!</v>
      </c>
      <c r="AR40" s="44">
        <v>0</v>
      </c>
      <c r="AS40" s="45">
        <v>0</v>
      </c>
      <c r="AT40" s="73" t="e">
        <f t="shared" si="14"/>
        <v>#DIV/0!</v>
      </c>
      <c r="AU40" s="44">
        <v>0.03</v>
      </c>
      <c r="AV40" s="45">
        <v>0.03</v>
      </c>
      <c r="AW40" s="73">
        <f t="shared" si="19"/>
        <v>1</v>
      </c>
      <c r="AX40" s="44"/>
      <c r="AY40" s="73"/>
      <c r="AZ40" s="2288"/>
      <c r="BA40" s="2288"/>
      <c r="BB40" s="2288"/>
      <c r="BC40" s="2288"/>
      <c r="BD40" s="2288"/>
      <c r="BE40" s="2288"/>
    </row>
    <row r="41" spans="1:57" s="2223" customFormat="1" ht="76.7" customHeight="1" thickTop="1" thickBot="1">
      <c r="A41" s="3198"/>
      <c r="B41" s="3046"/>
      <c r="C41" s="3200"/>
      <c r="D41" s="1200" t="s">
        <v>263</v>
      </c>
      <c r="E41" s="1047" t="s">
        <v>986</v>
      </c>
      <c r="F41" s="1047" t="s">
        <v>10</v>
      </c>
      <c r="G41" s="2268">
        <v>1</v>
      </c>
      <c r="H41" s="1957" t="s">
        <v>226</v>
      </c>
      <c r="I41" s="561"/>
      <c r="J41" s="561"/>
      <c r="K41" s="561"/>
      <c r="L41" s="49">
        <v>0</v>
      </c>
      <c r="M41" s="50">
        <v>1</v>
      </c>
      <c r="N41" s="73" t="e">
        <f>+M41/L41</f>
        <v>#DIV/0!</v>
      </c>
      <c r="O41" s="49">
        <v>0</v>
      </c>
      <c r="P41" s="50">
        <v>1</v>
      </c>
      <c r="Q41" s="73" t="e">
        <f t="shared" si="3"/>
        <v>#DIV/0!</v>
      </c>
      <c r="R41" s="49">
        <v>0</v>
      </c>
      <c r="S41" s="50">
        <v>1</v>
      </c>
      <c r="T41" s="73" t="e">
        <f t="shared" si="4"/>
        <v>#DIV/0!</v>
      </c>
      <c r="U41" s="49">
        <v>0</v>
      </c>
      <c r="V41" s="50">
        <v>1</v>
      </c>
      <c r="W41" s="73" t="e">
        <f t="shared" si="5"/>
        <v>#DIV/0!</v>
      </c>
      <c r="X41" s="49">
        <v>0</v>
      </c>
      <c r="Y41" s="50">
        <v>1</v>
      </c>
      <c r="Z41" s="73" t="e">
        <f t="shared" si="6"/>
        <v>#DIV/0!</v>
      </c>
      <c r="AA41" s="49">
        <v>0</v>
      </c>
      <c r="AB41" s="50">
        <v>1</v>
      </c>
      <c r="AC41" s="73" t="e">
        <f t="shared" si="16"/>
        <v>#DIV/0!</v>
      </c>
      <c r="AD41" s="50">
        <f t="shared" si="17"/>
        <v>6</v>
      </c>
      <c r="AE41" s="73">
        <f>+AD41/G41</f>
        <v>6</v>
      </c>
      <c r="AF41" s="49">
        <v>0</v>
      </c>
      <c r="AG41" s="50">
        <v>1</v>
      </c>
      <c r="AH41" s="73" t="e">
        <f t="shared" si="10"/>
        <v>#DIV/0!</v>
      </c>
      <c r="AI41" s="49">
        <v>0</v>
      </c>
      <c r="AJ41" s="50">
        <v>1</v>
      </c>
      <c r="AK41" s="73" t="e">
        <f t="shared" si="11"/>
        <v>#DIV/0!</v>
      </c>
      <c r="AL41" s="49">
        <v>1</v>
      </c>
      <c r="AM41" s="50">
        <v>1</v>
      </c>
      <c r="AN41" s="73">
        <f t="shared" si="12"/>
        <v>1</v>
      </c>
      <c r="AO41" s="49">
        <v>0</v>
      </c>
      <c r="AP41" s="50">
        <v>1</v>
      </c>
      <c r="AQ41" s="73" t="e">
        <f t="shared" si="13"/>
        <v>#DIV/0!</v>
      </c>
      <c r="AR41" s="49">
        <v>0</v>
      </c>
      <c r="AS41" s="50">
        <v>1</v>
      </c>
      <c r="AT41" s="73" t="e">
        <f t="shared" si="14"/>
        <v>#DIV/0!</v>
      </c>
      <c r="AU41" s="49">
        <v>1</v>
      </c>
      <c r="AV41" s="50">
        <v>1</v>
      </c>
      <c r="AW41" s="73">
        <f t="shared" si="19"/>
        <v>1</v>
      </c>
      <c r="AX41" s="49">
        <v>1</v>
      </c>
      <c r="AY41" s="73">
        <f>+AX41/G41</f>
        <v>1</v>
      </c>
      <c r="AZ41" s="2288"/>
      <c r="BA41" s="2288"/>
      <c r="BB41" s="2288"/>
      <c r="BC41" s="2288"/>
      <c r="BD41" s="2288"/>
      <c r="BE41" s="2288"/>
    </row>
    <row r="42" spans="1:57" s="2224" customFormat="1" ht="72.75" customHeight="1" thickTop="1" thickBot="1">
      <c r="A42" s="3199"/>
      <c r="B42" s="2269" t="s">
        <v>150</v>
      </c>
      <c r="C42" s="2270" t="s">
        <v>379</v>
      </c>
      <c r="D42" s="2271" t="s">
        <v>319</v>
      </c>
      <c r="E42" s="2272" t="s">
        <v>339</v>
      </c>
      <c r="F42" s="2272" t="s">
        <v>987</v>
      </c>
      <c r="G42" s="2273">
        <v>37</v>
      </c>
      <c r="H42" s="2274" t="s">
        <v>361</v>
      </c>
      <c r="I42" s="25"/>
      <c r="J42" s="25"/>
      <c r="K42" s="25"/>
      <c r="L42" s="27">
        <v>0</v>
      </c>
      <c r="M42" s="28">
        <v>30</v>
      </c>
      <c r="N42" s="73">
        <f>+L42/M42</f>
        <v>0</v>
      </c>
      <c r="O42" s="27">
        <v>0</v>
      </c>
      <c r="P42" s="28">
        <v>27</v>
      </c>
      <c r="Q42" s="73">
        <f>+O42/P42</f>
        <v>0</v>
      </c>
      <c r="R42" s="27">
        <v>37</v>
      </c>
      <c r="S42" s="28">
        <v>40</v>
      </c>
      <c r="T42" s="73">
        <f>+R42/S42</f>
        <v>0.92500000000000004</v>
      </c>
      <c r="U42" s="27">
        <v>37</v>
      </c>
      <c r="V42" s="28">
        <v>40</v>
      </c>
      <c r="W42" s="73">
        <f>+U42/V42</f>
        <v>0.92500000000000004</v>
      </c>
      <c r="X42" s="27">
        <v>37</v>
      </c>
      <c r="Y42" s="28">
        <v>19</v>
      </c>
      <c r="Z42" s="73">
        <f>+X42/Y42</f>
        <v>1.9473684210526316</v>
      </c>
      <c r="AA42" s="27">
        <v>37</v>
      </c>
      <c r="AB42" s="28">
        <v>11</v>
      </c>
      <c r="AC42" s="73">
        <f>+AA42/AB42</f>
        <v>3.3636363636363638</v>
      </c>
      <c r="AD42" s="28">
        <f>(+M42+P42+S42+V42+Y42+AB42)/4</f>
        <v>41.75</v>
      </c>
      <c r="AE42" s="73">
        <f>+G42/AD42</f>
        <v>0.88622754491017963</v>
      </c>
      <c r="AF42" s="27">
        <v>37</v>
      </c>
      <c r="AG42" s="28">
        <v>11</v>
      </c>
      <c r="AH42" s="73">
        <f>+AF42/AG42</f>
        <v>3.3636363636363638</v>
      </c>
      <c r="AI42" s="27">
        <v>37</v>
      </c>
      <c r="AJ42" s="28">
        <v>13</v>
      </c>
      <c r="AK42" s="73">
        <f>+AI42/AJ42</f>
        <v>2.8461538461538463</v>
      </c>
      <c r="AL42" s="27">
        <v>37</v>
      </c>
      <c r="AM42" s="28">
        <v>12</v>
      </c>
      <c r="AN42" s="73">
        <f>+AL42/AM42</f>
        <v>3.0833333333333335</v>
      </c>
      <c r="AO42" s="27">
        <v>37</v>
      </c>
      <c r="AP42" s="28">
        <v>8</v>
      </c>
      <c r="AQ42" s="73">
        <f>+AO42/AP42</f>
        <v>4.625</v>
      </c>
      <c r="AR42" s="27">
        <v>37</v>
      </c>
      <c r="AS42" s="28">
        <v>4</v>
      </c>
      <c r="AT42" s="73">
        <f>+AR42/AS42</f>
        <v>9.25</v>
      </c>
      <c r="AU42" s="27">
        <v>37</v>
      </c>
      <c r="AV42" s="28">
        <v>11</v>
      </c>
      <c r="AW42" s="73">
        <f>+AU42/AV42</f>
        <v>3.3636363636363638</v>
      </c>
      <c r="AX42" s="27">
        <f>(+M42+P42+S42+V42+Y42+AB42+AG42+AJ42+AM42+AP42+AS42+AV42)/10</f>
        <v>22.6</v>
      </c>
      <c r="AY42" s="73">
        <f>+G42/AX42</f>
        <v>1.6371681415929202</v>
      </c>
      <c r="AZ42" s="2289"/>
      <c r="BA42" s="2289"/>
      <c r="BB42" s="2289"/>
      <c r="BC42" s="2289"/>
      <c r="BD42" s="2289"/>
      <c r="BE42" s="2289"/>
    </row>
    <row r="43" spans="1:57" s="2188" customFormat="1" ht="22.5" thickTop="1" thickBot="1">
      <c r="A43" s="2842" t="s">
        <v>154</v>
      </c>
      <c r="B43" s="2843"/>
      <c r="C43" s="2843"/>
      <c r="D43" s="2843"/>
      <c r="E43" s="2843"/>
      <c r="F43" s="2843"/>
      <c r="G43" s="2843"/>
      <c r="H43" s="2843"/>
      <c r="I43" s="2843"/>
      <c r="J43" s="2843"/>
      <c r="K43" s="2844"/>
      <c r="L43" s="1486"/>
      <c r="M43" s="2275"/>
      <c r="N43" s="1103"/>
      <c r="O43" s="2276"/>
      <c r="P43" s="2276"/>
      <c r="Q43" s="1103"/>
      <c r="R43" s="2276"/>
      <c r="S43" s="2276"/>
      <c r="T43" s="1103"/>
      <c r="U43" s="2276"/>
      <c r="V43" s="2276"/>
      <c r="W43" s="1103"/>
      <c r="X43" s="2276"/>
      <c r="Y43" s="2276"/>
      <c r="Z43" s="1103"/>
      <c r="AA43" s="2276"/>
      <c r="AB43" s="2276"/>
      <c r="AC43" s="1103"/>
      <c r="AD43" s="2276"/>
      <c r="AE43" s="1103"/>
      <c r="AF43" s="2276"/>
      <c r="AG43" s="2276"/>
      <c r="AH43" s="1103"/>
      <c r="AI43" s="2276"/>
      <c r="AJ43" s="2276"/>
      <c r="AK43" s="1103"/>
      <c r="AL43" s="2276"/>
      <c r="AM43" s="2276"/>
      <c r="AN43" s="1103"/>
      <c r="AO43" s="2276"/>
      <c r="AP43" s="2276"/>
      <c r="AQ43" s="1103"/>
      <c r="AR43" s="2276"/>
      <c r="AS43" s="2276"/>
      <c r="AT43" s="1103"/>
      <c r="AU43" s="2276"/>
      <c r="AV43" s="2276"/>
      <c r="AW43" s="1103"/>
      <c r="AX43" s="2277"/>
      <c r="AY43" s="1195"/>
      <c r="AZ43" s="2286"/>
      <c r="BA43" s="2286"/>
      <c r="BB43" s="2286"/>
      <c r="BC43" s="2286"/>
      <c r="BD43" s="2286"/>
      <c r="BE43" s="2286"/>
    </row>
    <row r="44" spans="1:57" s="2280" customFormat="1" ht="94.9" customHeight="1" thickTop="1" thickBot="1">
      <c r="A44" s="1486" t="s">
        <v>155</v>
      </c>
      <c r="B44" s="2278" t="s">
        <v>156</v>
      </c>
      <c r="C44" s="1011" t="s">
        <v>157</v>
      </c>
      <c r="D44" s="2279" t="s">
        <v>158</v>
      </c>
      <c r="E44" s="37" t="s">
        <v>159</v>
      </c>
      <c r="F44" s="37" t="s">
        <v>17</v>
      </c>
      <c r="G44" s="1752">
        <v>10</v>
      </c>
      <c r="H44" s="636" t="s">
        <v>27</v>
      </c>
      <c r="I44" s="60"/>
      <c r="J44" s="60"/>
      <c r="K44" s="60" t="s">
        <v>988</v>
      </c>
      <c r="L44" s="60">
        <v>0</v>
      </c>
      <c r="M44" s="719"/>
      <c r="N44" s="73" t="e">
        <f>+M44/L44</f>
        <v>#DIV/0!</v>
      </c>
      <c r="O44" s="60">
        <v>0</v>
      </c>
      <c r="P44" s="719"/>
      <c r="Q44" s="73" t="e">
        <f t="shared" si="3"/>
        <v>#DIV/0!</v>
      </c>
      <c r="R44" s="60">
        <v>0</v>
      </c>
      <c r="S44" s="719"/>
      <c r="T44" s="73" t="e">
        <f t="shared" si="4"/>
        <v>#DIV/0!</v>
      </c>
      <c r="U44" s="60">
        <v>0</v>
      </c>
      <c r="V44" s="719"/>
      <c r="W44" s="73" t="e">
        <f t="shared" si="5"/>
        <v>#DIV/0!</v>
      </c>
      <c r="X44" s="60">
        <v>2</v>
      </c>
      <c r="Y44" s="719">
        <v>2</v>
      </c>
      <c r="Z44" s="73">
        <f t="shared" si="6"/>
        <v>1</v>
      </c>
      <c r="AA44" s="60">
        <v>0</v>
      </c>
      <c r="AB44" s="719"/>
      <c r="AC44" s="73" t="e">
        <f t="shared" si="16"/>
        <v>#DIV/0!</v>
      </c>
      <c r="AD44" s="719"/>
      <c r="AE44" s="73">
        <f>+AD44/G44</f>
        <v>0</v>
      </c>
      <c r="AF44" s="60">
        <v>1</v>
      </c>
      <c r="AG44" s="719">
        <v>1</v>
      </c>
      <c r="AH44" s="73">
        <f t="shared" si="10"/>
        <v>1</v>
      </c>
      <c r="AI44" s="60">
        <v>3</v>
      </c>
      <c r="AJ44" s="719">
        <v>3</v>
      </c>
      <c r="AK44" s="73">
        <f t="shared" si="11"/>
        <v>1</v>
      </c>
      <c r="AL44" s="60">
        <v>1</v>
      </c>
      <c r="AM44" s="719">
        <v>1</v>
      </c>
      <c r="AN44" s="73">
        <f t="shared" si="12"/>
        <v>1</v>
      </c>
      <c r="AO44" s="60">
        <v>3</v>
      </c>
      <c r="AP44" s="719">
        <v>3</v>
      </c>
      <c r="AQ44" s="73">
        <f t="shared" si="13"/>
        <v>1</v>
      </c>
      <c r="AR44" s="60">
        <v>0</v>
      </c>
      <c r="AS44" s="719"/>
      <c r="AT44" s="73" t="e">
        <f t="shared" si="14"/>
        <v>#DIV/0!</v>
      </c>
      <c r="AU44" s="60">
        <v>0</v>
      </c>
      <c r="AV44" s="719"/>
      <c r="AW44" s="73" t="e">
        <f t="shared" ref="AW44" si="24">+AV44/AU44</f>
        <v>#DIV/0!</v>
      </c>
      <c r="AX44" s="27">
        <f>+AP44+AM44+AJ44+AG44+Y44</f>
        <v>10</v>
      </c>
      <c r="AY44" s="73">
        <f>+AX44/G44</f>
        <v>1</v>
      </c>
      <c r="AZ44" s="2290"/>
      <c r="BA44" s="2290"/>
      <c r="BB44" s="2290"/>
      <c r="BC44" s="2290"/>
      <c r="BD44" s="2290"/>
      <c r="BE44" s="2290"/>
    </row>
    <row r="45" spans="1:57" ht="17.25" thickTop="1">
      <c r="C45" s="2282"/>
      <c r="AH45" s="69"/>
    </row>
  </sheetData>
  <sheetProtection algorithmName="SHA-512" hashValue="f38k3xcD4L0RER5FDb5JdYKnDFPYQGRZw7Ggbk6eUmWJfs/PkpJAtYxgCcA2W0ICxVpjShZZ38pDZ4rB0e6t+w==" saltValue="qDMXooUilXZ9Uert9Q41sw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A1:A10 B1:XFD1048576 A12:A1048576" name="Rango1"/>
  </protectedRanges>
  <mergeCells count="39">
    <mergeCell ref="A43:K43"/>
    <mergeCell ref="B31:B36"/>
    <mergeCell ref="C34:C36"/>
    <mergeCell ref="A37:H37"/>
    <mergeCell ref="A38:A42"/>
    <mergeCell ref="B38:B41"/>
    <mergeCell ref="C40:C41"/>
    <mergeCell ref="A9:A36"/>
    <mergeCell ref="B9:B10"/>
    <mergeCell ref="B11:B30"/>
    <mergeCell ref="C12:C18"/>
    <mergeCell ref="C23:C29"/>
    <mergeCell ref="AO5:AQ7"/>
    <mergeCell ref="AR5:AT7"/>
    <mergeCell ref="AU5:AW7"/>
    <mergeCell ref="AX5:AY7"/>
    <mergeCell ref="A8:H8"/>
    <mergeCell ref="X5:Z7"/>
    <mergeCell ref="AA5:AC7"/>
    <mergeCell ref="AD5:AE7"/>
    <mergeCell ref="AF5:AH7"/>
    <mergeCell ref="AI5:AK7"/>
    <mergeCell ref="AL5:AN7"/>
    <mergeCell ref="H5:H7"/>
    <mergeCell ref="I5:K6"/>
    <mergeCell ref="L5:N7"/>
    <mergeCell ref="O5:Q7"/>
    <mergeCell ref="R5:T7"/>
    <mergeCell ref="U5:W7"/>
    <mergeCell ref="C1:H1"/>
    <mergeCell ref="A2:H2"/>
    <mergeCell ref="A3:H3"/>
    <mergeCell ref="A5:A7"/>
    <mergeCell ref="B5:B7"/>
    <mergeCell ref="C5:C7"/>
    <mergeCell ref="D5:D7"/>
    <mergeCell ref="E5:E7"/>
    <mergeCell ref="F5:F7"/>
    <mergeCell ref="G5:G7"/>
  </mergeCells>
  <conditionalFormatting sqref="N9:N36 Q9:Q36 T9:T36 W9:W36 Z9:Z36 AC9:AC36 AE9:AE36 AH9:AH36 AK9:AK36 AN9:AN36 AQ9:AQ36 AT9:AT36 AW9:AW36 AY9:AY36">
    <cfRule type="cellIs" dxfId="4094" priority="71" operator="greaterThan">
      <formula>110%</formula>
    </cfRule>
    <cfRule type="cellIs" dxfId="4093" priority="72" operator="between">
      <formula>100.001%</formula>
      <formula>110%</formula>
    </cfRule>
    <cfRule type="cellIs" dxfId="4092" priority="73" operator="between">
      <formula>70.001%</formula>
      <formula>100%</formula>
    </cfRule>
    <cfRule type="cellIs" dxfId="4091" priority="74" operator="between">
      <formula>0.00001%</formula>
      <formula>70%</formula>
    </cfRule>
    <cfRule type="cellIs" dxfId="4090" priority="75" operator="equal">
      <formula>0</formula>
    </cfRule>
  </conditionalFormatting>
  <conditionalFormatting sqref="N38:N42 N44">
    <cfRule type="cellIs" dxfId="4089" priority="66" operator="greaterThan">
      <formula>110%</formula>
    </cfRule>
    <cfRule type="cellIs" dxfId="4088" priority="67" operator="between">
      <formula>100.001%</formula>
      <formula>110%</formula>
    </cfRule>
    <cfRule type="cellIs" dxfId="4087" priority="68" operator="between">
      <formula>70.001%</formula>
      <formula>100%</formula>
    </cfRule>
    <cfRule type="cellIs" dxfId="4086" priority="69" operator="between">
      <formula>0.00001%</formula>
      <formula>70%</formula>
    </cfRule>
    <cfRule type="cellIs" dxfId="4085" priority="70" operator="equal">
      <formula>0</formula>
    </cfRule>
  </conditionalFormatting>
  <conditionalFormatting sqref="Q38:Q42 Q44">
    <cfRule type="cellIs" dxfId="4084" priority="61" operator="greaterThan">
      <formula>110%</formula>
    </cfRule>
    <cfRule type="cellIs" dxfId="4083" priority="62" operator="between">
      <formula>100.001%</formula>
      <formula>110%</formula>
    </cfRule>
    <cfRule type="cellIs" dxfId="4082" priority="63" operator="between">
      <formula>70.001%</formula>
      <formula>100%</formula>
    </cfRule>
    <cfRule type="cellIs" dxfId="4081" priority="64" operator="between">
      <formula>0.00001%</formula>
      <formula>70%</formula>
    </cfRule>
    <cfRule type="cellIs" dxfId="4080" priority="65" operator="equal">
      <formula>0</formula>
    </cfRule>
  </conditionalFormatting>
  <conditionalFormatting sqref="T38:T42 T44">
    <cfRule type="cellIs" dxfId="4079" priority="56" operator="greaterThan">
      <formula>110%</formula>
    </cfRule>
    <cfRule type="cellIs" dxfId="4078" priority="57" operator="between">
      <formula>100.001%</formula>
      <formula>110%</formula>
    </cfRule>
    <cfRule type="cellIs" dxfId="4077" priority="58" operator="between">
      <formula>70.001%</formula>
      <formula>100%</formula>
    </cfRule>
    <cfRule type="cellIs" dxfId="4076" priority="59" operator="between">
      <formula>0.00001%</formula>
      <formula>70%</formula>
    </cfRule>
    <cfRule type="cellIs" dxfId="4075" priority="60" operator="equal">
      <formula>0</formula>
    </cfRule>
  </conditionalFormatting>
  <conditionalFormatting sqref="W38:W42 W44">
    <cfRule type="cellIs" dxfId="4074" priority="51" operator="greaterThan">
      <formula>110%</formula>
    </cfRule>
    <cfRule type="cellIs" dxfId="4073" priority="52" operator="between">
      <formula>100.001%</formula>
      <formula>110%</formula>
    </cfRule>
    <cfRule type="cellIs" dxfId="4072" priority="53" operator="between">
      <formula>70.001%</formula>
      <formula>100%</formula>
    </cfRule>
    <cfRule type="cellIs" dxfId="4071" priority="54" operator="between">
      <formula>0.00001%</formula>
      <formula>70%</formula>
    </cfRule>
    <cfRule type="cellIs" dxfId="4070" priority="55" operator="equal">
      <formula>0</formula>
    </cfRule>
  </conditionalFormatting>
  <conditionalFormatting sqref="Z38:Z42 Z44">
    <cfRule type="cellIs" dxfId="4069" priority="46" operator="greaterThan">
      <formula>110%</formula>
    </cfRule>
    <cfRule type="cellIs" dxfId="4068" priority="47" operator="between">
      <formula>100.001%</formula>
      <formula>110%</formula>
    </cfRule>
    <cfRule type="cellIs" dxfId="4067" priority="48" operator="between">
      <formula>70.001%</formula>
      <formula>100%</formula>
    </cfRule>
    <cfRule type="cellIs" dxfId="4066" priority="49" operator="between">
      <formula>0.00001%</formula>
      <formula>70%</formula>
    </cfRule>
    <cfRule type="cellIs" dxfId="4065" priority="50" operator="equal">
      <formula>0</formula>
    </cfRule>
  </conditionalFormatting>
  <conditionalFormatting sqref="AC38:AC42 AC44">
    <cfRule type="cellIs" dxfId="4064" priority="41" operator="greaterThan">
      <formula>110%</formula>
    </cfRule>
    <cfRule type="cellIs" dxfId="4063" priority="42" operator="between">
      <formula>100.001%</formula>
      <formula>110%</formula>
    </cfRule>
    <cfRule type="cellIs" dxfId="4062" priority="43" operator="between">
      <formula>70.001%</formula>
      <formula>100%</formula>
    </cfRule>
    <cfRule type="cellIs" dxfId="4061" priority="44" operator="between">
      <formula>0.00001%</formula>
      <formula>70%</formula>
    </cfRule>
    <cfRule type="cellIs" dxfId="4060" priority="45" operator="equal">
      <formula>0</formula>
    </cfRule>
  </conditionalFormatting>
  <conditionalFormatting sqref="AE38:AE42 AE44">
    <cfRule type="cellIs" dxfId="4059" priority="36" operator="greaterThan">
      <formula>110%</formula>
    </cfRule>
    <cfRule type="cellIs" dxfId="4058" priority="37" operator="between">
      <formula>100.001%</formula>
      <formula>110%</formula>
    </cfRule>
    <cfRule type="cellIs" dxfId="4057" priority="38" operator="between">
      <formula>70.001%</formula>
      <formula>100%</formula>
    </cfRule>
    <cfRule type="cellIs" dxfId="4056" priority="39" operator="between">
      <formula>0.00001%</formula>
      <formula>70%</formula>
    </cfRule>
    <cfRule type="cellIs" dxfId="4055" priority="40" operator="equal">
      <formula>0</formula>
    </cfRule>
  </conditionalFormatting>
  <conditionalFormatting sqref="AH38:AH42 AH44">
    <cfRule type="cellIs" dxfId="4054" priority="31" operator="greaterThan">
      <formula>110%</formula>
    </cfRule>
    <cfRule type="cellIs" dxfId="4053" priority="32" operator="between">
      <formula>100.001%</formula>
      <formula>110%</formula>
    </cfRule>
    <cfRule type="cellIs" dxfId="4052" priority="33" operator="between">
      <formula>70.001%</formula>
      <formula>100%</formula>
    </cfRule>
    <cfRule type="cellIs" dxfId="4051" priority="34" operator="between">
      <formula>0.00001%</formula>
      <formula>70%</formula>
    </cfRule>
    <cfRule type="cellIs" dxfId="4050" priority="35" operator="equal">
      <formula>0</formula>
    </cfRule>
  </conditionalFormatting>
  <conditionalFormatting sqref="AK38:AK42 AK44">
    <cfRule type="cellIs" dxfId="4049" priority="26" operator="greaterThan">
      <formula>110%</formula>
    </cfRule>
    <cfRule type="cellIs" dxfId="4048" priority="27" operator="between">
      <formula>100.001%</formula>
      <formula>110%</formula>
    </cfRule>
    <cfRule type="cellIs" dxfId="4047" priority="28" operator="between">
      <formula>70.001%</formula>
      <formula>100%</formula>
    </cfRule>
    <cfRule type="cellIs" dxfId="4046" priority="29" operator="between">
      <formula>0.00001%</formula>
      <formula>70%</formula>
    </cfRule>
    <cfRule type="cellIs" dxfId="4045" priority="30" operator="equal">
      <formula>0</formula>
    </cfRule>
  </conditionalFormatting>
  <conditionalFormatting sqref="AN38:AN42 AN44">
    <cfRule type="cellIs" dxfId="4044" priority="21" operator="greaterThan">
      <formula>110%</formula>
    </cfRule>
    <cfRule type="cellIs" dxfId="4043" priority="22" operator="between">
      <formula>100.001%</formula>
      <formula>110%</formula>
    </cfRule>
    <cfRule type="cellIs" dxfId="4042" priority="23" operator="between">
      <formula>70.001%</formula>
      <formula>100%</formula>
    </cfRule>
    <cfRule type="cellIs" dxfId="4041" priority="24" operator="between">
      <formula>0.00001%</formula>
      <formula>70%</formula>
    </cfRule>
    <cfRule type="cellIs" dxfId="4040" priority="25" operator="equal">
      <formula>0</formula>
    </cfRule>
  </conditionalFormatting>
  <conditionalFormatting sqref="AQ38:AQ42 AQ44">
    <cfRule type="cellIs" dxfId="4039" priority="16" operator="greaterThan">
      <formula>110%</formula>
    </cfRule>
    <cfRule type="cellIs" dxfId="4038" priority="17" operator="between">
      <formula>100.001%</formula>
      <formula>110%</formula>
    </cfRule>
    <cfRule type="cellIs" dxfId="4037" priority="18" operator="between">
      <formula>70.001%</formula>
      <formula>100%</formula>
    </cfRule>
    <cfRule type="cellIs" dxfId="4036" priority="19" operator="between">
      <formula>0.00001%</formula>
      <formula>70%</formula>
    </cfRule>
    <cfRule type="cellIs" dxfId="4035" priority="20" operator="equal">
      <formula>0</formula>
    </cfRule>
  </conditionalFormatting>
  <conditionalFormatting sqref="AT38:AT42 AT44">
    <cfRule type="cellIs" dxfId="4034" priority="11" operator="greaterThan">
      <formula>110%</formula>
    </cfRule>
    <cfRule type="cellIs" dxfId="4033" priority="12" operator="between">
      <formula>100.001%</formula>
      <formula>110%</formula>
    </cfRule>
    <cfRule type="cellIs" dxfId="4032" priority="13" operator="between">
      <formula>70.001%</formula>
      <formula>100%</formula>
    </cfRule>
    <cfRule type="cellIs" dxfId="4031" priority="14" operator="between">
      <formula>0.00001%</formula>
      <formula>70%</formula>
    </cfRule>
    <cfRule type="cellIs" dxfId="4030" priority="15" operator="equal">
      <formula>0</formula>
    </cfRule>
  </conditionalFormatting>
  <conditionalFormatting sqref="AW38:AW42 AW44">
    <cfRule type="cellIs" dxfId="4029" priority="6" operator="greaterThan">
      <formula>110%</formula>
    </cfRule>
    <cfRule type="cellIs" dxfId="4028" priority="7" operator="between">
      <formula>100.001%</formula>
      <formula>110%</formula>
    </cfRule>
    <cfRule type="cellIs" dxfId="4027" priority="8" operator="between">
      <formula>70.001%</formula>
      <formula>100%</formula>
    </cfRule>
    <cfRule type="cellIs" dxfId="4026" priority="9" operator="between">
      <formula>0.00001%</formula>
      <formula>70%</formula>
    </cfRule>
    <cfRule type="cellIs" dxfId="4025" priority="10" operator="equal">
      <formula>0</formula>
    </cfRule>
  </conditionalFormatting>
  <conditionalFormatting sqref="AY38:AY42 AY44">
    <cfRule type="cellIs" dxfId="4024" priority="1" operator="greaterThan">
      <formula>110%</formula>
    </cfRule>
    <cfRule type="cellIs" dxfId="4023" priority="2" operator="between">
      <formula>100.001%</formula>
      <formula>110%</formula>
    </cfRule>
    <cfRule type="cellIs" dxfId="4022" priority="3" operator="between">
      <formula>70.001%</formula>
      <formula>100%</formula>
    </cfRule>
    <cfRule type="cellIs" dxfId="4021" priority="4" operator="between">
      <formula>0.00001%</formula>
      <formula>70%</formula>
    </cfRule>
    <cfRule type="cellIs" dxfId="4020" priority="5" operator="equal">
      <formula>0</formula>
    </cfRule>
  </conditionalFormatting>
  <hyperlinks>
    <hyperlink ref="D11" location="'IN1-3'!A1" display="IN1-3 Recaudo Bruto" xr:uid="{00000000-0004-0000-2100-000000000000}"/>
    <hyperlink ref="D12" location="'FIS-4'!A1" display="FIS-4 Gestión efectiva en fiscalización tributaria" xr:uid="{00000000-0004-0000-2100-000001000000}"/>
    <hyperlink ref="D13" location="'FIS-7'!A1" display="FIS-7 Gestión efectiva de Control cambiario" xr:uid="{00000000-0004-0000-2100-000002000000}"/>
    <hyperlink ref="D14" location="'FIS-10'!A1" display="FIS-10 Gestión aceptada en fiscalización tributaria" xr:uid="{00000000-0004-0000-2100-000003000000}"/>
    <hyperlink ref="D15" location="'FIS-11'!A1" display="FIS-11 Gestión aceptada cambiaria (Recaudo)" xr:uid="{00000000-0004-0000-2100-000004000000}"/>
    <hyperlink ref="D16" location="'FIS-12'!A1" display="FIS-12 Gestión aceptada cambiaria (Resoluciones en firme)" xr:uid="{00000000-0004-0000-2100-000005000000}"/>
    <hyperlink ref="D17" location="'FIS-27'!A1" display="FIS-27 Reclasificación de no responsables a responsables" xr:uid="{00000000-0004-0000-2100-000006000000}"/>
    <hyperlink ref="D18" location="'FIS-17'!A1" display="FIS-17 Evacuación de expedientes en fiscalización tributaria" xr:uid="{00000000-0004-0000-2100-000007000000}"/>
    <hyperlink ref="D19" location="'IN1-4'!A1" display="IN1-4 Recaudo por gestión de cartera" xr:uid="{00000000-0004-0000-2100-000008000000}"/>
    <hyperlink ref="D20" location="'IN1-5'!A1" display="IN1-5 Inscritos en el Régimen Simple de Tributación - RST" xr:uid="{00000000-0004-0000-2100-000009000000}"/>
    <hyperlink ref="D21" location="'IN1-6.1'!A1" display="IN1-6.1 Grado de cumplimiento del cronograma de campañas del RST" xr:uid="{00000000-0004-0000-2100-00000A000000}"/>
    <hyperlink ref="D22" location="'IN1-8'!A1" display="IN1-8 Contribuyentes habilitados como facturadores electrónicos" xr:uid="{00000000-0004-0000-2100-00000B000000}"/>
    <hyperlink ref="D23" location="'JUR-3.1'!A1" display="JUR-3.1 Porcentaje de éxito de litigiosidad" xr:uid="{00000000-0004-0000-2100-00000C000000}"/>
    <hyperlink ref="D24" location="'JUR-3.2'!A1" display="JUR-3.2 Porcentaje procesos judiciales revisados con mayor riesgo en Ekogui" xr:uid="{00000000-0004-0000-2100-00000D000000}"/>
    <hyperlink ref="D25" location="'JUR-3.3'!A1" display="JUR-3.3 Porcentaje de análisis de jurisprudencia remitidos junto con la copia de la sentencia " xr:uid="{00000000-0004-0000-2100-00000E000000}"/>
    <hyperlink ref="D26" location="'JUR-3.4'!A1" display="JUR-3.4 porcentaje de procesos revisados con VoBo del Jefe " xr:uid="{00000000-0004-0000-2100-00000F000000}"/>
    <hyperlink ref="D27" location="'JUR-3.5'!A1" display="JUR-3.5 Porcentaje de requerimientos atendidos en oportunidad" xr:uid="{00000000-0004-0000-2100-000010000000}"/>
    <hyperlink ref="D28" location="'JUR-3.6'!A1" display="JUR-3.6 Porcentaje funcionarios capacitaciones en cursos virtuales de la ANDJE" xr:uid="{00000000-0004-0000-2100-000011000000}"/>
    <hyperlink ref="D29" location="'JUR-4'!Área_de_impresión" display="JUR-4 Porcentaje funcionarios que participaron en el concurso de escritura jurídica" xr:uid="{00000000-0004-0000-2100-000012000000}"/>
    <hyperlink ref="D30" location="'ADU-3'!A1" display="ADU-3 Monto de recaudación total de aduanas" xr:uid="{00000000-0004-0000-2100-000013000000}"/>
    <hyperlink ref="D31" location="'FIS-24'!A1" display="FIS-24 Valor Decomisos de mercancías en firme" xr:uid="{00000000-0004-0000-2100-000014000000}"/>
    <hyperlink ref="D32" location="'FIS-33'!Área_de_impresión" display="FIS-33 Cantidad Aprehensiones sectores de Licores, Cigarrillos, Hidrocarburos y Agropecuario" xr:uid="{00000000-0004-0000-2100-000015000000}"/>
    <hyperlink ref="D33" location="'POLFA-3'!A1" display="POLFA-3 Acciones de control de fiscalización contra el contrabando" xr:uid="{00000000-0004-0000-2100-000016000000}"/>
    <hyperlink ref="D34" location="'FIS-16'!A1" display="FIS-16  Visitas de control a personas que hacen la venta y compra de divisas sin estar autorizados" xr:uid="{00000000-0004-0000-2100-000017000000}"/>
    <hyperlink ref="D35" location="'FIS-15'!A1" display="FIS-15 Visitas de control a profesionales de cambio" xr:uid="{00000000-0004-0000-2100-000018000000}"/>
    <hyperlink ref="D36" location="'FIS-18'!A1" display="FIS-18 Evacuación de expedientes en fiscalización cambiaria" xr:uid="{00000000-0004-0000-2100-000019000000}"/>
    <hyperlink ref="D38" location="'IN1-11'!A1" display="IN1-11  Nivel de cobertura de personas sensibilizadas por el plan de cultura. ACTUALMENTE. Cumplimiento al Plan de Acción de Cultura de la Contribución" xr:uid="{00000000-0004-0000-2100-00001A000000}"/>
    <hyperlink ref="D39" location="'JUR-7'!A1" display="JUR-7  Oportunidad en las decisiones de los recursos Tributarios hasta su remisión a notificaciones" xr:uid="{00000000-0004-0000-2100-00001B000000}"/>
    <hyperlink ref="D40" location="'POLFA-7'!A1" display="POLFA-7 Implementación del programa zonas de comercio Legal (Formalización)" xr:uid="{00000000-0004-0000-2100-00001C000000}"/>
    <hyperlink ref="D41" location="'POLFA-8'!A1" display="POLFA-8 Porcentaje de cumplimiento programa semilleros de la legalidad" xr:uid="{00000000-0004-0000-2100-00001D000000}"/>
    <hyperlink ref="D42" location="'IN1-15'!A1" display="IN1-15 Días en devoluciones ordinarias" xr:uid="{00000000-0004-0000-2100-00001E000000}"/>
    <hyperlink ref="D9" location="'DGRAE-1'!Área_de_impresión" display="DGRAE-1 Nivel de Ejecución del presupuesto " xr:uid="{00000000-0004-0000-2100-00001F000000}"/>
    <hyperlink ref="D44" location="'DGRAE-25'!Área_de_impresión" display="DGRAE-25 Actividades que componen el  PIC para la Dirección de Gestión" xr:uid="{00000000-0004-0000-2100-000020000000}"/>
    <hyperlink ref="D10" location="'DGRAE-2'!A1" display="DGRAE-2 Nivel de ejecución del PAA de la Dirección" xr:uid="{00000000-0004-0000-2100-000021000000}"/>
    <hyperlink ref="AY2" location="'Consolidado '!A1" display="VOLVER" xr:uid="{00000000-0004-0000-2100-000022000000}"/>
  </hyperlinks>
  <pageMargins left="0.7" right="0.7" top="0.75" bottom="0.75" header="0.3" footer="0.3"/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Z66"/>
  <sheetViews>
    <sheetView topLeftCell="D1" zoomScale="60" zoomScaleNormal="60" workbookViewId="0">
      <selection activeCell="BC9" sqref="BC9"/>
    </sheetView>
  </sheetViews>
  <sheetFormatPr baseColWidth="10" defaultColWidth="11.42578125" defaultRowHeight="16.5"/>
  <cols>
    <col min="1" max="1" width="18.85546875" style="8" bestFit="1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4.85546875" style="8" customWidth="1"/>
    <col min="8" max="10" width="10.7109375" style="8" hidden="1" customWidth="1"/>
    <col min="11" max="11" width="28.28515625" style="8" customWidth="1"/>
    <col min="12" max="12" width="20.7109375" style="210" hidden="1" customWidth="1"/>
    <col min="13" max="13" width="20.7109375" style="8" hidden="1" customWidth="1"/>
    <col min="14" max="14" width="20.7109375" style="444" hidden="1" customWidth="1"/>
    <col min="15" max="16" width="20.7109375" style="8" hidden="1" customWidth="1"/>
    <col min="17" max="17" width="20.7109375" style="444" hidden="1" customWidth="1"/>
    <col min="18" max="19" width="20.7109375" style="8" hidden="1" customWidth="1"/>
    <col min="20" max="20" width="20.7109375" style="444" hidden="1" customWidth="1"/>
    <col min="21" max="22" width="20.7109375" style="8" hidden="1" customWidth="1"/>
    <col min="23" max="23" width="20.7109375" style="444" hidden="1" customWidth="1"/>
    <col min="24" max="25" width="20.7109375" style="8" hidden="1" customWidth="1"/>
    <col min="26" max="26" width="20.7109375" style="444" hidden="1" customWidth="1"/>
    <col min="27" max="28" width="20.7109375" style="8" hidden="1" customWidth="1"/>
    <col min="29" max="29" width="20.7109375" style="444" hidden="1" customWidth="1"/>
    <col min="30" max="30" width="20.7109375" style="8" hidden="1" customWidth="1"/>
    <col min="31" max="31" width="20.7109375" style="444" hidden="1" customWidth="1"/>
    <col min="32" max="33" width="20.7109375" style="8" hidden="1" customWidth="1"/>
    <col min="34" max="34" width="20.7109375" style="444" hidden="1" customWidth="1"/>
    <col min="35" max="36" width="20.7109375" style="8" hidden="1" customWidth="1"/>
    <col min="37" max="37" width="20.7109375" style="444" hidden="1" customWidth="1"/>
    <col min="38" max="39" width="20.7109375" style="8" hidden="1" customWidth="1"/>
    <col min="40" max="40" width="20.7109375" style="444" hidden="1" customWidth="1"/>
    <col min="41" max="42" width="20.7109375" style="8" hidden="1" customWidth="1"/>
    <col min="43" max="43" width="20.7109375" style="444" hidden="1" customWidth="1"/>
    <col min="44" max="45" width="20.7109375" style="8" hidden="1" customWidth="1"/>
    <col min="46" max="46" width="20.7109375" style="444" hidden="1" customWidth="1"/>
    <col min="47" max="48" width="20.7109375" style="8" hidden="1" customWidth="1"/>
    <col min="49" max="49" width="20.7109375" style="444" hidden="1" customWidth="1"/>
    <col min="50" max="50" width="20.7109375" style="8" customWidth="1"/>
    <col min="51" max="51" width="12.85546875" style="444" customWidth="1"/>
    <col min="52" max="16384" width="11.42578125" style="8"/>
  </cols>
  <sheetData>
    <row r="1" spans="1:52" ht="29.25" customHeight="1">
      <c r="A1" s="101"/>
      <c r="B1" s="101"/>
      <c r="C1" s="2885" t="s">
        <v>989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AY2" s="545" t="s">
        <v>185</v>
      </c>
    </row>
    <row r="3" spans="1:52">
      <c r="A3" s="2866" t="s">
        <v>990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  <c r="AZ4" s="444">
        <f>+(AY9+AY10+AY11+AY12+AY13+AY14+AY15+AY16+AY18+AY19+AY21+AY22+AY23+AY24+AY25+AY29+AY32+AY34+AY35+AY36+AY37+AY38+AY40+AY42+AY43+AY44+AY46)/27</f>
        <v>1.8197731997300794</v>
      </c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9.25" customHeight="1" thickTop="1" thickBot="1">
      <c r="A8" s="2870" t="s">
        <v>83</v>
      </c>
      <c r="B8" s="2870"/>
      <c r="C8" s="2870"/>
      <c r="D8" s="2870"/>
      <c r="E8" s="2870"/>
      <c r="F8" s="2870"/>
      <c r="G8" s="2870"/>
      <c r="H8" s="2870"/>
      <c r="I8" s="2870"/>
      <c r="J8" s="2870"/>
      <c r="K8" s="2870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  <c r="AZ8" s="2292"/>
    </row>
    <row r="9" spans="1:52" s="132" customFormat="1" ht="75" customHeight="1" thickTop="1" thickBot="1">
      <c r="A9" s="2845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1005">
        <f>1081555756/1000000</f>
        <v>1081.555756</v>
      </c>
      <c r="H9" s="72"/>
      <c r="I9" s="72"/>
      <c r="J9" s="72"/>
      <c r="K9" s="72" t="s">
        <v>25</v>
      </c>
      <c r="L9" s="1005">
        <v>24.924997999999999</v>
      </c>
      <c r="M9" s="1006">
        <v>7.8</v>
      </c>
      <c r="N9" s="73">
        <f>+M9/L9</f>
        <v>0.31293884155978668</v>
      </c>
      <c r="O9" s="1005">
        <v>63.905645999999997</v>
      </c>
      <c r="P9" s="1006">
        <v>52.94</v>
      </c>
      <c r="Q9" s="73">
        <f>+P9/O9</f>
        <v>0.8284088075723387</v>
      </c>
      <c r="R9" s="1005">
        <v>10.724997999999999</v>
      </c>
      <c r="S9" s="1006">
        <v>17.059999999999999</v>
      </c>
      <c r="T9" s="73">
        <f>+S9/R9</f>
        <v>1.5906762873056013</v>
      </c>
      <c r="U9" s="1005">
        <v>19.724997999999999</v>
      </c>
      <c r="V9" s="1006">
        <v>7.38</v>
      </c>
      <c r="W9" s="73">
        <f>+V9/U9</f>
        <v>0.37414452462808867</v>
      </c>
      <c r="X9" s="1005">
        <v>10.724997999999999</v>
      </c>
      <c r="Y9" s="1006">
        <v>4.45</v>
      </c>
      <c r="Z9" s="2162"/>
      <c r="AA9" s="1005">
        <v>11.224997999999999</v>
      </c>
      <c r="AB9" s="1006">
        <v>4.54</v>
      </c>
      <c r="AC9" s="73">
        <f t="shared" ref="AC9:AC10" si="0">+AB9/AA9</f>
        <v>0.40445441504755725</v>
      </c>
      <c r="AD9" s="955">
        <f t="shared" ref="AD9:AD10" si="1">+M9+P9+S9+V9+Y9+AB9</f>
        <v>94.17</v>
      </c>
      <c r="AE9" s="73">
        <f t="shared" ref="AE9:AE10" si="2">+AD9/G9</f>
        <v>8.7069020230890443E-2</v>
      </c>
      <c r="AF9" s="1005">
        <v>10.724997999999999</v>
      </c>
      <c r="AG9" s="1006">
        <v>5.78</v>
      </c>
      <c r="AH9" s="73">
        <f>+AG9/AF9</f>
        <v>0.53892783942710298</v>
      </c>
      <c r="AI9" s="1005">
        <v>11.224997999999999</v>
      </c>
      <c r="AJ9" s="1006">
        <v>61.71</v>
      </c>
      <c r="AK9" s="73">
        <f>+AJ9/AI9</f>
        <v>5.4975510908777006</v>
      </c>
      <c r="AL9" s="1005">
        <v>10.724997999999999</v>
      </c>
      <c r="AM9" s="1006">
        <v>31.28</v>
      </c>
      <c r="AN9" s="73">
        <f>+AM9/AL9</f>
        <v>2.9165506604290279</v>
      </c>
      <c r="AO9" s="1005">
        <v>11.224997999999999</v>
      </c>
      <c r="AP9" s="1006">
        <v>773.46</v>
      </c>
      <c r="AQ9" s="73">
        <f>+AP9/AO9</f>
        <v>68.905134771516231</v>
      </c>
      <c r="AR9" s="1005">
        <v>10.724997999999999</v>
      </c>
      <c r="AS9" s="1006">
        <v>102.54</v>
      </c>
      <c r="AT9" s="73">
        <f>+AS9/AR9</f>
        <v>9.5608409437465642</v>
      </c>
      <c r="AU9" s="1005">
        <v>10.925022</v>
      </c>
      <c r="AV9" s="1006">
        <v>7.66</v>
      </c>
      <c r="AW9" s="73">
        <f t="shared" ref="AW9:AW10" si="3">+AV9/AU9</f>
        <v>0.70114275284754579</v>
      </c>
      <c r="AX9" s="1008">
        <f>+M9+P9+S9+V9+Y9+AB9+AG9+AJ9+AM9+AP9+AS9+AV9</f>
        <v>1076.6000000000001</v>
      </c>
      <c r="AY9" s="73">
        <f t="shared" ref="AY9:AY10" si="4">+AX9/G9</f>
        <v>0.99541793756585595</v>
      </c>
    </row>
    <row r="10" spans="1:52" s="1015" customFormat="1" ht="75" customHeight="1" thickTop="1" thickBot="1">
      <c r="A10" s="2846"/>
      <c r="B10" s="2947"/>
      <c r="C10" s="74" t="s">
        <v>169</v>
      </c>
      <c r="D10" s="2196" t="s">
        <v>92</v>
      </c>
      <c r="E10" s="2129" t="s">
        <v>170</v>
      </c>
      <c r="F10" s="2129" t="s">
        <v>17</v>
      </c>
      <c r="G10" s="2174">
        <v>5</v>
      </c>
      <c r="H10" s="2129" t="s">
        <v>326</v>
      </c>
      <c r="I10" s="2293"/>
      <c r="J10" s="2293"/>
      <c r="K10" s="2129" t="s">
        <v>26</v>
      </c>
      <c r="L10" s="1011">
        <v>2</v>
      </c>
      <c r="M10" s="1012"/>
      <c r="N10" s="73">
        <f t="shared" ref="N10:N46" si="5">+M10/L10</f>
        <v>0</v>
      </c>
      <c r="O10" s="1011">
        <v>0</v>
      </c>
      <c r="P10" s="1012"/>
      <c r="Q10" s="73" t="e">
        <f t="shared" ref="Q10:Q46" si="6">+P10/O10</f>
        <v>#DIV/0!</v>
      </c>
      <c r="R10" s="1011"/>
      <c r="S10" s="1012">
        <v>1</v>
      </c>
      <c r="T10" s="73" t="e">
        <f t="shared" ref="T10:T46" si="7">+S10/R10</f>
        <v>#DIV/0!</v>
      </c>
      <c r="U10" s="1011">
        <v>1</v>
      </c>
      <c r="V10" s="1012"/>
      <c r="W10" s="73">
        <f t="shared" ref="W10:W46" si="8">+V10/U10</f>
        <v>0</v>
      </c>
      <c r="X10" s="1011">
        <v>0</v>
      </c>
      <c r="Y10" s="1012"/>
      <c r="Z10" s="2162"/>
      <c r="AA10" s="1011">
        <v>0</v>
      </c>
      <c r="AB10" s="1012"/>
      <c r="AC10" s="73" t="e">
        <f t="shared" si="0"/>
        <v>#DIV/0!</v>
      </c>
      <c r="AD10" s="245">
        <f t="shared" si="1"/>
        <v>1</v>
      </c>
      <c r="AE10" s="73">
        <f t="shared" si="2"/>
        <v>0.2</v>
      </c>
      <c r="AF10" s="1011">
        <v>0</v>
      </c>
      <c r="AG10" s="1012"/>
      <c r="AH10" s="73" t="e">
        <f t="shared" ref="AH10:AH46" si="9">+AG10/AF10</f>
        <v>#DIV/0!</v>
      </c>
      <c r="AI10" s="1011"/>
      <c r="AJ10" s="1012">
        <v>1</v>
      </c>
      <c r="AK10" s="73" t="e">
        <f t="shared" ref="AK10:AK46" si="10">+AJ10/AI10</f>
        <v>#DIV/0!</v>
      </c>
      <c r="AL10" s="1011">
        <v>0</v>
      </c>
      <c r="AM10" s="1012"/>
      <c r="AN10" s="73" t="e">
        <f t="shared" ref="AN10:AN46" si="11">+AM10/AL10</f>
        <v>#DIV/0!</v>
      </c>
      <c r="AO10" s="1011"/>
      <c r="AP10" s="1012">
        <v>1</v>
      </c>
      <c r="AQ10" s="73" t="e">
        <f t="shared" ref="AQ10:AQ46" si="12">+AP10/AO10</f>
        <v>#DIV/0!</v>
      </c>
      <c r="AR10" s="1011"/>
      <c r="AS10" s="1012">
        <v>1</v>
      </c>
      <c r="AT10" s="73" t="e">
        <f t="shared" ref="AT10:AT46" si="13">+AS10/AR10</f>
        <v>#DIV/0!</v>
      </c>
      <c r="AU10" s="1011"/>
      <c r="AV10" s="1012">
        <v>1</v>
      </c>
      <c r="AW10" s="73" t="e">
        <f t="shared" si="3"/>
        <v>#DIV/0!</v>
      </c>
      <c r="AX10" s="2294">
        <f>+M10+P10+S10+V10+Y10+AB10+AG10+AG10+AJ10+AM10+AP10+AS10+AV10</f>
        <v>5</v>
      </c>
      <c r="AY10" s="73">
        <f t="shared" si="4"/>
        <v>1</v>
      </c>
    </row>
    <row r="11" spans="1:52" s="22" customFormat="1" ht="39" customHeight="1" thickTop="1" thickBot="1">
      <c r="A11" s="2846"/>
      <c r="B11" s="2971" t="s">
        <v>94</v>
      </c>
      <c r="C11" s="878" t="s">
        <v>991</v>
      </c>
      <c r="D11" s="627" t="s">
        <v>96</v>
      </c>
      <c r="E11" s="25" t="s">
        <v>97</v>
      </c>
      <c r="F11" s="25" t="s">
        <v>168</v>
      </c>
      <c r="G11" s="2295">
        <v>90355</v>
      </c>
      <c r="H11" s="25"/>
      <c r="I11" s="25"/>
      <c r="J11" s="25"/>
      <c r="K11" s="25" t="s">
        <v>20</v>
      </c>
      <c r="L11" s="1008" t="s">
        <v>98</v>
      </c>
      <c r="M11" s="954"/>
      <c r="N11" s="73" t="e">
        <f>+M11/L11</f>
        <v>#VALUE!</v>
      </c>
      <c r="O11" s="1008" t="s">
        <v>98</v>
      </c>
      <c r="P11" s="954"/>
      <c r="Q11" s="73" t="e">
        <f>+P11/O11</f>
        <v>#VALUE!</v>
      </c>
      <c r="R11" s="1008" t="s">
        <v>98</v>
      </c>
      <c r="S11" s="954"/>
      <c r="T11" s="73" t="e">
        <f>+S11/R11</f>
        <v>#VALUE!</v>
      </c>
      <c r="U11" s="1008" t="s">
        <v>98</v>
      </c>
      <c r="V11" s="954"/>
      <c r="W11" s="73" t="e">
        <f>+V11/U11</f>
        <v>#VALUE!</v>
      </c>
      <c r="X11" s="1008" t="s">
        <v>98</v>
      </c>
      <c r="Y11" s="954"/>
      <c r="Z11" s="73" t="e">
        <f>+Y11/X11</f>
        <v>#VALUE!</v>
      </c>
      <c r="AA11" s="1008" t="s">
        <v>98</v>
      </c>
      <c r="AB11" s="954"/>
      <c r="AC11" s="73" t="e">
        <f>+AB11/AA11</f>
        <v>#VALUE!</v>
      </c>
      <c r="AD11" s="955">
        <f>+M11+P11+S11+V11+Y11+AB11</f>
        <v>0</v>
      </c>
      <c r="AE11" s="73">
        <f>+AD11/G11</f>
        <v>0</v>
      </c>
      <c r="AF11" s="1008" t="s">
        <v>98</v>
      </c>
      <c r="AG11" s="954"/>
      <c r="AH11" s="73" t="e">
        <f>+AG11/AF11</f>
        <v>#VALUE!</v>
      </c>
      <c r="AI11" s="1008" t="s">
        <v>98</v>
      </c>
      <c r="AJ11" s="954"/>
      <c r="AK11" s="73" t="e">
        <f>+AJ11/AI11</f>
        <v>#VALUE!</v>
      </c>
      <c r="AL11" s="1008" t="s">
        <v>98</v>
      </c>
      <c r="AM11" s="954"/>
      <c r="AN11" s="73" t="e">
        <f>+AM11/AL11</f>
        <v>#VALUE!</v>
      </c>
      <c r="AO11" s="1008" t="s">
        <v>98</v>
      </c>
      <c r="AP11" s="954"/>
      <c r="AQ11" s="73" t="e">
        <f>+AP11/AO11</f>
        <v>#VALUE!</v>
      </c>
      <c r="AR11" s="1008" t="s">
        <v>98</v>
      </c>
      <c r="AS11" s="954"/>
      <c r="AT11" s="73" t="e">
        <f>+AS11/AR11</f>
        <v>#VALUE!</v>
      </c>
      <c r="AU11" s="1008">
        <v>90355</v>
      </c>
      <c r="AV11" s="954">
        <v>90355</v>
      </c>
      <c r="AW11" s="73">
        <f>+AV11/AU11</f>
        <v>1</v>
      </c>
      <c r="AX11" s="1021">
        <f>+M11+P11+S11+V11+Y11+AB11+AG11+AG11+AJ11+AM11+AP11+AS11+AV11</f>
        <v>90355</v>
      </c>
      <c r="AY11" s="73">
        <f>+AX11/G11</f>
        <v>1</v>
      </c>
    </row>
    <row r="12" spans="1:52" s="22" customFormat="1" ht="91.5" customHeight="1" thickTop="1" thickBot="1">
      <c r="A12" s="2846"/>
      <c r="B12" s="2971"/>
      <c r="C12" s="2925" t="s">
        <v>301</v>
      </c>
      <c r="D12" s="623" t="s">
        <v>99</v>
      </c>
      <c r="E12" s="561" t="s">
        <v>100</v>
      </c>
      <c r="F12" s="561" t="s">
        <v>101</v>
      </c>
      <c r="G12" s="2296">
        <v>11270000000</v>
      </c>
      <c r="H12" s="561"/>
      <c r="I12" s="561"/>
      <c r="J12" s="96"/>
      <c r="K12" s="561" t="s">
        <v>172</v>
      </c>
      <c r="L12" s="1021">
        <v>901600000</v>
      </c>
      <c r="M12" s="962">
        <v>64512000</v>
      </c>
      <c r="N12" s="73">
        <f t="shared" si="5"/>
        <v>7.1552795031055896E-2</v>
      </c>
      <c r="O12" s="1021">
        <v>901600000</v>
      </c>
      <c r="P12" s="962">
        <v>55233000</v>
      </c>
      <c r="Q12" s="73">
        <f t="shared" si="6"/>
        <v>6.1261091393078969E-2</v>
      </c>
      <c r="R12" s="1021">
        <v>901600000</v>
      </c>
      <c r="S12" s="962">
        <v>43678000</v>
      </c>
      <c r="T12" s="73">
        <f t="shared" si="7"/>
        <v>4.8444986690328304E-2</v>
      </c>
      <c r="U12" s="1021">
        <v>1014300000</v>
      </c>
      <c r="V12" s="962">
        <v>130560000</v>
      </c>
      <c r="W12" s="73">
        <f t="shared" si="8"/>
        <v>0.1287193138124815</v>
      </c>
      <c r="X12" s="1021">
        <v>1127000000</v>
      </c>
      <c r="Y12" s="962">
        <v>5642000</v>
      </c>
      <c r="Z12" s="73">
        <f t="shared" ref="Z12:Z46" si="14">+Y12/X12</f>
        <v>5.0062111801242237E-3</v>
      </c>
      <c r="AA12" s="1021">
        <v>1127000000</v>
      </c>
      <c r="AB12" s="962">
        <v>122495000</v>
      </c>
      <c r="AC12" s="73">
        <f t="shared" ref="AC12:AC43" si="15">+AB12/AA12</f>
        <v>0.10869121561668145</v>
      </c>
      <c r="AD12" s="955">
        <f t="shared" ref="AD12:AD43" si="16">+M12+P12+S12+V12+Y12+AB12</f>
        <v>422120000</v>
      </c>
      <c r="AE12" s="73">
        <f t="shared" ref="AE12:AE43" si="17">+AD12/G12</f>
        <v>3.745519077196096E-2</v>
      </c>
      <c r="AF12" s="1021">
        <v>1127000000</v>
      </c>
      <c r="AG12" s="962">
        <v>59700000</v>
      </c>
      <c r="AH12" s="73">
        <f t="shared" si="9"/>
        <v>5.297249334516415E-2</v>
      </c>
      <c r="AI12" s="1021">
        <v>1127000000</v>
      </c>
      <c r="AJ12" s="962">
        <v>2183000</v>
      </c>
      <c r="AK12" s="73">
        <f t="shared" si="10"/>
        <v>1.9370008873114462E-3</v>
      </c>
      <c r="AL12" s="1021">
        <v>1127000000</v>
      </c>
      <c r="AM12" s="962">
        <v>2890770000</v>
      </c>
      <c r="AN12" s="73">
        <f t="shared" si="11"/>
        <v>2.5650133096716949</v>
      </c>
      <c r="AO12" s="1021">
        <v>1127000000</v>
      </c>
      <c r="AP12" s="962">
        <v>31313000</v>
      </c>
      <c r="AQ12" s="73">
        <f t="shared" si="12"/>
        <v>2.7784383318544808E-2</v>
      </c>
      <c r="AR12" s="1021">
        <v>450800000</v>
      </c>
      <c r="AS12" s="962">
        <v>1455056000</v>
      </c>
      <c r="AT12" s="73">
        <f t="shared" si="13"/>
        <v>3.2277196095829637</v>
      </c>
      <c r="AU12" s="1021">
        <v>338100000</v>
      </c>
      <c r="AV12" s="962">
        <v>30467000</v>
      </c>
      <c r="AW12" s="73">
        <f t="shared" ref="AW12:AW43" si="18">+AV12/AU12</f>
        <v>9.011239278320024E-2</v>
      </c>
      <c r="AX12" s="1008">
        <f>+M12+P12+S12+V12+Y12+AB12+AG12+AJ12+AM12+AP12+AS12+AV12</f>
        <v>4891609000</v>
      </c>
      <c r="AY12" s="73">
        <f t="shared" ref="AY12:AY43" si="19">+AX12/G12</f>
        <v>0.43403806566104702</v>
      </c>
    </row>
    <row r="13" spans="1:52" s="22" customFormat="1" ht="78.2" customHeight="1" thickTop="1" thickBot="1">
      <c r="A13" s="2846"/>
      <c r="B13" s="2971"/>
      <c r="C13" s="2926"/>
      <c r="D13" s="627" t="s">
        <v>456</v>
      </c>
      <c r="E13" s="25" t="s">
        <v>302</v>
      </c>
      <c r="F13" s="98" t="s">
        <v>101</v>
      </c>
      <c r="G13" s="2297">
        <v>36481371</v>
      </c>
      <c r="H13" s="25"/>
      <c r="I13" s="25"/>
      <c r="J13" s="386"/>
      <c r="K13" s="25" t="s">
        <v>196</v>
      </c>
      <c r="L13" s="1008">
        <v>1216046</v>
      </c>
      <c r="M13" s="954">
        <v>0</v>
      </c>
      <c r="N13" s="73">
        <f t="shared" si="5"/>
        <v>0</v>
      </c>
      <c r="O13" s="1008">
        <v>1216046</v>
      </c>
      <c r="P13" s="954">
        <v>0</v>
      </c>
      <c r="Q13" s="73">
        <f t="shared" si="6"/>
        <v>0</v>
      </c>
      <c r="R13" s="1008">
        <v>1216046</v>
      </c>
      <c r="S13" s="954">
        <v>828000</v>
      </c>
      <c r="T13" s="73">
        <f t="shared" si="7"/>
        <v>0.68089529507929802</v>
      </c>
      <c r="U13" s="1008">
        <v>4864183</v>
      </c>
      <c r="V13" s="954">
        <v>0</v>
      </c>
      <c r="W13" s="73">
        <f t="shared" si="8"/>
        <v>0</v>
      </c>
      <c r="X13" s="1008">
        <v>4864183</v>
      </c>
      <c r="Y13" s="954">
        <v>0</v>
      </c>
      <c r="Z13" s="73">
        <f t="shared" si="14"/>
        <v>0</v>
      </c>
      <c r="AA13" s="1008">
        <v>4864183</v>
      </c>
      <c r="AB13" s="954">
        <v>4026000</v>
      </c>
      <c r="AC13" s="73">
        <f t="shared" si="15"/>
        <v>0.82768267559012476</v>
      </c>
      <c r="AD13" s="955">
        <f t="shared" si="16"/>
        <v>4854000</v>
      </c>
      <c r="AE13" s="73">
        <f t="shared" si="17"/>
        <v>0.1330542100514808</v>
      </c>
      <c r="AF13" s="1008">
        <v>4864183</v>
      </c>
      <c r="AG13" s="954">
        <v>1326000</v>
      </c>
      <c r="AH13" s="73">
        <f t="shared" si="9"/>
        <v>0.27260487526887867</v>
      </c>
      <c r="AI13" s="1008">
        <v>4864183</v>
      </c>
      <c r="AJ13" s="954">
        <v>6631000</v>
      </c>
      <c r="AK13" s="73">
        <f t="shared" si="10"/>
        <v>1.3632299607148826</v>
      </c>
      <c r="AL13" s="1008">
        <v>4864183</v>
      </c>
      <c r="AM13" s="954">
        <v>6677000</v>
      </c>
      <c r="AN13" s="73">
        <f t="shared" si="11"/>
        <v>1.3726868417573928</v>
      </c>
      <c r="AO13" s="1008">
        <v>1216045</v>
      </c>
      <c r="AP13" s="954">
        <v>6231225</v>
      </c>
      <c r="AQ13" s="73">
        <f t="shared" si="12"/>
        <v>5.1241730363596742</v>
      </c>
      <c r="AR13" s="1008">
        <v>1216045</v>
      </c>
      <c r="AS13" s="954">
        <v>5305000</v>
      </c>
      <c r="AT13" s="73">
        <f t="shared" si="13"/>
        <v>4.3625030323713352</v>
      </c>
      <c r="AU13" s="1008">
        <v>1216045</v>
      </c>
      <c r="AV13" s="954">
        <v>3560700</v>
      </c>
      <c r="AW13" s="73">
        <f t="shared" si="18"/>
        <v>2.9280988779198136</v>
      </c>
      <c r="AX13" s="1021">
        <f>+M13+P13+S13+V13+Y13+AB13+AG13+AJ13+AM13+AP13+AS13+AV13</f>
        <v>34584925</v>
      </c>
      <c r="AY13" s="73">
        <f t="shared" si="19"/>
        <v>0.94801604358564262</v>
      </c>
    </row>
    <row r="14" spans="1:52" s="22" customFormat="1" ht="90.75" customHeight="1" thickTop="1" thickBot="1">
      <c r="A14" s="2846"/>
      <c r="B14" s="2971"/>
      <c r="C14" s="2926"/>
      <c r="D14" s="623" t="s">
        <v>102</v>
      </c>
      <c r="E14" s="561" t="s">
        <v>103</v>
      </c>
      <c r="F14" s="85" t="s">
        <v>101</v>
      </c>
      <c r="G14" s="2296">
        <v>8500000000</v>
      </c>
      <c r="H14" s="561"/>
      <c r="I14" s="561"/>
      <c r="J14" s="96"/>
      <c r="K14" s="561" t="s">
        <v>172</v>
      </c>
      <c r="L14" s="1021">
        <v>680000000</v>
      </c>
      <c r="M14" s="2298">
        <v>64512000</v>
      </c>
      <c r="N14" s="73">
        <f t="shared" si="5"/>
        <v>9.4870588235294123E-2</v>
      </c>
      <c r="O14" s="1021">
        <v>680000000</v>
      </c>
      <c r="P14" s="2298">
        <v>55233000</v>
      </c>
      <c r="Q14" s="73">
        <f t="shared" si="6"/>
        <v>8.1225000000000006E-2</v>
      </c>
      <c r="R14" s="1021">
        <v>680000000</v>
      </c>
      <c r="S14" s="2298">
        <v>43678000</v>
      </c>
      <c r="T14" s="73">
        <f t="shared" si="7"/>
        <v>6.4232352941176477E-2</v>
      </c>
      <c r="U14" s="1021">
        <v>765000000</v>
      </c>
      <c r="V14" s="2298">
        <v>130560000</v>
      </c>
      <c r="W14" s="73">
        <f t="shared" si="8"/>
        <v>0.17066666666666666</v>
      </c>
      <c r="X14" s="1021">
        <v>850000000</v>
      </c>
      <c r="Y14" s="2298">
        <v>5642000</v>
      </c>
      <c r="Z14" s="73">
        <f t="shared" si="14"/>
        <v>6.6376470588235294E-3</v>
      </c>
      <c r="AA14" s="1021">
        <v>850000000</v>
      </c>
      <c r="AB14" s="2298">
        <v>122495000</v>
      </c>
      <c r="AC14" s="73">
        <f t="shared" si="15"/>
        <v>0.14411176470588236</v>
      </c>
      <c r="AD14" s="955">
        <f t="shared" si="16"/>
        <v>422120000</v>
      </c>
      <c r="AE14" s="73">
        <f t="shared" si="17"/>
        <v>4.9661176470588236E-2</v>
      </c>
      <c r="AF14" s="1021">
        <v>850000000</v>
      </c>
      <c r="AG14" s="2298">
        <v>59700000</v>
      </c>
      <c r="AH14" s="73">
        <f t="shared" si="9"/>
        <v>7.0235294117647062E-2</v>
      </c>
      <c r="AI14" s="1021">
        <v>850000000</v>
      </c>
      <c r="AJ14" s="2298">
        <v>2183000</v>
      </c>
      <c r="AK14" s="73">
        <f t="shared" si="10"/>
        <v>2.5682352941176472E-3</v>
      </c>
      <c r="AL14" s="1021">
        <v>850000000</v>
      </c>
      <c r="AM14" s="2298">
        <v>2890770000</v>
      </c>
      <c r="AN14" s="73">
        <f t="shared" si="11"/>
        <v>3.4009058823529412</v>
      </c>
      <c r="AO14" s="1021">
        <v>850000000</v>
      </c>
      <c r="AP14" s="2298">
        <v>31313000</v>
      </c>
      <c r="AQ14" s="73">
        <f t="shared" si="12"/>
        <v>3.6838823529411764E-2</v>
      </c>
      <c r="AR14" s="1021">
        <v>340000000</v>
      </c>
      <c r="AS14" s="2298">
        <v>1455056000</v>
      </c>
      <c r="AT14" s="73">
        <f t="shared" si="13"/>
        <v>4.2795764705882355</v>
      </c>
      <c r="AU14" s="1021">
        <v>255000000</v>
      </c>
      <c r="AV14" s="2298">
        <v>2698400</v>
      </c>
      <c r="AW14" s="73">
        <f t="shared" si="18"/>
        <v>1.0581960784313725E-2</v>
      </c>
      <c r="AX14" s="1008">
        <f>+M14+P14+S14+V14+Y14+AB14+AG14+AJ14+AM14+AP14+AS14+AV14</f>
        <v>4863840400</v>
      </c>
      <c r="AY14" s="73">
        <f t="shared" si="19"/>
        <v>0.57221651764705883</v>
      </c>
    </row>
    <row r="15" spans="1:52" s="22" customFormat="1" ht="50.45" customHeight="1" thickTop="1" thickBot="1">
      <c r="A15" s="2846"/>
      <c r="B15" s="2971"/>
      <c r="C15" s="2926"/>
      <c r="D15" s="627" t="s">
        <v>459</v>
      </c>
      <c r="E15" s="25" t="s">
        <v>274</v>
      </c>
      <c r="F15" s="98" t="s">
        <v>101</v>
      </c>
      <c r="G15" s="2297">
        <v>1200000</v>
      </c>
      <c r="H15" s="25"/>
      <c r="I15" s="25"/>
      <c r="J15" s="386"/>
      <c r="K15" s="25" t="s">
        <v>196</v>
      </c>
      <c r="L15" s="1008">
        <v>40000</v>
      </c>
      <c r="M15" s="954">
        <v>0</v>
      </c>
      <c r="N15" s="73">
        <f t="shared" si="5"/>
        <v>0</v>
      </c>
      <c r="O15" s="1008">
        <v>40000</v>
      </c>
      <c r="P15" s="954">
        <v>0</v>
      </c>
      <c r="Q15" s="73">
        <f t="shared" si="6"/>
        <v>0</v>
      </c>
      <c r="R15" s="1008">
        <v>40000</v>
      </c>
      <c r="S15" s="954">
        <v>828000</v>
      </c>
      <c r="T15" s="73">
        <f t="shared" si="7"/>
        <v>20.7</v>
      </c>
      <c r="U15" s="1008">
        <v>160000</v>
      </c>
      <c r="V15" s="954">
        <v>0</v>
      </c>
      <c r="W15" s="73">
        <f t="shared" si="8"/>
        <v>0</v>
      </c>
      <c r="X15" s="1008">
        <v>160000</v>
      </c>
      <c r="Y15" s="954">
        <v>0</v>
      </c>
      <c r="Z15" s="73">
        <f t="shared" si="14"/>
        <v>0</v>
      </c>
      <c r="AA15" s="1008">
        <v>160000</v>
      </c>
      <c r="AB15" s="954">
        <v>4026000</v>
      </c>
      <c r="AC15" s="73">
        <f t="shared" si="15"/>
        <v>25.162500000000001</v>
      </c>
      <c r="AD15" s="955">
        <f t="shared" si="16"/>
        <v>4854000</v>
      </c>
      <c r="AE15" s="73">
        <f t="shared" si="17"/>
        <v>4.0449999999999999</v>
      </c>
      <c r="AF15" s="1008">
        <v>160000</v>
      </c>
      <c r="AG15" s="954">
        <v>1326000</v>
      </c>
      <c r="AH15" s="73">
        <f t="shared" si="9"/>
        <v>8.2874999999999996</v>
      </c>
      <c r="AI15" s="1008">
        <v>160000</v>
      </c>
      <c r="AJ15" s="954">
        <v>6631000</v>
      </c>
      <c r="AK15" s="73">
        <f t="shared" si="10"/>
        <v>41.443750000000001</v>
      </c>
      <c r="AL15" s="1008">
        <v>160000</v>
      </c>
      <c r="AM15" s="954">
        <v>6677000</v>
      </c>
      <c r="AN15" s="73">
        <f t="shared" si="11"/>
        <v>41.731250000000003</v>
      </c>
      <c r="AO15" s="1008">
        <v>40000</v>
      </c>
      <c r="AP15" s="954">
        <v>0</v>
      </c>
      <c r="AQ15" s="73">
        <f t="shared" si="12"/>
        <v>0</v>
      </c>
      <c r="AR15" s="1008">
        <v>40000</v>
      </c>
      <c r="AS15" s="954">
        <v>5305000</v>
      </c>
      <c r="AT15" s="73">
        <f t="shared" si="13"/>
        <v>132.625</v>
      </c>
      <c r="AU15" s="1008">
        <v>40000</v>
      </c>
      <c r="AV15" s="954"/>
      <c r="AW15" s="73">
        <f t="shared" si="18"/>
        <v>0</v>
      </c>
      <c r="AX15" s="1021">
        <f>+M15+P15+S15+V15+Y15+AB15+AG15+AJ15+AM15+AP15+AS15+AV15</f>
        <v>24793000</v>
      </c>
      <c r="AY15" s="73">
        <f t="shared" si="19"/>
        <v>20.660833333333333</v>
      </c>
    </row>
    <row r="16" spans="1:52" s="22" customFormat="1" ht="46.5" customHeight="1" thickTop="1" thickBot="1">
      <c r="A16" s="2846"/>
      <c r="B16" s="2971"/>
      <c r="C16" s="2926"/>
      <c r="D16" s="623" t="s">
        <v>203</v>
      </c>
      <c r="E16" s="561" t="s">
        <v>274</v>
      </c>
      <c r="F16" s="85" t="s">
        <v>101</v>
      </c>
      <c r="G16" s="2296">
        <v>5520000</v>
      </c>
      <c r="H16" s="561"/>
      <c r="I16" s="561"/>
      <c r="J16" s="96"/>
      <c r="K16" s="561" t="s">
        <v>196</v>
      </c>
      <c r="L16" s="1021">
        <v>184000</v>
      </c>
      <c r="M16" s="2298">
        <v>0</v>
      </c>
      <c r="N16" s="73">
        <f t="shared" si="5"/>
        <v>0</v>
      </c>
      <c r="O16" s="1021">
        <v>184000</v>
      </c>
      <c r="P16" s="2298">
        <v>0</v>
      </c>
      <c r="Q16" s="73">
        <f t="shared" si="6"/>
        <v>0</v>
      </c>
      <c r="R16" s="1021">
        <v>184000</v>
      </c>
      <c r="S16" s="2298">
        <v>0</v>
      </c>
      <c r="T16" s="73">
        <f t="shared" si="7"/>
        <v>0</v>
      </c>
      <c r="U16" s="1021">
        <v>736000</v>
      </c>
      <c r="V16" s="2298">
        <v>0</v>
      </c>
      <c r="W16" s="73">
        <f t="shared" si="8"/>
        <v>0</v>
      </c>
      <c r="X16" s="1021">
        <v>736000</v>
      </c>
      <c r="Y16" s="2298">
        <v>0</v>
      </c>
      <c r="Z16" s="73">
        <f t="shared" si="14"/>
        <v>0</v>
      </c>
      <c r="AA16" s="1021">
        <v>736000</v>
      </c>
      <c r="AB16" s="2298">
        <v>0</v>
      </c>
      <c r="AC16" s="73">
        <f t="shared" si="15"/>
        <v>0</v>
      </c>
      <c r="AD16" s="955">
        <f t="shared" si="16"/>
        <v>0</v>
      </c>
      <c r="AE16" s="73">
        <f t="shared" si="17"/>
        <v>0</v>
      </c>
      <c r="AF16" s="1021">
        <v>736000</v>
      </c>
      <c r="AG16" s="2298">
        <v>4026000</v>
      </c>
      <c r="AH16" s="73">
        <f t="shared" si="9"/>
        <v>5.4701086956521738</v>
      </c>
      <c r="AI16" s="1021">
        <v>736000</v>
      </c>
      <c r="AJ16" s="2298">
        <v>0</v>
      </c>
      <c r="AK16" s="73">
        <f t="shared" si="10"/>
        <v>0</v>
      </c>
      <c r="AL16" s="1021">
        <v>736000</v>
      </c>
      <c r="AM16" s="2298">
        <v>0</v>
      </c>
      <c r="AN16" s="73">
        <f t="shared" si="11"/>
        <v>0</v>
      </c>
      <c r="AO16" s="1021">
        <v>184000</v>
      </c>
      <c r="AP16" s="2298">
        <v>0</v>
      </c>
      <c r="AQ16" s="73">
        <f t="shared" si="12"/>
        <v>0</v>
      </c>
      <c r="AR16" s="1021">
        <v>184000</v>
      </c>
      <c r="AS16" s="2298">
        <v>0</v>
      </c>
      <c r="AT16" s="73">
        <f t="shared" si="13"/>
        <v>0</v>
      </c>
      <c r="AU16" s="1021">
        <v>184000</v>
      </c>
      <c r="AV16" s="2298"/>
      <c r="AW16" s="73">
        <f t="shared" si="18"/>
        <v>0</v>
      </c>
      <c r="AX16" s="1008">
        <f>+M16+P16+S16+V16+Y16+AB16+AG16+AJ16+AM16+AP16+AS16+AV16</f>
        <v>4026000</v>
      </c>
      <c r="AY16" s="73">
        <f t="shared" si="19"/>
        <v>0.72934782608695647</v>
      </c>
    </row>
    <row r="17" spans="1:51" s="22" customFormat="1" ht="83.25" customHeight="1" thickTop="1" thickBot="1">
      <c r="A17" s="2846"/>
      <c r="B17" s="2971"/>
      <c r="C17" s="2926"/>
      <c r="D17" s="627" t="s">
        <v>104</v>
      </c>
      <c r="E17" s="25" t="s">
        <v>105</v>
      </c>
      <c r="F17" s="98" t="s">
        <v>24</v>
      </c>
      <c r="G17" s="1722">
        <v>0</v>
      </c>
      <c r="H17" s="25"/>
      <c r="I17" s="25"/>
      <c r="J17" s="386"/>
      <c r="K17" s="25" t="s">
        <v>172</v>
      </c>
      <c r="L17" s="857">
        <v>0</v>
      </c>
      <c r="M17" s="496"/>
      <c r="N17" s="73" t="e">
        <f t="shared" si="5"/>
        <v>#DIV/0!</v>
      </c>
      <c r="O17" s="857">
        <v>0</v>
      </c>
      <c r="P17" s="496"/>
      <c r="Q17" s="73" t="e">
        <f t="shared" si="6"/>
        <v>#DIV/0!</v>
      </c>
      <c r="R17" s="857">
        <v>0</v>
      </c>
      <c r="S17" s="496"/>
      <c r="T17" s="73" t="e">
        <f t="shared" si="7"/>
        <v>#DIV/0!</v>
      </c>
      <c r="U17" s="857">
        <v>0</v>
      </c>
      <c r="V17" s="496"/>
      <c r="W17" s="73" t="e">
        <f t="shared" si="8"/>
        <v>#DIV/0!</v>
      </c>
      <c r="X17" s="857">
        <v>0</v>
      </c>
      <c r="Y17" s="496"/>
      <c r="Z17" s="73" t="e">
        <f t="shared" si="14"/>
        <v>#DIV/0!</v>
      </c>
      <c r="AA17" s="857">
        <v>0</v>
      </c>
      <c r="AB17" s="496"/>
      <c r="AC17" s="73" t="e">
        <f t="shared" si="15"/>
        <v>#DIV/0!</v>
      </c>
      <c r="AD17" s="782">
        <f t="shared" si="16"/>
        <v>0</v>
      </c>
      <c r="AE17" s="73" t="e">
        <f t="shared" si="17"/>
        <v>#DIV/0!</v>
      </c>
      <c r="AF17" s="857">
        <v>0</v>
      </c>
      <c r="AG17" s="496"/>
      <c r="AH17" s="73" t="e">
        <f t="shared" si="9"/>
        <v>#DIV/0!</v>
      </c>
      <c r="AI17" s="857">
        <v>0</v>
      </c>
      <c r="AJ17" s="496"/>
      <c r="AK17" s="73" t="e">
        <f t="shared" si="10"/>
        <v>#DIV/0!</v>
      </c>
      <c r="AL17" s="857">
        <v>0</v>
      </c>
      <c r="AM17" s="496"/>
      <c r="AN17" s="73" t="e">
        <f t="shared" si="11"/>
        <v>#DIV/0!</v>
      </c>
      <c r="AO17" s="857">
        <v>0</v>
      </c>
      <c r="AP17" s="496"/>
      <c r="AQ17" s="73" t="e">
        <f t="shared" si="12"/>
        <v>#DIV/0!</v>
      </c>
      <c r="AR17" s="857">
        <v>0</v>
      </c>
      <c r="AS17" s="496"/>
      <c r="AT17" s="73" t="e">
        <f t="shared" si="13"/>
        <v>#DIV/0!</v>
      </c>
      <c r="AU17" s="857">
        <v>0</v>
      </c>
      <c r="AV17" s="496">
        <v>0</v>
      </c>
      <c r="AW17" s="73" t="e">
        <f t="shared" si="18"/>
        <v>#DIV/0!</v>
      </c>
      <c r="AX17" s="861">
        <f t="shared" ref="AX17:AX22" si="20">+M17+P17+S17+V17+Y17+AB17+AG17+AG17+AJ17+AM17+AP17+AS17+AV17</f>
        <v>0</v>
      </c>
      <c r="AY17" s="73"/>
    </row>
    <row r="18" spans="1:51" s="22" customFormat="1" ht="90.75" customHeight="1" thickTop="1" thickBot="1">
      <c r="A18" s="2846"/>
      <c r="B18" s="2971"/>
      <c r="C18" s="2927"/>
      <c r="D18" s="623" t="s">
        <v>106</v>
      </c>
      <c r="E18" s="561" t="s">
        <v>173</v>
      </c>
      <c r="F18" s="85" t="s">
        <v>24</v>
      </c>
      <c r="G18" s="1720">
        <v>33</v>
      </c>
      <c r="H18" s="96"/>
      <c r="I18" s="1473"/>
      <c r="J18" s="96"/>
      <c r="K18" s="561" t="s">
        <v>172</v>
      </c>
      <c r="L18" s="861">
        <v>0</v>
      </c>
      <c r="M18" s="862">
        <v>0</v>
      </c>
      <c r="N18" s="73" t="e">
        <f t="shared" si="5"/>
        <v>#DIV/0!</v>
      </c>
      <c r="O18" s="861">
        <v>0</v>
      </c>
      <c r="P18" s="862">
        <v>0</v>
      </c>
      <c r="Q18" s="73" t="e">
        <f t="shared" si="6"/>
        <v>#DIV/0!</v>
      </c>
      <c r="R18" s="861">
        <v>0</v>
      </c>
      <c r="S18" s="862">
        <v>0</v>
      </c>
      <c r="T18" s="73" t="e">
        <f t="shared" si="7"/>
        <v>#DIV/0!</v>
      </c>
      <c r="U18" s="861">
        <v>0</v>
      </c>
      <c r="V18" s="862">
        <v>0</v>
      </c>
      <c r="W18" s="73" t="e">
        <f t="shared" si="8"/>
        <v>#DIV/0!</v>
      </c>
      <c r="X18" s="861">
        <v>0</v>
      </c>
      <c r="Y18" s="862">
        <v>0</v>
      </c>
      <c r="Z18" s="73" t="e">
        <f t="shared" si="14"/>
        <v>#DIV/0!</v>
      </c>
      <c r="AA18" s="861">
        <v>0</v>
      </c>
      <c r="AB18" s="862">
        <v>0</v>
      </c>
      <c r="AC18" s="73" t="e">
        <f t="shared" si="15"/>
        <v>#DIV/0!</v>
      </c>
      <c r="AD18" s="782">
        <f t="shared" si="16"/>
        <v>0</v>
      </c>
      <c r="AE18" s="73">
        <f t="shared" si="17"/>
        <v>0</v>
      </c>
      <c r="AF18" s="861">
        <v>17</v>
      </c>
      <c r="AG18" s="862">
        <v>13</v>
      </c>
      <c r="AH18" s="73">
        <f t="shared" si="9"/>
        <v>0.76470588235294112</v>
      </c>
      <c r="AI18" s="861">
        <v>0</v>
      </c>
      <c r="AJ18" s="862">
        <v>0</v>
      </c>
      <c r="AK18" s="73" t="e">
        <f t="shared" si="10"/>
        <v>#DIV/0!</v>
      </c>
      <c r="AL18" s="861">
        <v>0</v>
      </c>
      <c r="AM18" s="862">
        <v>0</v>
      </c>
      <c r="AN18" s="73" t="e">
        <f t="shared" si="11"/>
        <v>#DIV/0!</v>
      </c>
      <c r="AO18" s="861">
        <v>0</v>
      </c>
      <c r="AP18" s="862">
        <v>0</v>
      </c>
      <c r="AQ18" s="73" t="e">
        <f t="shared" si="12"/>
        <v>#DIV/0!</v>
      </c>
      <c r="AR18" s="861">
        <v>0</v>
      </c>
      <c r="AS18" s="862">
        <v>0</v>
      </c>
      <c r="AT18" s="73" t="e">
        <f t="shared" si="13"/>
        <v>#DIV/0!</v>
      </c>
      <c r="AU18" s="861">
        <v>16</v>
      </c>
      <c r="AV18" s="862">
        <v>7</v>
      </c>
      <c r="AW18" s="73">
        <f t="shared" si="18"/>
        <v>0.4375</v>
      </c>
      <c r="AX18" s="857">
        <f>+AV18+AG18</f>
        <v>20</v>
      </c>
      <c r="AY18" s="73">
        <f t="shared" si="19"/>
        <v>0.60606060606060608</v>
      </c>
    </row>
    <row r="19" spans="1:51" s="22" customFormat="1" ht="68.45" customHeight="1" thickTop="1" thickBot="1">
      <c r="A19" s="2846"/>
      <c r="B19" s="2971"/>
      <c r="C19" s="3211" t="s">
        <v>992</v>
      </c>
      <c r="D19" s="627" t="s">
        <v>205</v>
      </c>
      <c r="E19" s="25" t="s">
        <v>206</v>
      </c>
      <c r="F19" s="98" t="s">
        <v>24</v>
      </c>
      <c r="G19" s="1722">
        <v>4</v>
      </c>
      <c r="H19" s="386"/>
      <c r="I19" s="1471"/>
      <c r="J19" s="386"/>
      <c r="K19" s="25" t="s">
        <v>196</v>
      </c>
      <c r="L19" s="857">
        <v>0</v>
      </c>
      <c r="M19" s="496"/>
      <c r="N19" s="73" t="e">
        <f t="shared" si="5"/>
        <v>#DIV/0!</v>
      </c>
      <c r="O19" s="857">
        <v>0</v>
      </c>
      <c r="P19" s="496"/>
      <c r="Q19" s="73" t="e">
        <f t="shared" si="6"/>
        <v>#DIV/0!</v>
      </c>
      <c r="R19" s="857">
        <v>0</v>
      </c>
      <c r="S19" s="496"/>
      <c r="T19" s="73" t="e">
        <f t="shared" si="7"/>
        <v>#DIV/0!</v>
      </c>
      <c r="U19" s="857">
        <v>0</v>
      </c>
      <c r="V19" s="496"/>
      <c r="W19" s="73" t="e">
        <f t="shared" si="8"/>
        <v>#DIV/0!</v>
      </c>
      <c r="X19" s="857">
        <v>2</v>
      </c>
      <c r="Y19" s="496">
        <v>0</v>
      </c>
      <c r="Z19" s="73">
        <f t="shared" si="14"/>
        <v>0</v>
      </c>
      <c r="AA19" s="857">
        <v>0</v>
      </c>
      <c r="AB19" s="496"/>
      <c r="AC19" s="73" t="e">
        <f t="shared" si="15"/>
        <v>#DIV/0!</v>
      </c>
      <c r="AD19" s="782">
        <f t="shared" si="16"/>
        <v>0</v>
      </c>
      <c r="AE19" s="73">
        <f t="shared" si="17"/>
        <v>0</v>
      </c>
      <c r="AF19" s="857">
        <v>0</v>
      </c>
      <c r="AG19" s="496"/>
      <c r="AH19" s="73" t="e">
        <f t="shared" si="9"/>
        <v>#DIV/0!</v>
      </c>
      <c r="AI19" s="857">
        <v>0</v>
      </c>
      <c r="AJ19" s="496"/>
      <c r="AK19" s="73" t="e">
        <f t="shared" si="10"/>
        <v>#DIV/0!</v>
      </c>
      <c r="AL19" s="857">
        <v>2</v>
      </c>
      <c r="AM19" s="496">
        <v>4</v>
      </c>
      <c r="AN19" s="73">
        <f t="shared" si="11"/>
        <v>2</v>
      </c>
      <c r="AO19" s="857">
        <v>0</v>
      </c>
      <c r="AP19" s="496"/>
      <c r="AQ19" s="73" t="e">
        <f t="shared" si="12"/>
        <v>#DIV/0!</v>
      </c>
      <c r="AR19" s="857">
        <v>0</v>
      </c>
      <c r="AS19" s="496"/>
      <c r="AT19" s="73" t="e">
        <f t="shared" si="13"/>
        <v>#DIV/0!</v>
      </c>
      <c r="AU19" s="857">
        <v>0</v>
      </c>
      <c r="AV19" s="496"/>
      <c r="AW19" s="73" t="e">
        <f t="shared" si="18"/>
        <v>#DIV/0!</v>
      </c>
      <c r="AX19" s="2299">
        <f>+AM19+Y19</f>
        <v>4</v>
      </c>
      <c r="AY19" s="73">
        <f t="shared" si="19"/>
        <v>1</v>
      </c>
    </row>
    <row r="20" spans="1:51" s="22" customFormat="1" ht="60.2" customHeight="1" thickTop="1" thickBot="1">
      <c r="A20" s="2846"/>
      <c r="B20" s="2971"/>
      <c r="C20" s="3211"/>
      <c r="D20" s="623" t="s">
        <v>207</v>
      </c>
      <c r="E20" s="561" t="s">
        <v>206</v>
      </c>
      <c r="F20" s="85" t="s">
        <v>24</v>
      </c>
      <c r="G20" s="1720">
        <v>0</v>
      </c>
      <c r="H20" s="96"/>
      <c r="I20" s="1473"/>
      <c r="J20" s="96"/>
      <c r="K20" s="561" t="s">
        <v>196</v>
      </c>
      <c r="L20" s="2299">
        <v>0</v>
      </c>
      <c r="M20" s="784"/>
      <c r="N20" s="73" t="e">
        <f t="shared" si="5"/>
        <v>#DIV/0!</v>
      </c>
      <c r="O20" s="2299">
        <v>0</v>
      </c>
      <c r="P20" s="784"/>
      <c r="Q20" s="73" t="e">
        <f t="shared" si="6"/>
        <v>#DIV/0!</v>
      </c>
      <c r="R20" s="2299">
        <v>0</v>
      </c>
      <c r="S20" s="784"/>
      <c r="T20" s="73" t="e">
        <f t="shared" si="7"/>
        <v>#DIV/0!</v>
      </c>
      <c r="U20" s="2299">
        <v>0</v>
      </c>
      <c r="V20" s="784"/>
      <c r="W20" s="73" t="e">
        <f t="shared" si="8"/>
        <v>#DIV/0!</v>
      </c>
      <c r="X20" s="2299">
        <v>0</v>
      </c>
      <c r="Y20" s="784"/>
      <c r="Z20" s="73" t="e">
        <f t="shared" si="14"/>
        <v>#DIV/0!</v>
      </c>
      <c r="AA20" s="2299">
        <v>0</v>
      </c>
      <c r="AB20" s="784"/>
      <c r="AC20" s="73" t="e">
        <f t="shared" si="15"/>
        <v>#DIV/0!</v>
      </c>
      <c r="AD20" s="782">
        <f t="shared" si="16"/>
        <v>0</v>
      </c>
      <c r="AE20" s="73" t="e">
        <f t="shared" si="17"/>
        <v>#DIV/0!</v>
      </c>
      <c r="AF20" s="2299">
        <v>0</v>
      </c>
      <c r="AG20" s="784"/>
      <c r="AH20" s="73" t="e">
        <f t="shared" si="9"/>
        <v>#DIV/0!</v>
      </c>
      <c r="AI20" s="2299">
        <v>0</v>
      </c>
      <c r="AJ20" s="784"/>
      <c r="AK20" s="73" t="e">
        <f t="shared" si="10"/>
        <v>#DIV/0!</v>
      </c>
      <c r="AL20" s="2299">
        <v>0</v>
      </c>
      <c r="AM20" s="784"/>
      <c r="AN20" s="73" t="e">
        <f t="shared" si="11"/>
        <v>#DIV/0!</v>
      </c>
      <c r="AO20" s="2299">
        <v>0</v>
      </c>
      <c r="AP20" s="784"/>
      <c r="AQ20" s="73" t="e">
        <f t="shared" si="12"/>
        <v>#DIV/0!</v>
      </c>
      <c r="AR20" s="2299">
        <v>0</v>
      </c>
      <c r="AS20" s="784"/>
      <c r="AT20" s="73" t="e">
        <f t="shared" si="13"/>
        <v>#DIV/0!</v>
      </c>
      <c r="AU20" s="2299">
        <v>0</v>
      </c>
      <c r="AV20" s="784"/>
      <c r="AW20" s="73" t="e">
        <f t="shared" si="18"/>
        <v>#DIV/0!</v>
      </c>
      <c r="AX20" s="857">
        <f t="shared" si="20"/>
        <v>0</v>
      </c>
      <c r="AY20" s="73"/>
    </row>
    <row r="21" spans="1:51" s="22" customFormat="1" ht="60.2" customHeight="1" thickTop="1" thickBot="1">
      <c r="A21" s="2846"/>
      <c r="B21" s="2971"/>
      <c r="C21" s="3211"/>
      <c r="D21" s="627" t="s">
        <v>433</v>
      </c>
      <c r="E21" s="25" t="s">
        <v>209</v>
      </c>
      <c r="F21" s="98" t="s">
        <v>10</v>
      </c>
      <c r="G21" s="45">
        <v>0.95</v>
      </c>
      <c r="H21" s="386"/>
      <c r="I21" s="1471"/>
      <c r="J21" s="386"/>
      <c r="K21" s="25" t="s">
        <v>196</v>
      </c>
      <c r="L21" s="869">
        <v>0.95</v>
      </c>
      <c r="M21" s="527">
        <v>0</v>
      </c>
      <c r="N21" s="73">
        <f t="shared" si="5"/>
        <v>0</v>
      </c>
      <c r="O21" s="869">
        <v>0.95</v>
      </c>
      <c r="P21" s="527">
        <v>0</v>
      </c>
      <c r="Q21" s="73">
        <f t="shared" si="6"/>
        <v>0</v>
      </c>
      <c r="R21" s="869">
        <v>0.95</v>
      </c>
      <c r="S21" s="527">
        <v>1</v>
      </c>
      <c r="T21" s="73">
        <f t="shared" si="7"/>
        <v>1.0526315789473684</v>
      </c>
      <c r="U21" s="869">
        <v>0.95</v>
      </c>
      <c r="V21" s="527">
        <v>1</v>
      </c>
      <c r="W21" s="73">
        <f t="shared" si="8"/>
        <v>1.0526315789473684</v>
      </c>
      <c r="X21" s="869">
        <v>0.95</v>
      </c>
      <c r="Y21" s="527">
        <v>1</v>
      </c>
      <c r="Z21" s="73">
        <f t="shared" si="14"/>
        <v>1.0526315789473684</v>
      </c>
      <c r="AA21" s="869">
        <v>0.95</v>
      </c>
      <c r="AB21" s="527">
        <v>1</v>
      </c>
      <c r="AC21" s="73">
        <f t="shared" si="15"/>
        <v>1.0526315789473684</v>
      </c>
      <c r="AD21" s="596">
        <f>(+M21+P21+S21+V21+Y21+AB21)/6</f>
        <v>0.66666666666666663</v>
      </c>
      <c r="AE21" s="73">
        <f t="shared" si="17"/>
        <v>0.70175438596491224</v>
      </c>
      <c r="AF21" s="869">
        <v>0.95</v>
      </c>
      <c r="AG21" s="527">
        <v>1</v>
      </c>
      <c r="AH21" s="73">
        <f t="shared" si="9"/>
        <v>1.0526315789473684</v>
      </c>
      <c r="AI21" s="869">
        <v>0.95</v>
      </c>
      <c r="AJ21" s="527">
        <v>0.7</v>
      </c>
      <c r="AK21" s="73">
        <f t="shared" si="10"/>
        <v>0.73684210526315785</v>
      </c>
      <c r="AL21" s="869">
        <v>0.95</v>
      </c>
      <c r="AM21" s="527">
        <v>1</v>
      </c>
      <c r="AN21" s="73">
        <f t="shared" si="11"/>
        <v>1.0526315789473684</v>
      </c>
      <c r="AO21" s="869">
        <v>0.95</v>
      </c>
      <c r="AP21" s="527">
        <v>1</v>
      </c>
      <c r="AQ21" s="73">
        <f t="shared" si="12"/>
        <v>1.0526315789473684</v>
      </c>
      <c r="AR21" s="869">
        <v>0.95</v>
      </c>
      <c r="AS21" s="527">
        <v>1</v>
      </c>
      <c r="AT21" s="73">
        <f t="shared" si="13"/>
        <v>1.0526315789473684</v>
      </c>
      <c r="AU21" s="869">
        <v>0.95</v>
      </c>
      <c r="AV21" s="527">
        <v>0.95</v>
      </c>
      <c r="AW21" s="73">
        <f t="shared" si="18"/>
        <v>1</v>
      </c>
      <c r="AX21" s="1030">
        <f>(+M21+P21+S21+V21+Y21+AB21+AG21+AJ21+AM21+AP21+AS21+AV21)/12</f>
        <v>0.80416666666666659</v>
      </c>
      <c r="AY21" s="73">
        <f t="shared" si="19"/>
        <v>0.84649122807017541</v>
      </c>
    </row>
    <row r="22" spans="1:51" s="22" customFormat="1" ht="60.2" customHeight="1" thickTop="1" thickBot="1">
      <c r="A22" s="2846"/>
      <c r="B22" s="2971"/>
      <c r="C22" s="561" t="s">
        <v>993</v>
      </c>
      <c r="D22" s="623" t="s">
        <v>116</v>
      </c>
      <c r="E22" s="561" t="s">
        <v>117</v>
      </c>
      <c r="F22" s="85" t="s">
        <v>17</v>
      </c>
      <c r="G22" s="2300">
        <v>108</v>
      </c>
      <c r="H22" s="96"/>
      <c r="I22" s="1473"/>
      <c r="J22" s="96"/>
      <c r="K22" s="561" t="s">
        <v>118</v>
      </c>
      <c r="L22" s="861">
        <v>0</v>
      </c>
      <c r="M22" s="862"/>
      <c r="N22" s="73" t="e">
        <f t="shared" si="5"/>
        <v>#DIV/0!</v>
      </c>
      <c r="O22" s="861">
        <v>0</v>
      </c>
      <c r="P22" s="862"/>
      <c r="Q22" s="73" t="e">
        <f t="shared" si="6"/>
        <v>#DIV/0!</v>
      </c>
      <c r="R22" s="861">
        <v>20</v>
      </c>
      <c r="S22" s="862">
        <v>39</v>
      </c>
      <c r="T22" s="73">
        <f t="shared" si="7"/>
        <v>1.95</v>
      </c>
      <c r="U22" s="861">
        <v>17</v>
      </c>
      <c r="V22" s="862">
        <v>3</v>
      </c>
      <c r="W22" s="73">
        <f t="shared" si="8"/>
        <v>0.17647058823529413</v>
      </c>
      <c r="X22" s="861">
        <v>5</v>
      </c>
      <c r="Y22" s="862">
        <v>12</v>
      </c>
      <c r="Z22" s="73">
        <f t="shared" si="14"/>
        <v>2.4</v>
      </c>
      <c r="AA22" s="861">
        <v>5</v>
      </c>
      <c r="AB22" s="862">
        <v>11</v>
      </c>
      <c r="AC22" s="73">
        <f t="shared" si="15"/>
        <v>2.2000000000000002</v>
      </c>
      <c r="AD22" s="782">
        <f t="shared" si="16"/>
        <v>65</v>
      </c>
      <c r="AE22" s="73">
        <f t="shared" si="17"/>
        <v>0.60185185185185186</v>
      </c>
      <c r="AF22" s="861">
        <v>10</v>
      </c>
      <c r="AG22" s="862">
        <v>17</v>
      </c>
      <c r="AH22" s="73">
        <f t="shared" si="9"/>
        <v>1.7</v>
      </c>
      <c r="AI22" s="861">
        <v>15</v>
      </c>
      <c r="AJ22" s="862">
        <v>30</v>
      </c>
      <c r="AK22" s="73">
        <f t="shared" si="10"/>
        <v>2</v>
      </c>
      <c r="AL22" s="861">
        <v>21</v>
      </c>
      <c r="AM22" s="862">
        <v>51</v>
      </c>
      <c r="AN22" s="73">
        <f t="shared" si="11"/>
        <v>2.4285714285714284</v>
      </c>
      <c r="AO22" s="861">
        <v>8</v>
      </c>
      <c r="AP22" s="862">
        <v>83</v>
      </c>
      <c r="AQ22" s="73">
        <f t="shared" si="12"/>
        <v>10.375</v>
      </c>
      <c r="AR22" s="861">
        <v>6</v>
      </c>
      <c r="AS22" s="862">
        <v>146</v>
      </c>
      <c r="AT22" s="73">
        <f t="shared" si="13"/>
        <v>24.333333333333332</v>
      </c>
      <c r="AU22" s="861">
        <v>1</v>
      </c>
      <c r="AV22" s="862">
        <v>106</v>
      </c>
      <c r="AW22" s="73">
        <f t="shared" si="18"/>
        <v>106</v>
      </c>
      <c r="AX22" s="857">
        <f t="shared" si="20"/>
        <v>515</v>
      </c>
      <c r="AY22" s="73">
        <f t="shared" si="19"/>
        <v>4.7685185185185182</v>
      </c>
    </row>
    <row r="23" spans="1:51" s="22" customFormat="1" ht="77.45" customHeight="1" thickTop="1" thickBot="1">
      <c r="A23" s="2846"/>
      <c r="B23" s="2971"/>
      <c r="C23" s="25" t="s">
        <v>640</v>
      </c>
      <c r="D23" s="627" t="s">
        <v>109</v>
      </c>
      <c r="E23" s="25" t="s">
        <v>110</v>
      </c>
      <c r="F23" s="25" t="s">
        <v>168</v>
      </c>
      <c r="G23" s="1466">
        <v>17400</v>
      </c>
      <c r="H23" s="98"/>
      <c r="I23" s="1474"/>
      <c r="J23" s="98"/>
      <c r="K23" s="25" t="s">
        <v>21</v>
      </c>
      <c r="L23" s="1008">
        <v>944</v>
      </c>
      <c r="M23" s="954">
        <v>1832</v>
      </c>
      <c r="N23" s="73">
        <f t="shared" si="5"/>
        <v>1.9406779661016949</v>
      </c>
      <c r="O23" s="1008">
        <v>998</v>
      </c>
      <c r="P23" s="954">
        <v>1191.9000000000001</v>
      </c>
      <c r="Q23" s="73">
        <f t="shared" si="6"/>
        <v>1.1942885771543088</v>
      </c>
      <c r="R23" s="1008">
        <v>1285</v>
      </c>
      <c r="S23" s="954">
        <v>727.5</v>
      </c>
      <c r="T23" s="73">
        <f t="shared" si="7"/>
        <v>0.56614785992217898</v>
      </c>
      <c r="U23" s="1008">
        <v>1852.82</v>
      </c>
      <c r="V23" s="954">
        <v>652.6</v>
      </c>
      <c r="W23" s="73">
        <f t="shared" si="8"/>
        <v>0.35221985945747564</v>
      </c>
      <c r="X23" s="1008">
        <v>1216.6199999999999</v>
      </c>
      <c r="Y23" s="954">
        <v>423.5</v>
      </c>
      <c r="Z23" s="73">
        <f t="shared" si="14"/>
        <v>0.34809554339070542</v>
      </c>
      <c r="AA23" s="1008">
        <v>2778.68</v>
      </c>
      <c r="AB23" s="954">
        <v>1976.2</v>
      </c>
      <c r="AC23" s="73">
        <f t="shared" si="15"/>
        <v>0.71120100191457825</v>
      </c>
      <c r="AD23" s="955">
        <f t="shared" si="16"/>
        <v>6803.7</v>
      </c>
      <c r="AE23" s="73">
        <f t="shared" si="17"/>
        <v>0.39101724137931032</v>
      </c>
      <c r="AF23" s="1008">
        <v>1170.5999999999999</v>
      </c>
      <c r="AG23" s="954">
        <v>1175.7</v>
      </c>
      <c r="AH23" s="73">
        <f t="shared" si="9"/>
        <v>1.0043567401332651</v>
      </c>
      <c r="AI23" s="1008">
        <v>953.99</v>
      </c>
      <c r="AJ23" s="954">
        <v>503.1</v>
      </c>
      <c r="AK23" s="73">
        <f t="shared" si="10"/>
        <v>0.52736401849075987</v>
      </c>
      <c r="AL23" s="1008">
        <v>3428.09</v>
      </c>
      <c r="AM23" s="954">
        <v>993.9</v>
      </c>
      <c r="AN23" s="73">
        <f t="shared" si="11"/>
        <v>0.28992821075292652</v>
      </c>
      <c r="AO23" s="1008">
        <v>995.71</v>
      </c>
      <c r="AP23" s="954">
        <v>969.1</v>
      </c>
      <c r="AQ23" s="73">
        <f t="shared" si="12"/>
        <v>0.97327535125689202</v>
      </c>
      <c r="AR23" s="1008">
        <v>727.53</v>
      </c>
      <c r="AS23" s="954">
        <v>2271.5</v>
      </c>
      <c r="AT23" s="73">
        <f t="shared" si="13"/>
        <v>3.1222080189133097</v>
      </c>
      <c r="AU23" s="1008">
        <v>1049.3599999999999</v>
      </c>
      <c r="AV23" s="954">
        <v>974.1</v>
      </c>
      <c r="AW23" s="73">
        <f t="shared" si="18"/>
        <v>0.92828009453381122</v>
      </c>
      <c r="AX23" s="1021">
        <f>+AV23+AS23+AP23+AM23+AJ23+AG23+AB23+Y23+V23+S23+P23+M23</f>
        <v>13691.1</v>
      </c>
      <c r="AY23" s="73">
        <f t="shared" si="19"/>
        <v>0.78684482758620689</v>
      </c>
    </row>
    <row r="24" spans="1:51" s="22" customFormat="1" ht="77.45" customHeight="1" thickTop="1" thickBot="1">
      <c r="A24" s="2846"/>
      <c r="B24" s="2971"/>
      <c r="C24" s="1477" t="s">
        <v>307</v>
      </c>
      <c r="D24" s="623" t="s">
        <v>111</v>
      </c>
      <c r="E24" s="561" t="s">
        <v>112</v>
      </c>
      <c r="F24" s="85" t="s">
        <v>17</v>
      </c>
      <c r="G24" s="2300">
        <v>15</v>
      </c>
      <c r="H24" s="85"/>
      <c r="I24" s="2301"/>
      <c r="J24" s="85"/>
      <c r="K24" s="561" t="s">
        <v>20</v>
      </c>
      <c r="L24" s="861">
        <v>0</v>
      </c>
      <c r="M24" s="862">
        <v>8</v>
      </c>
      <c r="N24" s="73" t="e">
        <f t="shared" si="5"/>
        <v>#DIV/0!</v>
      </c>
      <c r="O24" s="861">
        <v>0</v>
      </c>
      <c r="P24" s="862">
        <v>0</v>
      </c>
      <c r="Q24" s="73"/>
      <c r="R24" s="861"/>
      <c r="S24" s="862">
        <v>0</v>
      </c>
      <c r="T24" s="73" t="e">
        <f t="shared" si="7"/>
        <v>#DIV/0!</v>
      </c>
      <c r="U24" s="861"/>
      <c r="V24" s="862">
        <v>0</v>
      </c>
      <c r="W24" s="73" t="e">
        <f t="shared" si="8"/>
        <v>#DIV/0!</v>
      </c>
      <c r="X24" s="861"/>
      <c r="Y24" s="862">
        <v>1</v>
      </c>
      <c r="Z24" s="73" t="e">
        <f t="shared" si="14"/>
        <v>#DIV/0!</v>
      </c>
      <c r="AA24" s="861"/>
      <c r="AB24" s="862">
        <v>1</v>
      </c>
      <c r="AC24" s="73" t="e">
        <f t="shared" si="15"/>
        <v>#DIV/0!</v>
      </c>
      <c r="AD24" s="782">
        <f>+M24+P24+S24+V24+Y24+AB24</f>
        <v>10</v>
      </c>
      <c r="AE24" s="73">
        <f t="shared" si="17"/>
        <v>0.66666666666666663</v>
      </c>
      <c r="AF24" s="861"/>
      <c r="AG24" s="862">
        <v>1</v>
      </c>
      <c r="AH24" s="73" t="e">
        <f t="shared" si="9"/>
        <v>#DIV/0!</v>
      </c>
      <c r="AI24" s="861"/>
      <c r="AJ24" s="862">
        <v>0</v>
      </c>
      <c r="AK24" s="73" t="e">
        <f t="shared" si="10"/>
        <v>#DIV/0!</v>
      </c>
      <c r="AL24" s="861"/>
      <c r="AM24" s="862">
        <v>0</v>
      </c>
      <c r="AN24" s="73" t="e">
        <f t="shared" si="11"/>
        <v>#DIV/0!</v>
      </c>
      <c r="AO24" s="861">
        <v>15</v>
      </c>
      <c r="AP24" s="862">
        <v>2</v>
      </c>
      <c r="AQ24" s="73">
        <f t="shared" si="12"/>
        <v>0.13333333333333333</v>
      </c>
      <c r="AR24" s="861"/>
      <c r="AS24" s="862">
        <v>0</v>
      </c>
      <c r="AT24" s="73" t="e">
        <f t="shared" si="13"/>
        <v>#DIV/0!</v>
      </c>
      <c r="AU24" s="861"/>
      <c r="AV24" s="862">
        <v>0</v>
      </c>
      <c r="AW24" s="73" t="e">
        <f t="shared" si="18"/>
        <v>#DIV/0!</v>
      </c>
      <c r="AX24" s="857">
        <f>+M24+P24+S24+V24+Y24+AB24+AG24+AJ24+AM24+AP24+AS24+AV24</f>
        <v>13</v>
      </c>
      <c r="AY24" s="73">
        <v>0.87</v>
      </c>
    </row>
    <row r="25" spans="1:51" s="22" customFormat="1" ht="77.45" customHeight="1" thickTop="1" thickBot="1">
      <c r="A25" s="2846"/>
      <c r="B25" s="2971"/>
      <c r="C25" s="25" t="s">
        <v>308</v>
      </c>
      <c r="D25" s="627" t="s">
        <v>114</v>
      </c>
      <c r="E25" s="25" t="s">
        <v>115</v>
      </c>
      <c r="F25" s="98" t="s">
        <v>10</v>
      </c>
      <c r="G25" s="2302">
        <v>1</v>
      </c>
      <c r="H25" s="98"/>
      <c r="I25" s="1474"/>
      <c r="J25" s="98"/>
      <c r="K25" s="25" t="s">
        <v>20</v>
      </c>
      <c r="L25" s="869">
        <v>0</v>
      </c>
      <c r="M25" s="527"/>
      <c r="N25" s="73" t="e">
        <f t="shared" si="5"/>
        <v>#DIV/0!</v>
      </c>
      <c r="O25" s="869">
        <v>0</v>
      </c>
      <c r="P25" s="527"/>
      <c r="Q25" s="73" t="e">
        <f t="shared" si="6"/>
        <v>#DIV/0!</v>
      </c>
      <c r="R25" s="869">
        <v>0.25</v>
      </c>
      <c r="S25" s="527">
        <v>0.33300000000000002</v>
      </c>
      <c r="T25" s="73">
        <f t="shared" si="7"/>
        <v>1.3320000000000001</v>
      </c>
      <c r="U25" s="869">
        <v>0</v>
      </c>
      <c r="V25" s="527">
        <v>0</v>
      </c>
      <c r="W25" s="73" t="e">
        <f t="shared" si="8"/>
        <v>#DIV/0!</v>
      </c>
      <c r="X25" s="869">
        <v>0</v>
      </c>
      <c r="Y25" s="527">
        <v>0</v>
      </c>
      <c r="Z25" s="73" t="e">
        <f t="shared" si="14"/>
        <v>#DIV/0!</v>
      </c>
      <c r="AA25" s="869">
        <v>0.25</v>
      </c>
      <c r="AB25" s="527">
        <v>0</v>
      </c>
      <c r="AC25" s="73">
        <f t="shared" si="15"/>
        <v>0</v>
      </c>
      <c r="AD25" s="596">
        <f t="shared" si="16"/>
        <v>0.33300000000000002</v>
      </c>
      <c r="AE25" s="73">
        <f t="shared" si="17"/>
        <v>0.33300000000000002</v>
      </c>
      <c r="AF25" s="869">
        <v>0</v>
      </c>
      <c r="AG25" s="527">
        <v>0</v>
      </c>
      <c r="AH25" s="73" t="e">
        <f t="shared" si="9"/>
        <v>#DIV/0!</v>
      </c>
      <c r="AI25" s="869">
        <v>0</v>
      </c>
      <c r="AJ25" s="527">
        <v>0</v>
      </c>
      <c r="AK25" s="73" t="e">
        <f t="shared" si="10"/>
        <v>#DIV/0!</v>
      </c>
      <c r="AL25" s="869">
        <v>0.25</v>
      </c>
      <c r="AM25" s="527">
        <v>0.33300000000000002</v>
      </c>
      <c r="AN25" s="73">
        <f t="shared" si="11"/>
        <v>1.3320000000000001</v>
      </c>
      <c r="AO25" s="869">
        <v>0</v>
      </c>
      <c r="AP25" s="527"/>
      <c r="AQ25" s="73" t="e">
        <f t="shared" si="12"/>
        <v>#DIV/0!</v>
      </c>
      <c r="AR25" s="869">
        <v>0</v>
      </c>
      <c r="AS25" s="527"/>
      <c r="AT25" s="73" t="e">
        <f t="shared" si="13"/>
        <v>#DIV/0!</v>
      </c>
      <c r="AU25" s="869">
        <v>0.25</v>
      </c>
      <c r="AV25" s="527">
        <v>0.33300000000000002</v>
      </c>
      <c r="AW25" s="73">
        <f t="shared" si="18"/>
        <v>1.3320000000000001</v>
      </c>
      <c r="AX25" s="1030">
        <f>+AV25+AM25+AB25+S25</f>
        <v>0.99900000000000011</v>
      </c>
      <c r="AY25" s="73">
        <f t="shared" si="19"/>
        <v>0.99900000000000011</v>
      </c>
    </row>
    <row r="26" spans="1:51" s="22" customFormat="1" ht="60.75" customHeight="1" thickTop="1" thickBot="1">
      <c r="A26" s="2846"/>
      <c r="B26" s="2971"/>
      <c r="C26" s="2303" t="s">
        <v>994</v>
      </c>
      <c r="D26" s="623" t="s">
        <v>539</v>
      </c>
      <c r="E26" s="2303" t="s">
        <v>22</v>
      </c>
      <c r="F26" s="2303" t="s">
        <v>300</v>
      </c>
      <c r="G26" s="2304" t="s">
        <v>136</v>
      </c>
      <c r="H26" s="85"/>
      <c r="I26" s="2301"/>
      <c r="J26" s="85"/>
      <c r="K26" s="561" t="s">
        <v>23</v>
      </c>
      <c r="L26" s="1021">
        <v>0</v>
      </c>
      <c r="M26" s="2298"/>
      <c r="N26" s="73" t="e">
        <f t="shared" si="5"/>
        <v>#DIV/0!</v>
      </c>
      <c r="O26" s="1021">
        <v>0</v>
      </c>
      <c r="P26" s="2298"/>
      <c r="Q26" s="73" t="e">
        <f t="shared" si="6"/>
        <v>#DIV/0!</v>
      </c>
      <c r="R26" s="1021">
        <v>0</v>
      </c>
      <c r="S26" s="2298"/>
      <c r="T26" s="73" t="e">
        <f t="shared" si="7"/>
        <v>#DIV/0!</v>
      </c>
      <c r="U26" s="1021">
        <v>0</v>
      </c>
      <c r="V26" s="2298"/>
      <c r="W26" s="73" t="e">
        <f t="shared" si="8"/>
        <v>#DIV/0!</v>
      </c>
      <c r="X26" s="1021">
        <v>0</v>
      </c>
      <c r="Y26" s="2298"/>
      <c r="Z26" s="73" t="e">
        <f t="shared" si="14"/>
        <v>#DIV/0!</v>
      </c>
      <c r="AA26" s="1021">
        <v>0</v>
      </c>
      <c r="AB26" s="2298"/>
      <c r="AC26" s="73" t="e">
        <f t="shared" si="15"/>
        <v>#DIV/0!</v>
      </c>
      <c r="AD26" s="955">
        <f t="shared" si="16"/>
        <v>0</v>
      </c>
      <c r="AE26" s="73" t="e">
        <f t="shared" si="17"/>
        <v>#VALUE!</v>
      </c>
      <c r="AF26" s="1021">
        <v>0</v>
      </c>
      <c r="AG26" s="2298"/>
      <c r="AH26" s="73" t="e">
        <f t="shared" si="9"/>
        <v>#DIV/0!</v>
      </c>
      <c r="AI26" s="1021">
        <v>0</v>
      </c>
      <c r="AJ26" s="2298"/>
      <c r="AK26" s="73" t="e">
        <f t="shared" si="10"/>
        <v>#DIV/0!</v>
      </c>
      <c r="AL26" s="1021">
        <v>0</v>
      </c>
      <c r="AM26" s="2298"/>
      <c r="AN26" s="73" t="e">
        <f t="shared" si="11"/>
        <v>#DIV/0!</v>
      </c>
      <c r="AO26" s="1021">
        <v>0</v>
      </c>
      <c r="AP26" s="2298"/>
      <c r="AQ26" s="73" t="e">
        <f t="shared" si="12"/>
        <v>#DIV/0!</v>
      </c>
      <c r="AR26" s="1021">
        <v>0</v>
      </c>
      <c r="AS26" s="2298"/>
      <c r="AT26" s="73" t="e">
        <f t="shared" si="13"/>
        <v>#DIV/0!</v>
      </c>
      <c r="AU26" s="1021">
        <v>0</v>
      </c>
      <c r="AV26" s="2298"/>
      <c r="AW26" s="73" t="e">
        <f t="shared" si="18"/>
        <v>#DIV/0!</v>
      </c>
      <c r="AX26" s="1008">
        <f>+M26+P26+S26+V26+Y26+AB26+AG26+AJ26+AM26+AP26+AS26+AV26</f>
        <v>0</v>
      </c>
      <c r="AY26" s="73"/>
    </row>
    <row r="27" spans="1:51" s="22" customFormat="1" ht="77.45" customHeight="1" thickTop="1" thickBot="1">
      <c r="A27" s="2846"/>
      <c r="B27" s="2971"/>
      <c r="C27" s="2854" t="s">
        <v>642</v>
      </c>
      <c r="D27" s="731" t="s">
        <v>120</v>
      </c>
      <c r="E27" s="671" t="s">
        <v>121</v>
      </c>
      <c r="F27" s="25" t="s">
        <v>10</v>
      </c>
      <c r="G27" s="1478">
        <v>0.64100000000000001</v>
      </c>
      <c r="H27" s="98"/>
      <c r="I27" s="1479"/>
      <c r="J27" s="98"/>
      <c r="K27" s="25" t="s">
        <v>7</v>
      </c>
      <c r="L27" s="869">
        <v>0</v>
      </c>
      <c r="M27" s="527"/>
      <c r="N27" s="73" t="e">
        <f t="shared" si="5"/>
        <v>#DIV/0!</v>
      </c>
      <c r="O27" s="869">
        <v>0</v>
      </c>
      <c r="P27" s="527"/>
      <c r="Q27" s="73" t="e">
        <f t="shared" si="6"/>
        <v>#DIV/0!</v>
      </c>
      <c r="R27" s="869">
        <v>0</v>
      </c>
      <c r="S27" s="527"/>
      <c r="T27" s="73" t="e">
        <f t="shared" si="7"/>
        <v>#DIV/0!</v>
      </c>
      <c r="U27" s="869">
        <v>0</v>
      </c>
      <c r="V27" s="527"/>
      <c r="W27" s="73" t="e">
        <f t="shared" si="8"/>
        <v>#DIV/0!</v>
      </c>
      <c r="X27" s="869">
        <v>0</v>
      </c>
      <c r="Y27" s="527"/>
      <c r="Z27" s="73" t="e">
        <f t="shared" si="14"/>
        <v>#DIV/0!</v>
      </c>
      <c r="AA27" s="869">
        <v>0</v>
      </c>
      <c r="AB27" s="527"/>
      <c r="AC27" s="73" t="e">
        <f t="shared" si="15"/>
        <v>#DIV/0!</v>
      </c>
      <c r="AD27" s="596">
        <f t="shared" si="16"/>
        <v>0</v>
      </c>
      <c r="AE27" s="73">
        <f t="shared" si="17"/>
        <v>0</v>
      </c>
      <c r="AF27" s="869">
        <v>0</v>
      </c>
      <c r="AG27" s="527"/>
      <c r="AH27" s="73" t="e">
        <f t="shared" si="9"/>
        <v>#DIV/0!</v>
      </c>
      <c r="AI27" s="869">
        <v>0</v>
      </c>
      <c r="AJ27" s="527"/>
      <c r="AK27" s="73" t="e">
        <f t="shared" si="10"/>
        <v>#DIV/0!</v>
      </c>
      <c r="AL27" s="869">
        <v>0</v>
      </c>
      <c r="AM27" s="527"/>
      <c r="AN27" s="73" t="e">
        <f t="shared" si="11"/>
        <v>#DIV/0!</v>
      </c>
      <c r="AO27" s="869">
        <v>0</v>
      </c>
      <c r="AP27" s="527"/>
      <c r="AQ27" s="73" t="e">
        <f t="shared" si="12"/>
        <v>#DIV/0!</v>
      </c>
      <c r="AR27" s="869">
        <v>0</v>
      </c>
      <c r="AS27" s="527"/>
      <c r="AT27" s="73" t="e">
        <f t="shared" si="13"/>
        <v>#DIV/0!</v>
      </c>
      <c r="AU27" s="869">
        <v>0.64100000000000001</v>
      </c>
      <c r="AV27" s="527"/>
      <c r="AW27" s="73">
        <f t="shared" si="18"/>
        <v>0</v>
      </c>
      <c r="AX27" s="1482">
        <f>+AV27</f>
        <v>0</v>
      </c>
      <c r="AY27" s="73"/>
    </row>
    <row r="28" spans="1:51" s="22" customFormat="1" ht="77.45" customHeight="1" thickTop="1" thickBot="1">
      <c r="A28" s="2846"/>
      <c r="B28" s="2971"/>
      <c r="C28" s="2855"/>
      <c r="D28" s="728" t="s">
        <v>175</v>
      </c>
      <c r="E28" s="674" t="s">
        <v>123</v>
      </c>
      <c r="F28" s="561" t="s">
        <v>10</v>
      </c>
      <c r="G28" s="1480">
        <v>1</v>
      </c>
      <c r="H28" s="85"/>
      <c r="I28" s="1481"/>
      <c r="J28" s="85"/>
      <c r="K28" s="561" t="s">
        <v>7</v>
      </c>
      <c r="L28" s="1482">
        <v>0</v>
      </c>
      <c r="M28" s="799">
        <v>0</v>
      </c>
      <c r="N28" s="73" t="e">
        <f t="shared" si="5"/>
        <v>#DIV/0!</v>
      </c>
      <c r="O28" s="1482">
        <v>0</v>
      </c>
      <c r="P28" s="799">
        <v>0</v>
      </c>
      <c r="Q28" s="73" t="e">
        <f t="shared" si="6"/>
        <v>#DIV/0!</v>
      </c>
      <c r="R28" s="1482">
        <v>0</v>
      </c>
      <c r="S28" s="799">
        <v>0</v>
      </c>
      <c r="T28" s="73" t="e">
        <f t="shared" si="7"/>
        <v>#DIV/0!</v>
      </c>
      <c r="U28" s="1482">
        <v>1</v>
      </c>
      <c r="V28" s="799">
        <v>0</v>
      </c>
      <c r="W28" s="73">
        <f t="shared" si="8"/>
        <v>0</v>
      </c>
      <c r="X28" s="1482">
        <v>0</v>
      </c>
      <c r="Y28" s="799">
        <v>0</v>
      </c>
      <c r="Z28" s="73" t="e">
        <f t="shared" si="14"/>
        <v>#DIV/0!</v>
      </c>
      <c r="AA28" s="1482">
        <v>0</v>
      </c>
      <c r="AB28" s="799">
        <v>0</v>
      </c>
      <c r="AC28" s="73" t="e">
        <f t="shared" si="15"/>
        <v>#DIV/0!</v>
      </c>
      <c r="AD28" s="596">
        <f t="shared" si="16"/>
        <v>0</v>
      </c>
      <c r="AE28" s="73">
        <f t="shared" si="17"/>
        <v>0</v>
      </c>
      <c r="AF28" s="1482">
        <v>0</v>
      </c>
      <c r="AG28" s="799">
        <v>0</v>
      </c>
      <c r="AH28" s="73" t="e">
        <f t="shared" si="9"/>
        <v>#DIV/0!</v>
      </c>
      <c r="AI28" s="1482">
        <v>0</v>
      </c>
      <c r="AJ28" s="799">
        <v>0</v>
      </c>
      <c r="AK28" s="73" t="e">
        <f t="shared" si="10"/>
        <v>#DIV/0!</v>
      </c>
      <c r="AL28" s="1482">
        <v>0</v>
      </c>
      <c r="AM28" s="799">
        <v>0</v>
      </c>
      <c r="AN28" s="73" t="e">
        <f t="shared" si="11"/>
        <v>#DIV/0!</v>
      </c>
      <c r="AO28" s="1482">
        <v>1</v>
      </c>
      <c r="AP28" s="799">
        <v>0</v>
      </c>
      <c r="AQ28" s="73">
        <f t="shared" si="12"/>
        <v>0</v>
      </c>
      <c r="AR28" s="1482">
        <v>0</v>
      </c>
      <c r="AS28" s="799">
        <v>0</v>
      </c>
      <c r="AT28" s="73" t="e">
        <f t="shared" si="13"/>
        <v>#DIV/0!</v>
      </c>
      <c r="AU28" s="1482">
        <v>0</v>
      </c>
      <c r="AV28" s="799"/>
      <c r="AW28" s="73" t="e">
        <f t="shared" si="18"/>
        <v>#DIV/0!</v>
      </c>
      <c r="AX28" s="869">
        <f>(+AP28+V28)/2</f>
        <v>0</v>
      </c>
      <c r="AY28" s="73"/>
    </row>
    <row r="29" spans="1:51" s="22" customFormat="1" ht="77.45" customHeight="1" thickTop="1" thickBot="1">
      <c r="A29" s="2846"/>
      <c r="B29" s="2971"/>
      <c r="C29" s="2855"/>
      <c r="D29" s="731" t="s">
        <v>124</v>
      </c>
      <c r="E29" s="671" t="s">
        <v>176</v>
      </c>
      <c r="F29" s="25" t="s">
        <v>10</v>
      </c>
      <c r="G29" s="1478">
        <v>1</v>
      </c>
      <c r="H29" s="98"/>
      <c r="I29" s="1479"/>
      <c r="J29" s="98"/>
      <c r="K29" s="25" t="s">
        <v>7</v>
      </c>
      <c r="L29" s="869">
        <v>0</v>
      </c>
      <c r="M29" s="527"/>
      <c r="N29" s="73" t="e">
        <f t="shared" si="5"/>
        <v>#DIV/0!</v>
      </c>
      <c r="O29" s="869">
        <v>0</v>
      </c>
      <c r="P29" s="527"/>
      <c r="Q29" s="73" t="e">
        <f t="shared" si="6"/>
        <v>#DIV/0!</v>
      </c>
      <c r="R29" s="869">
        <v>1</v>
      </c>
      <c r="S29" s="527">
        <v>1</v>
      </c>
      <c r="T29" s="73">
        <f t="shared" si="7"/>
        <v>1</v>
      </c>
      <c r="U29" s="869">
        <v>0</v>
      </c>
      <c r="V29" s="527"/>
      <c r="W29" s="73" t="e">
        <f t="shared" si="8"/>
        <v>#DIV/0!</v>
      </c>
      <c r="X29" s="869">
        <v>0</v>
      </c>
      <c r="Y29" s="527"/>
      <c r="Z29" s="73" t="e">
        <f t="shared" si="14"/>
        <v>#DIV/0!</v>
      </c>
      <c r="AA29" s="869">
        <v>1</v>
      </c>
      <c r="AB29" s="527">
        <v>0</v>
      </c>
      <c r="AC29" s="73">
        <f t="shared" si="15"/>
        <v>0</v>
      </c>
      <c r="AD29" s="596">
        <f t="shared" si="16"/>
        <v>1</v>
      </c>
      <c r="AE29" s="73">
        <f t="shared" si="17"/>
        <v>1</v>
      </c>
      <c r="AF29" s="869">
        <v>0</v>
      </c>
      <c r="AG29" s="527"/>
      <c r="AH29" s="73" t="e">
        <f t="shared" si="9"/>
        <v>#DIV/0!</v>
      </c>
      <c r="AI29" s="869">
        <v>0</v>
      </c>
      <c r="AJ29" s="527"/>
      <c r="AK29" s="73" t="e">
        <f t="shared" si="10"/>
        <v>#DIV/0!</v>
      </c>
      <c r="AL29" s="869">
        <v>1</v>
      </c>
      <c r="AM29" s="527">
        <v>0</v>
      </c>
      <c r="AN29" s="73">
        <f t="shared" si="11"/>
        <v>0</v>
      </c>
      <c r="AO29" s="869">
        <v>0</v>
      </c>
      <c r="AP29" s="527"/>
      <c r="AQ29" s="73" t="e">
        <f t="shared" si="12"/>
        <v>#DIV/0!</v>
      </c>
      <c r="AR29" s="869">
        <v>0</v>
      </c>
      <c r="AS29" s="527"/>
      <c r="AT29" s="73" t="e">
        <f t="shared" si="13"/>
        <v>#DIV/0!</v>
      </c>
      <c r="AU29" s="869">
        <v>1</v>
      </c>
      <c r="AV29" s="527"/>
      <c r="AW29" s="73">
        <f t="shared" si="18"/>
        <v>0</v>
      </c>
      <c r="AX29" s="1030">
        <f>(+AM29+AB29+S29+AV29)/4</f>
        <v>0.25</v>
      </c>
      <c r="AY29" s="73">
        <f t="shared" si="19"/>
        <v>0.25</v>
      </c>
    </row>
    <row r="30" spans="1:51" s="22" customFormat="1" ht="77.45" customHeight="1" thickTop="1" thickBot="1">
      <c r="A30" s="2846"/>
      <c r="B30" s="2971"/>
      <c r="C30" s="2855"/>
      <c r="D30" s="728" t="s">
        <v>177</v>
      </c>
      <c r="E30" s="674" t="s">
        <v>127</v>
      </c>
      <c r="F30" s="561" t="s">
        <v>10</v>
      </c>
      <c r="G30" s="1480">
        <v>1</v>
      </c>
      <c r="H30" s="85"/>
      <c r="I30" s="1481"/>
      <c r="J30" s="85"/>
      <c r="K30" s="561" t="s">
        <v>7</v>
      </c>
      <c r="L30" s="1030">
        <v>1</v>
      </c>
      <c r="M30" s="1439">
        <v>0</v>
      </c>
      <c r="N30" s="73">
        <f t="shared" si="5"/>
        <v>0</v>
      </c>
      <c r="O30" s="1030">
        <v>1</v>
      </c>
      <c r="P30" s="1439">
        <v>0</v>
      </c>
      <c r="Q30" s="73">
        <f t="shared" si="6"/>
        <v>0</v>
      </c>
      <c r="R30" s="1030">
        <v>1</v>
      </c>
      <c r="S30" s="1439">
        <v>0</v>
      </c>
      <c r="T30" s="73">
        <f t="shared" si="7"/>
        <v>0</v>
      </c>
      <c r="U30" s="1030">
        <v>1</v>
      </c>
      <c r="V30" s="1439">
        <v>0</v>
      </c>
      <c r="W30" s="73">
        <f t="shared" si="8"/>
        <v>0</v>
      </c>
      <c r="X30" s="1030">
        <v>1</v>
      </c>
      <c r="Y30" s="1439">
        <v>0</v>
      </c>
      <c r="Z30" s="73">
        <f t="shared" si="14"/>
        <v>0</v>
      </c>
      <c r="AA30" s="1030">
        <v>1</v>
      </c>
      <c r="AB30" s="1439">
        <v>0</v>
      </c>
      <c r="AC30" s="73">
        <f t="shared" si="15"/>
        <v>0</v>
      </c>
      <c r="AD30" s="596">
        <f>(+M30+P30+S30+V30+Y30+AB30)/6</f>
        <v>0</v>
      </c>
      <c r="AE30" s="73">
        <f t="shared" si="17"/>
        <v>0</v>
      </c>
      <c r="AF30" s="1030">
        <v>1</v>
      </c>
      <c r="AG30" s="1439">
        <v>0</v>
      </c>
      <c r="AH30" s="73">
        <f t="shared" si="9"/>
        <v>0</v>
      </c>
      <c r="AI30" s="1030">
        <v>1</v>
      </c>
      <c r="AJ30" s="1439">
        <v>0</v>
      </c>
      <c r="AK30" s="73">
        <f t="shared" si="10"/>
        <v>0</v>
      </c>
      <c r="AL30" s="1030">
        <v>1</v>
      </c>
      <c r="AM30" s="1439">
        <v>0</v>
      </c>
      <c r="AN30" s="73">
        <f t="shared" si="11"/>
        <v>0</v>
      </c>
      <c r="AO30" s="1030">
        <v>1</v>
      </c>
      <c r="AP30" s="1439">
        <v>0</v>
      </c>
      <c r="AQ30" s="73">
        <f t="shared" si="12"/>
        <v>0</v>
      </c>
      <c r="AR30" s="1030">
        <v>1</v>
      </c>
      <c r="AS30" s="1439">
        <v>0</v>
      </c>
      <c r="AT30" s="73">
        <f t="shared" si="13"/>
        <v>0</v>
      </c>
      <c r="AU30" s="1030">
        <v>1</v>
      </c>
      <c r="AV30" s="1439"/>
      <c r="AW30" s="73">
        <f t="shared" si="18"/>
        <v>0</v>
      </c>
      <c r="AX30" s="869">
        <f>(+M30+P30+S30+V30+Y30+AB30+AG30+AJ30+AM30+AP30+AS30+AV30)/12</f>
        <v>0</v>
      </c>
      <c r="AY30" s="73">
        <f t="shared" si="19"/>
        <v>0</v>
      </c>
    </row>
    <row r="31" spans="1:51" s="22" customFormat="1" ht="77.45" customHeight="1" thickTop="1" thickBot="1">
      <c r="A31" s="2846"/>
      <c r="B31" s="2971"/>
      <c r="C31" s="2855"/>
      <c r="D31" s="731" t="s">
        <v>128</v>
      </c>
      <c r="E31" s="671" t="s">
        <v>178</v>
      </c>
      <c r="F31" s="25" t="s">
        <v>10</v>
      </c>
      <c r="G31" s="1478">
        <v>1</v>
      </c>
      <c r="H31" s="98"/>
      <c r="I31" s="1479"/>
      <c r="J31" s="98"/>
      <c r="K31" s="25" t="s">
        <v>7</v>
      </c>
      <c r="L31" s="869">
        <v>1</v>
      </c>
      <c r="M31" s="527">
        <v>0</v>
      </c>
      <c r="N31" s="73">
        <f t="shared" si="5"/>
        <v>0</v>
      </c>
      <c r="O31" s="869">
        <v>1</v>
      </c>
      <c r="P31" s="527">
        <v>0</v>
      </c>
      <c r="Q31" s="73">
        <f t="shared" si="6"/>
        <v>0</v>
      </c>
      <c r="R31" s="869">
        <v>1</v>
      </c>
      <c r="S31" s="527">
        <v>0</v>
      </c>
      <c r="T31" s="73">
        <f t="shared" si="7"/>
        <v>0</v>
      </c>
      <c r="U31" s="869">
        <v>1</v>
      </c>
      <c r="V31" s="527">
        <v>0</v>
      </c>
      <c r="W31" s="73">
        <f t="shared" si="8"/>
        <v>0</v>
      </c>
      <c r="X31" s="869">
        <v>1</v>
      </c>
      <c r="Y31" s="527">
        <v>0</v>
      </c>
      <c r="Z31" s="73">
        <f t="shared" si="14"/>
        <v>0</v>
      </c>
      <c r="AA31" s="869">
        <v>1</v>
      </c>
      <c r="AB31" s="527">
        <v>0</v>
      </c>
      <c r="AC31" s="73">
        <f t="shared" si="15"/>
        <v>0</v>
      </c>
      <c r="AD31" s="596">
        <f>(+M31+P31+S31+V31+Y31+AB31)/6</f>
        <v>0</v>
      </c>
      <c r="AE31" s="73">
        <f t="shared" si="17"/>
        <v>0</v>
      </c>
      <c r="AF31" s="869">
        <v>1</v>
      </c>
      <c r="AG31" s="527">
        <v>0</v>
      </c>
      <c r="AH31" s="73">
        <f t="shared" si="9"/>
        <v>0</v>
      </c>
      <c r="AI31" s="869">
        <v>1</v>
      </c>
      <c r="AJ31" s="527">
        <v>0</v>
      </c>
      <c r="AK31" s="73">
        <f t="shared" si="10"/>
        <v>0</v>
      </c>
      <c r="AL31" s="869">
        <v>1</v>
      </c>
      <c r="AM31" s="527">
        <v>0</v>
      </c>
      <c r="AN31" s="73">
        <f t="shared" si="11"/>
        <v>0</v>
      </c>
      <c r="AO31" s="869">
        <v>1</v>
      </c>
      <c r="AP31" s="527">
        <v>0</v>
      </c>
      <c r="AQ31" s="73">
        <f t="shared" si="12"/>
        <v>0</v>
      </c>
      <c r="AR31" s="869">
        <v>1</v>
      </c>
      <c r="AS31" s="527">
        <v>0</v>
      </c>
      <c r="AT31" s="73">
        <f t="shared" si="13"/>
        <v>0</v>
      </c>
      <c r="AU31" s="869">
        <v>1</v>
      </c>
      <c r="AV31" s="527"/>
      <c r="AW31" s="73">
        <f t="shared" si="18"/>
        <v>0</v>
      </c>
      <c r="AX31" s="1030">
        <f>(+M31+P31+S31+V31+Y31+AB31+AG31+AG31+AJ31+AM31+AP31+AS31+AV31)/12</f>
        <v>0</v>
      </c>
      <c r="AY31" s="73">
        <f t="shared" si="19"/>
        <v>0</v>
      </c>
    </row>
    <row r="32" spans="1:51" s="22" customFormat="1" ht="77.45" customHeight="1" thickTop="1" thickBot="1">
      <c r="A32" s="2846"/>
      <c r="B32" s="2971"/>
      <c r="C32" s="2855"/>
      <c r="D32" s="728" t="s">
        <v>179</v>
      </c>
      <c r="E32" s="674" t="s">
        <v>131</v>
      </c>
      <c r="F32" s="561" t="s">
        <v>10</v>
      </c>
      <c r="G32" s="1480">
        <v>1</v>
      </c>
      <c r="H32" s="85"/>
      <c r="I32" s="1481"/>
      <c r="J32" s="85"/>
      <c r="K32" s="561" t="s">
        <v>7</v>
      </c>
      <c r="L32" s="1030">
        <v>1</v>
      </c>
      <c r="M32" s="1439">
        <v>0</v>
      </c>
      <c r="N32" s="73">
        <f t="shared" si="5"/>
        <v>0</v>
      </c>
      <c r="O32" s="1030">
        <v>1</v>
      </c>
      <c r="P32" s="1439">
        <v>0</v>
      </c>
      <c r="Q32" s="73">
        <f t="shared" si="6"/>
        <v>0</v>
      </c>
      <c r="R32" s="1030">
        <v>1</v>
      </c>
      <c r="S32" s="1439">
        <v>0</v>
      </c>
      <c r="T32" s="73">
        <f t="shared" si="7"/>
        <v>0</v>
      </c>
      <c r="U32" s="1030">
        <v>1</v>
      </c>
      <c r="V32" s="1439">
        <v>0.1</v>
      </c>
      <c r="W32" s="73">
        <f t="shared" si="8"/>
        <v>0.1</v>
      </c>
      <c r="X32" s="1030">
        <v>1</v>
      </c>
      <c r="Y32" s="1439">
        <v>0.1</v>
      </c>
      <c r="Z32" s="73">
        <f t="shared" si="14"/>
        <v>0.1</v>
      </c>
      <c r="AA32" s="1030">
        <v>1</v>
      </c>
      <c r="AB32" s="1439">
        <v>0.3</v>
      </c>
      <c r="AC32" s="73">
        <f t="shared" si="15"/>
        <v>0.3</v>
      </c>
      <c r="AD32" s="596">
        <f>(+M32+P32+S32+V32+Y32+AB32)/6</f>
        <v>8.3333333333333329E-2</v>
      </c>
      <c r="AE32" s="73">
        <f t="shared" si="17"/>
        <v>8.3333333333333329E-2</v>
      </c>
      <c r="AF32" s="1030">
        <v>1</v>
      </c>
      <c r="AG32" s="1439">
        <v>0.4</v>
      </c>
      <c r="AH32" s="73">
        <f>+AG32/AF32</f>
        <v>0.4</v>
      </c>
      <c r="AI32" s="1030">
        <v>1</v>
      </c>
      <c r="AJ32" s="1439">
        <v>0.4</v>
      </c>
      <c r="AK32" s="73">
        <f t="shared" si="10"/>
        <v>0.4</v>
      </c>
      <c r="AL32" s="1030">
        <v>1</v>
      </c>
      <c r="AM32" s="1439">
        <v>0.4</v>
      </c>
      <c r="AN32" s="73">
        <f t="shared" si="11"/>
        <v>0.4</v>
      </c>
      <c r="AO32" s="1030">
        <v>1</v>
      </c>
      <c r="AP32" s="1439">
        <v>0.3</v>
      </c>
      <c r="AQ32" s="73">
        <f t="shared" si="12"/>
        <v>0.3</v>
      </c>
      <c r="AR32" s="1030">
        <v>1</v>
      </c>
      <c r="AS32" s="1439">
        <v>0.3</v>
      </c>
      <c r="AT32" s="73">
        <f t="shared" si="13"/>
        <v>0.3</v>
      </c>
      <c r="AU32" s="1030">
        <v>1</v>
      </c>
      <c r="AV32" s="1439">
        <v>0.8</v>
      </c>
      <c r="AW32" s="73">
        <f t="shared" si="18"/>
        <v>0.8</v>
      </c>
      <c r="AX32" s="869">
        <f>+AV32</f>
        <v>0.8</v>
      </c>
      <c r="AY32" s="73">
        <f t="shared" si="19"/>
        <v>0.8</v>
      </c>
    </row>
    <row r="33" spans="1:51" s="22" customFormat="1" ht="84" customHeight="1" thickTop="1" thickBot="1">
      <c r="A33" s="2846"/>
      <c r="B33" s="2971"/>
      <c r="C33" s="2856"/>
      <c r="D33" s="731" t="s">
        <v>132</v>
      </c>
      <c r="E33" s="671" t="s">
        <v>133</v>
      </c>
      <c r="F33" s="25" t="s">
        <v>10</v>
      </c>
      <c r="G33" s="1478">
        <v>1</v>
      </c>
      <c r="H33" s="25"/>
      <c r="I33" s="1479"/>
      <c r="J33" s="25"/>
      <c r="K33" s="25" t="s">
        <v>7</v>
      </c>
      <c r="L33" s="869">
        <v>0</v>
      </c>
      <c r="M33" s="527"/>
      <c r="N33" s="73" t="e">
        <f t="shared" si="5"/>
        <v>#DIV/0!</v>
      </c>
      <c r="O33" s="869">
        <v>0</v>
      </c>
      <c r="P33" s="527"/>
      <c r="Q33" s="73" t="e">
        <f t="shared" si="6"/>
        <v>#DIV/0!</v>
      </c>
      <c r="R33" s="869">
        <v>0</v>
      </c>
      <c r="S33" s="527"/>
      <c r="T33" s="73" t="e">
        <f t="shared" si="7"/>
        <v>#DIV/0!</v>
      </c>
      <c r="U33" s="869">
        <v>0</v>
      </c>
      <c r="V33" s="527"/>
      <c r="W33" s="73" t="e">
        <f t="shared" si="8"/>
        <v>#DIV/0!</v>
      </c>
      <c r="X33" s="869">
        <v>0</v>
      </c>
      <c r="Y33" s="527"/>
      <c r="Z33" s="73" t="e">
        <f t="shared" si="14"/>
        <v>#DIV/0!</v>
      </c>
      <c r="AA33" s="869">
        <v>0</v>
      </c>
      <c r="AB33" s="527"/>
      <c r="AC33" s="73" t="e">
        <f t="shared" si="15"/>
        <v>#DIV/0!</v>
      </c>
      <c r="AD33" s="596">
        <f t="shared" si="16"/>
        <v>0</v>
      </c>
      <c r="AE33" s="73">
        <f t="shared" si="17"/>
        <v>0</v>
      </c>
      <c r="AF33" s="869">
        <v>0</v>
      </c>
      <c r="AG33" s="527"/>
      <c r="AH33" s="73" t="e">
        <f t="shared" si="9"/>
        <v>#DIV/0!</v>
      </c>
      <c r="AI33" s="869">
        <v>1</v>
      </c>
      <c r="AJ33" s="527">
        <v>0</v>
      </c>
      <c r="AK33" s="73">
        <f t="shared" si="10"/>
        <v>0</v>
      </c>
      <c r="AL33" s="869">
        <v>0</v>
      </c>
      <c r="AM33" s="527"/>
      <c r="AN33" s="73" t="e">
        <f t="shared" si="11"/>
        <v>#DIV/0!</v>
      </c>
      <c r="AO33" s="869">
        <v>0</v>
      </c>
      <c r="AP33" s="527"/>
      <c r="AQ33" s="73" t="e">
        <f t="shared" si="12"/>
        <v>#DIV/0!</v>
      </c>
      <c r="AR33" s="869">
        <v>0</v>
      </c>
      <c r="AS33" s="527"/>
      <c r="AT33" s="73" t="e">
        <f t="shared" si="13"/>
        <v>#DIV/0!</v>
      </c>
      <c r="AU33" s="869">
        <v>0</v>
      </c>
      <c r="AV33" s="527"/>
      <c r="AW33" s="73" t="e">
        <f t="shared" si="18"/>
        <v>#DIV/0!</v>
      </c>
      <c r="AX33" s="1030">
        <f>+AJ33</f>
        <v>0</v>
      </c>
      <c r="AY33" s="73">
        <f t="shared" si="19"/>
        <v>0</v>
      </c>
    </row>
    <row r="34" spans="1:51" s="22" customFormat="1" ht="89.25" customHeight="1" thickTop="1" thickBot="1">
      <c r="A34" s="2846"/>
      <c r="B34" s="2956" t="s">
        <v>418</v>
      </c>
      <c r="C34" s="561" t="s">
        <v>894</v>
      </c>
      <c r="D34" s="623" t="s">
        <v>227</v>
      </c>
      <c r="E34" s="561" t="s">
        <v>139</v>
      </c>
      <c r="F34" s="85" t="s">
        <v>101</v>
      </c>
      <c r="G34" s="2296">
        <f>+'[17]FIS-24'!$CD$16</f>
        <v>90000000.000000015</v>
      </c>
      <c r="H34" s="561"/>
      <c r="I34" s="1481"/>
      <c r="J34" s="561"/>
      <c r="K34" s="561" t="s">
        <v>140</v>
      </c>
      <c r="L34" s="1021">
        <v>6666666.666666667</v>
      </c>
      <c r="M34" s="2298">
        <v>0</v>
      </c>
      <c r="N34" s="73">
        <f t="shared" si="5"/>
        <v>0</v>
      </c>
      <c r="O34" s="1021">
        <v>6666666.666666667</v>
      </c>
      <c r="P34" s="2298">
        <v>0</v>
      </c>
      <c r="Q34" s="73">
        <f t="shared" si="6"/>
        <v>0</v>
      </c>
      <c r="R34" s="1021">
        <v>6666666.666666667</v>
      </c>
      <c r="S34" s="2298">
        <v>0</v>
      </c>
      <c r="T34" s="73">
        <f t="shared" si="7"/>
        <v>0</v>
      </c>
      <c r="U34" s="1021">
        <v>13222222</v>
      </c>
      <c r="V34" s="2298">
        <v>0</v>
      </c>
      <c r="W34" s="73">
        <f t="shared" si="8"/>
        <v>0</v>
      </c>
      <c r="X34" s="1021">
        <v>13222222</v>
      </c>
      <c r="Y34" s="2298">
        <v>0</v>
      </c>
      <c r="Z34" s="73">
        <f t="shared" si="14"/>
        <v>0</v>
      </c>
      <c r="AA34" s="1021">
        <v>13222222</v>
      </c>
      <c r="AB34" s="2298">
        <v>2765438</v>
      </c>
      <c r="AC34" s="73">
        <f t="shared" si="15"/>
        <v>0.20915077662438281</v>
      </c>
      <c r="AD34" s="955">
        <f t="shared" si="16"/>
        <v>2765438</v>
      </c>
      <c r="AE34" s="73">
        <f t="shared" si="17"/>
        <v>3.0727088888888882E-2</v>
      </c>
      <c r="AF34" s="1021">
        <v>13222222</v>
      </c>
      <c r="AG34" s="2298">
        <v>33027999</v>
      </c>
      <c r="AH34" s="73">
        <f t="shared" si="9"/>
        <v>2.4979159327380831</v>
      </c>
      <c r="AI34" s="1021">
        <v>3935555.7600000035</v>
      </c>
      <c r="AJ34" s="2298">
        <v>78577835</v>
      </c>
      <c r="AK34" s="73">
        <f t="shared" si="10"/>
        <v>19.966134338292271</v>
      </c>
      <c r="AL34" s="1021">
        <v>3935555.7600000035</v>
      </c>
      <c r="AM34" s="2298">
        <v>8840844</v>
      </c>
      <c r="AN34" s="73">
        <f t="shared" si="11"/>
        <v>2.2464029324285302</v>
      </c>
      <c r="AO34" s="1021">
        <v>3935555.7600000035</v>
      </c>
      <c r="AP34" s="2298">
        <v>27678288</v>
      </c>
      <c r="AQ34" s="73">
        <f t="shared" si="12"/>
        <v>7.0328791377612134</v>
      </c>
      <c r="AR34" s="1021">
        <v>2652222.3600000022</v>
      </c>
      <c r="AS34" s="2298">
        <v>0</v>
      </c>
      <c r="AT34" s="73">
        <f t="shared" si="13"/>
        <v>0</v>
      </c>
      <c r="AU34" s="1021">
        <v>2652222.3600000022</v>
      </c>
      <c r="AV34" s="2298"/>
      <c r="AW34" s="73">
        <f t="shared" si="18"/>
        <v>0</v>
      </c>
      <c r="AX34" s="1008">
        <f>+M34+P34+S34+V34+Y34+AB34+AG34+AJ34+AM34+AP34+AS34+AV34</f>
        <v>150890404</v>
      </c>
      <c r="AY34" s="73">
        <f t="shared" si="19"/>
        <v>1.6765600444444442</v>
      </c>
    </row>
    <row r="35" spans="1:51" s="22" customFormat="1" ht="60.2" customHeight="1" thickTop="1" thickBot="1">
      <c r="A35" s="2846"/>
      <c r="B35" s="2956"/>
      <c r="C35" s="3207" t="s">
        <v>995</v>
      </c>
      <c r="D35" s="627" t="s">
        <v>996</v>
      </c>
      <c r="E35" s="2305" t="s">
        <v>234</v>
      </c>
      <c r="F35" s="2305" t="s">
        <v>10</v>
      </c>
      <c r="G35" s="2306">
        <v>0.02</v>
      </c>
      <c r="H35" s="25"/>
      <c r="I35" s="1479"/>
      <c r="J35" s="25"/>
      <c r="K35" s="25" t="s">
        <v>23</v>
      </c>
      <c r="L35" s="869">
        <v>0</v>
      </c>
      <c r="M35" s="527"/>
      <c r="N35" s="73" t="e">
        <f t="shared" si="5"/>
        <v>#DIV/0!</v>
      </c>
      <c r="O35" s="869">
        <v>0</v>
      </c>
      <c r="P35" s="527"/>
      <c r="Q35" s="73" t="e">
        <f t="shared" si="6"/>
        <v>#DIV/0!</v>
      </c>
      <c r="R35" s="869">
        <v>0</v>
      </c>
      <c r="S35" s="527"/>
      <c r="T35" s="73" t="e">
        <f t="shared" si="7"/>
        <v>#DIV/0!</v>
      </c>
      <c r="U35" s="869">
        <v>0.02</v>
      </c>
      <c r="V35" s="527">
        <v>0</v>
      </c>
      <c r="W35" s="73">
        <f t="shared" si="8"/>
        <v>0</v>
      </c>
      <c r="X35" s="869">
        <v>0.02</v>
      </c>
      <c r="Y35" s="527">
        <v>0</v>
      </c>
      <c r="Z35" s="73">
        <f t="shared" si="14"/>
        <v>0</v>
      </c>
      <c r="AA35" s="869">
        <v>0.02</v>
      </c>
      <c r="AB35" s="527">
        <v>0</v>
      </c>
      <c r="AC35" s="73">
        <f t="shared" si="15"/>
        <v>0</v>
      </c>
      <c r="AD35" s="596">
        <f>(+M35+P35+S35+V35+Y35+AB35)/3</f>
        <v>0</v>
      </c>
      <c r="AE35" s="73">
        <f t="shared" si="17"/>
        <v>0</v>
      </c>
      <c r="AF35" s="869">
        <v>0.02</v>
      </c>
      <c r="AG35" s="527">
        <v>0</v>
      </c>
      <c r="AH35" s="73">
        <f t="shared" si="9"/>
        <v>0</v>
      </c>
      <c r="AI35" s="869">
        <v>0.02</v>
      </c>
      <c r="AJ35" s="527">
        <v>0.02</v>
      </c>
      <c r="AK35" s="73">
        <f t="shared" si="10"/>
        <v>1</v>
      </c>
      <c r="AL35" s="869">
        <v>0.02</v>
      </c>
      <c r="AM35" s="527">
        <v>0</v>
      </c>
      <c r="AN35" s="73">
        <f t="shared" si="11"/>
        <v>0</v>
      </c>
      <c r="AO35" s="869">
        <v>0.02</v>
      </c>
      <c r="AP35" s="527">
        <v>0</v>
      </c>
      <c r="AQ35" s="73">
        <f t="shared" si="12"/>
        <v>0</v>
      </c>
      <c r="AR35" s="869">
        <v>0.02</v>
      </c>
      <c r="AS35" s="527">
        <v>0</v>
      </c>
      <c r="AT35" s="73">
        <f t="shared" si="13"/>
        <v>0</v>
      </c>
      <c r="AU35" s="869">
        <v>0.02</v>
      </c>
      <c r="AV35" s="527"/>
      <c r="AW35" s="73">
        <f t="shared" si="18"/>
        <v>0</v>
      </c>
      <c r="AX35" s="1030">
        <f>(+M35+P35+S35+V35+Y35+AB35+AG35+AJ35+AM35+AP35+AS35+AV35)/9</f>
        <v>2.2222222222222222E-3</v>
      </c>
      <c r="AY35" s="73">
        <f t="shared" si="19"/>
        <v>0.1111111111111111</v>
      </c>
    </row>
    <row r="36" spans="1:51" s="22" customFormat="1" ht="84.75" customHeight="1" thickTop="1" thickBot="1">
      <c r="A36" s="2846"/>
      <c r="B36" s="2956"/>
      <c r="C36" s="3207"/>
      <c r="D36" s="86" t="s">
        <v>236</v>
      </c>
      <c r="E36" s="81" t="s">
        <v>237</v>
      </c>
      <c r="F36" s="88" t="s">
        <v>10</v>
      </c>
      <c r="G36" s="167">
        <v>0.02</v>
      </c>
      <c r="H36" s="88"/>
      <c r="I36" s="81"/>
      <c r="J36" s="81"/>
      <c r="K36" s="87" t="s">
        <v>23</v>
      </c>
      <c r="L36" s="163">
        <v>0</v>
      </c>
      <c r="M36" s="164"/>
      <c r="N36" s="19" t="e">
        <f t="shared" si="5"/>
        <v>#DIV/0!</v>
      </c>
      <c r="O36" s="163">
        <v>0</v>
      </c>
      <c r="P36" s="164"/>
      <c r="Q36" s="19" t="e">
        <f t="shared" si="6"/>
        <v>#DIV/0!</v>
      </c>
      <c r="R36" s="163">
        <v>0</v>
      </c>
      <c r="S36" s="164"/>
      <c r="T36" s="19" t="e">
        <f t="shared" si="7"/>
        <v>#DIV/0!</v>
      </c>
      <c r="U36" s="163">
        <v>0.03</v>
      </c>
      <c r="V36" s="164">
        <v>0.02</v>
      </c>
      <c r="W36" s="19">
        <f t="shared" si="8"/>
        <v>0.66666666666666674</v>
      </c>
      <c r="X36" s="163">
        <v>0.03</v>
      </c>
      <c r="Y36" s="164">
        <v>0</v>
      </c>
      <c r="Z36" s="19">
        <f t="shared" si="14"/>
        <v>0</v>
      </c>
      <c r="AA36" s="163">
        <v>0.03</v>
      </c>
      <c r="AB36" s="164">
        <v>0</v>
      </c>
      <c r="AC36" s="19">
        <f t="shared" si="15"/>
        <v>0</v>
      </c>
      <c r="AD36" s="165">
        <f>(V36+Y36+AB36)/3</f>
        <v>6.6666666666666671E-3</v>
      </c>
      <c r="AE36" s="19">
        <f t="shared" si="17"/>
        <v>0.33333333333333337</v>
      </c>
      <c r="AF36" s="163">
        <v>0.03</v>
      </c>
      <c r="AG36" s="164">
        <v>0.02</v>
      </c>
      <c r="AH36" s="19">
        <f t="shared" si="9"/>
        <v>0.66666666666666674</v>
      </c>
      <c r="AI36" s="163">
        <v>0.03</v>
      </c>
      <c r="AJ36" s="164">
        <v>0</v>
      </c>
      <c r="AK36" s="19">
        <f t="shared" si="10"/>
        <v>0</v>
      </c>
      <c r="AL36" s="163">
        <v>0.02</v>
      </c>
      <c r="AM36" s="164">
        <v>0</v>
      </c>
      <c r="AN36" s="19">
        <f t="shared" si="11"/>
        <v>0</v>
      </c>
      <c r="AO36" s="163">
        <v>0.02</v>
      </c>
      <c r="AP36" s="164">
        <v>0</v>
      </c>
      <c r="AQ36" s="19">
        <f t="shared" si="12"/>
        <v>0</v>
      </c>
      <c r="AR36" s="163">
        <v>0.02</v>
      </c>
      <c r="AS36" s="164">
        <v>0</v>
      </c>
      <c r="AT36" s="19">
        <f t="shared" si="13"/>
        <v>0</v>
      </c>
      <c r="AU36" s="163">
        <v>0.02</v>
      </c>
      <c r="AV36" s="164">
        <v>0.01</v>
      </c>
      <c r="AW36" s="19">
        <f t="shared" si="18"/>
        <v>0.5</v>
      </c>
      <c r="AX36" s="163">
        <f>+((AG36+AJ36)/2+(AM36+AP36+AS36+AV36)/4)</f>
        <v>1.2500000000000001E-2</v>
      </c>
      <c r="AY36" s="19">
        <f t="shared" si="19"/>
        <v>0.625</v>
      </c>
    </row>
    <row r="37" spans="1:51" s="22" customFormat="1" ht="88.5" customHeight="1" thickTop="1" thickBot="1">
      <c r="A37" s="2846"/>
      <c r="B37" s="2956"/>
      <c r="C37" s="3207"/>
      <c r="D37" s="86" t="s">
        <v>238</v>
      </c>
      <c r="E37" s="81" t="s">
        <v>239</v>
      </c>
      <c r="F37" s="88" t="s">
        <v>10</v>
      </c>
      <c r="G37" s="167">
        <v>0.01</v>
      </c>
      <c r="H37" s="88"/>
      <c r="I37" s="81"/>
      <c r="J37" s="81"/>
      <c r="K37" s="87" t="s">
        <v>23</v>
      </c>
      <c r="L37" s="163">
        <v>0</v>
      </c>
      <c r="M37" s="164"/>
      <c r="N37" s="19" t="e">
        <f t="shared" si="5"/>
        <v>#DIV/0!</v>
      </c>
      <c r="O37" s="163">
        <v>0</v>
      </c>
      <c r="P37" s="164"/>
      <c r="Q37" s="19" t="e">
        <f t="shared" si="6"/>
        <v>#DIV/0!</v>
      </c>
      <c r="R37" s="163">
        <v>0</v>
      </c>
      <c r="S37" s="164"/>
      <c r="T37" s="19" t="e">
        <f t="shared" si="7"/>
        <v>#DIV/0!</v>
      </c>
      <c r="U37" s="163">
        <v>0</v>
      </c>
      <c r="V37" s="164"/>
      <c r="W37" s="19" t="e">
        <f t="shared" si="8"/>
        <v>#DIV/0!</v>
      </c>
      <c r="X37" s="163">
        <v>0</v>
      </c>
      <c r="Y37" s="164"/>
      <c r="Z37" s="19" t="e">
        <f t="shared" si="14"/>
        <v>#DIV/0!</v>
      </c>
      <c r="AA37" s="163">
        <v>0</v>
      </c>
      <c r="AB37" s="164"/>
      <c r="AC37" s="19" t="e">
        <f t="shared" si="15"/>
        <v>#DIV/0!</v>
      </c>
      <c r="AD37" s="165">
        <f>(V37+Y37+AB37)/3</f>
        <v>0</v>
      </c>
      <c r="AE37" s="19">
        <f>+AD37/G37</f>
        <v>0</v>
      </c>
      <c r="AF37" s="163">
        <v>0</v>
      </c>
      <c r="AG37" s="164"/>
      <c r="AH37" s="19" t="e">
        <f t="shared" si="9"/>
        <v>#DIV/0!</v>
      </c>
      <c r="AI37" s="163">
        <v>0</v>
      </c>
      <c r="AJ37" s="164"/>
      <c r="AK37" s="19" t="e">
        <f t="shared" si="10"/>
        <v>#DIV/0!</v>
      </c>
      <c r="AL37" s="163">
        <v>0.01</v>
      </c>
      <c r="AM37" s="164">
        <v>0</v>
      </c>
      <c r="AN37" s="19">
        <f t="shared" si="11"/>
        <v>0</v>
      </c>
      <c r="AO37" s="163">
        <v>0.01</v>
      </c>
      <c r="AP37" s="164">
        <v>0.03</v>
      </c>
      <c r="AQ37" s="19">
        <f t="shared" si="12"/>
        <v>3</v>
      </c>
      <c r="AR37" s="163">
        <v>0.01</v>
      </c>
      <c r="AS37" s="164">
        <v>0</v>
      </c>
      <c r="AT37" s="19">
        <f t="shared" si="13"/>
        <v>0</v>
      </c>
      <c r="AU37" s="163">
        <v>0.01</v>
      </c>
      <c r="AV37" s="164"/>
      <c r="AW37" s="19">
        <f t="shared" si="18"/>
        <v>0</v>
      </c>
      <c r="AX37" s="163">
        <f>+(AV37+AS37+AP37+AM37)/4</f>
        <v>7.4999999999999997E-3</v>
      </c>
      <c r="AY37" s="19">
        <f t="shared" si="19"/>
        <v>0.75</v>
      </c>
    </row>
    <row r="38" spans="1:51" s="22" customFormat="1" ht="111.75" customHeight="1" thickTop="1" thickBot="1">
      <c r="A38" s="2847"/>
      <c r="B38" s="2956"/>
      <c r="C38" s="3207"/>
      <c r="D38" s="171" t="s">
        <v>242</v>
      </c>
      <c r="E38" s="172" t="s">
        <v>243</v>
      </c>
      <c r="F38" s="172" t="s">
        <v>10</v>
      </c>
      <c r="G38" s="173">
        <v>0.3</v>
      </c>
      <c r="H38" s="88"/>
      <c r="I38" s="81"/>
      <c r="J38" s="81"/>
      <c r="K38" s="172" t="s">
        <v>244</v>
      </c>
      <c r="L38" s="869">
        <v>0</v>
      </c>
      <c r="M38" s="527"/>
      <c r="N38" s="73" t="e">
        <f t="shared" si="5"/>
        <v>#DIV/0!</v>
      </c>
      <c r="O38" s="869">
        <v>0</v>
      </c>
      <c r="P38" s="527"/>
      <c r="Q38" s="73" t="e">
        <f t="shared" si="6"/>
        <v>#DIV/0!</v>
      </c>
      <c r="R38" s="869">
        <v>0</v>
      </c>
      <c r="S38" s="527"/>
      <c r="T38" s="73" t="e">
        <f t="shared" si="7"/>
        <v>#DIV/0!</v>
      </c>
      <c r="U38" s="869">
        <v>0</v>
      </c>
      <c r="V38" s="527"/>
      <c r="W38" s="73" t="e">
        <f t="shared" si="8"/>
        <v>#DIV/0!</v>
      </c>
      <c r="X38" s="869">
        <v>0</v>
      </c>
      <c r="Y38" s="527"/>
      <c r="Z38" s="73" t="e">
        <f t="shared" si="14"/>
        <v>#DIV/0!</v>
      </c>
      <c r="AA38" s="869">
        <v>0</v>
      </c>
      <c r="AB38" s="527"/>
      <c r="AC38" s="73" t="e">
        <f t="shared" si="15"/>
        <v>#DIV/0!</v>
      </c>
      <c r="AD38" s="596">
        <f t="shared" si="16"/>
        <v>0</v>
      </c>
      <c r="AE38" s="73">
        <f t="shared" si="17"/>
        <v>0</v>
      </c>
      <c r="AF38" s="869">
        <v>0</v>
      </c>
      <c r="AG38" s="527">
        <v>0</v>
      </c>
      <c r="AH38" s="73" t="e">
        <f t="shared" si="9"/>
        <v>#DIV/0!</v>
      </c>
      <c r="AI38" s="869">
        <v>0</v>
      </c>
      <c r="AJ38" s="527">
        <v>0</v>
      </c>
      <c r="AK38" s="73" t="e">
        <f>+AJ38/AI38</f>
        <v>#DIV/0!</v>
      </c>
      <c r="AL38" s="869">
        <v>0</v>
      </c>
      <c r="AM38" s="527"/>
      <c r="AN38" s="73" t="e">
        <f t="shared" si="11"/>
        <v>#DIV/0!</v>
      </c>
      <c r="AO38" s="869">
        <v>0.3</v>
      </c>
      <c r="AP38" s="527">
        <v>1</v>
      </c>
      <c r="AQ38" s="73">
        <f t="shared" si="12"/>
        <v>3.3333333333333335</v>
      </c>
      <c r="AR38" s="869">
        <v>0</v>
      </c>
      <c r="AS38" s="527"/>
      <c r="AT38" s="73" t="e">
        <f t="shared" si="13"/>
        <v>#DIV/0!</v>
      </c>
      <c r="AU38" s="869">
        <v>0</v>
      </c>
      <c r="AV38" s="527"/>
      <c r="AW38" s="73" t="e">
        <f t="shared" si="18"/>
        <v>#DIV/0!</v>
      </c>
      <c r="AX38" s="869">
        <f>+AP38+AG38+AJ38</f>
        <v>1</v>
      </c>
      <c r="AY38" s="73">
        <f t="shared" si="19"/>
        <v>3.3333333333333335</v>
      </c>
    </row>
    <row r="39" spans="1:51" s="22" customFormat="1" ht="22.5" thickTop="1" thickBot="1">
      <c r="A39" s="2857" t="s">
        <v>141</v>
      </c>
      <c r="B39" s="2858"/>
      <c r="C39" s="2858"/>
      <c r="D39" s="2858"/>
      <c r="E39" s="2858"/>
      <c r="F39" s="2858"/>
      <c r="G39" s="2858"/>
      <c r="H39" s="2858"/>
      <c r="I39" s="2858"/>
      <c r="J39" s="2858"/>
      <c r="K39" s="2859"/>
      <c r="L39" s="93"/>
      <c r="M39" s="896"/>
      <c r="N39" s="1191"/>
      <c r="O39" s="896"/>
      <c r="P39" s="896"/>
      <c r="Q39" s="1191"/>
      <c r="R39" s="896"/>
      <c r="S39" s="896"/>
      <c r="T39" s="1191"/>
      <c r="U39" s="896"/>
      <c r="V39" s="896"/>
      <c r="W39" s="1191"/>
      <c r="X39" s="896"/>
      <c r="Y39" s="896"/>
      <c r="Z39" s="1191"/>
      <c r="AA39" s="896"/>
      <c r="AB39" s="896"/>
      <c r="AC39" s="1191"/>
      <c r="AD39" s="896"/>
      <c r="AE39" s="1095"/>
      <c r="AF39" s="896"/>
      <c r="AG39" s="896"/>
      <c r="AH39" s="1191"/>
      <c r="AI39" s="896"/>
      <c r="AJ39" s="896"/>
      <c r="AK39" s="1191"/>
      <c r="AL39" s="896"/>
      <c r="AM39" s="896"/>
      <c r="AN39" s="1191"/>
      <c r="AO39" s="896"/>
      <c r="AP39" s="896"/>
      <c r="AQ39" s="1191"/>
      <c r="AR39" s="896"/>
      <c r="AS39" s="896"/>
      <c r="AT39" s="1191"/>
      <c r="AU39" s="896"/>
      <c r="AV39" s="896"/>
      <c r="AW39" s="1191"/>
      <c r="AX39" s="896"/>
      <c r="AY39" s="1192"/>
    </row>
    <row r="40" spans="1:51" s="22" customFormat="1" ht="125.25" customHeight="1" thickTop="1" thickBot="1">
      <c r="A40" s="2939" t="s">
        <v>181</v>
      </c>
      <c r="B40" s="3208" t="s">
        <v>314</v>
      </c>
      <c r="C40" s="1477" t="s">
        <v>564</v>
      </c>
      <c r="D40" s="1038" t="s">
        <v>144</v>
      </c>
      <c r="E40" s="674" t="s">
        <v>145</v>
      </c>
      <c r="F40" s="674" t="s">
        <v>17</v>
      </c>
      <c r="G40" s="674">
        <v>105</v>
      </c>
      <c r="H40" s="674"/>
      <c r="I40" s="674"/>
      <c r="J40" s="674"/>
      <c r="K40" s="674" t="s">
        <v>146</v>
      </c>
      <c r="L40" s="861">
        <v>0</v>
      </c>
      <c r="M40" s="2307"/>
      <c r="N40" s="73" t="e">
        <f t="shared" si="5"/>
        <v>#DIV/0!</v>
      </c>
      <c r="O40" s="861">
        <v>0</v>
      </c>
      <c r="P40" s="2308"/>
      <c r="Q40" s="73" t="e">
        <f t="shared" si="6"/>
        <v>#DIV/0!</v>
      </c>
      <c r="R40" s="861">
        <v>0</v>
      </c>
      <c r="S40" s="2307"/>
      <c r="T40" s="73" t="e">
        <f t="shared" si="7"/>
        <v>#DIV/0!</v>
      </c>
      <c r="U40" s="861">
        <v>21</v>
      </c>
      <c r="V40" s="2308">
        <v>0</v>
      </c>
      <c r="W40" s="73">
        <f t="shared" si="8"/>
        <v>0</v>
      </c>
      <c r="X40" s="861">
        <v>0</v>
      </c>
      <c r="Y40" s="2308"/>
      <c r="Z40" s="73" t="e">
        <f t="shared" si="14"/>
        <v>#DIV/0!</v>
      </c>
      <c r="AA40" s="861">
        <v>0</v>
      </c>
      <c r="AB40" s="2307"/>
      <c r="AC40" s="73" t="e">
        <f t="shared" si="15"/>
        <v>#DIV/0!</v>
      </c>
      <c r="AD40" s="782">
        <f t="shared" si="16"/>
        <v>0</v>
      </c>
      <c r="AE40" s="73">
        <f t="shared" si="17"/>
        <v>0</v>
      </c>
      <c r="AF40" s="861">
        <v>0</v>
      </c>
      <c r="AG40" s="2308"/>
      <c r="AH40" s="73" t="e">
        <f t="shared" si="9"/>
        <v>#DIV/0!</v>
      </c>
      <c r="AI40" s="861">
        <v>31</v>
      </c>
      <c r="AJ40" s="2308">
        <v>0</v>
      </c>
      <c r="AK40" s="73">
        <f t="shared" si="10"/>
        <v>0</v>
      </c>
      <c r="AL40" s="861">
        <v>0</v>
      </c>
      <c r="AM40" s="2307">
        <v>0</v>
      </c>
      <c r="AN40" s="73" t="e">
        <f t="shared" si="11"/>
        <v>#DIV/0!</v>
      </c>
      <c r="AO40" s="861">
        <v>0</v>
      </c>
      <c r="AP40" s="2308">
        <v>14</v>
      </c>
      <c r="AQ40" s="73" t="e">
        <f t="shared" si="12"/>
        <v>#DIV/0!</v>
      </c>
      <c r="AR40" s="861">
        <v>0</v>
      </c>
      <c r="AS40" s="2308">
        <v>12</v>
      </c>
      <c r="AT40" s="73" t="e">
        <f t="shared" si="13"/>
        <v>#DIV/0!</v>
      </c>
      <c r="AU40" s="861">
        <v>53</v>
      </c>
      <c r="AV40" s="2308">
        <v>80</v>
      </c>
      <c r="AW40" s="73">
        <f t="shared" si="18"/>
        <v>1.5094339622641511</v>
      </c>
      <c r="AX40" s="861">
        <f>+M40+P40+S40+V40+Y40+AB40+AG40+AJ40+AM40+AP40+AS40+AV40</f>
        <v>106</v>
      </c>
      <c r="AY40" s="73">
        <f t="shared" si="19"/>
        <v>1.0095238095238095</v>
      </c>
    </row>
    <row r="41" spans="1:51" s="22" customFormat="1" ht="86.45" customHeight="1" thickTop="1" thickBot="1">
      <c r="A41" s="2940"/>
      <c r="B41" s="3209"/>
      <c r="C41" s="25" t="s">
        <v>317</v>
      </c>
      <c r="D41" s="627" t="s">
        <v>148</v>
      </c>
      <c r="E41" s="25" t="s">
        <v>149</v>
      </c>
      <c r="F41" s="25" t="s">
        <v>8</v>
      </c>
      <c r="G41" s="605">
        <v>10.199999999999999</v>
      </c>
      <c r="H41" s="25"/>
      <c r="I41" s="25"/>
      <c r="J41" s="25"/>
      <c r="K41" s="25" t="s">
        <v>9</v>
      </c>
      <c r="L41" s="857">
        <v>10.199999999999999</v>
      </c>
      <c r="M41" s="496"/>
      <c r="N41" s="73" t="e">
        <f>+L41/M41</f>
        <v>#DIV/0!</v>
      </c>
      <c r="O41" s="857">
        <v>10.199999999999999</v>
      </c>
      <c r="P41" s="496"/>
      <c r="Q41" s="73" t="e">
        <f>+O41/P41</f>
        <v>#DIV/0!</v>
      </c>
      <c r="R41" s="857">
        <v>10.199999999999999</v>
      </c>
      <c r="S41" s="496"/>
      <c r="T41" s="73" t="e">
        <f>+R41/S41</f>
        <v>#DIV/0!</v>
      </c>
      <c r="U41" s="857">
        <v>10.199999999999999</v>
      </c>
      <c r="V41" s="496"/>
      <c r="W41" s="73" t="e">
        <f>+U41/V41</f>
        <v>#DIV/0!</v>
      </c>
      <c r="X41" s="857">
        <v>10.199999999999999</v>
      </c>
      <c r="Y41" s="496"/>
      <c r="Z41" s="73" t="e">
        <f>+X41/Y41</f>
        <v>#DIV/0!</v>
      </c>
      <c r="AA41" s="857">
        <v>10.199999999999999</v>
      </c>
      <c r="AB41" s="496"/>
      <c r="AC41" s="73" t="e">
        <f>+AA41/AB41</f>
        <v>#DIV/0!</v>
      </c>
      <c r="AD41" s="782"/>
      <c r="AE41" s="73" t="e">
        <f>+G41/AD41</f>
        <v>#DIV/0!</v>
      </c>
      <c r="AF41" s="857">
        <v>10.199999999999999</v>
      </c>
      <c r="AG41" s="496"/>
      <c r="AH41" s="73" t="e">
        <f>+AF41/AG41</f>
        <v>#DIV/0!</v>
      </c>
      <c r="AI41" s="857">
        <v>10.199999999999999</v>
      </c>
      <c r="AJ41" s="496"/>
      <c r="AK41" s="73" t="e">
        <f>+AI41/AJ41</f>
        <v>#DIV/0!</v>
      </c>
      <c r="AL41" s="857">
        <v>10.199999999999999</v>
      </c>
      <c r="AM41" s="496"/>
      <c r="AN41" s="73" t="e">
        <f>+AL41/AM41</f>
        <v>#DIV/0!</v>
      </c>
      <c r="AO41" s="857">
        <v>10.199999999999999</v>
      </c>
      <c r="AP41" s="496"/>
      <c r="AQ41" s="73" t="e">
        <f>+AO41/AP41</f>
        <v>#DIV/0!</v>
      </c>
      <c r="AR41" s="857">
        <v>10.199999999999999</v>
      </c>
      <c r="AS41" s="496"/>
      <c r="AT41" s="73" t="e">
        <f>+AR41/AS41</f>
        <v>#DIV/0!</v>
      </c>
      <c r="AU41" s="857">
        <v>10.199999999999999</v>
      </c>
      <c r="AV41" s="496"/>
      <c r="AW41" s="73" t="e">
        <f>+AU41/AV41</f>
        <v>#DIV/0!</v>
      </c>
      <c r="AX41" s="857"/>
      <c r="AY41" s="73"/>
    </row>
    <row r="42" spans="1:51" s="22" customFormat="1" ht="94.7" customHeight="1" thickTop="1" thickBot="1">
      <c r="A42" s="2940"/>
      <c r="B42" s="3209"/>
      <c r="C42" s="2303" t="s">
        <v>997</v>
      </c>
      <c r="D42" s="623" t="s">
        <v>257</v>
      </c>
      <c r="E42" s="2303" t="s">
        <v>258</v>
      </c>
      <c r="F42" s="2303" t="s">
        <v>10</v>
      </c>
      <c r="G42" s="2309">
        <v>1</v>
      </c>
      <c r="H42" s="2310"/>
      <c r="I42" s="674"/>
      <c r="J42" s="674"/>
      <c r="K42" s="2311" t="s">
        <v>259</v>
      </c>
      <c r="L42" s="1030">
        <v>0</v>
      </c>
      <c r="M42" s="2312"/>
      <c r="N42" s="73" t="e">
        <f t="shared" si="5"/>
        <v>#DIV/0!</v>
      </c>
      <c r="O42" s="1030">
        <v>0</v>
      </c>
      <c r="P42" s="2313"/>
      <c r="Q42" s="73" t="e">
        <f t="shared" si="6"/>
        <v>#DIV/0!</v>
      </c>
      <c r="R42" s="1030">
        <v>0</v>
      </c>
      <c r="S42" s="2312"/>
      <c r="T42" s="73" t="e">
        <f t="shared" si="7"/>
        <v>#DIV/0!</v>
      </c>
      <c r="U42" s="1030">
        <v>0</v>
      </c>
      <c r="V42" s="2313"/>
      <c r="W42" s="73" t="e">
        <f t="shared" si="8"/>
        <v>#DIV/0!</v>
      </c>
      <c r="X42" s="1030">
        <v>0</v>
      </c>
      <c r="Y42" s="2313"/>
      <c r="Z42" s="73" t="e">
        <f t="shared" si="14"/>
        <v>#DIV/0!</v>
      </c>
      <c r="AA42" s="1030">
        <v>0</v>
      </c>
      <c r="AB42" s="2312"/>
      <c r="AC42" s="73" t="e">
        <f t="shared" si="15"/>
        <v>#DIV/0!</v>
      </c>
      <c r="AD42" s="596">
        <f t="shared" si="16"/>
        <v>0</v>
      </c>
      <c r="AE42" s="73">
        <f t="shared" si="17"/>
        <v>0</v>
      </c>
      <c r="AF42" s="1030">
        <v>0</v>
      </c>
      <c r="AG42" s="2313"/>
      <c r="AH42" s="73" t="e">
        <f t="shared" si="9"/>
        <v>#DIV/0!</v>
      </c>
      <c r="AI42" s="1030">
        <v>0.5</v>
      </c>
      <c r="AJ42" s="2313">
        <v>0</v>
      </c>
      <c r="AK42" s="73">
        <f t="shared" si="10"/>
        <v>0</v>
      </c>
      <c r="AL42" s="1030">
        <v>0.5</v>
      </c>
      <c r="AM42" s="2312">
        <v>0.5</v>
      </c>
      <c r="AN42" s="73">
        <f t="shared" si="11"/>
        <v>1</v>
      </c>
      <c r="AO42" s="1030">
        <v>0.5</v>
      </c>
      <c r="AP42" s="2313">
        <v>0.5</v>
      </c>
      <c r="AQ42" s="73">
        <f t="shared" si="12"/>
        <v>1</v>
      </c>
      <c r="AR42" s="1030">
        <v>1</v>
      </c>
      <c r="AS42" s="2313"/>
      <c r="AT42" s="73">
        <f t="shared" si="13"/>
        <v>0</v>
      </c>
      <c r="AU42" s="1030">
        <v>0</v>
      </c>
      <c r="AV42" s="2313"/>
      <c r="AW42" s="73" t="e">
        <f t="shared" si="18"/>
        <v>#DIV/0!</v>
      </c>
      <c r="AX42" s="1030">
        <f>+AS42+AM42+AP42</f>
        <v>1</v>
      </c>
      <c r="AY42" s="73">
        <f t="shared" si="19"/>
        <v>1</v>
      </c>
    </row>
    <row r="43" spans="1:51" s="22" customFormat="1" ht="81.75" customHeight="1" thickTop="1" thickBot="1">
      <c r="A43" s="2940"/>
      <c r="B43" s="3210"/>
      <c r="C43" s="2305" t="s">
        <v>452</v>
      </c>
      <c r="D43" s="627" t="s">
        <v>295</v>
      </c>
      <c r="E43" s="2305" t="s">
        <v>264</v>
      </c>
      <c r="F43" s="2305" t="s">
        <v>10</v>
      </c>
      <c r="G43" s="2306">
        <v>1</v>
      </c>
      <c r="H43" s="2314"/>
      <c r="I43" s="671"/>
      <c r="J43" s="671"/>
      <c r="K43" s="25" t="s">
        <v>226</v>
      </c>
      <c r="L43" s="869">
        <v>0</v>
      </c>
      <c r="M43" s="527"/>
      <c r="N43" s="73" t="e">
        <f t="shared" si="5"/>
        <v>#DIV/0!</v>
      </c>
      <c r="O43" s="869">
        <v>0</v>
      </c>
      <c r="P43" s="527"/>
      <c r="Q43" s="73" t="e">
        <f t="shared" si="6"/>
        <v>#DIV/0!</v>
      </c>
      <c r="R43" s="869">
        <v>0</v>
      </c>
      <c r="S43" s="527"/>
      <c r="T43" s="73" t="e">
        <f t="shared" si="7"/>
        <v>#DIV/0!</v>
      </c>
      <c r="U43" s="869">
        <v>0</v>
      </c>
      <c r="V43" s="527"/>
      <c r="W43" s="73" t="e">
        <f t="shared" si="8"/>
        <v>#DIV/0!</v>
      </c>
      <c r="X43" s="869">
        <v>0</v>
      </c>
      <c r="Y43" s="527"/>
      <c r="Z43" s="73" t="e">
        <f t="shared" si="14"/>
        <v>#DIV/0!</v>
      </c>
      <c r="AA43" s="869">
        <v>0</v>
      </c>
      <c r="AB43" s="527"/>
      <c r="AC43" s="73" t="e">
        <f t="shared" si="15"/>
        <v>#DIV/0!</v>
      </c>
      <c r="AD43" s="596">
        <f t="shared" si="16"/>
        <v>0</v>
      </c>
      <c r="AE43" s="73">
        <f t="shared" si="17"/>
        <v>0</v>
      </c>
      <c r="AF43" s="869">
        <v>0.1666</v>
      </c>
      <c r="AG43" s="527">
        <v>0.1666</v>
      </c>
      <c r="AH43" s="73"/>
      <c r="AI43" s="869">
        <v>0.1666</v>
      </c>
      <c r="AJ43" s="527">
        <v>0.1666</v>
      </c>
      <c r="AK43" s="73">
        <f t="shared" si="10"/>
        <v>1</v>
      </c>
      <c r="AL43" s="869">
        <v>0.1666</v>
      </c>
      <c r="AM43" s="527">
        <v>0.1666</v>
      </c>
      <c r="AN43" s="73">
        <f t="shared" si="11"/>
        <v>1</v>
      </c>
      <c r="AO43" s="869">
        <v>0.1666</v>
      </c>
      <c r="AP43" s="527">
        <v>0.1666</v>
      </c>
      <c r="AQ43" s="73">
        <f t="shared" si="12"/>
        <v>1</v>
      </c>
      <c r="AR43" s="869">
        <v>0.1666</v>
      </c>
      <c r="AS43" s="527">
        <v>0.1666</v>
      </c>
      <c r="AT43" s="73">
        <f t="shared" si="13"/>
        <v>1</v>
      </c>
      <c r="AU43" s="869">
        <v>0.1666</v>
      </c>
      <c r="AV43" s="527">
        <v>0.1666</v>
      </c>
      <c r="AW43" s="73">
        <f t="shared" si="18"/>
        <v>1</v>
      </c>
      <c r="AX43" s="869">
        <f>+AV43+AS43+AP43+AM43+AJ43+AG43</f>
        <v>0.99959999999999993</v>
      </c>
      <c r="AY43" s="73">
        <f t="shared" si="19"/>
        <v>0.99959999999999993</v>
      </c>
    </row>
    <row r="44" spans="1:51" s="22" customFormat="1" ht="81" customHeight="1" thickTop="1" thickBot="1">
      <c r="A44" s="2941"/>
      <c r="B44" s="2811" t="s">
        <v>150</v>
      </c>
      <c r="C44" s="561" t="s">
        <v>318</v>
      </c>
      <c r="D44" s="623" t="s">
        <v>319</v>
      </c>
      <c r="E44" s="561" t="s">
        <v>183</v>
      </c>
      <c r="F44" s="561" t="s">
        <v>17</v>
      </c>
      <c r="G44" s="1116">
        <v>37</v>
      </c>
      <c r="H44" s="561"/>
      <c r="I44" s="561"/>
      <c r="J44" s="561"/>
      <c r="K44" s="561" t="s">
        <v>21</v>
      </c>
      <c r="L44" s="861">
        <v>0</v>
      </c>
      <c r="M44" s="2307">
        <v>30</v>
      </c>
      <c r="N44" s="73">
        <f>+L44/M44</f>
        <v>0</v>
      </c>
      <c r="O44" s="861">
        <v>0</v>
      </c>
      <c r="P44" s="2308">
        <v>32</v>
      </c>
      <c r="Q44" s="73">
        <f>+O44/P44</f>
        <v>0</v>
      </c>
      <c r="R44" s="861">
        <v>37</v>
      </c>
      <c r="S44" s="2307">
        <v>35</v>
      </c>
      <c r="T44" s="73">
        <f>+R44/S44</f>
        <v>1.0571428571428572</v>
      </c>
      <c r="U44" s="861">
        <v>37</v>
      </c>
      <c r="V44" s="2308">
        <v>15</v>
      </c>
      <c r="W44" s="73">
        <f>+U44/V44</f>
        <v>2.4666666666666668</v>
      </c>
      <c r="X44" s="861">
        <v>37</v>
      </c>
      <c r="Y44" s="2308">
        <v>15</v>
      </c>
      <c r="Z44" s="73">
        <f>+X44/Y44</f>
        <v>2.4666666666666668</v>
      </c>
      <c r="AA44" s="861">
        <v>37</v>
      </c>
      <c r="AB44" s="2307">
        <v>15</v>
      </c>
      <c r="AC44" s="73">
        <f>+AA44/AB44</f>
        <v>2.4666666666666668</v>
      </c>
      <c r="AD44" s="782">
        <f>(+M44+P44+S44+V44+Y44+AB44)/4</f>
        <v>35.5</v>
      </c>
      <c r="AE44" s="73">
        <f>+G44/AD44</f>
        <v>1.0422535211267605</v>
      </c>
      <c r="AF44" s="861">
        <v>37</v>
      </c>
      <c r="AG44" s="2308">
        <v>15</v>
      </c>
      <c r="AH44" s="73">
        <f>+AF44/AG44</f>
        <v>2.4666666666666668</v>
      </c>
      <c r="AI44" s="861">
        <v>37</v>
      </c>
      <c r="AJ44" s="2308">
        <v>30</v>
      </c>
      <c r="AK44" s="73">
        <f>+AI44/AJ44</f>
        <v>1.2333333333333334</v>
      </c>
      <c r="AL44" s="861">
        <v>37</v>
      </c>
      <c r="AM44" s="2307">
        <v>28</v>
      </c>
      <c r="AN44" s="73">
        <f>+AL44/AM44</f>
        <v>1.3214285714285714</v>
      </c>
      <c r="AO44" s="861">
        <v>37</v>
      </c>
      <c r="AP44" s="2308">
        <v>34</v>
      </c>
      <c r="AQ44" s="73">
        <f>+AO44/AP44</f>
        <v>1.088235294117647</v>
      </c>
      <c r="AR44" s="861">
        <v>37</v>
      </c>
      <c r="AS44" s="2308">
        <v>37</v>
      </c>
      <c r="AT44" s="73">
        <f>+AR44/AS44</f>
        <v>1</v>
      </c>
      <c r="AU44" s="861">
        <v>37</v>
      </c>
      <c r="AV44" s="2308">
        <v>40</v>
      </c>
      <c r="AW44" s="73">
        <f>+AU44/AV44</f>
        <v>0.92500000000000004</v>
      </c>
      <c r="AX44" s="861">
        <f>(+M44+P44+S44+V44+Y44+AB44+AG44+AJ44+AM44+AP44+AS44+AV44)/12</f>
        <v>27.166666666666668</v>
      </c>
      <c r="AY44" s="73">
        <f>+G44/AX44</f>
        <v>1.361963190184049</v>
      </c>
    </row>
    <row r="45" spans="1:51" s="22" customFormat="1" ht="22.5" thickTop="1" thickBot="1">
      <c r="A45" s="2842" t="s">
        <v>154</v>
      </c>
      <c r="B45" s="2843"/>
      <c r="C45" s="2843"/>
      <c r="D45" s="2843"/>
      <c r="E45" s="2843"/>
      <c r="F45" s="2843"/>
      <c r="G45" s="2843"/>
      <c r="H45" s="2843"/>
      <c r="I45" s="2843"/>
      <c r="J45" s="2843"/>
      <c r="K45" s="2844"/>
      <c r="L45" s="2275"/>
      <c r="M45" s="2276"/>
      <c r="N45" s="1103"/>
      <c r="O45" s="2276"/>
      <c r="P45" s="2276"/>
      <c r="Q45" s="1103"/>
      <c r="R45" s="2276"/>
      <c r="S45" s="2276"/>
      <c r="T45" s="1103"/>
      <c r="U45" s="2276"/>
      <c r="V45" s="2276"/>
      <c r="W45" s="1103"/>
      <c r="X45" s="2276"/>
      <c r="Y45" s="2276"/>
      <c r="Z45" s="1103"/>
      <c r="AA45" s="2276"/>
      <c r="AB45" s="2276"/>
      <c r="AC45" s="1103"/>
      <c r="AD45" s="2315"/>
      <c r="AE45" s="1194"/>
      <c r="AF45" s="2276"/>
      <c r="AG45" s="2276"/>
      <c r="AH45" s="1103"/>
      <c r="AI45" s="2276"/>
      <c r="AJ45" s="2276"/>
      <c r="AK45" s="1103"/>
      <c r="AL45" s="2276"/>
      <c r="AM45" s="2276"/>
      <c r="AN45" s="1103"/>
      <c r="AO45" s="2276"/>
      <c r="AP45" s="2276"/>
      <c r="AQ45" s="1103"/>
      <c r="AR45" s="2276"/>
      <c r="AS45" s="2276"/>
      <c r="AT45" s="1103"/>
      <c r="AU45" s="2276"/>
      <c r="AV45" s="2276"/>
      <c r="AW45" s="1103"/>
      <c r="AX45" s="2276"/>
      <c r="AY45" s="1195"/>
    </row>
    <row r="46" spans="1:51" s="1489" customFormat="1" ht="91.15" customHeight="1" thickTop="1" thickBot="1">
      <c r="A46" s="1486" t="s">
        <v>155</v>
      </c>
      <c r="B46" s="2278" t="s">
        <v>156</v>
      </c>
      <c r="C46" s="636" t="s">
        <v>184</v>
      </c>
      <c r="D46" s="2316" t="s">
        <v>158</v>
      </c>
      <c r="E46" s="636" t="s">
        <v>159</v>
      </c>
      <c r="F46" s="636" t="s">
        <v>17</v>
      </c>
      <c r="G46" s="665">
        <v>10</v>
      </c>
      <c r="H46" s="2317"/>
      <c r="I46" s="636"/>
      <c r="J46" s="636"/>
      <c r="K46" s="636" t="s">
        <v>27</v>
      </c>
      <c r="L46" s="1461">
        <v>0</v>
      </c>
      <c r="M46" s="462"/>
      <c r="N46" s="73" t="e">
        <f t="shared" si="5"/>
        <v>#DIV/0!</v>
      </c>
      <c r="O46" s="1461">
        <v>0</v>
      </c>
      <c r="P46" s="462"/>
      <c r="Q46" s="73" t="e">
        <f t="shared" si="6"/>
        <v>#DIV/0!</v>
      </c>
      <c r="R46" s="1461">
        <v>0</v>
      </c>
      <c r="S46" s="462"/>
      <c r="T46" s="73" t="e">
        <f t="shared" si="7"/>
        <v>#DIV/0!</v>
      </c>
      <c r="U46" s="1461">
        <v>0</v>
      </c>
      <c r="V46" s="462"/>
      <c r="W46" s="73" t="e">
        <f t="shared" si="8"/>
        <v>#DIV/0!</v>
      </c>
      <c r="X46" s="1461">
        <v>2</v>
      </c>
      <c r="Y46" s="462">
        <v>2</v>
      </c>
      <c r="Z46" s="73">
        <f t="shared" si="14"/>
        <v>1</v>
      </c>
      <c r="AA46" s="1461">
        <v>0</v>
      </c>
      <c r="AB46" s="462"/>
      <c r="AC46" s="73" t="e">
        <f t="shared" ref="AC46" si="21">+AB46/AA46</f>
        <v>#DIV/0!</v>
      </c>
      <c r="AD46" s="782">
        <f>+Y46</f>
        <v>2</v>
      </c>
      <c r="AE46" s="73">
        <f t="shared" ref="AE46" si="22">+AD46/G46</f>
        <v>0.2</v>
      </c>
      <c r="AF46" s="857">
        <v>1</v>
      </c>
      <c r="AG46" s="496">
        <v>1</v>
      </c>
      <c r="AH46" s="73">
        <f t="shared" si="9"/>
        <v>1</v>
      </c>
      <c r="AI46" s="857">
        <v>3</v>
      </c>
      <c r="AJ46" s="496">
        <v>3</v>
      </c>
      <c r="AK46" s="73">
        <f t="shared" si="10"/>
        <v>1</v>
      </c>
      <c r="AL46" s="857">
        <v>1</v>
      </c>
      <c r="AM46" s="496">
        <v>1</v>
      </c>
      <c r="AN46" s="73">
        <f t="shared" si="11"/>
        <v>1</v>
      </c>
      <c r="AO46" s="857">
        <v>3</v>
      </c>
      <c r="AP46" s="496">
        <v>3</v>
      </c>
      <c r="AQ46" s="73">
        <f t="shared" si="12"/>
        <v>1</v>
      </c>
      <c r="AR46" s="1461">
        <v>5</v>
      </c>
      <c r="AS46" s="462">
        <v>5</v>
      </c>
      <c r="AT46" s="73">
        <f t="shared" si="13"/>
        <v>1</v>
      </c>
      <c r="AU46" s="1461">
        <v>10</v>
      </c>
      <c r="AV46" s="462">
        <v>10</v>
      </c>
      <c r="AW46" s="73">
        <f t="shared" ref="AW46" si="23">+AV46/AU46</f>
        <v>1</v>
      </c>
      <c r="AX46" s="861">
        <f>+AP46+AJ46+AG46+Y46+AM46</f>
        <v>10</v>
      </c>
      <c r="AY46" s="73">
        <f t="shared" ref="AY46" si="24">+AX46/G46</f>
        <v>1</v>
      </c>
    </row>
    <row r="47" spans="1:51" ht="17.25" thickTop="1">
      <c r="AB47" s="1785"/>
      <c r="AC47" s="2318"/>
      <c r="AD47" s="1785"/>
      <c r="AE47" s="2318"/>
    </row>
    <row r="48" spans="1:51">
      <c r="AB48" s="1785"/>
      <c r="AC48" s="2318"/>
      <c r="AD48" s="1785"/>
      <c r="AE48" s="2318"/>
    </row>
    <row r="49" spans="3:31">
      <c r="C49" s="64"/>
      <c r="AB49" s="1785"/>
      <c r="AC49" s="2318"/>
      <c r="AD49" s="1785"/>
      <c r="AE49" s="2318"/>
    </row>
    <row r="50" spans="3:31">
      <c r="AB50" s="1785"/>
      <c r="AC50" s="2318"/>
      <c r="AD50" s="1785"/>
      <c r="AE50" s="2318"/>
    </row>
    <row r="51" spans="3:31">
      <c r="AB51" s="1785"/>
      <c r="AC51" s="2318"/>
      <c r="AD51" s="1785"/>
      <c r="AE51" s="2318"/>
    </row>
    <row r="52" spans="3:31">
      <c r="AB52" s="1785"/>
      <c r="AC52" s="2318"/>
      <c r="AD52" s="1785"/>
      <c r="AE52" s="2318"/>
    </row>
    <row r="53" spans="3:31">
      <c r="AB53" s="1785"/>
      <c r="AC53" s="2318"/>
      <c r="AD53" s="1785"/>
      <c r="AE53" s="2318"/>
    </row>
    <row r="54" spans="3:31">
      <c r="AB54" s="1785"/>
      <c r="AC54" s="2318"/>
      <c r="AD54" s="1785"/>
      <c r="AE54" s="2318"/>
    </row>
    <row r="55" spans="3:31">
      <c r="AB55" s="1785"/>
      <c r="AC55" s="2318"/>
      <c r="AD55" s="1785"/>
      <c r="AE55" s="2318"/>
    </row>
    <row r="56" spans="3:31">
      <c r="AB56" s="1785"/>
      <c r="AC56" s="2318"/>
      <c r="AD56" s="1785"/>
      <c r="AE56" s="2318"/>
    </row>
    <row r="57" spans="3:31">
      <c r="AB57" s="1785"/>
      <c r="AC57" s="2318"/>
      <c r="AD57" s="1785"/>
      <c r="AE57" s="2318"/>
    </row>
    <row r="58" spans="3:31">
      <c r="AB58" s="1785"/>
      <c r="AC58" s="2318"/>
      <c r="AD58" s="1785"/>
      <c r="AE58" s="2318"/>
    </row>
    <row r="59" spans="3:31">
      <c r="AB59" s="1785"/>
      <c r="AC59" s="2318"/>
      <c r="AD59" s="1785"/>
      <c r="AE59" s="2318"/>
    </row>
    <row r="60" spans="3:31">
      <c r="AB60" s="1785"/>
      <c r="AC60" s="2318"/>
      <c r="AD60" s="1785"/>
      <c r="AE60" s="2318"/>
    </row>
    <row r="61" spans="3:31">
      <c r="AB61" s="1785"/>
      <c r="AC61" s="2318"/>
      <c r="AD61" s="1785"/>
      <c r="AE61" s="2318"/>
    </row>
    <row r="62" spans="3:31">
      <c r="AB62" s="1785"/>
      <c r="AC62" s="2318"/>
      <c r="AD62" s="1785"/>
      <c r="AE62" s="2318"/>
    </row>
    <row r="63" spans="3:31">
      <c r="AB63" s="1785"/>
      <c r="AC63" s="2318"/>
      <c r="AD63" s="1785"/>
      <c r="AE63" s="2318"/>
    </row>
    <row r="64" spans="3:31">
      <c r="AB64" s="1785"/>
      <c r="AC64" s="2318"/>
      <c r="AD64" s="1785"/>
      <c r="AE64" s="2318"/>
    </row>
    <row r="65" spans="28:31">
      <c r="AB65" s="1785"/>
      <c r="AC65" s="2318"/>
      <c r="AD65" s="1785"/>
      <c r="AE65" s="2318"/>
    </row>
    <row r="66" spans="28:31">
      <c r="AB66" s="1785"/>
      <c r="AC66" s="2318"/>
      <c r="AD66" s="1785"/>
      <c r="AE66" s="2318"/>
    </row>
  </sheetData>
  <sheetProtection algorithmName="SHA-512" hashValue="OCcrfDQFeMwDxhzaq5Fv/raSupojnAwK3XdFmH0I6V2QT7RGYnFrUvu0Vr2YXfGw2s7fyX95qoYRNYOXtRbCAg==" saltValue="4ZNjMfZU4051NXcf4YGaO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10:H10" name="Rango1_4"/>
    <protectedRange algorithmName="SHA-512" hashValue="Uds9cYMsxnQI1SjFHe8NNqfDC/fFeray9QhmtAdG/GCgT0L97QBkFAQ9tCw5vTy3J/lQFdDpBTyQoZDg0KZNmQ==" saltValue="0HoWkw5WsZ+PdZDtJpkerg==" spinCount="100000" sqref="K10" name="Rango1_1_2"/>
    <protectedRange algorithmName="SHA-512" hashValue="Uds9cYMsxnQI1SjFHe8NNqfDC/fFeray9QhmtAdG/GCgT0L97QBkFAQ9tCw5vTy3J/lQFdDpBTyQoZDg0KZNmQ==" saltValue="0HoWkw5WsZ+PdZDtJpkerg==" spinCount="100000" sqref="D38:K38" name="Rango1_2_1"/>
    <protectedRange algorithmName="SHA-512" hashValue="Uds9cYMsxnQI1SjFHe8NNqfDC/fFeray9QhmtAdG/GCgT0L97QBkFAQ9tCw5vTy3J/lQFdDpBTyQoZDg0KZNmQ==" saltValue="0HoWkw5WsZ+PdZDtJpkerg==" spinCount="100000" sqref="AD36:AD37" name="Rango1_3_1"/>
    <protectedRange algorithmName="SHA-512" hashValue="Uds9cYMsxnQI1SjFHe8NNqfDC/fFeray9QhmtAdG/GCgT0L97QBkFAQ9tCw5vTy3J/lQFdDpBTyQoZDg0KZNmQ==" saltValue="0HoWkw5WsZ+PdZDtJpkerg==" spinCount="100000" sqref="AX36:AX37" name="Rango1_1_1_1"/>
  </protectedRanges>
  <mergeCells count="39">
    <mergeCell ref="A45:K45"/>
    <mergeCell ref="C27:C33"/>
    <mergeCell ref="B34:B38"/>
    <mergeCell ref="C35:C38"/>
    <mergeCell ref="A39:K39"/>
    <mergeCell ref="A40:A44"/>
    <mergeCell ref="B40:B43"/>
    <mergeCell ref="A9:A38"/>
    <mergeCell ref="B9:B10"/>
    <mergeCell ref="B11:B33"/>
    <mergeCell ref="C12:C18"/>
    <mergeCell ref="C19:C21"/>
    <mergeCell ref="AO5:AQ7"/>
    <mergeCell ref="AR5:AT7"/>
    <mergeCell ref="AU5:AW7"/>
    <mergeCell ref="AX5:AY7"/>
    <mergeCell ref="A8:K8"/>
    <mergeCell ref="X5:Z7"/>
    <mergeCell ref="AA5:AC7"/>
    <mergeCell ref="AD5:AE7"/>
    <mergeCell ref="AF5:AH7"/>
    <mergeCell ref="AI5:AK7"/>
    <mergeCell ref="AL5:AN7"/>
    <mergeCell ref="H5:J6"/>
    <mergeCell ref="K5:K7"/>
    <mergeCell ref="L5:N7"/>
    <mergeCell ref="O5:Q7"/>
    <mergeCell ref="R5:T7"/>
    <mergeCell ref="U5:W7"/>
    <mergeCell ref="C1:K1"/>
    <mergeCell ref="A2:K2"/>
    <mergeCell ref="A3:K3"/>
    <mergeCell ref="A5:A7"/>
    <mergeCell ref="B5:B7"/>
    <mergeCell ref="C5:C7"/>
    <mergeCell ref="D5:D7"/>
    <mergeCell ref="E5:E7"/>
    <mergeCell ref="F5:F7"/>
    <mergeCell ref="G5:G7"/>
  </mergeCells>
  <conditionalFormatting sqref="N9:N35 N38">
    <cfRule type="cellIs" dxfId="4019" priority="276" operator="greaterThan">
      <formula>110%</formula>
    </cfRule>
    <cfRule type="cellIs" dxfId="4018" priority="277" operator="between">
      <formula>100.001%</formula>
      <formula>110%</formula>
    </cfRule>
    <cfRule type="cellIs" dxfId="4017" priority="278" operator="between">
      <formula>70.001%</formula>
      <formula>100%</formula>
    </cfRule>
    <cfRule type="cellIs" dxfId="4016" priority="279" operator="between">
      <formula>0.00001%</formula>
      <formula>70%</formula>
    </cfRule>
    <cfRule type="cellIs" dxfId="4015" priority="280" operator="equal">
      <formula>0</formula>
    </cfRule>
  </conditionalFormatting>
  <conditionalFormatting sqref="N40:N44 N46">
    <cfRule type="cellIs" dxfId="4014" priority="271" operator="greaterThan">
      <formula>110%</formula>
    </cfRule>
    <cfRule type="cellIs" dxfId="4013" priority="272" operator="between">
      <formula>100.001%</formula>
      <formula>110%</formula>
    </cfRule>
    <cfRule type="cellIs" dxfId="4012" priority="273" operator="between">
      <formula>70.001%</formula>
      <formula>100%</formula>
    </cfRule>
    <cfRule type="cellIs" dxfId="4011" priority="274" operator="between">
      <formula>0.00001%</formula>
      <formula>70%</formula>
    </cfRule>
    <cfRule type="cellIs" dxfId="4010" priority="275" operator="equal">
      <formula>0</formula>
    </cfRule>
  </conditionalFormatting>
  <conditionalFormatting sqref="Q9:Q35 Q38">
    <cfRule type="cellIs" dxfId="4009" priority="266" operator="greaterThan">
      <formula>110%</formula>
    </cfRule>
    <cfRule type="cellIs" dxfId="4008" priority="267" operator="between">
      <formula>100.001%</formula>
      <formula>110%</formula>
    </cfRule>
    <cfRule type="cellIs" dxfId="4007" priority="268" operator="between">
      <formula>70.001%</formula>
      <formula>100%</formula>
    </cfRule>
    <cfRule type="cellIs" dxfId="4006" priority="269" operator="between">
      <formula>0.00001%</formula>
      <formula>70%</formula>
    </cfRule>
    <cfRule type="cellIs" dxfId="4005" priority="270" operator="equal">
      <formula>0</formula>
    </cfRule>
  </conditionalFormatting>
  <conditionalFormatting sqref="Q40:Q44 Q46">
    <cfRule type="cellIs" dxfId="4004" priority="261" operator="greaterThan">
      <formula>110%</formula>
    </cfRule>
    <cfRule type="cellIs" dxfId="4003" priority="262" operator="between">
      <formula>100.001%</formula>
      <formula>110%</formula>
    </cfRule>
    <cfRule type="cellIs" dxfId="4002" priority="263" operator="between">
      <formula>70.001%</formula>
      <formula>100%</formula>
    </cfRule>
    <cfRule type="cellIs" dxfId="4001" priority="264" operator="between">
      <formula>0.00001%</formula>
      <formula>70%</formula>
    </cfRule>
    <cfRule type="cellIs" dxfId="4000" priority="265" operator="equal">
      <formula>0</formula>
    </cfRule>
  </conditionalFormatting>
  <conditionalFormatting sqref="T9:T35 T38">
    <cfRule type="cellIs" dxfId="3999" priority="256" operator="greaterThan">
      <formula>110%</formula>
    </cfRule>
    <cfRule type="cellIs" dxfId="3998" priority="257" operator="between">
      <formula>100.001%</formula>
      <formula>110%</formula>
    </cfRule>
    <cfRule type="cellIs" dxfId="3997" priority="258" operator="between">
      <formula>70.001%</formula>
      <formula>100%</formula>
    </cfRule>
    <cfRule type="cellIs" dxfId="3996" priority="259" operator="between">
      <formula>0.00001%</formula>
      <formula>70%</formula>
    </cfRule>
    <cfRule type="cellIs" dxfId="3995" priority="260" operator="equal">
      <formula>0</formula>
    </cfRule>
  </conditionalFormatting>
  <conditionalFormatting sqref="T40:T44 T46">
    <cfRule type="cellIs" dxfId="3994" priority="251" operator="greaterThan">
      <formula>110%</formula>
    </cfRule>
    <cfRule type="cellIs" dxfId="3993" priority="252" operator="between">
      <formula>100.001%</formula>
      <formula>110%</formula>
    </cfRule>
    <cfRule type="cellIs" dxfId="3992" priority="253" operator="between">
      <formula>70.001%</formula>
      <formula>100%</formula>
    </cfRule>
    <cfRule type="cellIs" dxfId="3991" priority="254" operator="between">
      <formula>0.00001%</formula>
      <formula>70%</formula>
    </cfRule>
    <cfRule type="cellIs" dxfId="3990" priority="255" operator="equal">
      <formula>0</formula>
    </cfRule>
  </conditionalFormatting>
  <conditionalFormatting sqref="W9:W35 W38">
    <cfRule type="cellIs" dxfId="3989" priority="246" operator="greaterThan">
      <formula>110%</formula>
    </cfRule>
    <cfRule type="cellIs" dxfId="3988" priority="247" operator="between">
      <formula>100.001%</formula>
      <formula>110%</formula>
    </cfRule>
    <cfRule type="cellIs" dxfId="3987" priority="248" operator="between">
      <formula>70.001%</formula>
      <formula>100%</formula>
    </cfRule>
    <cfRule type="cellIs" dxfId="3986" priority="249" operator="between">
      <formula>0.00001%</formula>
      <formula>70%</formula>
    </cfRule>
    <cfRule type="cellIs" dxfId="3985" priority="250" operator="equal">
      <formula>0</formula>
    </cfRule>
  </conditionalFormatting>
  <conditionalFormatting sqref="W40:W44 W46">
    <cfRule type="cellIs" dxfId="3984" priority="241" operator="greaterThan">
      <formula>110%</formula>
    </cfRule>
    <cfRule type="cellIs" dxfId="3983" priority="242" operator="between">
      <formula>100.001%</formula>
      <formula>110%</formula>
    </cfRule>
    <cfRule type="cellIs" dxfId="3982" priority="243" operator="between">
      <formula>70.001%</formula>
      <formula>100%</formula>
    </cfRule>
    <cfRule type="cellIs" dxfId="3981" priority="244" operator="between">
      <formula>0.00001%</formula>
      <formula>70%</formula>
    </cfRule>
    <cfRule type="cellIs" dxfId="3980" priority="245" operator="equal">
      <formula>0</formula>
    </cfRule>
  </conditionalFormatting>
  <conditionalFormatting sqref="Z11:Z35 Z38">
    <cfRule type="cellIs" dxfId="3979" priority="236" operator="greaterThan">
      <formula>110%</formula>
    </cfRule>
    <cfRule type="cellIs" dxfId="3978" priority="237" operator="between">
      <formula>100.001%</formula>
      <formula>110%</formula>
    </cfRule>
    <cfRule type="cellIs" dxfId="3977" priority="238" operator="between">
      <formula>70.001%</formula>
      <formula>100%</formula>
    </cfRule>
    <cfRule type="cellIs" dxfId="3976" priority="239" operator="between">
      <formula>0.00001%</formula>
      <formula>70%</formula>
    </cfRule>
    <cfRule type="cellIs" dxfId="3975" priority="240" operator="equal">
      <formula>0</formula>
    </cfRule>
  </conditionalFormatting>
  <conditionalFormatting sqref="Z40:Z44 Z46">
    <cfRule type="cellIs" dxfId="3974" priority="231" operator="greaterThan">
      <formula>110%</formula>
    </cfRule>
    <cfRule type="cellIs" dxfId="3973" priority="232" operator="between">
      <formula>100.001%</formula>
      <formula>110%</formula>
    </cfRule>
    <cfRule type="cellIs" dxfId="3972" priority="233" operator="between">
      <formula>70.001%</formula>
      <formula>100%</formula>
    </cfRule>
    <cfRule type="cellIs" dxfId="3971" priority="234" operator="between">
      <formula>0.00001%</formula>
      <formula>70%</formula>
    </cfRule>
    <cfRule type="cellIs" dxfId="3970" priority="235" operator="equal">
      <formula>0</formula>
    </cfRule>
  </conditionalFormatting>
  <conditionalFormatting sqref="AC9:AC35 AC38">
    <cfRule type="cellIs" dxfId="3969" priority="226" operator="greaterThan">
      <formula>110%</formula>
    </cfRule>
    <cfRule type="cellIs" dxfId="3968" priority="227" operator="between">
      <formula>100.001%</formula>
      <formula>110%</formula>
    </cfRule>
    <cfRule type="cellIs" dxfId="3967" priority="228" operator="between">
      <formula>70.001%</formula>
      <formula>100%</formula>
    </cfRule>
    <cfRule type="cellIs" dxfId="3966" priority="229" operator="between">
      <formula>0.00001%</formula>
      <formula>70%</formula>
    </cfRule>
    <cfRule type="cellIs" dxfId="3965" priority="230" operator="equal">
      <formula>0</formula>
    </cfRule>
  </conditionalFormatting>
  <conditionalFormatting sqref="AC40:AC44 AC46">
    <cfRule type="cellIs" dxfId="3964" priority="221" operator="greaterThan">
      <formula>110%</formula>
    </cfRule>
    <cfRule type="cellIs" dxfId="3963" priority="222" operator="between">
      <formula>100.001%</formula>
      <formula>110%</formula>
    </cfRule>
    <cfRule type="cellIs" dxfId="3962" priority="223" operator="between">
      <formula>70.001%</formula>
      <formula>100%</formula>
    </cfRule>
    <cfRule type="cellIs" dxfId="3961" priority="224" operator="between">
      <formula>0.00001%</formula>
      <formula>70%</formula>
    </cfRule>
    <cfRule type="cellIs" dxfId="3960" priority="225" operator="equal">
      <formula>0</formula>
    </cfRule>
  </conditionalFormatting>
  <conditionalFormatting sqref="AE40:AE44 AE46 AE9:AE35 AE38">
    <cfRule type="cellIs" dxfId="3959" priority="216" operator="greaterThan">
      <formula>110%</formula>
    </cfRule>
    <cfRule type="cellIs" dxfId="3958" priority="217" operator="between">
      <formula>100.001%</formula>
      <formula>110%</formula>
    </cfRule>
    <cfRule type="cellIs" dxfId="3957" priority="218" operator="between">
      <formula>70.001%</formula>
      <formula>100%</formula>
    </cfRule>
    <cfRule type="cellIs" dxfId="3956" priority="219" operator="between">
      <formula>0.00001%</formula>
      <formula>70%</formula>
    </cfRule>
    <cfRule type="cellIs" dxfId="3955" priority="220" operator="equal">
      <formula>0</formula>
    </cfRule>
  </conditionalFormatting>
  <conditionalFormatting sqref="AH9:AH35 AH38">
    <cfRule type="cellIs" dxfId="3954" priority="211" operator="greaterThan">
      <formula>110%</formula>
    </cfRule>
    <cfRule type="cellIs" dxfId="3953" priority="212" operator="between">
      <formula>100.001%</formula>
      <formula>110%</formula>
    </cfRule>
    <cfRule type="cellIs" dxfId="3952" priority="213" operator="between">
      <formula>70.001%</formula>
      <formula>100%</formula>
    </cfRule>
    <cfRule type="cellIs" dxfId="3951" priority="214" operator="between">
      <formula>0.00001%</formula>
      <formula>70%</formula>
    </cfRule>
    <cfRule type="cellIs" dxfId="3950" priority="215" operator="equal">
      <formula>0</formula>
    </cfRule>
  </conditionalFormatting>
  <conditionalFormatting sqref="AH40:AH44 AH46">
    <cfRule type="cellIs" dxfId="3949" priority="206" operator="greaterThan">
      <formula>110%</formula>
    </cfRule>
    <cfRule type="cellIs" dxfId="3948" priority="207" operator="between">
      <formula>100.001%</formula>
      <formula>110%</formula>
    </cfRule>
    <cfRule type="cellIs" dxfId="3947" priority="208" operator="between">
      <formula>70.001%</formula>
      <formula>100%</formula>
    </cfRule>
    <cfRule type="cellIs" dxfId="3946" priority="209" operator="between">
      <formula>0.00001%</formula>
      <formula>70%</formula>
    </cfRule>
    <cfRule type="cellIs" dxfId="3945" priority="210" operator="equal">
      <formula>0</formula>
    </cfRule>
  </conditionalFormatting>
  <conditionalFormatting sqref="AK9:AK35 AK38">
    <cfRule type="cellIs" dxfId="3944" priority="201" operator="greaterThan">
      <formula>110%</formula>
    </cfRule>
    <cfRule type="cellIs" dxfId="3943" priority="202" operator="between">
      <formula>100.001%</formula>
      <formula>110%</formula>
    </cfRule>
    <cfRule type="cellIs" dxfId="3942" priority="203" operator="between">
      <formula>70.001%</formula>
      <formula>100%</formula>
    </cfRule>
    <cfRule type="cellIs" dxfId="3941" priority="204" operator="between">
      <formula>0.00001%</formula>
      <formula>70%</formula>
    </cfRule>
    <cfRule type="cellIs" dxfId="3940" priority="205" operator="equal">
      <formula>0</formula>
    </cfRule>
  </conditionalFormatting>
  <conditionalFormatting sqref="AK40:AK44 AK46">
    <cfRule type="cellIs" dxfId="3939" priority="196" operator="greaterThan">
      <formula>110%</formula>
    </cfRule>
    <cfRule type="cellIs" dxfId="3938" priority="197" operator="between">
      <formula>100.001%</formula>
      <formula>110%</formula>
    </cfRule>
    <cfRule type="cellIs" dxfId="3937" priority="198" operator="between">
      <formula>70.001%</formula>
      <formula>100%</formula>
    </cfRule>
    <cfRule type="cellIs" dxfId="3936" priority="199" operator="between">
      <formula>0.00001%</formula>
      <formula>70%</formula>
    </cfRule>
    <cfRule type="cellIs" dxfId="3935" priority="200" operator="equal">
      <formula>0</formula>
    </cfRule>
  </conditionalFormatting>
  <conditionalFormatting sqref="AN9:AN35 AN38">
    <cfRule type="cellIs" dxfId="3934" priority="191" operator="greaterThan">
      <formula>110%</formula>
    </cfRule>
    <cfRule type="cellIs" dxfId="3933" priority="192" operator="between">
      <formula>100.001%</formula>
      <formula>110%</formula>
    </cfRule>
    <cfRule type="cellIs" dxfId="3932" priority="193" operator="between">
      <formula>70.001%</formula>
      <formula>100%</formula>
    </cfRule>
    <cfRule type="cellIs" dxfId="3931" priority="194" operator="between">
      <formula>0.00001%</formula>
      <formula>70%</formula>
    </cfRule>
    <cfRule type="cellIs" dxfId="3930" priority="195" operator="equal">
      <formula>0</formula>
    </cfRule>
  </conditionalFormatting>
  <conditionalFormatting sqref="AN40:AN44 AN46">
    <cfRule type="cellIs" dxfId="3929" priority="186" operator="greaterThan">
      <formula>110%</formula>
    </cfRule>
    <cfRule type="cellIs" dxfId="3928" priority="187" operator="between">
      <formula>100.001%</formula>
      <formula>110%</formula>
    </cfRule>
    <cfRule type="cellIs" dxfId="3927" priority="188" operator="between">
      <formula>70.001%</formula>
      <formula>100%</formula>
    </cfRule>
    <cfRule type="cellIs" dxfId="3926" priority="189" operator="between">
      <formula>0.00001%</formula>
      <formula>70%</formula>
    </cfRule>
    <cfRule type="cellIs" dxfId="3925" priority="190" operator="equal">
      <formula>0</formula>
    </cfRule>
  </conditionalFormatting>
  <conditionalFormatting sqref="AQ9:AQ35 AQ38">
    <cfRule type="cellIs" dxfId="3924" priority="181" operator="greaterThan">
      <formula>110%</formula>
    </cfRule>
    <cfRule type="cellIs" dxfId="3923" priority="182" operator="between">
      <formula>100.001%</formula>
      <formula>110%</formula>
    </cfRule>
    <cfRule type="cellIs" dxfId="3922" priority="183" operator="between">
      <formula>70.001%</formula>
      <formula>100%</formula>
    </cfRule>
    <cfRule type="cellIs" dxfId="3921" priority="184" operator="between">
      <formula>0.00001%</formula>
      <formula>70%</formula>
    </cfRule>
    <cfRule type="cellIs" dxfId="3920" priority="185" operator="equal">
      <formula>0</formula>
    </cfRule>
  </conditionalFormatting>
  <conditionalFormatting sqref="AQ40:AQ44 AQ46">
    <cfRule type="cellIs" dxfId="3919" priority="176" operator="greaterThan">
      <formula>110%</formula>
    </cfRule>
    <cfRule type="cellIs" dxfId="3918" priority="177" operator="between">
      <formula>100.001%</formula>
      <formula>110%</formula>
    </cfRule>
    <cfRule type="cellIs" dxfId="3917" priority="178" operator="between">
      <formula>70.001%</formula>
      <formula>100%</formula>
    </cfRule>
    <cfRule type="cellIs" dxfId="3916" priority="179" operator="between">
      <formula>0.00001%</formula>
      <formula>70%</formula>
    </cfRule>
    <cfRule type="cellIs" dxfId="3915" priority="180" operator="equal">
      <formula>0</formula>
    </cfRule>
  </conditionalFormatting>
  <conditionalFormatting sqref="AT9:AT35 AT38">
    <cfRule type="cellIs" dxfId="3914" priority="171" operator="greaterThan">
      <formula>110%</formula>
    </cfRule>
    <cfRule type="cellIs" dxfId="3913" priority="172" operator="between">
      <formula>100.001%</formula>
      <formula>110%</formula>
    </cfRule>
    <cfRule type="cellIs" dxfId="3912" priority="173" operator="between">
      <formula>70.001%</formula>
      <formula>100%</formula>
    </cfRule>
    <cfRule type="cellIs" dxfId="3911" priority="174" operator="between">
      <formula>0.00001%</formula>
      <formula>70%</formula>
    </cfRule>
    <cfRule type="cellIs" dxfId="3910" priority="175" operator="equal">
      <formula>0</formula>
    </cfRule>
  </conditionalFormatting>
  <conditionalFormatting sqref="AT40:AT44 AT46">
    <cfRule type="cellIs" dxfId="3909" priority="166" operator="greaterThan">
      <formula>110%</formula>
    </cfRule>
    <cfRule type="cellIs" dxfId="3908" priority="167" operator="between">
      <formula>100.001%</formula>
      <formula>110%</formula>
    </cfRule>
    <cfRule type="cellIs" dxfId="3907" priority="168" operator="between">
      <formula>70.001%</formula>
      <formula>100%</formula>
    </cfRule>
    <cfRule type="cellIs" dxfId="3906" priority="169" operator="between">
      <formula>0.00001%</formula>
      <formula>70%</formula>
    </cfRule>
    <cfRule type="cellIs" dxfId="3905" priority="170" operator="equal">
      <formula>0</formula>
    </cfRule>
  </conditionalFormatting>
  <conditionalFormatting sqref="AW9:AW35 AW38">
    <cfRule type="cellIs" dxfId="3904" priority="161" operator="greaterThan">
      <formula>110%</formula>
    </cfRule>
    <cfRule type="cellIs" dxfId="3903" priority="162" operator="between">
      <formula>100.001%</formula>
      <formula>110%</formula>
    </cfRule>
    <cfRule type="cellIs" dxfId="3902" priority="163" operator="between">
      <formula>70.001%</formula>
      <formula>100%</formula>
    </cfRule>
    <cfRule type="cellIs" dxfId="3901" priority="164" operator="between">
      <formula>0.00001%</formula>
      <formula>70%</formula>
    </cfRule>
    <cfRule type="cellIs" dxfId="3900" priority="165" operator="equal">
      <formula>0</formula>
    </cfRule>
  </conditionalFormatting>
  <conditionalFormatting sqref="AW40:AW44 AW46">
    <cfRule type="cellIs" dxfId="3899" priority="156" operator="greaterThan">
      <formula>110%</formula>
    </cfRule>
    <cfRule type="cellIs" dxfId="3898" priority="157" operator="between">
      <formula>100.001%</formula>
      <formula>110%</formula>
    </cfRule>
    <cfRule type="cellIs" dxfId="3897" priority="158" operator="between">
      <formula>70.001%</formula>
      <formula>100%</formula>
    </cfRule>
    <cfRule type="cellIs" dxfId="3896" priority="159" operator="between">
      <formula>0.00001%</formula>
      <formula>70%</formula>
    </cfRule>
    <cfRule type="cellIs" dxfId="3895" priority="160" operator="equal">
      <formula>0</formula>
    </cfRule>
  </conditionalFormatting>
  <conditionalFormatting sqref="AY9:AY35 AY38">
    <cfRule type="cellIs" dxfId="3894" priority="151" operator="greaterThan">
      <formula>110%</formula>
    </cfRule>
    <cfRule type="cellIs" dxfId="3893" priority="152" operator="between">
      <formula>100.001%</formula>
      <formula>110%</formula>
    </cfRule>
    <cfRule type="cellIs" dxfId="3892" priority="153" operator="between">
      <formula>70.001%</formula>
      <formula>100%</formula>
    </cfRule>
    <cfRule type="cellIs" dxfId="3891" priority="154" operator="between">
      <formula>0.00001%</formula>
      <formula>70%</formula>
    </cfRule>
    <cfRule type="cellIs" dxfId="3890" priority="155" operator="equal">
      <formula>0</formula>
    </cfRule>
  </conditionalFormatting>
  <conditionalFormatting sqref="AY40:AY44 AY46">
    <cfRule type="cellIs" dxfId="3889" priority="146" operator="greaterThan">
      <formula>110%</formula>
    </cfRule>
    <cfRule type="cellIs" dxfId="3888" priority="147" operator="between">
      <formula>100.001%</formula>
      <formula>110%</formula>
    </cfRule>
    <cfRule type="cellIs" dxfId="3887" priority="148" operator="between">
      <formula>70.001%</formula>
      <formula>100%</formula>
    </cfRule>
    <cfRule type="cellIs" dxfId="3886" priority="149" operator="between">
      <formula>0.00001%</formula>
      <formula>70%</formula>
    </cfRule>
    <cfRule type="cellIs" dxfId="3885" priority="150" operator="equal">
      <formula>0</formula>
    </cfRule>
  </conditionalFormatting>
  <conditionalFormatting sqref="Z9:Z10">
    <cfRule type="cellIs" dxfId="3884" priority="141" operator="greaterThan">
      <formula>110%</formula>
    </cfRule>
    <cfRule type="cellIs" dxfId="3883" priority="142" operator="between">
      <formula>100.001%</formula>
      <formula>110%</formula>
    </cfRule>
    <cfRule type="cellIs" dxfId="3882" priority="143" operator="between">
      <formula>70.001%</formula>
      <formula>100%</formula>
    </cfRule>
    <cfRule type="cellIs" dxfId="3881" priority="144" operator="between">
      <formula>0.00001%</formula>
      <formula>70%</formula>
    </cfRule>
    <cfRule type="cellIs" dxfId="3880" priority="145" operator="equal">
      <formula>0</formula>
    </cfRule>
  </conditionalFormatting>
  <conditionalFormatting sqref="N36">
    <cfRule type="cellIs" dxfId="3879" priority="136" operator="greaterThan">
      <formula>110%</formula>
    </cfRule>
    <cfRule type="cellIs" dxfId="3878" priority="137" operator="between">
      <formula>100.001%</formula>
      <formula>110%</formula>
    </cfRule>
    <cfRule type="cellIs" dxfId="3877" priority="138" operator="between">
      <formula>70.001%</formula>
      <formula>100%</formula>
    </cfRule>
    <cfRule type="cellIs" dxfId="3876" priority="139" operator="between">
      <formula>0.00001%</formula>
      <formula>70%</formula>
    </cfRule>
    <cfRule type="cellIs" dxfId="3875" priority="140" operator="equal">
      <formula>0%</formula>
    </cfRule>
  </conditionalFormatting>
  <conditionalFormatting sqref="Q36">
    <cfRule type="cellIs" dxfId="3874" priority="131" operator="greaterThan">
      <formula>110%</formula>
    </cfRule>
    <cfRule type="cellIs" dxfId="3873" priority="132" operator="between">
      <formula>100.001%</formula>
      <formula>110%</formula>
    </cfRule>
    <cfRule type="cellIs" dxfId="3872" priority="133" operator="between">
      <formula>70.001%</formula>
      <formula>100%</formula>
    </cfRule>
    <cfRule type="cellIs" dxfId="3871" priority="134" operator="between">
      <formula>0.00001%</formula>
      <formula>70%</formula>
    </cfRule>
    <cfRule type="cellIs" dxfId="3870" priority="135" operator="equal">
      <formula>0%</formula>
    </cfRule>
  </conditionalFormatting>
  <conditionalFormatting sqref="T36">
    <cfRule type="cellIs" dxfId="3869" priority="126" operator="greaterThan">
      <formula>110%</formula>
    </cfRule>
    <cfRule type="cellIs" dxfId="3868" priority="127" operator="between">
      <formula>100.001%</formula>
      <formula>110%</formula>
    </cfRule>
    <cfRule type="cellIs" dxfId="3867" priority="128" operator="between">
      <formula>70.001%</formula>
      <formula>100%</formula>
    </cfRule>
    <cfRule type="cellIs" dxfId="3866" priority="129" operator="between">
      <formula>0.00001%</formula>
      <formula>70%</formula>
    </cfRule>
    <cfRule type="cellIs" dxfId="3865" priority="130" operator="equal">
      <formula>0%</formula>
    </cfRule>
  </conditionalFormatting>
  <conditionalFormatting sqref="W36">
    <cfRule type="cellIs" dxfId="3864" priority="121" operator="greaterThan">
      <formula>110%</formula>
    </cfRule>
    <cfRule type="cellIs" dxfId="3863" priority="122" operator="between">
      <formula>100.001%</formula>
      <formula>110%</formula>
    </cfRule>
    <cfRule type="cellIs" dxfId="3862" priority="123" operator="between">
      <formula>70.001%</formula>
      <formula>100%</formula>
    </cfRule>
    <cfRule type="cellIs" dxfId="3861" priority="124" operator="between">
      <formula>0.00001%</formula>
      <formula>70%</formula>
    </cfRule>
    <cfRule type="cellIs" dxfId="3860" priority="125" operator="equal">
      <formula>0%</formula>
    </cfRule>
  </conditionalFormatting>
  <conditionalFormatting sqref="Z36">
    <cfRule type="cellIs" dxfId="3859" priority="116" operator="greaterThan">
      <formula>110%</formula>
    </cfRule>
    <cfRule type="cellIs" dxfId="3858" priority="117" operator="between">
      <formula>100.001%</formula>
      <formula>110%</formula>
    </cfRule>
    <cfRule type="cellIs" dxfId="3857" priority="118" operator="between">
      <formula>70.001%</formula>
      <formula>100%</formula>
    </cfRule>
    <cfRule type="cellIs" dxfId="3856" priority="119" operator="between">
      <formula>0.00001%</formula>
      <formula>70%</formula>
    </cfRule>
    <cfRule type="cellIs" dxfId="3855" priority="120" operator="equal">
      <formula>0%</formula>
    </cfRule>
  </conditionalFormatting>
  <conditionalFormatting sqref="AC36">
    <cfRule type="cellIs" dxfId="3854" priority="111" operator="greaterThan">
      <formula>110%</formula>
    </cfRule>
    <cfRule type="cellIs" dxfId="3853" priority="112" operator="between">
      <formula>100.001%</formula>
      <formula>110%</formula>
    </cfRule>
    <cfRule type="cellIs" dxfId="3852" priority="113" operator="between">
      <formula>70.001%</formula>
      <formula>100%</formula>
    </cfRule>
    <cfRule type="cellIs" dxfId="3851" priority="114" operator="between">
      <formula>0.00001%</formula>
      <formula>70%</formula>
    </cfRule>
    <cfRule type="cellIs" dxfId="3850" priority="115" operator="equal">
      <formula>0%</formula>
    </cfRule>
  </conditionalFormatting>
  <conditionalFormatting sqref="AE36">
    <cfRule type="cellIs" dxfId="3849" priority="106" operator="greaterThan">
      <formula>110%</formula>
    </cfRule>
    <cfRule type="cellIs" dxfId="3848" priority="107" operator="between">
      <formula>100.001%</formula>
      <formula>110%</formula>
    </cfRule>
    <cfRule type="cellIs" dxfId="3847" priority="108" operator="between">
      <formula>70.001%</formula>
      <formula>100%</formula>
    </cfRule>
    <cfRule type="cellIs" dxfId="3846" priority="109" operator="between">
      <formula>0.00001%</formula>
      <formula>70%</formula>
    </cfRule>
    <cfRule type="cellIs" dxfId="3845" priority="110" operator="equal">
      <formula>0%</formula>
    </cfRule>
  </conditionalFormatting>
  <conditionalFormatting sqref="AH36">
    <cfRule type="cellIs" dxfId="3844" priority="101" operator="greaterThan">
      <formula>110%</formula>
    </cfRule>
    <cfRule type="cellIs" dxfId="3843" priority="102" operator="between">
      <formula>100.001%</formula>
      <formula>110%</formula>
    </cfRule>
    <cfRule type="cellIs" dxfId="3842" priority="103" operator="between">
      <formula>70.001%</formula>
      <formula>100%</formula>
    </cfRule>
    <cfRule type="cellIs" dxfId="3841" priority="104" operator="between">
      <formula>0.00001%</formula>
      <formula>70%</formula>
    </cfRule>
    <cfRule type="cellIs" dxfId="3840" priority="105" operator="equal">
      <formula>0%</formula>
    </cfRule>
  </conditionalFormatting>
  <conditionalFormatting sqref="AK36">
    <cfRule type="cellIs" dxfId="3839" priority="96" operator="greaterThan">
      <formula>110%</formula>
    </cfRule>
    <cfRule type="cellIs" dxfId="3838" priority="97" operator="between">
      <formula>100.001%</formula>
      <formula>110%</formula>
    </cfRule>
    <cfRule type="cellIs" dxfId="3837" priority="98" operator="between">
      <formula>70.001%</formula>
      <formula>100%</formula>
    </cfRule>
    <cfRule type="cellIs" dxfId="3836" priority="99" operator="between">
      <formula>0.00001%</formula>
      <formula>70%</formula>
    </cfRule>
    <cfRule type="cellIs" dxfId="3835" priority="100" operator="equal">
      <formula>0%</formula>
    </cfRule>
  </conditionalFormatting>
  <conditionalFormatting sqref="AN36">
    <cfRule type="cellIs" dxfId="3834" priority="91" operator="greaterThan">
      <formula>110%</formula>
    </cfRule>
    <cfRule type="cellIs" dxfId="3833" priority="92" operator="between">
      <formula>100.001%</formula>
      <formula>110%</formula>
    </cfRule>
    <cfRule type="cellIs" dxfId="3832" priority="93" operator="between">
      <formula>70.001%</formula>
      <formula>100%</formula>
    </cfRule>
    <cfRule type="cellIs" dxfId="3831" priority="94" operator="between">
      <formula>0.00001%</formula>
      <formula>70%</formula>
    </cfRule>
    <cfRule type="cellIs" dxfId="3830" priority="95" operator="equal">
      <formula>0%</formula>
    </cfRule>
  </conditionalFormatting>
  <conditionalFormatting sqref="AQ36">
    <cfRule type="cellIs" dxfId="3829" priority="86" operator="greaterThan">
      <formula>110%</formula>
    </cfRule>
    <cfRule type="cellIs" dxfId="3828" priority="87" operator="between">
      <formula>100.001%</formula>
      <formula>110%</formula>
    </cfRule>
    <cfRule type="cellIs" dxfId="3827" priority="88" operator="between">
      <formula>70.001%</formula>
      <formula>100%</formula>
    </cfRule>
    <cfRule type="cellIs" dxfId="3826" priority="89" operator="between">
      <formula>0.00001%</formula>
      <formula>70%</formula>
    </cfRule>
    <cfRule type="cellIs" dxfId="3825" priority="90" operator="equal">
      <formula>0%</formula>
    </cfRule>
  </conditionalFormatting>
  <conditionalFormatting sqref="AT36">
    <cfRule type="cellIs" dxfId="3824" priority="81" operator="greaterThan">
      <formula>110%</formula>
    </cfRule>
    <cfRule type="cellIs" dxfId="3823" priority="82" operator="between">
      <formula>100.001%</formula>
      <formula>110%</formula>
    </cfRule>
    <cfRule type="cellIs" dxfId="3822" priority="83" operator="between">
      <formula>70.001%</formula>
      <formula>100%</formula>
    </cfRule>
    <cfRule type="cellIs" dxfId="3821" priority="84" operator="between">
      <formula>0.00001%</formula>
      <formula>70%</formula>
    </cfRule>
    <cfRule type="cellIs" dxfId="3820" priority="85" operator="equal">
      <formula>0%</formula>
    </cfRule>
  </conditionalFormatting>
  <conditionalFormatting sqref="AW36">
    <cfRule type="cellIs" dxfId="3819" priority="76" operator="greaterThan">
      <formula>110%</formula>
    </cfRule>
    <cfRule type="cellIs" dxfId="3818" priority="77" operator="between">
      <formula>100.001%</formula>
      <formula>110%</formula>
    </cfRule>
    <cfRule type="cellIs" dxfId="3817" priority="78" operator="between">
      <formula>70.001%</formula>
      <formula>100%</formula>
    </cfRule>
    <cfRule type="cellIs" dxfId="3816" priority="79" operator="between">
      <formula>0.00001%</formula>
      <formula>70%</formula>
    </cfRule>
    <cfRule type="cellIs" dxfId="3815" priority="80" operator="equal">
      <formula>0%</formula>
    </cfRule>
  </conditionalFormatting>
  <conditionalFormatting sqref="AY36">
    <cfRule type="cellIs" dxfId="3814" priority="71" operator="greaterThan">
      <formula>110%</formula>
    </cfRule>
    <cfRule type="cellIs" dxfId="3813" priority="72" operator="between">
      <formula>100.001%</formula>
      <formula>110%</formula>
    </cfRule>
    <cfRule type="cellIs" dxfId="3812" priority="73" operator="between">
      <formula>70.001%</formula>
      <formula>100%</formula>
    </cfRule>
    <cfRule type="cellIs" dxfId="3811" priority="74" operator="between">
      <formula>0.00001%</formula>
      <formula>70%</formula>
    </cfRule>
    <cfRule type="cellIs" dxfId="3810" priority="75" operator="equal">
      <formula>0%</formula>
    </cfRule>
  </conditionalFormatting>
  <conditionalFormatting sqref="N37">
    <cfRule type="cellIs" dxfId="3809" priority="66" operator="greaterThan">
      <formula>110%</formula>
    </cfRule>
    <cfRule type="cellIs" dxfId="3808" priority="67" operator="between">
      <formula>100.001%</formula>
      <formula>110%</formula>
    </cfRule>
    <cfRule type="cellIs" dxfId="3807" priority="68" operator="between">
      <formula>70.001%</formula>
      <formula>100%</formula>
    </cfRule>
    <cfRule type="cellIs" dxfId="3806" priority="69" operator="between">
      <formula>0.00001%</formula>
      <formula>70%</formula>
    </cfRule>
    <cfRule type="cellIs" dxfId="3805" priority="70" operator="equal">
      <formula>0%</formula>
    </cfRule>
  </conditionalFormatting>
  <conditionalFormatting sqref="Q37">
    <cfRule type="cellIs" dxfId="3804" priority="61" operator="greaterThan">
      <formula>110%</formula>
    </cfRule>
    <cfRule type="cellIs" dxfId="3803" priority="62" operator="between">
      <formula>100.001%</formula>
      <formula>110%</formula>
    </cfRule>
    <cfRule type="cellIs" dxfId="3802" priority="63" operator="between">
      <formula>70.001%</formula>
      <formula>100%</formula>
    </cfRule>
    <cfRule type="cellIs" dxfId="3801" priority="64" operator="between">
      <formula>0.00001%</formula>
      <formula>70%</formula>
    </cfRule>
    <cfRule type="cellIs" dxfId="3800" priority="65" operator="equal">
      <formula>0%</formula>
    </cfRule>
  </conditionalFormatting>
  <conditionalFormatting sqref="T37">
    <cfRule type="cellIs" dxfId="3799" priority="56" operator="greaterThan">
      <formula>110%</formula>
    </cfRule>
    <cfRule type="cellIs" dxfId="3798" priority="57" operator="between">
      <formula>100.001%</formula>
      <formula>110%</formula>
    </cfRule>
    <cfRule type="cellIs" dxfId="3797" priority="58" operator="between">
      <formula>70.001%</formula>
      <formula>100%</formula>
    </cfRule>
    <cfRule type="cellIs" dxfId="3796" priority="59" operator="between">
      <formula>0.00001%</formula>
      <formula>70%</formula>
    </cfRule>
    <cfRule type="cellIs" dxfId="3795" priority="60" operator="equal">
      <formula>0%</formula>
    </cfRule>
  </conditionalFormatting>
  <conditionalFormatting sqref="W37">
    <cfRule type="cellIs" dxfId="3794" priority="51" operator="greaterThan">
      <formula>110%</formula>
    </cfRule>
    <cfRule type="cellIs" dxfId="3793" priority="52" operator="between">
      <formula>100.001%</formula>
      <formula>110%</formula>
    </cfRule>
    <cfRule type="cellIs" dxfId="3792" priority="53" operator="between">
      <formula>70.001%</formula>
      <formula>100%</formula>
    </cfRule>
    <cfRule type="cellIs" dxfId="3791" priority="54" operator="between">
      <formula>0.00001%</formula>
      <formula>70%</formula>
    </cfRule>
    <cfRule type="cellIs" dxfId="3790" priority="55" operator="equal">
      <formula>0%</formula>
    </cfRule>
  </conditionalFormatting>
  <conditionalFormatting sqref="Z37">
    <cfRule type="cellIs" dxfId="3789" priority="46" operator="greaterThan">
      <formula>110%</formula>
    </cfRule>
    <cfRule type="cellIs" dxfId="3788" priority="47" operator="between">
      <formula>100.001%</formula>
      <formula>110%</formula>
    </cfRule>
    <cfRule type="cellIs" dxfId="3787" priority="48" operator="between">
      <formula>70.001%</formula>
      <formula>100%</formula>
    </cfRule>
    <cfRule type="cellIs" dxfId="3786" priority="49" operator="between">
      <formula>0.00001%</formula>
      <formula>70%</formula>
    </cfRule>
    <cfRule type="cellIs" dxfId="3785" priority="50" operator="equal">
      <formula>0%</formula>
    </cfRule>
  </conditionalFormatting>
  <conditionalFormatting sqref="AC37">
    <cfRule type="cellIs" dxfId="3784" priority="41" operator="greaterThan">
      <formula>110%</formula>
    </cfRule>
    <cfRule type="cellIs" dxfId="3783" priority="42" operator="between">
      <formula>100.001%</formula>
      <formula>110%</formula>
    </cfRule>
    <cfRule type="cellIs" dxfId="3782" priority="43" operator="between">
      <formula>70.001%</formula>
      <formula>100%</formula>
    </cfRule>
    <cfRule type="cellIs" dxfId="3781" priority="44" operator="between">
      <formula>0.00001%</formula>
      <formula>70%</formula>
    </cfRule>
    <cfRule type="cellIs" dxfId="3780" priority="45" operator="equal">
      <formula>0%</formula>
    </cfRule>
  </conditionalFormatting>
  <conditionalFormatting sqref="AE37">
    <cfRule type="cellIs" dxfId="3779" priority="36" operator="greaterThan">
      <formula>110%</formula>
    </cfRule>
    <cfRule type="cellIs" dxfId="3778" priority="37" operator="between">
      <formula>100.001%</formula>
      <formula>110%</formula>
    </cfRule>
    <cfRule type="cellIs" dxfId="3777" priority="38" operator="between">
      <formula>70.001%</formula>
      <formula>100%</formula>
    </cfRule>
    <cfRule type="cellIs" dxfId="3776" priority="39" operator="between">
      <formula>0.00001%</formula>
      <formula>70%</formula>
    </cfRule>
    <cfRule type="cellIs" dxfId="3775" priority="40" operator="equal">
      <formula>0%</formula>
    </cfRule>
  </conditionalFormatting>
  <conditionalFormatting sqref="AH37">
    <cfRule type="cellIs" dxfId="3774" priority="31" operator="greaterThan">
      <formula>110%</formula>
    </cfRule>
    <cfRule type="cellIs" dxfId="3773" priority="32" operator="between">
      <formula>100.001%</formula>
      <formula>110%</formula>
    </cfRule>
    <cfRule type="cellIs" dxfId="3772" priority="33" operator="between">
      <formula>70.001%</formula>
      <formula>100%</formula>
    </cfRule>
    <cfRule type="cellIs" dxfId="3771" priority="34" operator="between">
      <formula>0.00001%</formula>
      <formula>70%</formula>
    </cfRule>
    <cfRule type="cellIs" dxfId="3770" priority="35" operator="equal">
      <formula>0%</formula>
    </cfRule>
  </conditionalFormatting>
  <conditionalFormatting sqref="AK37">
    <cfRule type="cellIs" dxfId="3769" priority="26" operator="greaterThan">
      <formula>110%</formula>
    </cfRule>
    <cfRule type="cellIs" dxfId="3768" priority="27" operator="between">
      <formula>100.001%</formula>
      <formula>110%</formula>
    </cfRule>
    <cfRule type="cellIs" dxfId="3767" priority="28" operator="between">
      <formula>70.001%</formula>
      <formula>100%</formula>
    </cfRule>
    <cfRule type="cellIs" dxfId="3766" priority="29" operator="between">
      <formula>0.00001%</formula>
      <formula>70%</formula>
    </cfRule>
    <cfRule type="cellIs" dxfId="3765" priority="30" operator="equal">
      <formula>0%</formula>
    </cfRule>
  </conditionalFormatting>
  <conditionalFormatting sqref="AN37">
    <cfRule type="cellIs" dxfId="3764" priority="21" operator="greaterThan">
      <formula>110%</formula>
    </cfRule>
    <cfRule type="cellIs" dxfId="3763" priority="22" operator="between">
      <formula>100.001%</formula>
      <formula>110%</formula>
    </cfRule>
    <cfRule type="cellIs" dxfId="3762" priority="23" operator="between">
      <formula>70.001%</formula>
      <formula>100%</formula>
    </cfRule>
    <cfRule type="cellIs" dxfId="3761" priority="24" operator="between">
      <formula>0.00001%</formula>
      <formula>70%</formula>
    </cfRule>
    <cfRule type="cellIs" dxfId="3760" priority="25" operator="equal">
      <formula>0%</formula>
    </cfRule>
  </conditionalFormatting>
  <conditionalFormatting sqref="AQ37">
    <cfRule type="cellIs" dxfId="3759" priority="16" operator="greaterThan">
      <formula>110%</formula>
    </cfRule>
    <cfRule type="cellIs" dxfId="3758" priority="17" operator="between">
      <formula>100.001%</formula>
      <formula>110%</formula>
    </cfRule>
    <cfRule type="cellIs" dxfId="3757" priority="18" operator="between">
      <formula>70.001%</formula>
      <formula>100%</formula>
    </cfRule>
    <cfRule type="cellIs" dxfId="3756" priority="19" operator="between">
      <formula>0.00001%</formula>
      <formula>70%</formula>
    </cfRule>
    <cfRule type="cellIs" dxfId="3755" priority="20" operator="equal">
      <formula>0%</formula>
    </cfRule>
  </conditionalFormatting>
  <conditionalFormatting sqref="AT37">
    <cfRule type="cellIs" dxfId="3754" priority="11" operator="greaterThan">
      <formula>110%</formula>
    </cfRule>
    <cfRule type="cellIs" dxfId="3753" priority="12" operator="between">
      <formula>100.001%</formula>
      <formula>110%</formula>
    </cfRule>
    <cfRule type="cellIs" dxfId="3752" priority="13" operator="between">
      <formula>70.001%</formula>
      <formula>100%</formula>
    </cfRule>
    <cfRule type="cellIs" dxfId="3751" priority="14" operator="between">
      <formula>0.00001%</formula>
      <formula>70%</formula>
    </cfRule>
    <cfRule type="cellIs" dxfId="3750" priority="15" operator="equal">
      <formula>0%</formula>
    </cfRule>
  </conditionalFormatting>
  <conditionalFormatting sqref="AW37">
    <cfRule type="cellIs" dxfId="3749" priority="6" operator="greaterThan">
      <formula>110%</formula>
    </cfRule>
    <cfRule type="cellIs" dxfId="3748" priority="7" operator="between">
      <formula>100.001%</formula>
      <formula>110%</formula>
    </cfRule>
    <cfRule type="cellIs" dxfId="3747" priority="8" operator="between">
      <formula>70.001%</formula>
      <formula>100%</formula>
    </cfRule>
    <cfRule type="cellIs" dxfId="3746" priority="9" operator="between">
      <formula>0.00001%</formula>
      <formula>70%</formula>
    </cfRule>
    <cfRule type="cellIs" dxfId="3745" priority="10" operator="equal">
      <formula>0%</formula>
    </cfRule>
  </conditionalFormatting>
  <conditionalFormatting sqref="AY37">
    <cfRule type="cellIs" dxfId="3744" priority="1" operator="greaterThan">
      <formula>110%</formula>
    </cfRule>
    <cfRule type="cellIs" dxfId="3743" priority="2" operator="between">
      <formula>100.001%</formula>
      <formula>110%</formula>
    </cfRule>
    <cfRule type="cellIs" dxfId="3742" priority="3" operator="between">
      <formula>70.001%</formula>
      <formula>100%</formula>
    </cfRule>
    <cfRule type="cellIs" dxfId="3741" priority="4" operator="between">
      <formula>0.00001%</formula>
      <formula>70%</formula>
    </cfRule>
    <cfRule type="cellIs" dxfId="3740" priority="5" operator="equal">
      <formula>0%</formula>
    </cfRule>
  </conditionalFormatting>
  <hyperlinks>
    <hyperlink ref="D11" location="'IN1-3'!A1" display="IN1-3 Recaudo Bruto" xr:uid="{00000000-0004-0000-2200-000000000000}"/>
    <hyperlink ref="D12" location="'FIS-4'!A1" display="FIS-4 Gestión efectiva en fiscalización tributaria" xr:uid="{00000000-0004-0000-2200-000001000000}"/>
    <hyperlink ref="D13" location="'FIS-7'!A1" display="FIS-7 Gestión efectiva de Control Cambiario" xr:uid="{00000000-0004-0000-2200-000002000000}"/>
    <hyperlink ref="D14" location="'FIS-10'!A1" display="FIS-10 Gestión aceptada en fiscalización tributaria" xr:uid="{00000000-0004-0000-2200-000003000000}"/>
    <hyperlink ref="D15" location="'FIS-11'!A1" display="FIS-11 Gestión aceptada cambiaria (Recaudo)" xr:uid="{00000000-0004-0000-2200-000004000000}"/>
    <hyperlink ref="D16" location="'FIS-12'!A1" display="FIS-12 Gestión aceptada cambiaria (Resoluciones en firme)" xr:uid="{00000000-0004-0000-2200-000005000000}"/>
    <hyperlink ref="D17" location="'FIS-27'!A1" display="FIS-27 Reclasificación de no responsables a responsables" xr:uid="{00000000-0004-0000-2200-000006000000}"/>
    <hyperlink ref="D18" location="'FIS-17'!A1" display="FIS-17 Evacuación de expedientes en fiscalización tributaria" xr:uid="{00000000-0004-0000-2200-000007000000}"/>
    <hyperlink ref="D19" location="'FIS-16'!A1" display="FIS-16 Visitas de control a personas que hacen la venta y compra de divisas sin estar autorizados" xr:uid="{00000000-0004-0000-2200-000008000000}"/>
    <hyperlink ref="D20" location="'FIS-15'!A1" display="FIS-15 Visitas de control a profesionales de cambio" xr:uid="{00000000-0004-0000-2200-000009000000}"/>
    <hyperlink ref="D21" location="'FIS-18'!A1" display="FIS-18 Evacuación de expedientes en fiscalización cambiaria" xr:uid="{00000000-0004-0000-2200-00000A000000}"/>
    <hyperlink ref="D22" location="'IN1-8'!A1" display="IN1-8 Contribuyentes habilitados como facturadores electrónicos" xr:uid="{00000000-0004-0000-2200-00000B000000}"/>
    <hyperlink ref="D23" location="'IN1-4'!A1" display="IN1-4 Recaudo por gestión de cartera" xr:uid="{00000000-0004-0000-2200-00000C000000}"/>
    <hyperlink ref="D24" location="'IN1-5'!A1" display="IN1-5 Inscritos en el Régimen Simple de Tributación - RST" xr:uid="{00000000-0004-0000-2200-00000D000000}"/>
    <hyperlink ref="D25" location="'IN1-6.1'!A1" display="IN1-6.1 Grado de cumplimiento del cronograma de campañas del RST" xr:uid="{00000000-0004-0000-2200-00000E000000}"/>
    <hyperlink ref="D26" location="'ADU-3'!A1" display="ADU-3 Monto de la recaudación total de Aduanas" xr:uid="{00000000-0004-0000-2200-00000F000000}"/>
    <hyperlink ref="D27" location="'JUR-3.1'!A1" display="JUR-3.1 Porcentaje de éxito de litigiosidad" xr:uid="{00000000-0004-0000-2200-000010000000}"/>
    <hyperlink ref="D28" location="'JUR-3.2'!A1" display="JUR-3.2 Porcentaje  procesos judiciales revisados con mayor riesgo en Ekogui" xr:uid="{00000000-0004-0000-2200-000011000000}"/>
    <hyperlink ref="D29" location="'JUR-3.3'!A1" display="JUR-3.3 Porcentaje de análisis de jurisprudencia remitidos junto con la copia de la sentencia " xr:uid="{00000000-0004-0000-2200-000012000000}"/>
    <hyperlink ref="D30" location="'JUR-3.4'!A1" display="JUR-3.4 Porcentaje  de procesos revisados con VoBo del Jefe " xr:uid="{00000000-0004-0000-2200-000013000000}"/>
    <hyperlink ref="D31" location="'JUR-3.5'!A1" display="JUR-3.5 Porcentaje de requerimientos atendidos en oportunidad" xr:uid="{00000000-0004-0000-2200-000014000000}"/>
    <hyperlink ref="D32" location="'JUR-3.6'!A1" display="JUR-3.6 Porcentaje funcionarios capacitaciones en cursos virtuales de la ANDJE" xr:uid="{00000000-0004-0000-2200-000015000000}"/>
    <hyperlink ref="D33" location="'JUR-4'!A1" display="JUR-4 Porcentaje funcionarios que participaron en el concurso de escritura jurídica" xr:uid="{00000000-0004-0000-2200-000016000000}"/>
    <hyperlink ref="D34" location="'FIS-24'!A1" display="FIS-24 Valor Decomisos de mercancías en firme" xr:uid="{00000000-0004-0000-2200-000017000000}"/>
    <hyperlink ref="D35" location="'ADU-8'!A1" display="ADU-8 Efectividad en los controles previos - Lucha contra el contrabando" xr:uid="{00000000-0004-0000-2200-000018000000}"/>
    <hyperlink ref="D40" location="'IN1-11'!A1" display="IN1-11  Nivel de cobertura de personas sensibilizadas por el plan de cultura. ACTUALMENTE. Cumplimiento al Plan de Acción de Cultura de la Contribución" xr:uid="{00000000-0004-0000-2200-000019000000}"/>
    <hyperlink ref="D41" location="'JUR-7'!A1" display="JUR-7 Oportunidad en las decisiones de los recursos tributarios hasta su remisión a notificaciones" xr:uid="{00000000-0004-0000-2200-00001A000000}"/>
    <hyperlink ref="D42" location="'ADU-17'!A1" display="ADU-17 Encuentros Aduana - Empresa" xr:uid="{00000000-0004-0000-2200-00001B000000}"/>
    <hyperlink ref="D43" location="'POLFA-8'!A1" display="POLFA-8 Porcentaje de cumplimiento programa Semilleros de la legalidad" xr:uid="{00000000-0004-0000-2200-00001C000000}"/>
    <hyperlink ref="D44" location="'IN1-15'!A1" display="IN1-15 Días en devoluciones ordinarias" xr:uid="{00000000-0004-0000-2200-00001D000000}"/>
    <hyperlink ref="D9" location="'DGRAE-1'!Área_de_impresión" display="DGRAE-1 Nivel de Ejecución del presupuesto " xr:uid="{00000000-0004-0000-2200-00001E000000}"/>
    <hyperlink ref="D46" location="'DGRAE-25'!Área_de_impresión" display="DGRAE-25 Actividades que componen el  PIC para la Dirección de Gestión" xr:uid="{00000000-0004-0000-2200-00001F000000}"/>
    <hyperlink ref="D10" location="'DGRAE-2'!A1" display="DGRAE-2 Nivel de ejecución del PAA de la Dirección" xr:uid="{00000000-0004-0000-2200-000020000000}"/>
    <hyperlink ref="D38" location="'ADU-12'!A1" display="ADU-12  Efectividad en los Controles a los  usuarios de comercio - Visitas con hallazgos en usuarios visitados" xr:uid="{00000000-0004-0000-2200-000021000000}"/>
    <hyperlink ref="D36" location="'ADU-9'!A1" display="ADU-9 Efectividad en el control simultaneo - Lucha contra el Contrabando" xr:uid="{00000000-0004-0000-2200-000022000000}"/>
    <hyperlink ref="D37" location="'ADU-9.1'!A1" display="ADU-9.1 Efectividad en el control simultaneo - Lucha contra el Contrabando - Documental" xr:uid="{00000000-0004-0000-2200-000023000000}"/>
    <hyperlink ref="AY2" location="'Consolidado '!A1" display="VOLVER" xr:uid="{00000000-0004-0000-2200-000024000000}"/>
  </hyperlinks>
  <pageMargins left="0.7" right="0.7" top="0.75" bottom="0.75" header="0.3" footer="0.3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Z61"/>
  <sheetViews>
    <sheetView topLeftCell="D1" zoomScale="70" zoomScaleNormal="70" workbookViewId="0">
      <selection activeCell="BB10" sqref="BB10"/>
    </sheetView>
  </sheetViews>
  <sheetFormatPr baseColWidth="10" defaultColWidth="11.42578125" defaultRowHeight="16.5"/>
  <cols>
    <col min="1" max="1" width="21.85546875" style="8" customWidth="1"/>
    <col min="2" max="2" width="30.28515625" style="63" customWidth="1"/>
    <col min="3" max="3" width="56.85546875" style="63" customWidth="1"/>
    <col min="4" max="4" width="30.28515625" style="63" customWidth="1"/>
    <col min="5" max="5" width="71.42578125" style="63" bestFit="1" customWidth="1"/>
    <col min="6" max="6" width="23.85546875" style="8" bestFit="1" customWidth="1"/>
    <col min="7" max="7" width="22.28515625" style="8" customWidth="1"/>
    <col min="8" max="8" width="11.85546875" style="8" hidden="1" customWidth="1"/>
    <col min="9" max="9" width="8.28515625" style="8" hidden="1" customWidth="1"/>
    <col min="10" max="10" width="13.7109375" style="8" hidden="1" customWidth="1"/>
    <col min="11" max="11" width="26.5703125" style="8" customWidth="1"/>
    <col min="12" max="12" width="21.7109375" style="2319" hidden="1" customWidth="1"/>
    <col min="13" max="13" width="21.7109375" style="1173" hidden="1" customWidth="1"/>
    <col min="14" max="14" width="21.7109375" style="842" hidden="1" customWidth="1"/>
    <col min="15" max="15" width="21.7109375" style="8" hidden="1" customWidth="1"/>
    <col min="16" max="16" width="21.7109375" style="1173" hidden="1" customWidth="1"/>
    <col min="17" max="17" width="21.7109375" style="842" hidden="1" customWidth="1"/>
    <col min="18" max="18" width="21.7109375" style="8" hidden="1" customWidth="1"/>
    <col min="19" max="19" width="21.7109375" style="1173" hidden="1" customWidth="1"/>
    <col min="20" max="20" width="21.7109375" style="842" hidden="1" customWidth="1"/>
    <col min="21" max="21" width="21.7109375" style="8" hidden="1" customWidth="1"/>
    <col min="22" max="22" width="21.7109375" style="1173" hidden="1" customWidth="1"/>
    <col min="23" max="23" width="21.7109375" style="842" hidden="1" customWidth="1"/>
    <col min="24" max="24" width="21.7109375" style="8" hidden="1" customWidth="1"/>
    <col min="25" max="25" width="21.7109375" style="1173" hidden="1" customWidth="1"/>
    <col min="26" max="26" width="21.7109375" style="842" hidden="1" customWidth="1"/>
    <col min="27" max="27" width="21.7109375" style="8" hidden="1" customWidth="1"/>
    <col min="28" max="28" width="21.7109375" style="1173" hidden="1" customWidth="1"/>
    <col min="29" max="29" width="21.7109375" style="842" hidden="1" customWidth="1"/>
    <col min="30" max="30" width="21.7109375" style="1173" hidden="1" customWidth="1"/>
    <col min="31" max="31" width="21.7109375" style="842" hidden="1" customWidth="1"/>
    <col min="32" max="32" width="21.7109375" style="8" hidden="1" customWidth="1"/>
    <col min="33" max="33" width="21.7109375" style="1173" hidden="1" customWidth="1"/>
    <col min="34" max="34" width="21.7109375" style="842" hidden="1" customWidth="1"/>
    <col min="35" max="35" width="21.7109375" style="8" hidden="1" customWidth="1"/>
    <col min="36" max="36" width="21.7109375" style="1173" hidden="1" customWidth="1"/>
    <col min="37" max="37" width="21.7109375" style="842" hidden="1" customWidth="1"/>
    <col min="38" max="38" width="21.7109375" style="8" hidden="1" customWidth="1"/>
    <col min="39" max="39" width="21.7109375" style="1173" hidden="1" customWidth="1"/>
    <col min="40" max="40" width="21.7109375" style="842" hidden="1" customWidth="1"/>
    <col min="41" max="41" width="21.7109375" style="8" hidden="1" customWidth="1"/>
    <col min="42" max="42" width="21.7109375" style="1173" hidden="1" customWidth="1"/>
    <col min="43" max="43" width="21.7109375" style="842" hidden="1" customWidth="1"/>
    <col min="44" max="44" width="21.7109375" style="8" hidden="1" customWidth="1"/>
    <col min="45" max="45" width="21.7109375" style="1173" hidden="1" customWidth="1"/>
    <col min="46" max="46" width="21.7109375" style="842" hidden="1" customWidth="1"/>
    <col min="47" max="47" width="21.7109375" style="8" hidden="1" customWidth="1"/>
    <col min="48" max="48" width="21.7109375" style="1173" hidden="1" customWidth="1"/>
    <col min="49" max="49" width="21.7109375" style="842" hidden="1" customWidth="1"/>
    <col min="50" max="50" width="21.7109375" style="1173" customWidth="1"/>
    <col min="51" max="51" width="12.5703125" style="621" bestFit="1" customWidth="1"/>
    <col min="52" max="16384" width="11.42578125" style="8"/>
  </cols>
  <sheetData>
    <row r="1" spans="1:52" ht="29.25" customHeight="1">
      <c r="A1" s="109"/>
      <c r="B1" s="102"/>
      <c r="C1" s="2885" t="s">
        <v>999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2364" t="s">
        <v>185</v>
      </c>
    </row>
    <row r="3" spans="1:52">
      <c r="A3" s="107"/>
      <c r="B3" s="108"/>
      <c r="C3" s="2866" t="s">
        <v>1000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3004"/>
      <c r="AD5" s="2840" t="s">
        <v>188</v>
      </c>
      <c r="AE5" s="3212"/>
      <c r="AF5" s="2840" t="s">
        <v>76</v>
      </c>
      <c r="AG5" s="2841"/>
      <c r="AH5" s="3004"/>
      <c r="AI5" s="2840" t="s">
        <v>77</v>
      </c>
      <c r="AJ5" s="2841"/>
      <c r="AK5" s="3004"/>
      <c r="AL5" s="2840" t="s">
        <v>78</v>
      </c>
      <c r="AM5" s="2841"/>
      <c r="AN5" s="3004"/>
      <c r="AO5" s="2840" t="s">
        <v>79</v>
      </c>
      <c r="AP5" s="2841"/>
      <c r="AQ5" s="3004"/>
      <c r="AR5" s="2840" t="s">
        <v>80</v>
      </c>
      <c r="AS5" s="2841"/>
      <c r="AT5" s="3004"/>
      <c r="AU5" s="2840" t="s">
        <v>81</v>
      </c>
      <c r="AV5" s="2841"/>
      <c r="AW5" s="3004"/>
      <c r="AX5" s="2840" t="s">
        <v>397</v>
      </c>
      <c r="AY5" s="3212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3004"/>
      <c r="AD6" s="2840"/>
      <c r="AE6" s="3212"/>
      <c r="AF6" s="2840"/>
      <c r="AG6" s="2841"/>
      <c r="AH6" s="3004"/>
      <c r="AI6" s="2840"/>
      <c r="AJ6" s="2841"/>
      <c r="AK6" s="3004"/>
      <c r="AL6" s="2840"/>
      <c r="AM6" s="2841"/>
      <c r="AN6" s="3004"/>
      <c r="AO6" s="2840"/>
      <c r="AP6" s="2841"/>
      <c r="AQ6" s="3004"/>
      <c r="AR6" s="2840"/>
      <c r="AS6" s="2841"/>
      <c r="AT6" s="3004"/>
      <c r="AU6" s="2840"/>
      <c r="AV6" s="2841"/>
      <c r="AW6" s="3004"/>
      <c r="AX6" s="2840"/>
      <c r="AY6" s="3212"/>
      <c r="AZ6" s="444">
        <f>+(AY9+AY10+AY11+AY12+AY13+AY14+AY15+AY16+AY17+AY18+AY19+AY20+AY21+AY22+AY23+AY24+AY26+AY27+AY28+AY29+AY30+AY31+AY32+AY33+AY34+AY35+AY36+AY37+AY39+AY40+AY41+AY42+AY43+AY45+AY46+AY47+AY48+AY50+AY51+AY53+AY54+AY56)/42</f>
        <v>1.5638055901388141</v>
      </c>
    </row>
    <row r="7" spans="1:52" s="12" customFormat="1" ht="32.1" customHeight="1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3005"/>
      <c r="AD7" s="2836"/>
      <c r="AE7" s="3106"/>
      <c r="AF7" s="2836"/>
      <c r="AG7" s="2837"/>
      <c r="AH7" s="3005"/>
      <c r="AI7" s="2836"/>
      <c r="AJ7" s="2837"/>
      <c r="AK7" s="3005"/>
      <c r="AL7" s="2836"/>
      <c r="AM7" s="2837"/>
      <c r="AN7" s="3005"/>
      <c r="AO7" s="2836"/>
      <c r="AP7" s="2837"/>
      <c r="AQ7" s="3005"/>
      <c r="AR7" s="2836"/>
      <c r="AS7" s="2837"/>
      <c r="AT7" s="3005"/>
      <c r="AU7" s="2836"/>
      <c r="AV7" s="2837"/>
      <c r="AW7" s="3005"/>
      <c r="AX7" s="2840"/>
      <c r="AY7" s="3212"/>
    </row>
    <row r="8" spans="1:52" customFormat="1" ht="29.25" customHeight="1" thickTop="1" thickBot="1">
      <c r="A8" s="2839" t="s">
        <v>165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</row>
    <row r="9" spans="1:52" s="22" customFormat="1" ht="81.599999999999994" customHeight="1" thickTop="1" thickBot="1">
      <c r="A9" s="2943" t="s">
        <v>88</v>
      </c>
      <c r="B9" s="3218" t="s">
        <v>166</v>
      </c>
      <c r="C9" s="72" t="s">
        <v>167</v>
      </c>
      <c r="D9" s="627" t="s">
        <v>90</v>
      </c>
      <c r="E9" s="25" t="s">
        <v>91</v>
      </c>
      <c r="F9" s="25" t="s">
        <v>168</v>
      </c>
      <c r="G9" s="630">
        <f>819457846/1000000</f>
        <v>819.45784600000002</v>
      </c>
      <c r="H9" s="25"/>
      <c r="I9" s="25"/>
      <c r="J9" s="25"/>
      <c r="K9" s="25" t="s">
        <v>25</v>
      </c>
      <c r="L9" s="630">
        <v>324.53500000000003</v>
      </c>
      <c r="M9" s="584">
        <v>292.12</v>
      </c>
      <c r="N9" s="73">
        <f>+M9/L9</f>
        <v>0.90011863127243585</v>
      </c>
      <c r="O9" s="630">
        <v>118.64951000000001</v>
      </c>
      <c r="P9" s="584">
        <v>110.68</v>
      </c>
      <c r="Q9" s="73">
        <f>+P9/O9</f>
        <v>0.93283149673353061</v>
      </c>
      <c r="R9" s="630">
        <v>57.414999999999999</v>
      </c>
      <c r="S9" s="584">
        <v>72.510000000000005</v>
      </c>
      <c r="T9" s="73">
        <f>+S9/R9</f>
        <v>1.2629103892710964</v>
      </c>
      <c r="U9" s="630">
        <v>62.98</v>
      </c>
      <c r="V9" s="584">
        <v>43.45</v>
      </c>
      <c r="W9" s="73">
        <f>+V9/U9</f>
        <v>0.68990155604953962</v>
      </c>
      <c r="X9" s="630">
        <v>45.415000999999997</v>
      </c>
      <c r="Y9" s="584">
        <v>19.079999999999998</v>
      </c>
      <c r="Z9" s="73">
        <f>+Y9/X9</f>
        <v>0.42012549994218867</v>
      </c>
      <c r="AA9" s="630">
        <v>43.415000999999997</v>
      </c>
      <c r="AB9" s="584">
        <v>40.090000000000003</v>
      </c>
      <c r="AC9" s="73">
        <f>+AB9/AA9</f>
        <v>0.92341354547014765</v>
      </c>
      <c r="AD9" s="584">
        <f>+M9+P9+S9+V9+Y9+AB9</f>
        <v>577.93000000000006</v>
      </c>
      <c r="AE9" s="73">
        <f>+AD9/G9</f>
        <v>0.70525897435851759</v>
      </c>
      <c r="AF9" s="630">
        <v>43.414999999999999</v>
      </c>
      <c r="AG9" s="584">
        <v>21.75</v>
      </c>
      <c r="AH9" s="73">
        <f>+AG9/AF9</f>
        <v>0.50097892433490732</v>
      </c>
      <c r="AI9" s="630">
        <v>43.414999999999999</v>
      </c>
      <c r="AJ9" s="584">
        <v>21.79</v>
      </c>
      <c r="AK9" s="73">
        <f>+AJ9/AI9</f>
        <v>0.50190026488540829</v>
      </c>
      <c r="AL9" s="630">
        <v>43.414999999999999</v>
      </c>
      <c r="AM9" s="584">
        <v>31.97</v>
      </c>
      <c r="AN9" s="73">
        <f>+AM9/AL9</f>
        <v>0.73638143498790742</v>
      </c>
      <c r="AO9" s="630">
        <v>43.414999000000002</v>
      </c>
      <c r="AP9" s="584">
        <v>24.76</v>
      </c>
      <c r="AQ9" s="73">
        <f>+AP9/AO9</f>
        <v>0.57030981389634494</v>
      </c>
      <c r="AR9" s="630">
        <v>43.414999000000002</v>
      </c>
      <c r="AS9" s="584">
        <v>87.13</v>
      </c>
      <c r="AT9" s="73">
        <f>+AS9/AR9</f>
        <v>2.0069101003549488</v>
      </c>
      <c r="AU9" s="630">
        <v>43.414999999999999</v>
      </c>
      <c r="AV9" s="584">
        <v>30.51</v>
      </c>
      <c r="AW9" s="73">
        <f t="shared" ref="AW9:AW56" si="0">+AV9/AU9</f>
        <v>0.70275250489462171</v>
      </c>
      <c r="AX9" s="624">
        <f t="shared" ref="AX9:AX10" si="1">+M9+P9+S9+V9+Y9+AB9+AG9+AJ9+AM9+AP9+AS9+AV9</f>
        <v>795.84</v>
      </c>
      <c r="AY9" s="73">
        <f t="shared" ref="AY9:AY53" si="2">+AX9/G9</f>
        <v>0.97117869318686101</v>
      </c>
    </row>
    <row r="10" spans="1:52" s="1489" customFormat="1" ht="81.599999999999994" customHeight="1" thickTop="1" thickBot="1">
      <c r="A10" s="2944"/>
      <c r="B10" s="3219"/>
      <c r="C10" s="74" t="s">
        <v>169</v>
      </c>
      <c r="D10" s="2320" t="s">
        <v>92</v>
      </c>
      <c r="E10" s="2321" t="s">
        <v>170</v>
      </c>
      <c r="F10" s="2321" t="s">
        <v>17</v>
      </c>
      <c r="G10" s="2321">
        <v>11</v>
      </c>
      <c r="H10" s="2321" t="s">
        <v>26</v>
      </c>
      <c r="I10" s="2130"/>
      <c r="J10" s="2130"/>
      <c r="K10" s="2129" t="s">
        <v>26</v>
      </c>
      <c r="L10" s="636">
        <v>0</v>
      </c>
      <c r="M10" s="736">
        <v>2</v>
      </c>
      <c r="N10" s="73" t="e">
        <f t="shared" ref="N10:N56" si="3">+M10/L10</f>
        <v>#DIV/0!</v>
      </c>
      <c r="O10" s="636">
        <v>0</v>
      </c>
      <c r="P10" s="736">
        <v>2</v>
      </c>
      <c r="Q10" s="73" t="e">
        <f t="shared" ref="Q10:Q56" si="4">+P10/O10</f>
        <v>#DIV/0!</v>
      </c>
      <c r="R10" s="636">
        <v>0</v>
      </c>
      <c r="S10" s="736">
        <v>1</v>
      </c>
      <c r="T10" s="73" t="e">
        <f t="shared" ref="T10:T56" si="5">+S10/R10</f>
        <v>#DIV/0!</v>
      </c>
      <c r="U10" s="636">
        <v>0</v>
      </c>
      <c r="V10" s="736">
        <v>1</v>
      </c>
      <c r="W10" s="73" t="e">
        <f t="shared" ref="W10:W56" si="6">+V10/U10</f>
        <v>#DIV/0!</v>
      </c>
      <c r="X10" s="636">
        <v>0</v>
      </c>
      <c r="Y10" s="736"/>
      <c r="Z10" s="73" t="e">
        <f t="shared" ref="Z10:Z56" si="7">+Y10/X10</f>
        <v>#DIV/0!</v>
      </c>
      <c r="AA10" s="636">
        <v>0</v>
      </c>
      <c r="AB10" s="736">
        <v>2</v>
      </c>
      <c r="AC10" s="73" t="e">
        <f t="shared" ref="AC10:AC56" si="8">+AB10/AA10</f>
        <v>#DIV/0!</v>
      </c>
      <c r="AD10" s="736">
        <f t="shared" ref="AD10:AD53" si="9">+M10+P10+S10+V10+Y10+AB10</f>
        <v>8</v>
      </c>
      <c r="AE10" s="73">
        <f t="shared" ref="AE10:AE56" si="10">+AD10/G10</f>
        <v>0.72727272727272729</v>
      </c>
      <c r="AF10" s="636">
        <v>0</v>
      </c>
      <c r="AG10" s="736"/>
      <c r="AH10" s="73" t="e">
        <f t="shared" ref="AH10:AH56" si="11">+AG10/AF10</f>
        <v>#DIV/0!</v>
      </c>
      <c r="AI10" s="636">
        <v>0</v>
      </c>
      <c r="AJ10" s="736">
        <v>1</v>
      </c>
      <c r="AK10" s="73" t="e">
        <f t="shared" ref="AK10:AK56" si="12">+AJ10/AI10</f>
        <v>#DIV/0!</v>
      </c>
      <c r="AL10" s="636">
        <v>0</v>
      </c>
      <c r="AM10" s="736"/>
      <c r="AN10" s="73" t="e">
        <f t="shared" ref="AN10:AN56" si="13">+AM10/AL10</f>
        <v>#DIV/0!</v>
      </c>
      <c r="AO10" s="636">
        <v>0</v>
      </c>
      <c r="AP10" s="736">
        <v>1</v>
      </c>
      <c r="AQ10" s="73" t="e">
        <f t="shared" ref="AQ10:AQ56" si="14">+AP10/AO10</f>
        <v>#DIV/0!</v>
      </c>
      <c r="AR10" s="636">
        <v>0</v>
      </c>
      <c r="AS10" s="736"/>
      <c r="AT10" s="73" t="e">
        <f t="shared" ref="AT10:AT56" si="15">+AS10/AR10</f>
        <v>#DIV/0!</v>
      </c>
      <c r="AU10" s="636">
        <v>0</v>
      </c>
      <c r="AV10" s="736"/>
      <c r="AW10" s="73" t="e">
        <f t="shared" si="0"/>
        <v>#DIV/0!</v>
      </c>
      <c r="AX10" s="638">
        <f t="shared" si="1"/>
        <v>10</v>
      </c>
      <c r="AY10" s="73">
        <f t="shared" si="2"/>
        <v>0.90909090909090906</v>
      </c>
    </row>
    <row r="11" spans="1:52" s="22" customFormat="1" ht="54.75" customHeight="1" thickTop="1" thickBot="1">
      <c r="A11" s="2944"/>
      <c r="B11" s="2848" t="s">
        <v>94</v>
      </c>
      <c r="C11" s="81" t="s">
        <v>356</v>
      </c>
      <c r="D11" s="627" t="s">
        <v>673</v>
      </c>
      <c r="E11" s="81" t="s">
        <v>97</v>
      </c>
      <c r="F11" s="81" t="s">
        <v>168</v>
      </c>
      <c r="G11" s="634">
        <v>1246912</v>
      </c>
      <c r="H11" s="82"/>
      <c r="I11" s="87"/>
      <c r="J11" s="82"/>
      <c r="K11" s="81" t="s">
        <v>20</v>
      </c>
      <c r="L11" s="630" t="s">
        <v>98</v>
      </c>
      <c r="M11" s="584"/>
      <c r="N11" s="73" t="e">
        <f>+M11/L11</f>
        <v>#VALUE!</v>
      </c>
      <c r="O11" s="630" t="s">
        <v>98</v>
      </c>
      <c r="P11" s="584"/>
      <c r="Q11" s="73" t="e">
        <f>+P11/O11</f>
        <v>#VALUE!</v>
      </c>
      <c r="R11" s="630" t="s">
        <v>98</v>
      </c>
      <c r="S11" s="584"/>
      <c r="T11" s="73" t="e">
        <f>+S11/R11</f>
        <v>#VALUE!</v>
      </c>
      <c r="U11" s="630" t="s">
        <v>98</v>
      </c>
      <c r="V11" s="584"/>
      <c r="W11" s="73" t="e">
        <f>+V11/U11</f>
        <v>#VALUE!</v>
      </c>
      <c r="X11" s="630" t="s">
        <v>98</v>
      </c>
      <c r="Y11" s="584"/>
      <c r="Z11" s="73" t="e">
        <f>+Y11/X11</f>
        <v>#VALUE!</v>
      </c>
      <c r="AA11" s="630" t="s">
        <v>98</v>
      </c>
      <c r="AB11" s="584"/>
      <c r="AC11" s="73" t="e">
        <f>+AB11/AA11</f>
        <v>#VALUE!</v>
      </c>
      <c r="AD11" s="584">
        <f>+M11+P11+S11+V11+Y11+AB11</f>
        <v>0</v>
      </c>
      <c r="AE11" s="73">
        <f>+AD11/G11</f>
        <v>0</v>
      </c>
      <c r="AF11" s="630" t="s">
        <v>98</v>
      </c>
      <c r="AG11" s="584"/>
      <c r="AH11" s="73" t="e">
        <f>+AG11/AF11</f>
        <v>#VALUE!</v>
      </c>
      <c r="AI11" s="630" t="s">
        <v>98</v>
      </c>
      <c r="AJ11" s="584"/>
      <c r="AK11" s="73" t="e">
        <f>+AJ11/AI11</f>
        <v>#VALUE!</v>
      </c>
      <c r="AL11" s="630" t="s">
        <v>98</v>
      </c>
      <c r="AM11" s="584"/>
      <c r="AN11" s="73" t="e">
        <f>+AM11/AL11</f>
        <v>#VALUE!</v>
      </c>
      <c r="AO11" s="630" t="s">
        <v>98</v>
      </c>
      <c r="AP11" s="584"/>
      <c r="AQ11" s="73" t="e">
        <f>+AP11/AO11</f>
        <v>#VALUE!</v>
      </c>
      <c r="AR11" s="630" t="s">
        <v>98</v>
      </c>
      <c r="AS11" s="584"/>
      <c r="AT11" s="73" t="e">
        <f>+AS11/AR11</f>
        <v>#VALUE!</v>
      </c>
      <c r="AU11" s="630" t="s">
        <v>98</v>
      </c>
      <c r="AV11" s="2322">
        <v>1.246912E-3</v>
      </c>
      <c r="AW11" s="73" t="e">
        <f t="shared" si="0"/>
        <v>#VALUE!</v>
      </c>
      <c r="AX11" s="2323">
        <v>1246912</v>
      </c>
      <c r="AY11" s="73">
        <f t="shared" si="2"/>
        <v>1</v>
      </c>
    </row>
    <row r="12" spans="1:52" s="22" customFormat="1" ht="122.65" customHeight="1" thickTop="1" thickBot="1">
      <c r="A12" s="2944"/>
      <c r="B12" s="2849"/>
      <c r="C12" s="2936" t="s">
        <v>1001</v>
      </c>
      <c r="D12" s="623" t="s">
        <v>99</v>
      </c>
      <c r="E12" s="76" t="s">
        <v>100</v>
      </c>
      <c r="F12" s="76" t="s">
        <v>101</v>
      </c>
      <c r="G12" s="2324">
        <v>59290000000</v>
      </c>
      <c r="H12" s="76"/>
      <c r="I12" s="76"/>
      <c r="J12" s="76"/>
      <c r="K12" s="76" t="s">
        <v>172</v>
      </c>
      <c r="L12" s="624">
        <v>4743200000</v>
      </c>
      <c r="M12" s="564">
        <v>41018000</v>
      </c>
      <c r="N12" s="73">
        <f t="shared" si="3"/>
        <v>8.6477483555405625E-3</v>
      </c>
      <c r="O12" s="624">
        <v>4743200000</v>
      </c>
      <c r="P12" s="564">
        <v>1356180000</v>
      </c>
      <c r="Q12" s="73">
        <f t="shared" si="4"/>
        <v>0.28592089728453363</v>
      </c>
      <c r="R12" s="624">
        <v>4743200000</v>
      </c>
      <c r="S12" s="564">
        <v>795087000</v>
      </c>
      <c r="T12" s="73">
        <f t="shared" si="5"/>
        <v>0.16762670770787655</v>
      </c>
      <c r="U12" s="624">
        <v>5336100000</v>
      </c>
      <c r="V12" s="564">
        <v>3912022000</v>
      </c>
      <c r="W12" s="73">
        <f t="shared" si="6"/>
        <v>0.73312381701992091</v>
      </c>
      <c r="X12" s="624">
        <v>5929000000</v>
      </c>
      <c r="Y12" s="564">
        <v>481415000</v>
      </c>
      <c r="Z12" s="73">
        <f t="shared" si="7"/>
        <v>8.1196660482374769E-2</v>
      </c>
      <c r="AA12" s="624">
        <v>5929000000</v>
      </c>
      <c r="AB12" s="564">
        <v>109511000</v>
      </c>
      <c r="AC12" s="73">
        <f t="shared" si="8"/>
        <v>1.8470399730139989E-2</v>
      </c>
      <c r="AD12" s="584">
        <f t="shared" si="9"/>
        <v>6695233000</v>
      </c>
      <c r="AE12" s="73">
        <f t="shared" si="10"/>
        <v>0.11292347782088041</v>
      </c>
      <c r="AF12" s="624">
        <v>5929000000</v>
      </c>
      <c r="AG12" s="564">
        <v>2629689000</v>
      </c>
      <c r="AH12" s="73">
        <f t="shared" si="11"/>
        <v>0.44352993759487264</v>
      </c>
      <c r="AI12" s="624">
        <v>5929000000</v>
      </c>
      <c r="AJ12" s="564">
        <v>1311038000</v>
      </c>
      <c r="AK12" s="73">
        <f t="shared" si="12"/>
        <v>0.22112295496711082</v>
      </c>
      <c r="AL12" s="624">
        <v>5929000000</v>
      </c>
      <c r="AM12" s="564">
        <v>13264102500</v>
      </c>
      <c r="AN12" s="73">
        <f t="shared" si="13"/>
        <v>2.2371567717996288</v>
      </c>
      <c r="AO12" s="624">
        <v>5929000000</v>
      </c>
      <c r="AP12" s="564">
        <v>6027034000</v>
      </c>
      <c r="AQ12" s="73">
        <f t="shared" si="14"/>
        <v>1.0165346601450498</v>
      </c>
      <c r="AR12" s="624">
        <v>2371600000</v>
      </c>
      <c r="AS12" s="564">
        <v>18348493465</v>
      </c>
      <c r="AT12" s="73">
        <f t="shared" si="15"/>
        <v>7.7367572377298028</v>
      </c>
      <c r="AU12" s="624">
        <v>1778700000</v>
      </c>
      <c r="AV12" s="564">
        <v>4176358000</v>
      </c>
      <c r="AW12" s="73">
        <f t="shared" si="0"/>
        <v>2.3479833586327095</v>
      </c>
      <c r="AX12" s="624">
        <f t="shared" ref="AX12:AX50" si="16">+M12+P12+S12+V12+Y12+AB12+AG12+AJ12+AM12+AP12+AS12+AV12</f>
        <v>52451947965</v>
      </c>
      <c r="AY12" s="73">
        <f t="shared" si="2"/>
        <v>0.88466770053971999</v>
      </c>
    </row>
    <row r="13" spans="1:52" s="22" customFormat="1" ht="63.2" customHeight="1" thickTop="1" thickBot="1">
      <c r="A13" s="2944"/>
      <c r="B13" s="2849"/>
      <c r="C13" s="2937"/>
      <c r="D13" s="627" t="s">
        <v>399</v>
      </c>
      <c r="E13" s="81" t="s">
        <v>272</v>
      </c>
      <c r="F13" s="81" t="s">
        <v>101</v>
      </c>
      <c r="G13" s="2325">
        <v>12000000000</v>
      </c>
      <c r="H13" s="715"/>
      <c r="I13" s="87"/>
      <c r="J13" s="715"/>
      <c r="K13" s="81" t="s">
        <v>140</v>
      </c>
      <c r="L13" s="630">
        <v>800000000</v>
      </c>
      <c r="M13" s="584">
        <v>5796812</v>
      </c>
      <c r="N13" s="73">
        <f t="shared" si="3"/>
        <v>7.2460149999999997E-3</v>
      </c>
      <c r="O13" s="630">
        <v>800000000</v>
      </c>
      <c r="P13" s="584">
        <v>3007000</v>
      </c>
      <c r="Q13" s="73">
        <f t="shared" si="4"/>
        <v>3.7587499999999999E-3</v>
      </c>
      <c r="R13" s="630">
        <v>800000000</v>
      </c>
      <c r="S13" s="584">
        <v>0</v>
      </c>
      <c r="T13" s="73">
        <f t="shared" si="5"/>
        <v>0</v>
      </c>
      <c r="U13" s="630">
        <v>1200000000</v>
      </c>
      <c r="V13" s="584">
        <v>0</v>
      </c>
      <c r="W13" s="73">
        <f t="shared" si="6"/>
        <v>0</v>
      </c>
      <c r="X13" s="630">
        <v>1200000000</v>
      </c>
      <c r="Y13" s="584">
        <v>0</v>
      </c>
      <c r="Z13" s="73">
        <f t="shared" si="7"/>
        <v>0</v>
      </c>
      <c r="AA13" s="630">
        <v>1200000000</v>
      </c>
      <c r="AB13" s="584">
        <v>19054359</v>
      </c>
      <c r="AC13" s="73">
        <f t="shared" si="8"/>
        <v>1.58786325E-2</v>
      </c>
      <c r="AD13" s="584">
        <f t="shared" si="9"/>
        <v>27858171</v>
      </c>
      <c r="AE13" s="73">
        <f t="shared" si="10"/>
        <v>2.3215142500000001E-3</v>
      </c>
      <c r="AF13" s="630">
        <v>1200000000</v>
      </c>
      <c r="AG13" s="584">
        <v>0</v>
      </c>
      <c r="AH13" s="73">
        <f t="shared" si="11"/>
        <v>0</v>
      </c>
      <c r="AI13" s="630">
        <v>1200000000</v>
      </c>
      <c r="AJ13" s="584">
        <v>0</v>
      </c>
      <c r="AK13" s="73">
        <f t="shared" si="12"/>
        <v>0</v>
      </c>
      <c r="AL13" s="630">
        <v>1200000000</v>
      </c>
      <c r="AM13" s="584">
        <v>266689607</v>
      </c>
      <c r="AN13" s="73">
        <f t="shared" si="13"/>
        <v>0.22224133916666666</v>
      </c>
      <c r="AO13" s="630">
        <v>800000000</v>
      </c>
      <c r="AP13" s="584">
        <v>8711476596</v>
      </c>
      <c r="AQ13" s="73">
        <f t="shared" si="14"/>
        <v>10.889345745</v>
      </c>
      <c r="AR13" s="630">
        <v>800000000</v>
      </c>
      <c r="AS13" s="584">
        <v>4655179267</v>
      </c>
      <c r="AT13" s="73">
        <f t="shared" si="15"/>
        <v>5.8189740837499997</v>
      </c>
      <c r="AU13" s="630">
        <v>800000000</v>
      </c>
      <c r="AV13" s="584">
        <v>0</v>
      </c>
      <c r="AW13" s="73">
        <f t="shared" si="0"/>
        <v>0</v>
      </c>
      <c r="AX13" s="630">
        <f t="shared" si="16"/>
        <v>13661203641</v>
      </c>
      <c r="AY13" s="73">
        <f t="shared" si="2"/>
        <v>1.1384336367500001</v>
      </c>
    </row>
    <row r="14" spans="1:52" s="22" customFormat="1" ht="54" customHeight="1" thickTop="1" thickBot="1">
      <c r="A14" s="2944"/>
      <c r="B14" s="2849"/>
      <c r="C14" s="2937"/>
      <c r="D14" s="623" t="s">
        <v>400</v>
      </c>
      <c r="E14" s="76" t="s">
        <v>302</v>
      </c>
      <c r="F14" s="76" t="s">
        <v>101</v>
      </c>
      <c r="G14" s="2326">
        <v>103859314</v>
      </c>
      <c r="H14" s="78"/>
      <c r="I14" s="90"/>
      <c r="J14" s="78"/>
      <c r="K14" s="76" t="s">
        <v>196</v>
      </c>
      <c r="L14" s="2327">
        <v>3461977</v>
      </c>
      <c r="M14" s="2328">
        <v>0</v>
      </c>
      <c r="N14" s="73">
        <f t="shared" si="3"/>
        <v>0</v>
      </c>
      <c r="O14" s="2327">
        <v>3461977</v>
      </c>
      <c r="P14" s="2328">
        <v>0</v>
      </c>
      <c r="Q14" s="73">
        <f t="shared" si="4"/>
        <v>0</v>
      </c>
      <c r="R14" s="2327">
        <v>3461977</v>
      </c>
      <c r="S14" s="2328">
        <v>0</v>
      </c>
      <c r="T14" s="73">
        <f t="shared" si="5"/>
        <v>0</v>
      </c>
      <c r="U14" s="2327">
        <v>13847909</v>
      </c>
      <c r="V14" s="2328">
        <v>0</v>
      </c>
      <c r="W14" s="73">
        <f t="shared" si="6"/>
        <v>0</v>
      </c>
      <c r="X14" s="2327">
        <v>13847909</v>
      </c>
      <c r="Y14" s="2328">
        <v>0</v>
      </c>
      <c r="Z14" s="73">
        <f t="shared" si="7"/>
        <v>0</v>
      </c>
      <c r="AA14" s="2327">
        <v>13847909</v>
      </c>
      <c r="AB14" s="2328">
        <v>0</v>
      </c>
      <c r="AC14" s="73">
        <f t="shared" si="8"/>
        <v>0</v>
      </c>
      <c r="AD14" s="584">
        <f t="shared" si="9"/>
        <v>0</v>
      </c>
      <c r="AE14" s="73">
        <f t="shared" si="10"/>
        <v>0</v>
      </c>
      <c r="AF14" s="2327">
        <v>13847909</v>
      </c>
      <c r="AG14" s="2328">
        <v>0</v>
      </c>
      <c r="AH14" s="73">
        <f t="shared" si="11"/>
        <v>0</v>
      </c>
      <c r="AI14" s="2327">
        <v>13847909</v>
      </c>
      <c r="AJ14" s="2328">
        <v>257260918</v>
      </c>
      <c r="AK14" s="73">
        <f t="shared" si="12"/>
        <v>18.57760027163668</v>
      </c>
      <c r="AL14" s="2327">
        <v>13847909</v>
      </c>
      <c r="AM14" s="2328">
        <v>0</v>
      </c>
      <c r="AN14" s="73">
        <f t="shared" si="13"/>
        <v>0</v>
      </c>
      <c r="AO14" s="2327">
        <v>3461977</v>
      </c>
      <c r="AP14" s="2328">
        <v>0</v>
      </c>
      <c r="AQ14" s="73">
        <f t="shared" si="14"/>
        <v>0</v>
      </c>
      <c r="AR14" s="2327">
        <v>3461976</v>
      </c>
      <c r="AS14" s="2328">
        <v>0</v>
      </c>
      <c r="AT14" s="73">
        <f t="shared" si="15"/>
        <v>0</v>
      </c>
      <c r="AU14" s="2327">
        <v>3461976</v>
      </c>
      <c r="AV14" s="2328">
        <v>0</v>
      </c>
      <c r="AW14" s="73">
        <f t="shared" si="0"/>
        <v>0</v>
      </c>
      <c r="AX14" s="2327">
        <f t="shared" si="16"/>
        <v>257260918</v>
      </c>
      <c r="AY14" s="73">
        <f t="shared" si="2"/>
        <v>2.4770134530255032</v>
      </c>
    </row>
    <row r="15" spans="1:52" s="22" customFormat="1" ht="126" customHeight="1" thickTop="1" thickBot="1">
      <c r="A15" s="2944"/>
      <c r="B15" s="2849"/>
      <c r="C15" s="2937"/>
      <c r="D15" s="627" t="s">
        <v>457</v>
      </c>
      <c r="E15" s="81" t="s">
        <v>526</v>
      </c>
      <c r="F15" s="81" t="s">
        <v>101</v>
      </c>
      <c r="G15" s="2325">
        <v>860009555.66173005</v>
      </c>
      <c r="H15" s="82"/>
      <c r="I15" s="87"/>
      <c r="J15" s="82"/>
      <c r="K15" s="81" t="s">
        <v>140</v>
      </c>
      <c r="L15" s="2329">
        <v>57333970.377448641</v>
      </c>
      <c r="M15" s="2330">
        <v>0</v>
      </c>
      <c r="N15" s="73">
        <f t="shared" si="3"/>
        <v>0</v>
      </c>
      <c r="O15" s="2329">
        <v>57333970.377448641</v>
      </c>
      <c r="P15" s="2330">
        <v>0</v>
      </c>
      <c r="Q15" s="73">
        <f t="shared" si="4"/>
        <v>0</v>
      </c>
      <c r="R15" s="2329">
        <v>57333970.377448641</v>
      </c>
      <c r="S15" s="2330">
        <v>3996400</v>
      </c>
      <c r="T15" s="73">
        <f t="shared" si="5"/>
        <v>6.9703876666666664E-2</v>
      </c>
      <c r="U15" s="2329">
        <v>86000955.566172957</v>
      </c>
      <c r="V15" s="2330">
        <v>0</v>
      </c>
      <c r="W15" s="73">
        <f t="shared" si="6"/>
        <v>0</v>
      </c>
      <c r="X15" s="2329">
        <v>86000955.566172957</v>
      </c>
      <c r="Y15" s="2330">
        <v>0</v>
      </c>
      <c r="Z15" s="73">
        <f t="shared" si="7"/>
        <v>0</v>
      </c>
      <c r="AA15" s="2329">
        <v>86000955.566172957</v>
      </c>
      <c r="AB15" s="2330">
        <v>23023000</v>
      </c>
      <c r="AC15" s="73">
        <f t="shared" si="8"/>
        <v>0.26770632777777775</v>
      </c>
      <c r="AD15" s="584">
        <f t="shared" si="9"/>
        <v>27019400</v>
      </c>
      <c r="AE15" s="73">
        <f t="shared" si="10"/>
        <v>3.1417557888888871E-2</v>
      </c>
      <c r="AF15" s="2329">
        <v>86000955.566172957</v>
      </c>
      <c r="AG15" s="2330">
        <v>0</v>
      </c>
      <c r="AH15" s="73">
        <f t="shared" si="11"/>
        <v>0</v>
      </c>
      <c r="AI15" s="2329">
        <v>86000955.566172957</v>
      </c>
      <c r="AJ15" s="2330">
        <v>0</v>
      </c>
      <c r="AK15" s="73">
        <f t="shared" si="12"/>
        <v>0</v>
      </c>
      <c r="AL15" s="2329">
        <v>86000955.566172957</v>
      </c>
      <c r="AM15" s="2330">
        <v>0</v>
      </c>
      <c r="AN15" s="73">
        <f t="shared" si="13"/>
        <v>0</v>
      </c>
      <c r="AO15" s="2329">
        <v>57333970.377448641</v>
      </c>
      <c r="AP15" s="2330">
        <v>0</v>
      </c>
      <c r="AQ15" s="73">
        <f t="shared" si="14"/>
        <v>0</v>
      </c>
      <c r="AR15" s="2329">
        <v>57333970.377448641</v>
      </c>
      <c r="AS15" s="2330">
        <v>0</v>
      </c>
      <c r="AT15" s="73">
        <f t="shared" si="15"/>
        <v>0</v>
      </c>
      <c r="AU15" s="2329">
        <v>57333970.377448641</v>
      </c>
      <c r="AV15" s="2330">
        <v>219280796</v>
      </c>
      <c r="AW15" s="73">
        <f t="shared" si="0"/>
        <v>3.8246225502333333</v>
      </c>
      <c r="AX15" s="2329">
        <f t="shared" si="16"/>
        <v>246300196</v>
      </c>
      <c r="AY15" s="73">
        <f t="shared" si="2"/>
        <v>0.28639239457111093</v>
      </c>
    </row>
    <row r="16" spans="1:52" s="22" customFormat="1" ht="62.25" customHeight="1" thickTop="1" thickBot="1">
      <c r="A16" s="2944"/>
      <c r="B16" s="2849"/>
      <c r="C16" s="2937"/>
      <c r="D16" s="623" t="s">
        <v>402</v>
      </c>
      <c r="E16" s="76" t="s">
        <v>273</v>
      </c>
      <c r="F16" s="76" t="s">
        <v>101</v>
      </c>
      <c r="G16" s="2326">
        <v>8600000000</v>
      </c>
      <c r="H16" s="78"/>
      <c r="I16" s="90"/>
      <c r="J16" s="78"/>
      <c r="K16" s="76" t="s">
        <v>140</v>
      </c>
      <c r="L16" s="2327">
        <v>573333333.33333337</v>
      </c>
      <c r="M16" s="2328">
        <v>0</v>
      </c>
      <c r="N16" s="73">
        <f t="shared" si="3"/>
        <v>0</v>
      </c>
      <c r="O16" s="2327">
        <v>573333333.33333337</v>
      </c>
      <c r="P16" s="2328">
        <v>0</v>
      </c>
      <c r="Q16" s="73">
        <f t="shared" si="4"/>
        <v>0</v>
      </c>
      <c r="R16" s="2327">
        <v>573333333.33333337</v>
      </c>
      <c r="S16" s="2328">
        <v>0</v>
      </c>
      <c r="T16" s="73">
        <f t="shared" si="5"/>
        <v>0</v>
      </c>
      <c r="U16" s="2327">
        <v>860000000</v>
      </c>
      <c r="V16" s="2328">
        <v>0</v>
      </c>
      <c r="W16" s="73">
        <f t="shared" si="6"/>
        <v>0</v>
      </c>
      <c r="X16" s="2327">
        <v>860000000</v>
      </c>
      <c r="Y16" s="2328">
        <v>0</v>
      </c>
      <c r="Z16" s="73">
        <f t="shared" si="7"/>
        <v>0</v>
      </c>
      <c r="AA16" s="2327">
        <v>860000000</v>
      </c>
      <c r="AB16" s="2328">
        <v>0</v>
      </c>
      <c r="AC16" s="73">
        <f t="shared" si="8"/>
        <v>0</v>
      </c>
      <c r="AD16" s="584">
        <f t="shared" si="9"/>
        <v>0</v>
      </c>
      <c r="AE16" s="73">
        <f t="shared" si="10"/>
        <v>0</v>
      </c>
      <c r="AF16" s="2327">
        <v>860000000</v>
      </c>
      <c r="AG16" s="2328">
        <v>0</v>
      </c>
      <c r="AH16" s="73">
        <f t="shared" si="11"/>
        <v>0</v>
      </c>
      <c r="AI16" s="2327">
        <v>860000000</v>
      </c>
      <c r="AJ16" s="2328">
        <v>0</v>
      </c>
      <c r="AK16" s="73">
        <f t="shared" si="12"/>
        <v>0</v>
      </c>
      <c r="AL16" s="2327">
        <v>860000000</v>
      </c>
      <c r="AM16" s="2328">
        <v>2135000</v>
      </c>
      <c r="AN16" s="73">
        <f t="shared" si="13"/>
        <v>2.4825581395348838E-3</v>
      </c>
      <c r="AO16" s="2327">
        <v>573333333.33333337</v>
      </c>
      <c r="AP16" s="2328">
        <v>19961709</v>
      </c>
      <c r="AQ16" s="73">
        <f t="shared" si="14"/>
        <v>3.4816934302325582E-2</v>
      </c>
      <c r="AR16" s="2327">
        <v>573333333.33333337</v>
      </c>
      <c r="AS16" s="2328">
        <v>0</v>
      </c>
      <c r="AT16" s="73">
        <f t="shared" si="15"/>
        <v>0</v>
      </c>
      <c r="AU16" s="2327">
        <v>573333333.33333337</v>
      </c>
      <c r="AV16" s="2328">
        <v>0</v>
      </c>
      <c r="AW16" s="73">
        <f t="shared" si="0"/>
        <v>0</v>
      </c>
      <c r="AX16" s="2327">
        <f t="shared" si="16"/>
        <v>22096709</v>
      </c>
      <c r="AY16" s="887">
        <f>+AX16/G16</f>
        <v>2.5693847674418606E-3</v>
      </c>
    </row>
    <row r="17" spans="1:51" s="22" customFormat="1" ht="77.099999999999994" customHeight="1" thickTop="1" thickBot="1">
      <c r="A17" s="2944"/>
      <c r="B17" s="2849"/>
      <c r="C17" s="2937"/>
      <c r="D17" s="627" t="s">
        <v>102</v>
      </c>
      <c r="E17" s="81" t="s">
        <v>103</v>
      </c>
      <c r="F17" s="81" t="s">
        <v>101</v>
      </c>
      <c r="G17" s="2331">
        <v>44700000000</v>
      </c>
      <c r="H17" s="82"/>
      <c r="I17" s="87"/>
      <c r="J17" s="82"/>
      <c r="K17" s="81" t="s">
        <v>172</v>
      </c>
      <c r="L17" s="630">
        <v>3576000000</v>
      </c>
      <c r="M17" s="564">
        <v>41018000</v>
      </c>
      <c r="N17" s="73">
        <f t="shared" si="3"/>
        <v>1.1470357941834451E-2</v>
      </c>
      <c r="O17" s="630">
        <v>3576000000</v>
      </c>
      <c r="P17" s="564">
        <v>1356180000</v>
      </c>
      <c r="Q17" s="73">
        <f t="shared" si="4"/>
        <v>0.37924496644295302</v>
      </c>
      <c r="R17" s="630">
        <v>3576000000</v>
      </c>
      <c r="S17" s="564">
        <v>795087000</v>
      </c>
      <c r="T17" s="73">
        <f t="shared" si="5"/>
        <v>0.22233976510067113</v>
      </c>
      <c r="U17" s="630">
        <v>4023000000</v>
      </c>
      <c r="V17" s="564">
        <v>3912022000</v>
      </c>
      <c r="W17" s="73">
        <f t="shared" si="6"/>
        <v>0.9724141188168034</v>
      </c>
      <c r="X17" s="630">
        <v>4470000000</v>
      </c>
      <c r="Y17" s="564">
        <v>481415000</v>
      </c>
      <c r="Z17" s="73">
        <f t="shared" si="7"/>
        <v>0.10769910514541386</v>
      </c>
      <c r="AA17" s="630">
        <v>4470000000</v>
      </c>
      <c r="AB17" s="564">
        <v>109511000</v>
      </c>
      <c r="AC17" s="73">
        <f t="shared" si="8"/>
        <v>2.4499105145413869E-2</v>
      </c>
      <c r="AD17" s="584">
        <f t="shared" si="9"/>
        <v>6695233000</v>
      </c>
      <c r="AE17" s="73">
        <f t="shared" si="10"/>
        <v>0.14978149888143177</v>
      </c>
      <c r="AF17" s="630">
        <v>4470000000</v>
      </c>
      <c r="AG17" s="564">
        <v>2629689000</v>
      </c>
      <c r="AH17" s="73">
        <f t="shared" si="11"/>
        <v>0.58829731543624164</v>
      </c>
      <c r="AI17" s="630">
        <v>4470000000</v>
      </c>
      <c r="AJ17" s="564">
        <v>1311038000</v>
      </c>
      <c r="AK17" s="73">
        <f t="shared" si="12"/>
        <v>0.2932970917225951</v>
      </c>
      <c r="AL17" s="630">
        <v>4470000000</v>
      </c>
      <c r="AM17" s="564">
        <v>3817623000</v>
      </c>
      <c r="AN17" s="73">
        <f t="shared" si="13"/>
        <v>0.85405436241610744</v>
      </c>
      <c r="AO17" s="630">
        <v>4470000000</v>
      </c>
      <c r="AP17" s="564">
        <v>9853637000</v>
      </c>
      <c r="AQ17" s="73">
        <f t="shared" si="14"/>
        <v>2.2043930648769576</v>
      </c>
      <c r="AR17" s="630">
        <v>1788000000</v>
      </c>
      <c r="AS17" s="584">
        <v>5984741465</v>
      </c>
      <c r="AT17" s="73">
        <f t="shared" si="15"/>
        <v>3.3471708417225949</v>
      </c>
      <c r="AU17" s="630">
        <v>1341000000</v>
      </c>
      <c r="AV17" s="584">
        <v>6626452000</v>
      </c>
      <c r="AW17" s="73">
        <f t="shared" si="0"/>
        <v>4.941425801640567</v>
      </c>
      <c r="AX17" s="630">
        <f t="shared" si="16"/>
        <v>36918413465</v>
      </c>
      <c r="AY17" s="73">
        <f t="shared" si="2"/>
        <v>0.82591529004474273</v>
      </c>
    </row>
    <row r="18" spans="1:51" s="22" customFormat="1" ht="61.5" customHeight="1" thickTop="1" thickBot="1">
      <c r="A18" s="2944"/>
      <c r="B18" s="2849"/>
      <c r="C18" s="2937"/>
      <c r="D18" s="623" t="s">
        <v>459</v>
      </c>
      <c r="E18" s="76" t="s">
        <v>274</v>
      </c>
      <c r="F18" s="76" t="s">
        <v>101</v>
      </c>
      <c r="G18" s="2326">
        <v>8000000</v>
      </c>
      <c r="H18" s="76"/>
      <c r="I18" s="90"/>
      <c r="J18" s="78"/>
      <c r="K18" s="76" t="s">
        <v>196</v>
      </c>
      <c r="L18" s="2327">
        <v>266667</v>
      </c>
      <c r="M18" s="2332">
        <f>28260000</f>
        <v>28260000</v>
      </c>
      <c r="N18" s="73">
        <f t="shared" si="3"/>
        <v>105.97486753141558</v>
      </c>
      <c r="O18" s="2327">
        <v>266667</v>
      </c>
      <c r="P18" s="2328">
        <v>0</v>
      </c>
      <c r="Q18" s="73">
        <f t="shared" si="4"/>
        <v>0</v>
      </c>
      <c r="R18" s="2327">
        <v>266667</v>
      </c>
      <c r="S18" s="2328">
        <v>0</v>
      </c>
      <c r="T18" s="73">
        <f t="shared" si="5"/>
        <v>0</v>
      </c>
      <c r="U18" s="2327">
        <v>1066667</v>
      </c>
      <c r="V18" s="2328">
        <v>0</v>
      </c>
      <c r="W18" s="73">
        <f t="shared" si="6"/>
        <v>0</v>
      </c>
      <c r="X18" s="2327">
        <v>1066667</v>
      </c>
      <c r="Y18" s="2328">
        <v>0</v>
      </c>
      <c r="Z18" s="73">
        <f t="shared" si="7"/>
        <v>0</v>
      </c>
      <c r="AA18" s="2327">
        <v>1066667</v>
      </c>
      <c r="AB18" s="2332">
        <v>3978000</v>
      </c>
      <c r="AC18" s="73">
        <f t="shared" si="8"/>
        <v>3.7293738345706768</v>
      </c>
      <c r="AD18" s="584">
        <f t="shared" si="9"/>
        <v>32238000</v>
      </c>
      <c r="AE18" s="73">
        <f t="shared" si="10"/>
        <v>4.0297499999999999</v>
      </c>
      <c r="AF18" s="2327">
        <v>1066667</v>
      </c>
      <c r="AG18" s="2333">
        <v>9948000</v>
      </c>
      <c r="AH18" s="73">
        <f t="shared" si="11"/>
        <v>9.3262470855477861</v>
      </c>
      <c r="AI18" s="2327">
        <v>1066667</v>
      </c>
      <c r="AJ18" s="2328">
        <v>0</v>
      </c>
      <c r="AK18" s="73">
        <f t="shared" si="12"/>
        <v>0</v>
      </c>
      <c r="AL18" s="2327">
        <v>1066666</v>
      </c>
      <c r="AM18" s="2332">
        <v>4023000</v>
      </c>
      <c r="AN18" s="73">
        <f t="shared" si="13"/>
        <v>3.7715648572280358</v>
      </c>
      <c r="AO18" s="2327">
        <v>266666</v>
      </c>
      <c r="AP18" s="2333">
        <v>15017000</v>
      </c>
      <c r="AQ18" s="73">
        <f t="shared" si="14"/>
        <v>56.313890784726965</v>
      </c>
      <c r="AR18" s="2327">
        <v>266666</v>
      </c>
      <c r="AS18" s="2328">
        <v>1326600</v>
      </c>
      <c r="AT18" s="73">
        <f t="shared" si="15"/>
        <v>4.9747624369060919</v>
      </c>
      <c r="AU18" s="2327">
        <v>266666</v>
      </c>
      <c r="AV18" s="2328">
        <v>0</v>
      </c>
      <c r="AW18" s="73">
        <f t="shared" si="0"/>
        <v>0</v>
      </c>
      <c r="AX18" s="2327">
        <f t="shared" si="16"/>
        <v>62552600</v>
      </c>
      <c r="AY18" s="73">
        <f t="shared" si="2"/>
        <v>7.8190749999999998</v>
      </c>
    </row>
    <row r="19" spans="1:51" s="22" customFormat="1" ht="67.150000000000006" customHeight="1" thickTop="1" thickBot="1">
      <c r="A19" s="2944"/>
      <c r="B19" s="2849"/>
      <c r="C19" s="2937"/>
      <c r="D19" s="627" t="s">
        <v>203</v>
      </c>
      <c r="E19" s="81" t="s">
        <v>202</v>
      </c>
      <c r="F19" s="81" t="s">
        <v>101</v>
      </c>
      <c r="G19" s="2325">
        <v>36800018</v>
      </c>
      <c r="H19" s="82"/>
      <c r="I19" s="87"/>
      <c r="J19" s="82"/>
      <c r="K19" s="81" t="s">
        <v>196</v>
      </c>
      <c r="L19" s="630">
        <v>1226668</v>
      </c>
      <c r="M19" s="2332">
        <v>6631200</v>
      </c>
      <c r="N19" s="73">
        <f t="shared" si="3"/>
        <v>5.4058636892785987</v>
      </c>
      <c r="O19" s="630">
        <v>1226668</v>
      </c>
      <c r="P19" s="584">
        <v>643000</v>
      </c>
      <c r="Q19" s="73">
        <f t="shared" si="4"/>
        <v>0.5241842128432469</v>
      </c>
      <c r="R19" s="630">
        <v>1226667</v>
      </c>
      <c r="S19" s="584">
        <v>0</v>
      </c>
      <c r="T19" s="73">
        <f t="shared" si="5"/>
        <v>0</v>
      </c>
      <c r="U19" s="630">
        <v>4906669</v>
      </c>
      <c r="V19" s="584">
        <v>0</v>
      </c>
      <c r="W19" s="73">
        <f t="shared" si="6"/>
        <v>0</v>
      </c>
      <c r="X19" s="630">
        <v>4906669</v>
      </c>
      <c r="Y19" s="584">
        <v>0</v>
      </c>
      <c r="Z19" s="73">
        <f t="shared" si="7"/>
        <v>0</v>
      </c>
      <c r="AA19" s="630">
        <v>4906669</v>
      </c>
      <c r="AB19" s="584">
        <v>0</v>
      </c>
      <c r="AC19" s="73">
        <f t="shared" si="8"/>
        <v>0</v>
      </c>
      <c r="AD19" s="584">
        <f t="shared" si="9"/>
        <v>7274200</v>
      </c>
      <c r="AE19" s="73">
        <f t="shared" si="10"/>
        <v>0.19766838157524813</v>
      </c>
      <c r="AF19" s="630">
        <v>4906669</v>
      </c>
      <c r="AG19" s="584">
        <v>0</v>
      </c>
      <c r="AH19" s="73">
        <f t="shared" si="11"/>
        <v>0</v>
      </c>
      <c r="AI19" s="630">
        <v>4906669</v>
      </c>
      <c r="AJ19" s="584">
        <v>0</v>
      </c>
      <c r="AK19" s="73">
        <f t="shared" si="12"/>
        <v>0</v>
      </c>
      <c r="AL19" s="630">
        <v>4906669</v>
      </c>
      <c r="AM19" s="584">
        <v>0</v>
      </c>
      <c r="AN19" s="73">
        <f t="shared" si="13"/>
        <v>0</v>
      </c>
      <c r="AO19" s="630">
        <v>1226667</v>
      </c>
      <c r="AP19" s="584">
        <v>0</v>
      </c>
      <c r="AQ19" s="73">
        <f t="shared" si="14"/>
        <v>0</v>
      </c>
      <c r="AR19" s="630">
        <v>1226667</v>
      </c>
      <c r="AS19" s="584">
        <v>0</v>
      </c>
      <c r="AT19" s="73">
        <f t="shared" si="15"/>
        <v>0</v>
      </c>
      <c r="AU19" s="630">
        <v>1226667</v>
      </c>
      <c r="AV19" s="584">
        <v>0</v>
      </c>
      <c r="AW19" s="73">
        <f t="shared" si="0"/>
        <v>0</v>
      </c>
      <c r="AX19" s="630">
        <f t="shared" si="16"/>
        <v>7274200</v>
      </c>
      <c r="AY19" s="73">
        <f t="shared" si="2"/>
        <v>0.19766838157524813</v>
      </c>
    </row>
    <row r="20" spans="1:51" s="22" customFormat="1" ht="77.099999999999994" customHeight="1" thickTop="1" thickBot="1">
      <c r="A20" s="2944"/>
      <c r="B20" s="2849"/>
      <c r="C20" s="2937"/>
      <c r="D20" s="623" t="s">
        <v>104</v>
      </c>
      <c r="E20" s="76" t="s">
        <v>105</v>
      </c>
      <c r="F20" s="76" t="s">
        <v>24</v>
      </c>
      <c r="G20" s="76">
        <v>80</v>
      </c>
      <c r="H20" s="78"/>
      <c r="I20" s="90"/>
      <c r="J20" s="78"/>
      <c r="K20" s="76" t="s">
        <v>172</v>
      </c>
      <c r="L20" s="675">
        <v>0</v>
      </c>
      <c r="M20" s="36">
        <v>0</v>
      </c>
      <c r="N20" s="73" t="e">
        <f t="shared" si="3"/>
        <v>#DIV/0!</v>
      </c>
      <c r="O20" s="675">
        <v>0</v>
      </c>
      <c r="P20" s="36">
        <v>0</v>
      </c>
      <c r="Q20" s="73" t="e">
        <f t="shared" si="4"/>
        <v>#DIV/0!</v>
      </c>
      <c r="R20" s="675">
        <v>20</v>
      </c>
      <c r="S20" s="36">
        <v>0</v>
      </c>
      <c r="T20" s="73">
        <f t="shared" si="5"/>
        <v>0</v>
      </c>
      <c r="U20" s="675">
        <v>0</v>
      </c>
      <c r="V20" s="36">
        <v>0</v>
      </c>
      <c r="W20" s="73" t="e">
        <f t="shared" si="6"/>
        <v>#DIV/0!</v>
      </c>
      <c r="X20" s="675">
        <v>0</v>
      </c>
      <c r="Y20" s="36">
        <v>0</v>
      </c>
      <c r="Z20" s="73" t="e">
        <f t="shared" si="7"/>
        <v>#DIV/0!</v>
      </c>
      <c r="AA20" s="675">
        <v>20</v>
      </c>
      <c r="AB20" s="36">
        <v>3</v>
      </c>
      <c r="AC20" s="73">
        <f t="shared" si="8"/>
        <v>0.15</v>
      </c>
      <c r="AD20" s="28">
        <f>+S20+AB20</f>
        <v>3</v>
      </c>
      <c r="AE20" s="73">
        <f t="shared" si="10"/>
        <v>3.7499999999999999E-2</v>
      </c>
      <c r="AF20" s="675">
        <v>0</v>
      </c>
      <c r="AG20" s="36">
        <v>0</v>
      </c>
      <c r="AH20" s="73" t="e">
        <f t="shared" si="11"/>
        <v>#DIV/0!</v>
      </c>
      <c r="AI20" s="675">
        <v>0</v>
      </c>
      <c r="AJ20" s="36">
        <v>0</v>
      </c>
      <c r="AK20" s="73" t="e">
        <f t="shared" si="12"/>
        <v>#DIV/0!</v>
      </c>
      <c r="AL20" s="675">
        <v>20</v>
      </c>
      <c r="AM20" s="36">
        <v>16</v>
      </c>
      <c r="AN20" s="73">
        <f t="shared" si="13"/>
        <v>0.8</v>
      </c>
      <c r="AO20" s="675">
        <v>0</v>
      </c>
      <c r="AP20" s="36"/>
      <c r="AQ20" s="73" t="e">
        <f t="shared" si="14"/>
        <v>#DIV/0!</v>
      </c>
      <c r="AR20" s="675">
        <v>0</v>
      </c>
      <c r="AS20" s="36"/>
      <c r="AT20" s="73" t="e">
        <f t="shared" si="15"/>
        <v>#DIV/0!</v>
      </c>
      <c r="AU20" s="675">
        <v>20</v>
      </c>
      <c r="AV20" s="36">
        <v>61</v>
      </c>
      <c r="AW20" s="73">
        <f t="shared" si="0"/>
        <v>3.05</v>
      </c>
      <c r="AX20" s="675">
        <f>+AV20+AM20+AB20+S20</f>
        <v>80</v>
      </c>
      <c r="AY20" s="73">
        <f t="shared" si="2"/>
        <v>1</v>
      </c>
    </row>
    <row r="21" spans="1:51" s="2339" customFormat="1" ht="77.099999999999994" customHeight="1" thickTop="1" thickBot="1">
      <c r="A21" s="3217"/>
      <c r="B21" s="3220"/>
      <c r="C21" s="3221"/>
      <c r="D21" s="1422" t="s">
        <v>106</v>
      </c>
      <c r="E21" s="1413" t="s">
        <v>173</v>
      </c>
      <c r="F21" s="1413" t="s">
        <v>24</v>
      </c>
      <c r="G21" s="1413">
        <v>196</v>
      </c>
      <c r="H21" s="1414"/>
      <c r="I21" s="2334"/>
      <c r="J21" s="1414"/>
      <c r="K21" s="1413" t="s">
        <v>172</v>
      </c>
      <c r="L21" s="2335">
        <v>0</v>
      </c>
      <c r="M21" s="2336">
        <v>43</v>
      </c>
      <c r="N21" s="2337" t="e">
        <f t="shared" si="3"/>
        <v>#DIV/0!</v>
      </c>
      <c r="O21" s="2335">
        <v>0</v>
      </c>
      <c r="P21" s="2336">
        <v>50</v>
      </c>
      <c r="Q21" s="2337" t="e">
        <f t="shared" si="4"/>
        <v>#DIV/0!</v>
      </c>
      <c r="R21" s="2335">
        <v>0</v>
      </c>
      <c r="S21" s="2336">
        <v>23</v>
      </c>
      <c r="T21" s="2337" t="e">
        <f t="shared" si="5"/>
        <v>#DIV/0!</v>
      </c>
      <c r="U21" s="2335">
        <v>0</v>
      </c>
      <c r="V21" s="2336">
        <v>0</v>
      </c>
      <c r="W21" s="2337" t="e">
        <f t="shared" si="6"/>
        <v>#DIV/0!</v>
      </c>
      <c r="X21" s="2335">
        <v>0</v>
      </c>
      <c r="Y21" s="2336">
        <v>0</v>
      </c>
      <c r="Z21" s="2337" t="e">
        <f t="shared" si="7"/>
        <v>#DIV/0!</v>
      </c>
      <c r="AA21" s="2335">
        <v>0</v>
      </c>
      <c r="AB21" s="2336">
        <v>40</v>
      </c>
      <c r="AC21" s="2337" t="e">
        <f t="shared" si="8"/>
        <v>#DIV/0!</v>
      </c>
      <c r="AD21" s="2336">
        <f t="shared" si="9"/>
        <v>156</v>
      </c>
      <c r="AE21" s="2337">
        <f t="shared" si="10"/>
        <v>0.79591836734693877</v>
      </c>
      <c r="AF21" s="2335">
        <v>98</v>
      </c>
      <c r="AG21" s="2336">
        <v>23</v>
      </c>
      <c r="AH21" s="2337">
        <f t="shared" si="11"/>
        <v>0.23469387755102042</v>
      </c>
      <c r="AI21" s="2335">
        <v>0</v>
      </c>
      <c r="AJ21" s="2336">
        <v>27</v>
      </c>
      <c r="AK21" s="2337" t="e">
        <f t="shared" si="12"/>
        <v>#DIV/0!</v>
      </c>
      <c r="AL21" s="2335">
        <v>0</v>
      </c>
      <c r="AM21" s="2336">
        <v>27</v>
      </c>
      <c r="AN21" s="2337" t="e">
        <f t="shared" si="13"/>
        <v>#DIV/0!</v>
      </c>
      <c r="AO21" s="2335">
        <v>0</v>
      </c>
      <c r="AP21" s="2336">
        <v>35</v>
      </c>
      <c r="AQ21" s="2337" t="e">
        <f t="shared" si="14"/>
        <v>#DIV/0!</v>
      </c>
      <c r="AR21" s="2335">
        <v>0</v>
      </c>
      <c r="AS21" s="2336">
        <v>90</v>
      </c>
      <c r="AT21" s="2337" t="e">
        <f t="shared" si="15"/>
        <v>#DIV/0!</v>
      </c>
      <c r="AU21" s="2335">
        <v>98</v>
      </c>
      <c r="AV21" s="2336">
        <v>121</v>
      </c>
      <c r="AW21" s="2337">
        <f t="shared" si="0"/>
        <v>1.2346938775510203</v>
      </c>
      <c r="AX21" s="2335">
        <f>+AV21+AG21+AS21+AP21+AM21+AJ21</f>
        <v>323</v>
      </c>
      <c r="AY21" s="2338">
        <f t="shared" si="2"/>
        <v>1.6479591836734695</v>
      </c>
    </row>
    <row r="22" spans="1:51" s="22" customFormat="1" ht="69.599999999999994" customHeight="1" thickTop="1" thickBot="1">
      <c r="A22" s="2944"/>
      <c r="B22" s="2849"/>
      <c r="C22" s="1048" t="s">
        <v>1002</v>
      </c>
      <c r="D22" s="2340" t="s">
        <v>109</v>
      </c>
      <c r="E22" s="1048" t="s">
        <v>110</v>
      </c>
      <c r="F22" s="1048" t="s">
        <v>168</v>
      </c>
      <c r="G22" s="2326">
        <v>121189</v>
      </c>
      <c r="H22" s="78"/>
      <c r="I22" s="90"/>
      <c r="J22" s="78"/>
      <c r="K22" s="76" t="s">
        <v>21</v>
      </c>
      <c r="L22" s="624">
        <v>0</v>
      </c>
      <c r="M22" s="564">
        <v>14072</v>
      </c>
      <c r="N22" s="73" t="e">
        <f t="shared" si="3"/>
        <v>#DIV/0!</v>
      </c>
      <c r="O22" s="624">
        <v>0</v>
      </c>
      <c r="P22" s="564">
        <v>11671.2</v>
      </c>
      <c r="Q22" s="73" t="e">
        <f t="shared" si="4"/>
        <v>#DIV/0!</v>
      </c>
      <c r="R22" s="624">
        <v>25271.649304336857</v>
      </c>
      <c r="S22" s="564">
        <v>9416.2999999999993</v>
      </c>
      <c r="T22" s="73">
        <f t="shared" si="5"/>
        <v>0.37260330287917032</v>
      </c>
      <c r="U22" s="624">
        <v>11074.63104494089</v>
      </c>
      <c r="V22" s="624">
        <v>3442.9</v>
      </c>
      <c r="W22" s="73">
        <f t="shared" si="6"/>
        <v>0.31088168861144899</v>
      </c>
      <c r="X22" s="624">
        <v>12535.392717303293</v>
      </c>
      <c r="Y22" s="624">
        <v>9094.7999999999993</v>
      </c>
      <c r="Z22" s="73">
        <f t="shared" si="7"/>
        <v>0.72552972253082626</v>
      </c>
      <c r="AA22" s="624">
        <v>11652.643897521872</v>
      </c>
      <c r="AB22" s="624">
        <v>9685.1</v>
      </c>
      <c r="AC22" s="73">
        <f t="shared" si="8"/>
        <v>0.83115043119610799</v>
      </c>
      <c r="AD22" s="584">
        <f t="shared" si="9"/>
        <v>57382.299999999996</v>
      </c>
      <c r="AE22" s="73">
        <f t="shared" si="10"/>
        <v>0.47349429403658744</v>
      </c>
      <c r="AF22" s="624">
        <v>9816.6056730028631</v>
      </c>
      <c r="AG22" s="624">
        <v>7849.6</v>
      </c>
      <c r="AH22" s="73">
        <f t="shared" si="11"/>
        <v>0.79962466268636789</v>
      </c>
      <c r="AI22" s="624">
        <v>9890.0765194624146</v>
      </c>
      <c r="AJ22" s="624">
        <v>12521.9</v>
      </c>
      <c r="AK22" s="73">
        <f t="shared" si="12"/>
        <v>1.266107494250271</v>
      </c>
      <c r="AL22" s="624">
        <v>13031.18176410102</v>
      </c>
      <c r="AM22" s="624">
        <v>10605.4</v>
      </c>
      <c r="AN22" s="73">
        <f t="shared" si="13"/>
        <v>0.81384790665849738</v>
      </c>
      <c r="AO22" s="624">
        <v>10638.644764524703</v>
      </c>
      <c r="AP22" s="624">
        <v>8029.8</v>
      </c>
      <c r="AQ22" s="73">
        <f t="shared" si="14"/>
        <v>0.75477658834665895</v>
      </c>
      <c r="AR22" s="624">
        <v>11486.253962088029</v>
      </c>
      <c r="AS22" s="564">
        <v>10723.2</v>
      </c>
      <c r="AT22" s="73">
        <f t="shared" si="15"/>
        <v>0.93356807496973393</v>
      </c>
      <c r="AU22" s="624">
        <v>5791.971725082095</v>
      </c>
      <c r="AV22" s="564">
        <v>9624.2000000000007</v>
      </c>
      <c r="AW22" s="73">
        <f t="shared" si="0"/>
        <v>1.6616448520151552</v>
      </c>
      <c r="AX22" s="624">
        <f t="shared" si="16"/>
        <v>116736.39999999998</v>
      </c>
      <c r="AY22" s="73">
        <f t="shared" si="2"/>
        <v>0.96325904166219689</v>
      </c>
    </row>
    <row r="23" spans="1:51" s="22" customFormat="1" ht="66" customHeight="1" thickTop="1" thickBot="1">
      <c r="A23" s="2944"/>
      <c r="B23" s="2849"/>
      <c r="C23" s="2341" t="s">
        <v>362</v>
      </c>
      <c r="D23" s="627" t="s">
        <v>111</v>
      </c>
      <c r="E23" s="82" t="s">
        <v>112</v>
      </c>
      <c r="F23" s="82" t="s">
        <v>17</v>
      </c>
      <c r="G23" s="82">
        <v>422</v>
      </c>
      <c r="H23" s="82"/>
      <c r="I23" s="87"/>
      <c r="J23" s="82"/>
      <c r="K23" s="81" t="s">
        <v>20</v>
      </c>
      <c r="L23" s="665"/>
      <c r="M23" s="28">
        <v>100</v>
      </c>
      <c r="N23" s="73" t="e">
        <f t="shared" si="3"/>
        <v>#DIV/0!</v>
      </c>
      <c r="O23" s="665"/>
      <c r="P23" s="28">
        <v>13</v>
      </c>
      <c r="Q23" s="73" t="e">
        <f t="shared" si="4"/>
        <v>#DIV/0!</v>
      </c>
      <c r="R23" s="665"/>
      <c r="S23" s="28">
        <v>27</v>
      </c>
      <c r="T23" s="73" t="e">
        <f t="shared" si="5"/>
        <v>#DIV/0!</v>
      </c>
      <c r="U23" s="665"/>
      <c r="V23" s="28">
        <v>22</v>
      </c>
      <c r="W23" s="73" t="e">
        <f t="shared" si="6"/>
        <v>#DIV/0!</v>
      </c>
      <c r="X23" s="665"/>
      <c r="Y23" s="28">
        <v>15</v>
      </c>
      <c r="Z23" s="73" t="e">
        <f t="shared" si="7"/>
        <v>#DIV/0!</v>
      </c>
      <c r="AA23" s="665"/>
      <c r="AB23" s="28">
        <v>173</v>
      </c>
      <c r="AC23" s="73" t="e">
        <f t="shared" si="8"/>
        <v>#DIV/0!</v>
      </c>
      <c r="AD23" s="28">
        <f t="shared" si="9"/>
        <v>350</v>
      </c>
      <c r="AE23" s="73">
        <f t="shared" si="10"/>
        <v>0.82938388625592419</v>
      </c>
      <c r="AF23" s="665"/>
      <c r="AG23" s="28">
        <v>56</v>
      </c>
      <c r="AH23" s="73" t="e">
        <f t="shared" si="11"/>
        <v>#DIV/0!</v>
      </c>
      <c r="AI23" s="665"/>
      <c r="AJ23" s="28">
        <v>36</v>
      </c>
      <c r="AK23" s="73" t="e">
        <f t="shared" si="12"/>
        <v>#DIV/0!</v>
      </c>
      <c r="AL23" s="665"/>
      <c r="AM23" s="28">
        <v>54</v>
      </c>
      <c r="AN23" s="73" t="e">
        <f t="shared" si="13"/>
        <v>#DIV/0!</v>
      </c>
      <c r="AO23" s="665">
        <v>416</v>
      </c>
      <c r="AP23" s="28">
        <v>21</v>
      </c>
      <c r="AQ23" s="73">
        <f t="shared" si="14"/>
        <v>5.0480769230769232E-2</v>
      </c>
      <c r="AR23" s="665"/>
      <c r="AS23" s="28">
        <v>18</v>
      </c>
      <c r="AT23" s="73" t="e">
        <f t="shared" si="15"/>
        <v>#DIV/0!</v>
      </c>
      <c r="AU23" s="665">
        <v>6</v>
      </c>
      <c r="AV23" s="28">
        <v>9</v>
      </c>
      <c r="AW23" s="73">
        <f t="shared" si="0"/>
        <v>1.5</v>
      </c>
      <c r="AX23" s="665">
        <f t="shared" si="16"/>
        <v>544</v>
      </c>
      <c r="AY23" s="73">
        <f t="shared" si="2"/>
        <v>1.2890995260663507</v>
      </c>
    </row>
    <row r="24" spans="1:51" s="22" customFormat="1" ht="77.099999999999994" customHeight="1" thickTop="1" thickBot="1">
      <c r="A24" s="2944"/>
      <c r="B24" s="2849"/>
      <c r="C24" s="76" t="s">
        <v>501</v>
      </c>
      <c r="D24" s="623" t="s">
        <v>1003</v>
      </c>
      <c r="E24" s="76" t="s">
        <v>570</v>
      </c>
      <c r="F24" s="76" t="s">
        <v>10</v>
      </c>
      <c r="G24" s="724">
        <v>1</v>
      </c>
      <c r="H24" s="78"/>
      <c r="I24" s="90"/>
      <c r="J24" s="78"/>
      <c r="K24" s="76" t="s">
        <v>20</v>
      </c>
      <c r="L24" s="653">
        <v>0.1111</v>
      </c>
      <c r="M24" s="50">
        <v>0.22220000000000001</v>
      </c>
      <c r="N24" s="73">
        <f t="shared" si="3"/>
        <v>2</v>
      </c>
      <c r="O24" s="653">
        <v>0.1111</v>
      </c>
      <c r="P24" s="50">
        <v>0.33329999999999999</v>
      </c>
      <c r="Q24" s="73">
        <f t="shared" si="4"/>
        <v>2.9999999999999996</v>
      </c>
      <c r="R24" s="653">
        <v>0.1111</v>
      </c>
      <c r="S24" s="50">
        <v>0.1111</v>
      </c>
      <c r="T24" s="73">
        <f t="shared" si="5"/>
        <v>1</v>
      </c>
      <c r="U24" s="653">
        <v>0.1111</v>
      </c>
      <c r="V24" s="50">
        <v>0.1111</v>
      </c>
      <c r="W24" s="73">
        <f t="shared" si="6"/>
        <v>1</v>
      </c>
      <c r="X24" s="653">
        <v>0.1111</v>
      </c>
      <c r="Y24" s="50">
        <v>0.33329999999999999</v>
      </c>
      <c r="Z24" s="73">
        <f t="shared" si="7"/>
        <v>2.9999999999999996</v>
      </c>
      <c r="AA24" s="653">
        <v>0</v>
      </c>
      <c r="AB24" s="50">
        <v>0</v>
      </c>
      <c r="AC24" s="73" t="e">
        <f t="shared" si="8"/>
        <v>#DIV/0!</v>
      </c>
      <c r="AD24" s="45">
        <f t="shared" si="9"/>
        <v>1.111</v>
      </c>
      <c r="AE24" s="73">
        <f t="shared" si="10"/>
        <v>1.111</v>
      </c>
      <c r="AF24" s="653">
        <v>0.1111</v>
      </c>
      <c r="AG24" s="50">
        <v>0.1111</v>
      </c>
      <c r="AH24" s="73">
        <f t="shared" si="11"/>
        <v>1</v>
      </c>
      <c r="AI24" s="653">
        <v>0.1111</v>
      </c>
      <c r="AJ24" s="50">
        <v>0.1111</v>
      </c>
      <c r="AK24" s="73">
        <f t="shared" si="12"/>
        <v>1</v>
      </c>
      <c r="AL24" s="653">
        <v>0.1111</v>
      </c>
      <c r="AM24" s="50">
        <v>0.1111</v>
      </c>
      <c r="AN24" s="73">
        <f t="shared" si="13"/>
        <v>1</v>
      </c>
      <c r="AO24" s="653">
        <v>0</v>
      </c>
      <c r="AP24" s="50"/>
      <c r="AQ24" s="73" t="e">
        <f t="shared" si="14"/>
        <v>#DIV/0!</v>
      </c>
      <c r="AR24" s="653">
        <v>0.1111</v>
      </c>
      <c r="AS24" s="50">
        <v>0.33329999999999999</v>
      </c>
      <c r="AT24" s="73">
        <f t="shared" si="15"/>
        <v>2.9999999999999996</v>
      </c>
      <c r="AU24" s="653">
        <v>0</v>
      </c>
      <c r="AV24" s="50">
        <v>0</v>
      </c>
      <c r="AW24" s="73" t="e">
        <f t="shared" si="0"/>
        <v>#DIV/0!</v>
      </c>
      <c r="AX24" s="653">
        <f t="shared" si="16"/>
        <v>1.7775999999999998</v>
      </c>
      <c r="AY24" s="73">
        <f t="shared" si="2"/>
        <v>1.7775999999999998</v>
      </c>
    </row>
    <row r="25" spans="1:51" s="22" customFormat="1" ht="72.75" customHeight="1" thickTop="1" thickBot="1">
      <c r="A25" s="2944"/>
      <c r="B25" s="2849"/>
      <c r="C25" s="2917" t="s">
        <v>503</v>
      </c>
      <c r="D25" s="627" t="s">
        <v>205</v>
      </c>
      <c r="E25" s="81" t="s">
        <v>206</v>
      </c>
      <c r="F25" s="81" t="s">
        <v>24</v>
      </c>
      <c r="G25" s="634">
        <v>6</v>
      </c>
      <c r="H25" s="82"/>
      <c r="I25" s="87"/>
      <c r="J25" s="82"/>
      <c r="K25" s="81" t="s">
        <v>196</v>
      </c>
      <c r="L25" s="665">
        <v>0</v>
      </c>
      <c r="M25" s="28"/>
      <c r="N25" s="73" t="e">
        <f t="shared" si="3"/>
        <v>#DIV/0!</v>
      </c>
      <c r="O25" s="665">
        <v>0</v>
      </c>
      <c r="P25" s="28"/>
      <c r="Q25" s="73" t="e">
        <f t="shared" si="4"/>
        <v>#DIV/0!</v>
      </c>
      <c r="R25" s="665">
        <v>0</v>
      </c>
      <c r="S25" s="28"/>
      <c r="T25" s="73" t="e">
        <f t="shared" si="5"/>
        <v>#DIV/0!</v>
      </c>
      <c r="U25" s="665">
        <v>0</v>
      </c>
      <c r="V25" s="28"/>
      <c r="W25" s="73" t="e">
        <f t="shared" si="6"/>
        <v>#DIV/0!</v>
      </c>
      <c r="X25" s="665">
        <v>3</v>
      </c>
      <c r="Y25" s="28"/>
      <c r="Z25" s="73">
        <f t="shared" si="7"/>
        <v>0</v>
      </c>
      <c r="AA25" s="665">
        <v>0</v>
      </c>
      <c r="AB25" s="28"/>
      <c r="AC25" s="73" t="e">
        <f t="shared" si="8"/>
        <v>#DIV/0!</v>
      </c>
      <c r="AD25" s="28">
        <f>+Y25</f>
        <v>0</v>
      </c>
      <c r="AE25" s="73">
        <f t="shared" si="10"/>
        <v>0</v>
      </c>
      <c r="AF25" s="665">
        <v>0</v>
      </c>
      <c r="AG25" s="28"/>
      <c r="AH25" s="73" t="e">
        <f t="shared" si="11"/>
        <v>#DIV/0!</v>
      </c>
      <c r="AI25" s="665">
        <v>0</v>
      </c>
      <c r="AJ25" s="28"/>
      <c r="AK25" s="73" t="e">
        <f t="shared" si="12"/>
        <v>#DIV/0!</v>
      </c>
      <c r="AL25" s="665">
        <v>3</v>
      </c>
      <c r="AM25" s="28"/>
      <c r="AN25" s="73">
        <f t="shared" si="13"/>
        <v>0</v>
      </c>
      <c r="AO25" s="665">
        <v>0</v>
      </c>
      <c r="AP25" s="28"/>
      <c r="AQ25" s="73" t="e">
        <f t="shared" si="14"/>
        <v>#DIV/0!</v>
      </c>
      <c r="AR25" s="665">
        <v>0</v>
      </c>
      <c r="AS25" s="28">
        <v>0</v>
      </c>
      <c r="AT25" s="73" t="e">
        <f t="shared" si="15"/>
        <v>#DIV/0!</v>
      </c>
      <c r="AU25" s="665">
        <v>0</v>
      </c>
      <c r="AV25" s="28"/>
      <c r="AW25" s="73" t="e">
        <f t="shared" si="0"/>
        <v>#DIV/0!</v>
      </c>
      <c r="AX25" s="665">
        <f>+AM25+Y25</f>
        <v>0</v>
      </c>
      <c r="AY25" s="73"/>
    </row>
    <row r="26" spans="1:51" s="534" customFormat="1" ht="56.45" customHeight="1" thickTop="1" thickBot="1">
      <c r="A26" s="3217"/>
      <c r="B26" s="3220"/>
      <c r="C26" s="3222"/>
      <c r="D26" s="1422" t="s">
        <v>406</v>
      </c>
      <c r="E26" s="1413" t="s">
        <v>1004</v>
      </c>
      <c r="F26" s="1413" t="s">
        <v>24</v>
      </c>
      <c r="G26" s="1413">
        <v>2</v>
      </c>
      <c r="H26" s="1414"/>
      <c r="I26" s="2334"/>
      <c r="J26" s="1414"/>
      <c r="K26" s="1413" t="s">
        <v>196</v>
      </c>
      <c r="L26" s="2335">
        <v>0</v>
      </c>
      <c r="M26" s="2336"/>
      <c r="N26" s="2337" t="e">
        <f t="shared" si="3"/>
        <v>#DIV/0!</v>
      </c>
      <c r="O26" s="2335">
        <v>0</v>
      </c>
      <c r="P26" s="2336"/>
      <c r="Q26" s="2337" t="e">
        <f t="shared" si="4"/>
        <v>#DIV/0!</v>
      </c>
      <c r="R26" s="2335">
        <v>0</v>
      </c>
      <c r="S26" s="2336"/>
      <c r="T26" s="2337" t="e">
        <f t="shared" si="5"/>
        <v>#DIV/0!</v>
      </c>
      <c r="U26" s="2335">
        <v>0</v>
      </c>
      <c r="V26" s="2336"/>
      <c r="W26" s="2337" t="e">
        <f t="shared" si="6"/>
        <v>#DIV/0!</v>
      </c>
      <c r="X26" s="2335">
        <v>1</v>
      </c>
      <c r="Y26" s="2336"/>
      <c r="Z26" s="2337">
        <f t="shared" si="7"/>
        <v>0</v>
      </c>
      <c r="AA26" s="2335">
        <v>0</v>
      </c>
      <c r="AB26" s="2336"/>
      <c r="AC26" s="2337" t="e">
        <f t="shared" si="8"/>
        <v>#DIV/0!</v>
      </c>
      <c r="AD26" s="2336">
        <f>+Y26</f>
        <v>0</v>
      </c>
      <c r="AE26" s="2337">
        <f t="shared" si="10"/>
        <v>0</v>
      </c>
      <c r="AF26" s="2335">
        <v>0</v>
      </c>
      <c r="AG26" s="2336"/>
      <c r="AH26" s="2337" t="e">
        <f t="shared" si="11"/>
        <v>#DIV/0!</v>
      </c>
      <c r="AI26" s="2335">
        <v>0</v>
      </c>
      <c r="AJ26" s="2336"/>
      <c r="AK26" s="2337" t="e">
        <f t="shared" si="12"/>
        <v>#DIV/0!</v>
      </c>
      <c r="AL26" s="2335">
        <v>0</v>
      </c>
      <c r="AM26" s="2336"/>
      <c r="AN26" s="2337" t="e">
        <f t="shared" si="13"/>
        <v>#DIV/0!</v>
      </c>
      <c r="AO26" s="2335">
        <v>1</v>
      </c>
      <c r="AP26" s="2336">
        <v>0</v>
      </c>
      <c r="AQ26" s="2337">
        <f t="shared" si="14"/>
        <v>0</v>
      </c>
      <c r="AR26" s="2335">
        <v>0</v>
      </c>
      <c r="AS26" s="2336">
        <v>0</v>
      </c>
      <c r="AT26" s="2337" t="e">
        <f t="shared" si="15"/>
        <v>#DIV/0!</v>
      </c>
      <c r="AU26" s="2335">
        <v>0</v>
      </c>
      <c r="AV26" s="2336">
        <v>2</v>
      </c>
      <c r="AW26" s="2337" t="e">
        <f t="shared" si="0"/>
        <v>#DIV/0!</v>
      </c>
      <c r="AX26" s="2335">
        <f>AV26</f>
        <v>2</v>
      </c>
      <c r="AY26" s="2337">
        <f t="shared" si="2"/>
        <v>1</v>
      </c>
    </row>
    <row r="27" spans="1:51" s="22" customFormat="1" ht="64.5" customHeight="1" thickTop="1" thickBot="1">
      <c r="A27" s="2944"/>
      <c r="B27" s="2849"/>
      <c r="C27" s="2919"/>
      <c r="D27" s="627" t="s">
        <v>433</v>
      </c>
      <c r="E27" s="81" t="s">
        <v>209</v>
      </c>
      <c r="F27" s="81" t="s">
        <v>10</v>
      </c>
      <c r="G27" s="732">
        <v>0.75</v>
      </c>
      <c r="H27" s="82"/>
      <c r="I27" s="87"/>
      <c r="J27" s="82"/>
      <c r="K27" s="81" t="s">
        <v>196</v>
      </c>
      <c r="L27" s="655">
        <v>0.75</v>
      </c>
      <c r="M27" s="45">
        <v>0.75</v>
      </c>
      <c r="N27" s="73">
        <f t="shared" si="3"/>
        <v>1</v>
      </c>
      <c r="O27" s="655">
        <v>0.75</v>
      </c>
      <c r="P27" s="45">
        <v>0</v>
      </c>
      <c r="Q27" s="73">
        <f t="shared" si="4"/>
        <v>0</v>
      </c>
      <c r="R27" s="655">
        <v>0.75</v>
      </c>
      <c r="S27" s="45">
        <v>0</v>
      </c>
      <c r="T27" s="73">
        <f t="shared" si="5"/>
        <v>0</v>
      </c>
      <c r="U27" s="655">
        <v>0.75</v>
      </c>
      <c r="V27" s="45">
        <v>0</v>
      </c>
      <c r="W27" s="73">
        <f t="shared" si="6"/>
        <v>0</v>
      </c>
      <c r="X27" s="655">
        <v>0.75</v>
      </c>
      <c r="Y27" s="45">
        <v>0</v>
      </c>
      <c r="Z27" s="73">
        <f t="shared" si="7"/>
        <v>0</v>
      </c>
      <c r="AA27" s="655">
        <v>0.75</v>
      </c>
      <c r="AB27" s="45">
        <v>0.35</v>
      </c>
      <c r="AC27" s="73">
        <f t="shared" si="8"/>
        <v>0.46666666666666662</v>
      </c>
      <c r="AD27" s="45">
        <f>(+M27+P27+S27+V27+Y27+AB27)/6</f>
        <v>0.18333333333333335</v>
      </c>
      <c r="AE27" s="73">
        <f t="shared" si="10"/>
        <v>0.24444444444444446</v>
      </c>
      <c r="AF27" s="655">
        <v>0.75</v>
      </c>
      <c r="AG27" s="45">
        <v>0.84</v>
      </c>
      <c r="AH27" s="73">
        <f t="shared" si="11"/>
        <v>1.1199999999999999</v>
      </c>
      <c r="AI27" s="655">
        <v>0.75</v>
      </c>
      <c r="AJ27" s="45">
        <v>0</v>
      </c>
      <c r="AK27" s="73">
        <f t="shared" si="12"/>
        <v>0</v>
      </c>
      <c r="AL27" s="655">
        <v>0.75</v>
      </c>
      <c r="AM27" s="45">
        <v>0.01</v>
      </c>
      <c r="AN27" s="73">
        <f t="shared" si="13"/>
        <v>1.3333333333333334E-2</v>
      </c>
      <c r="AO27" s="655">
        <v>0.75</v>
      </c>
      <c r="AP27" s="45">
        <v>0.02</v>
      </c>
      <c r="AQ27" s="73">
        <f t="shared" si="14"/>
        <v>2.6666666666666668E-2</v>
      </c>
      <c r="AR27" s="655">
        <v>0.75</v>
      </c>
      <c r="AS27" s="45">
        <v>0.68</v>
      </c>
      <c r="AT27" s="73">
        <f t="shared" si="15"/>
        <v>0.90666666666666673</v>
      </c>
      <c r="AU27" s="655">
        <v>0.75</v>
      </c>
      <c r="AV27" s="45">
        <v>0.64</v>
      </c>
      <c r="AW27" s="73">
        <f t="shared" si="0"/>
        <v>0.85333333333333339</v>
      </c>
      <c r="AX27" s="655">
        <f>(+M27+P27+S27+V27+Y27+AB27+AG27+AJ27+AM27+AP27+AS27+AV27)/12</f>
        <v>0.27416666666666667</v>
      </c>
      <c r="AY27" s="73">
        <f t="shared" si="2"/>
        <v>0.36555555555555558</v>
      </c>
    </row>
    <row r="28" spans="1:51" s="22" customFormat="1" ht="102" customHeight="1" thickTop="1" thickBot="1">
      <c r="A28" s="2944"/>
      <c r="B28" s="2849"/>
      <c r="C28" s="76" t="s">
        <v>1005</v>
      </c>
      <c r="D28" s="623" t="s">
        <v>211</v>
      </c>
      <c r="E28" s="76" t="s">
        <v>212</v>
      </c>
      <c r="F28" s="76" t="s">
        <v>24</v>
      </c>
      <c r="G28" s="76">
        <v>1</v>
      </c>
      <c r="H28" s="78"/>
      <c r="I28" s="90"/>
      <c r="J28" s="78"/>
      <c r="K28" s="76" t="s">
        <v>140</v>
      </c>
      <c r="L28" s="2174">
        <v>0</v>
      </c>
      <c r="M28" s="2182"/>
      <c r="N28" s="73" t="e">
        <f t="shared" si="3"/>
        <v>#DIV/0!</v>
      </c>
      <c r="O28" s="2174">
        <v>0</v>
      </c>
      <c r="P28" s="2182"/>
      <c r="Q28" s="73" t="e">
        <f t="shared" si="4"/>
        <v>#DIV/0!</v>
      </c>
      <c r="R28" s="2174">
        <v>1</v>
      </c>
      <c r="S28" s="2182">
        <v>1</v>
      </c>
      <c r="T28" s="73">
        <f t="shared" si="5"/>
        <v>1</v>
      </c>
      <c r="U28" s="2174">
        <v>0</v>
      </c>
      <c r="V28" s="2182"/>
      <c r="W28" s="73" t="e">
        <f t="shared" si="6"/>
        <v>#DIV/0!</v>
      </c>
      <c r="X28" s="2174">
        <v>0</v>
      </c>
      <c r="Y28" s="2182"/>
      <c r="Z28" s="73" t="e">
        <f t="shared" si="7"/>
        <v>#DIV/0!</v>
      </c>
      <c r="AA28" s="2174">
        <v>0</v>
      </c>
      <c r="AB28" s="2182"/>
      <c r="AC28" s="73" t="e">
        <f t="shared" si="8"/>
        <v>#DIV/0!</v>
      </c>
      <c r="AD28" s="28">
        <f>+S28</f>
        <v>1</v>
      </c>
      <c r="AE28" s="73">
        <f t="shared" si="10"/>
        <v>1</v>
      </c>
      <c r="AF28" s="2174">
        <v>0</v>
      </c>
      <c r="AG28" s="2182"/>
      <c r="AH28" s="73" t="e">
        <f t="shared" si="11"/>
        <v>#DIV/0!</v>
      </c>
      <c r="AI28" s="2174">
        <v>0</v>
      </c>
      <c r="AJ28" s="2182"/>
      <c r="AK28" s="73" t="e">
        <f t="shared" si="12"/>
        <v>#DIV/0!</v>
      </c>
      <c r="AL28" s="2174">
        <v>0</v>
      </c>
      <c r="AM28" s="2182"/>
      <c r="AN28" s="73" t="e">
        <f t="shared" si="13"/>
        <v>#DIV/0!</v>
      </c>
      <c r="AO28" s="2174">
        <v>0</v>
      </c>
      <c r="AP28" s="2182"/>
      <c r="AQ28" s="73" t="e">
        <f t="shared" si="14"/>
        <v>#DIV/0!</v>
      </c>
      <c r="AR28" s="2174">
        <v>0</v>
      </c>
      <c r="AS28" s="2182">
        <v>0</v>
      </c>
      <c r="AT28" s="73" t="e">
        <f t="shared" si="15"/>
        <v>#DIV/0!</v>
      </c>
      <c r="AU28" s="2174">
        <v>0</v>
      </c>
      <c r="AV28" s="2182"/>
      <c r="AW28" s="73" t="e">
        <f t="shared" si="0"/>
        <v>#DIV/0!</v>
      </c>
      <c r="AX28" s="2174">
        <f>+S28</f>
        <v>1</v>
      </c>
      <c r="AY28" s="73">
        <f t="shared" si="2"/>
        <v>1</v>
      </c>
    </row>
    <row r="29" spans="1:51" s="22" customFormat="1" ht="130.69999999999999" customHeight="1" thickTop="1" thickBot="1">
      <c r="A29" s="2944"/>
      <c r="B29" s="2849"/>
      <c r="C29" s="81" t="s">
        <v>1006</v>
      </c>
      <c r="D29" s="627" t="s">
        <v>214</v>
      </c>
      <c r="E29" s="81" t="s">
        <v>215</v>
      </c>
      <c r="F29" s="81" t="s">
        <v>24</v>
      </c>
      <c r="G29" s="81">
        <v>2</v>
      </c>
      <c r="H29" s="82"/>
      <c r="I29" s="87"/>
      <c r="J29" s="82"/>
      <c r="K29" s="81" t="s">
        <v>140</v>
      </c>
      <c r="L29" s="2185">
        <v>0</v>
      </c>
      <c r="M29" s="2342"/>
      <c r="N29" s="73" t="e">
        <f t="shared" si="3"/>
        <v>#DIV/0!</v>
      </c>
      <c r="O29" s="2185">
        <v>0</v>
      </c>
      <c r="P29" s="2342"/>
      <c r="Q29" s="73" t="e">
        <f t="shared" si="4"/>
        <v>#DIV/0!</v>
      </c>
      <c r="R29" s="2185">
        <v>0</v>
      </c>
      <c r="S29" s="2342"/>
      <c r="T29" s="73" t="e">
        <f t="shared" si="5"/>
        <v>#DIV/0!</v>
      </c>
      <c r="U29" s="2185">
        <v>0</v>
      </c>
      <c r="V29" s="2342"/>
      <c r="W29" s="73" t="e">
        <f t="shared" si="6"/>
        <v>#DIV/0!</v>
      </c>
      <c r="X29" s="2185">
        <v>1</v>
      </c>
      <c r="Y29" s="2342">
        <v>1</v>
      </c>
      <c r="Z29" s="73">
        <f t="shared" si="7"/>
        <v>1</v>
      </c>
      <c r="AA29" s="2185">
        <v>0</v>
      </c>
      <c r="AB29" s="2342"/>
      <c r="AC29" s="73" t="e">
        <f t="shared" si="8"/>
        <v>#DIV/0!</v>
      </c>
      <c r="AD29" s="28">
        <f>+Y29</f>
        <v>1</v>
      </c>
      <c r="AE29" s="73">
        <f t="shared" si="10"/>
        <v>0.5</v>
      </c>
      <c r="AF29" s="2185">
        <v>0</v>
      </c>
      <c r="AG29" s="2342"/>
      <c r="AH29" s="73" t="e">
        <f t="shared" si="11"/>
        <v>#DIV/0!</v>
      </c>
      <c r="AI29" s="2185">
        <v>1</v>
      </c>
      <c r="AJ29" s="2342">
        <v>1</v>
      </c>
      <c r="AK29" s="73">
        <f t="shared" si="12"/>
        <v>1</v>
      </c>
      <c r="AL29" s="2185">
        <v>0</v>
      </c>
      <c r="AM29" s="2342"/>
      <c r="AN29" s="73" t="e">
        <f t="shared" si="13"/>
        <v>#DIV/0!</v>
      </c>
      <c r="AO29" s="2185">
        <v>0</v>
      </c>
      <c r="AP29" s="2342"/>
      <c r="AQ29" s="73" t="e">
        <f t="shared" si="14"/>
        <v>#DIV/0!</v>
      </c>
      <c r="AR29" s="2185">
        <v>0</v>
      </c>
      <c r="AS29" s="2342">
        <v>0</v>
      </c>
      <c r="AT29" s="73" t="e">
        <f t="shared" si="15"/>
        <v>#DIV/0!</v>
      </c>
      <c r="AU29" s="2185">
        <v>0</v>
      </c>
      <c r="AV29" s="2342"/>
      <c r="AW29" s="73" t="e">
        <f t="shared" si="0"/>
        <v>#DIV/0!</v>
      </c>
      <c r="AX29" s="2185">
        <f>+AJ29+Y29</f>
        <v>2</v>
      </c>
      <c r="AY29" s="73">
        <f t="shared" si="2"/>
        <v>1</v>
      </c>
    </row>
    <row r="30" spans="1:51" s="22" customFormat="1" ht="69.599999999999994" customHeight="1" thickTop="1" thickBot="1">
      <c r="A30" s="2944"/>
      <c r="B30" s="2849"/>
      <c r="C30" s="76" t="s">
        <v>364</v>
      </c>
      <c r="D30" s="623" t="s">
        <v>116</v>
      </c>
      <c r="E30" s="76" t="s">
        <v>117</v>
      </c>
      <c r="F30" s="76" t="s">
        <v>17</v>
      </c>
      <c r="G30" s="76">
        <v>4627</v>
      </c>
      <c r="H30" s="78"/>
      <c r="I30" s="90"/>
      <c r="J30" s="78"/>
      <c r="K30" s="76" t="s">
        <v>118</v>
      </c>
      <c r="L30" s="2174">
        <v>0</v>
      </c>
      <c r="M30" s="2182"/>
      <c r="N30" s="73" t="e">
        <f t="shared" si="3"/>
        <v>#DIV/0!</v>
      </c>
      <c r="O30" s="2174">
        <v>0</v>
      </c>
      <c r="P30" s="2182"/>
      <c r="Q30" s="73" t="e">
        <f t="shared" si="4"/>
        <v>#DIV/0!</v>
      </c>
      <c r="R30" s="2174">
        <v>880</v>
      </c>
      <c r="S30" s="2182">
        <v>376</v>
      </c>
      <c r="T30" s="73">
        <f t="shared" si="5"/>
        <v>0.42727272727272725</v>
      </c>
      <c r="U30" s="2174">
        <v>714</v>
      </c>
      <c r="V30" s="2182">
        <v>127</v>
      </c>
      <c r="W30" s="73">
        <f t="shared" si="6"/>
        <v>0.17787114845938376</v>
      </c>
      <c r="X30" s="2174">
        <v>207</v>
      </c>
      <c r="Y30" s="2182">
        <v>471</v>
      </c>
      <c r="Z30" s="73">
        <f t="shared" si="7"/>
        <v>2.2753623188405796</v>
      </c>
      <c r="AA30" s="2174">
        <v>233</v>
      </c>
      <c r="AB30" s="2182">
        <v>230</v>
      </c>
      <c r="AC30" s="73">
        <f t="shared" si="8"/>
        <v>0.98712446351931327</v>
      </c>
      <c r="AD30" s="28">
        <f t="shared" si="9"/>
        <v>1204</v>
      </c>
      <c r="AE30" s="73">
        <f t="shared" si="10"/>
        <v>0.26021180030257185</v>
      </c>
      <c r="AF30" s="2174">
        <v>430</v>
      </c>
      <c r="AG30" s="2182">
        <v>321</v>
      </c>
      <c r="AH30" s="73">
        <f t="shared" si="11"/>
        <v>0.74651162790697678</v>
      </c>
      <c r="AI30" s="2174">
        <v>657</v>
      </c>
      <c r="AJ30" s="2182">
        <v>177</v>
      </c>
      <c r="AK30" s="73">
        <f t="shared" si="12"/>
        <v>0.26940639269406391</v>
      </c>
      <c r="AL30" s="2174">
        <v>892</v>
      </c>
      <c r="AM30" s="2182">
        <v>653</v>
      </c>
      <c r="AN30" s="73">
        <f t="shared" si="13"/>
        <v>0.73206278026905824</v>
      </c>
      <c r="AO30" s="2174">
        <v>348</v>
      </c>
      <c r="AP30" s="2182">
        <v>948</v>
      </c>
      <c r="AQ30" s="73">
        <f t="shared" si="14"/>
        <v>2.7241379310344827</v>
      </c>
      <c r="AR30" s="2174">
        <v>240</v>
      </c>
      <c r="AS30" s="2182">
        <v>822</v>
      </c>
      <c r="AT30" s="73">
        <f t="shared" si="15"/>
        <v>3.4249999999999998</v>
      </c>
      <c r="AU30" s="2174">
        <v>26</v>
      </c>
      <c r="AV30" s="2182">
        <v>344</v>
      </c>
      <c r="AW30" s="73">
        <f t="shared" si="0"/>
        <v>13.23076923076923</v>
      </c>
      <c r="AX30" s="2174">
        <f t="shared" si="16"/>
        <v>4469</v>
      </c>
      <c r="AY30" s="73">
        <f t="shared" si="2"/>
        <v>0.96585260427923059</v>
      </c>
    </row>
    <row r="31" spans="1:51" s="22" customFormat="1" ht="63.75" customHeight="1" thickTop="1" thickBot="1">
      <c r="A31" s="2944"/>
      <c r="B31" s="2849"/>
      <c r="C31" s="3213" t="s">
        <v>507</v>
      </c>
      <c r="D31" s="731" t="s">
        <v>120</v>
      </c>
      <c r="E31" s="87" t="s">
        <v>1007</v>
      </c>
      <c r="F31" s="81" t="s">
        <v>10</v>
      </c>
      <c r="G31" s="2343">
        <v>0.64100000000000001</v>
      </c>
      <c r="H31" s="82"/>
      <c r="I31" s="642"/>
      <c r="J31" s="82"/>
      <c r="K31" s="81" t="s">
        <v>7</v>
      </c>
      <c r="L31" s="2343">
        <v>0</v>
      </c>
      <c r="M31" s="2344"/>
      <c r="N31" s="73" t="e">
        <f t="shared" si="3"/>
        <v>#DIV/0!</v>
      </c>
      <c r="O31" s="2343">
        <v>0</v>
      </c>
      <c r="P31" s="2344"/>
      <c r="Q31" s="73" t="e">
        <f t="shared" si="4"/>
        <v>#DIV/0!</v>
      </c>
      <c r="R31" s="2343">
        <v>0</v>
      </c>
      <c r="S31" s="2344"/>
      <c r="T31" s="73" t="e">
        <f t="shared" si="5"/>
        <v>#DIV/0!</v>
      </c>
      <c r="U31" s="2343">
        <v>0</v>
      </c>
      <c r="V31" s="2344"/>
      <c r="W31" s="73" t="e">
        <f t="shared" si="6"/>
        <v>#DIV/0!</v>
      </c>
      <c r="X31" s="2343">
        <v>0</v>
      </c>
      <c r="Y31" s="2344"/>
      <c r="Z31" s="73" t="e">
        <f t="shared" si="7"/>
        <v>#DIV/0!</v>
      </c>
      <c r="AA31" s="2343">
        <v>0</v>
      </c>
      <c r="AB31" s="2344"/>
      <c r="AC31" s="73" t="e">
        <f t="shared" si="8"/>
        <v>#DIV/0!</v>
      </c>
      <c r="AD31" s="45">
        <f t="shared" si="9"/>
        <v>0</v>
      </c>
      <c r="AE31" s="73">
        <f t="shared" si="10"/>
        <v>0</v>
      </c>
      <c r="AF31" s="2343">
        <v>0</v>
      </c>
      <c r="AG31" s="2344"/>
      <c r="AH31" s="73" t="e">
        <f t="shared" si="11"/>
        <v>#DIV/0!</v>
      </c>
      <c r="AI31" s="2343">
        <v>0</v>
      </c>
      <c r="AJ31" s="2344"/>
      <c r="AK31" s="73" t="e">
        <f t="shared" si="12"/>
        <v>#DIV/0!</v>
      </c>
      <c r="AL31" s="2343">
        <v>0</v>
      </c>
      <c r="AM31" s="2344"/>
      <c r="AN31" s="73" t="e">
        <f t="shared" si="13"/>
        <v>#DIV/0!</v>
      </c>
      <c r="AO31" s="2343">
        <v>0</v>
      </c>
      <c r="AP31" s="2344">
        <v>0.5</v>
      </c>
      <c r="AQ31" s="73" t="e">
        <f t="shared" si="14"/>
        <v>#DIV/0!</v>
      </c>
      <c r="AR31" s="2343">
        <v>0</v>
      </c>
      <c r="AS31" s="2344">
        <v>0</v>
      </c>
      <c r="AT31" s="73" t="e">
        <f t="shared" si="15"/>
        <v>#DIV/0!</v>
      </c>
      <c r="AU31" s="2343">
        <v>0.64100000000000001</v>
      </c>
      <c r="AV31" s="2344">
        <v>1</v>
      </c>
      <c r="AW31" s="73">
        <f t="shared" si="0"/>
        <v>1.5600624024960998</v>
      </c>
      <c r="AX31" s="2343">
        <f>+AV31</f>
        <v>1</v>
      </c>
      <c r="AY31" s="73">
        <f t="shared" si="2"/>
        <v>1.5600624024960998</v>
      </c>
    </row>
    <row r="32" spans="1:51" s="22" customFormat="1" ht="80.45" customHeight="1" thickTop="1" thickBot="1">
      <c r="A32" s="2944"/>
      <c r="B32" s="2849"/>
      <c r="C32" s="3214"/>
      <c r="D32" s="728" t="s">
        <v>175</v>
      </c>
      <c r="E32" s="90" t="s">
        <v>123</v>
      </c>
      <c r="F32" s="76" t="s">
        <v>10</v>
      </c>
      <c r="G32" s="652">
        <v>1</v>
      </c>
      <c r="H32" s="78"/>
      <c r="I32" s="652"/>
      <c r="J32" s="78"/>
      <c r="K32" s="76" t="s">
        <v>7</v>
      </c>
      <c r="L32" s="2345">
        <v>0</v>
      </c>
      <c r="M32" s="2346"/>
      <c r="N32" s="73" t="e">
        <f t="shared" si="3"/>
        <v>#DIV/0!</v>
      </c>
      <c r="O32" s="2345">
        <v>0</v>
      </c>
      <c r="P32" s="2346"/>
      <c r="Q32" s="73" t="e">
        <f t="shared" si="4"/>
        <v>#DIV/0!</v>
      </c>
      <c r="R32" s="2345">
        <v>0</v>
      </c>
      <c r="S32" s="2346"/>
      <c r="T32" s="73" t="e">
        <f t="shared" si="5"/>
        <v>#DIV/0!</v>
      </c>
      <c r="U32" s="2345">
        <v>1</v>
      </c>
      <c r="V32" s="2346">
        <v>1</v>
      </c>
      <c r="W32" s="73">
        <f t="shared" si="6"/>
        <v>1</v>
      </c>
      <c r="X32" s="2345">
        <v>0</v>
      </c>
      <c r="Y32" s="2346"/>
      <c r="Z32" s="73" t="e">
        <f t="shared" si="7"/>
        <v>#DIV/0!</v>
      </c>
      <c r="AA32" s="2345">
        <v>0</v>
      </c>
      <c r="AB32" s="2346"/>
      <c r="AC32" s="73" t="e">
        <f t="shared" si="8"/>
        <v>#DIV/0!</v>
      </c>
      <c r="AD32" s="45">
        <f>+V32/2</f>
        <v>0.5</v>
      </c>
      <c r="AE32" s="73">
        <f t="shared" si="10"/>
        <v>0.5</v>
      </c>
      <c r="AF32" s="2345">
        <v>0</v>
      </c>
      <c r="AG32" s="2346"/>
      <c r="AH32" s="73" t="e">
        <f t="shared" si="11"/>
        <v>#DIV/0!</v>
      </c>
      <c r="AI32" s="2345">
        <v>0</v>
      </c>
      <c r="AJ32" s="2346"/>
      <c r="AK32" s="73" t="e">
        <f t="shared" si="12"/>
        <v>#DIV/0!</v>
      </c>
      <c r="AL32" s="2345">
        <v>0</v>
      </c>
      <c r="AM32" s="2346"/>
      <c r="AN32" s="73" t="e">
        <f t="shared" si="13"/>
        <v>#DIV/0!</v>
      </c>
      <c r="AO32" s="2345">
        <v>1</v>
      </c>
      <c r="AP32" s="2346">
        <v>1</v>
      </c>
      <c r="AQ32" s="73">
        <f t="shared" si="14"/>
        <v>1</v>
      </c>
      <c r="AR32" s="2345">
        <v>0</v>
      </c>
      <c r="AS32" s="2346">
        <v>0</v>
      </c>
      <c r="AT32" s="73" t="e">
        <f t="shared" si="15"/>
        <v>#DIV/0!</v>
      </c>
      <c r="AU32" s="2345">
        <v>0</v>
      </c>
      <c r="AV32" s="2346">
        <v>0</v>
      </c>
      <c r="AW32" s="73" t="e">
        <f t="shared" si="0"/>
        <v>#DIV/0!</v>
      </c>
      <c r="AX32" s="2345">
        <f>(+AP32+V32)/2</f>
        <v>1</v>
      </c>
      <c r="AY32" s="73">
        <f t="shared" si="2"/>
        <v>1</v>
      </c>
    </row>
    <row r="33" spans="1:51" s="22" customFormat="1" ht="77.099999999999994" customHeight="1" thickTop="1" thickBot="1">
      <c r="A33" s="2944"/>
      <c r="B33" s="2849"/>
      <c r="C33" s="3214"/>
      <c r="D33" s="731" t="s">
        <v>124</v>
      </c>
      <c r="E33" s="87" t="s">
        <v>125</v>
      </c>
      <c r="F33" s="81" t="s">
        <v>10</v>
      </c>
      <c r="G33" s="642">
        <v>1</v>
      </c>
      <c r="H33" s="82"/>
      <c r="I33" s="642"/>
      <c r="J33" s="82"/>
      <c r="K33" s="81" t="s">
        <v>7</v>
      </c>
      <c r="L33" s="2343">
        <v>0</v>
      </c>
      <c r="M33" s="2344"/>
      <c r="N33" s="73" t="e">
        <f t="shared" si="3"/>
        <v>#DIV/0!</v>
      </c>
      <c r="O33" s="2343">
        <v>0</v>
      </c>
      <c r="P33" s="2344"/>
      <c r="Q33" s="73" t="e">
        <f t="shared" si="4"/>
        <v>#DIV/0!</v>
      </c>
      <c r="R33" s="2343">
        <v>1</v>
      </c>
      <c r="S33" s="2344">
        <v>1</v>
      </c>
      <c r="T33" s="73">
        <f t="shared" si="5"/>
        <v>1</v>
      </c>
      <c r="U33" s="2343">
        <v>0</v>
      </c>
      <c r="V33" s="2344"/>
      <c r="W33" s="73" t="e">
        <f t="shared" si="6"/>
        <v>#DIV/0!</v>
      </c>
      <c r="X33" s="2343">
        <v>0</v>
      </c>
      <c r="Y33" s="2344"/>
      <c r="Z33" s="73" t="e">
        <f t="shared" si="7"/>
        <v>#DIV/0!</v>
      </c>
      <c r="AA33" s="2343">
        <v>1</v>
      </c>
      <c r="AB33" s="2344"/>
      <c r="AC33" s="73">
        <f t="shared" si="8"/>
        <v>0</v>
      </c>
      <c r="AD33" s="45">
        <f>(+AB33+S33)/2</f>
        <v>0.5</v>
      </c>
      <c r="AE33" s="73">
        <f t="shared" si="10"/>
        <v>0.5</v>
      </c>
      <c r="AF33" s="2343">
        <v>0</v>
      </c>
      <c r="AG33" s="2344"/>
      <c r="AH33" s="73" t="e">
        <f t="shared" si="11"/>
        <v>#DIV/0!</v>
      </c>
      <c r="AI33" s="2343">
        <v>0</v>
      </c>
      <c r="AJ33" s="2344"/>
      <c r="AK33" s="73" t="e">
        <f t="shared" si="12"/>
        <v>#DIV/0!</v>
      </c>
      <c r="AL33" s="2343">
        <v>1</v>
      </c>
      <c r="AM33" s="2344">
        <v>1</v>
      </c>
      <c r="AN33" s="73">
        <f t="shared" si="13"/>
        <v>1</v>
      </c>
      <c r="AO33" s="2343">
        <v>0</v>
      </c>
      <c r="AP33" s="2344">
        <v>0</v>
      </c>
      <c r="AQ33" s="73" t="e">
        <f t="shared" si="14"/>
        <v>#DIV/0!</v>
      </c>
      <c r="AR33" s="2343">
        <v>0</v>
      </c>
      <c r="AS33" s="2344">
        <v>0</v>
      </c>
      <c r="AT33" s="73" t="e">
        <f t="shared" si="15"/>
        <v>#DIV/0!</v>
      </c>
      <c r="AU33" s="2343">
        <v>1</v>
      </c>
      <c r="AV33" s="2344">
        <v>1</v>
      </c>
      <c r="AW33" s="73">
        <f t="shared" si="0"/>
        <v>1</v>
      </c>
      <c r="AX33" s="2343">
        <f>(+AV33+AM33+AB33+S33)/4</f>
        <v>0.75</v>
      </c>
      <c r="AY33" s="73">
        <f t="shared" si="2"/>
        <v>0.75</v>
      </c>
    </row>
    <row r="34" spans="1:51" s="22" customFormat="1" ht="67.900000000000006" customHeight="1" thickTop="1" thickBot="1">
      <c r="A34" s="2944"/>
      <c r="B34" s="2849"/>
      <c r="C34" s="3214"/>
      <c r="D34" s="728" t="s">
        <v>177</v>
      </c>
      <c r="E34" s="90" t="s">
        <v>127</v>
      </c>
      <c r="F34" s="76" t="s">
        <v>10</v>
      </c>
      <c r="G34" s="652">
        <v>0.4</v>
      </c>
      <c r="H34" s="78"/>
      <c r="I34" s="652"/>
      <c r="J34" s="78"/>
      <c r="K34" s="76" t="s">
        <v>7</v>
      </c>
      <c r="L34" s="2345">
        <v>0.4</v>
      </c>
      <c r="M34" s="2346">
        <v>0.4</v>
      </c>
      <c r="N34" s="73">
        <f t="shared" si="3"/>
        <v>1</v>
      </c>
      <c r="O34" s="2345">
        <v>0.4</v>
      </c>
      <c r="P34" s="2346">
        <v>0.4</v>
      </c>
      <c r="Q34" s="73">
        <f t="shared" si="4"/>
        <v>1</v>
      </c>
      <c r="R34" s="2345">
        <v>0.4</v>
      </c>
      <c r="S34" s="2346">
        <v>0.4</v>
      </c>
      <c r="T34" s="73">
        <f t="shared" si="5"/>
        <v>1</v>
      </c>
      <c r="U34" s="2345">
        <v>0.4</v>
      </c>
      <c r="V34" s="2346">
        <v>0.4</v>
      </c>
      <c r="W34" s="73">
        <f t="shared" si="6"/>
        <v>1</v>
      </c>
      <c r="X34" s="2345">
        <v>0.4</v>
      </c>
      <c r="Y34" s="2346">
        <v>0.4</v>
      </c>
      <c r="Z34" s="73">
        <f t="shared" si="7"/>
        <v>1</v>
      </c>
      <c r="AA34" s="2345">
        <v>0.4</v>
      </c>
      <c r="AB34" s="2346">
        <v>0.4</v>
      </c>
      <c r="AC34" s="73">
        <f t="shared" si="8"/>
        <v>1</v>
      </c>
      <c r="AD34" s="45">
        <f>(+M34+P34+S34+V34+Y34+AB34)/6</f>
        <v>0.39999999999999997</v>
      </c>
      <c r="AE34" s="73">
        <f t="shared" si="10"/>
        <v>0.99999999999999989</v>
      </c>
      <c r="AF34" s="2345">
        <v>0.4</v>
      </c>
      <c r="AG34" s="2346">
        <v>0.4</v>
      </c>
      <c r="AH34" s="73">
        <f t="shared" si="11"/>
        <v>1</v>
      </c>
      <c r="AI34" s="2345">
        <v>0.4</v>
      </c>
      <c r="AJ34" s="2346">
        <v>0.4</v>
      </c>
      <c r="AK34" s="73">
        <f t="shared" si="12"/>
        <v>1</v>
      </c>
      <c r="AL34" s="2345">
        <v>0.4</v>
      </c>
      <c r="AM34" s="2346">
        <v>0.4</v>
      </c>
      <c r="AN34" s="73">
        <f t="shared" si="13"/>
        <v>1</v>
      </c>
      <c r="AO34" s="2345">
        <v>0.4</v>
      </c>
      <c r="AP34" s="2346">
        <v>0.4</v>
      </c>
      <c r="AQ34" s="73">
        <f t="shared" si="14"/>
        <v>1</v>
      </c>
      <c r="AR34" s="2345">
        <v>0.4</v>
      </c>
      <c r="AS34" s="2346">
        <v>0.4</v>
      </c>
      <c r="AT34" s="73">
        <f t="shared" si="15"/>
        <v>1</v>
      </c>
      <c r="AU34" s="2345">
        <v>0.4</v>
      </c>
      <c r="AV34" s="2346">
        <v>0.4</v>
      </c>
      <c r="AW34" s="73">
        <f t="shared" si="0"/>
        <v>1</v>
      </c>
      <c r="AX34" s="2345">
        <f>(+M34+P34+S34+V34+Y34+AB34+AG34+AJ34+AM34+AP34+AS34+AV34)/12</f>
        <v>0.39999999999999997</v>
      </c>
      <c r="AY34" s="73">
        <f t="shared" si="2"/>
        <v>0.99999999999999989</v>
      </c>
    </row>
    <row r="35" spans="1:51" s="22" customFormat="1" ht="73.5" customHeight="1" thickTop="1" thickBot="1">
      <c r="A35" s="2944"/>
      <c r="B35" s="2849"/>
      <c r="C35" s="3214"/>
      <c r="D35" s="731" t="s">
        <v>128</v>
      </c>
      <c r="E35" s="87" t="s">
        <v>178</v>
      </c>
      <c r="F35" s="81" t="s">
        <v>10</v>
      </c>
      <c r="G35" s="642">
        <v>1</v>
      </c>
      <c r="H35" s="82"/>
      <c r="I35" s="642"/>
      <c r="J35" s="82"/>
      <c r="K35" s="81" t="s">
        <v>7</v>
      </c>
      <c r="L35" s="2343">
        <v>1</v>
      </c>
      <c r="M35" s="2344"/>
      <c r="N35" s="73">
        <f t="shared" si="3"/>
        <v>0</v>
      </c>
      <c r="O35" s="2343">
        <v>1</v>
      </c>
      <c r="P35" s="2344"/>
      <c r="Q35" s="73">
        <f t="shared" si="4"/>
        <v>0</v>
      </c>
      <c r="R35" s="2343">
        <v>1</v>
      </c>
      <c r="S35" s="2344">
        <v>1</v>
      </c>
      <c r="T35" s="73">
        <f t="shared" si="5"/>
        <v>1</v>
      </c>
      <c r="U35" s="2343">
        <v>1</v>
      </c>
      <c r="V35" s="2344">
        <v>1</v>
      </c>
      <c r="W35" s="73">
        <f t="shared" si="6"/>
        <v>1</v>
      </c>
      <c r="X35" s="2343">
        <v>1</v>
      </c>
      <c r="Y35" s="2344">
        <v>1</v>
      </c>
      <c r="Z35" s="73">
        <f t="shared" si="7"/>
        <v>1</v>
      </c>
      <c r="AA35" s="2343">
        <v>1</v>
      </c>
      <c r="AB35" s="2344">
        <v>0.67</v>
      </c>
      <c r="AC35" s="73">
        <f t="shared" si="8"/>
        <v>0.67</v>
      </c>
      <c r="AD35" s="45">
        <f>(+M35+P35+S35+V35+Y35+AB35)/6</f>
        <v>0.61166666666666669</v>
      </c>
      <c r="AE35" s="73">
        <f t="shared" si="10"/>
        <v>0.61166666666666669</v>
      </c>
      <c r="AF35" s="2343">
        <v>1</v>
      </c>
      <c r="AG35" s="2344">
        <v>0.67</v>
      </c>
      <c r="AH35" s="73">
        <f t="shared" si="11"/>
        <v>0.67</v>
      </c>
      <c r="AI35" s="2343">
        <v>1</v>
      </c>
      <c r="AJ35" s="2344">
        <v>0.5</v>
      </c>
      <c r="AK35" s="73">
        <f t="shared" si="12"/>
        <v>0.5</v>
      </c>
      <c r="AL35" s="2343">
        <v>1</v>
      </c>
      <c r="AM35" s="2344">
        <v>1</v>
      </c>
      <c r="AN35" s="73">
        <f t="shared" si="13"/>
        <v>1</v>
      </c>
      <c r="AO35" s="2343">
        <v>1</v>
      </c>
      <c r="AP35" s="2344">
        <v>0.75</v>
      </c>
      <c r="AQ35" s="73">
        <f t="shared" si="14"/>
        <v>0.75</v>
      </c>
      <c r="AR35" s="2343">
        <v>1</v>
      </c>
      <c r="AS35" s="2344">
        <v>1</v>
      </c>
      <c r="AT35" s="73">
        <f t="shared" si="15"/>
        <v>1</v>
      </c>
      <c r="AU35" s="2343">
        <v>1</v>
      </c>
      <c r="AV35" s="2344">
        <v>0.5</v>
      </c>
      <c r="AW35" s="73">
        <f t="shared" si="0"/>
        <v>0.5</v>
      </c>
      <c r="AX35" s="2343">
        <f>(+M35+P35+S35+V35+Y35+AB35+AG35+AJ35+AM35+AP35+AS35+AV35)/12</f>
        <v>0.67416666666666669</v>
      </c>
      <c r="AY35" s="73">
        <f t="shared" si="2"/>
        <v>0.67416666666666669</v>
      </c>
    </row>
    <row r="36" spans="1:51" s="22" customFormat="1" ht="82.5" customHeight="1" thickTop="1" thickBot="1">
      <c r="A36" s="2944"/>
      <c r="B36" s="2849"/>
      <c r="C36" s="3214"/>
      <c r="D36" s="728" t="s">
        <v>179</v>
      </c>
      <c r="E36" s="90" t="s">
        <v>131</v>
      </c>
      <c r="F36" s="76" t="s">
        <v>10</v>
      </c>
      <c r="G36" s="652">
        <v>1</v>
      </c>
      <c r="H36" s="78"/>
      <c r="I36" s="652"/>
      <c r="J36" s="78"/>
      <c r="K36" s="76" t="s">
        <v>7</v>
      </c>
      <c r="L36" s="2345">
        <v>1</v>
      </c>
      <c r="M36" s="2346"/>
      <c r="N36" s="73">
        <f t="shared" si="3"/>
        <v>0</v>
      </c>
      <c r="O36" s="2345">
        <v>1</v>
      </c>
      <c r="P36" s="2346"/>
      <c r="Q36" s="73">
        <f t="shared" si="4"/>
        <v>0</v>
      </c>
      <c r="R36" s="2345">
        <v>1</v>
      </c>
      <c r="S36" s="2346"/>
      <c r="T36" s="73">
        <f t="shared" si="5"/>
        <v>0</v>
      </c>
      <c r="U36" s="2345">
        <v>1</v>
      </c>
      <c r="V36" s="2346">
        <v>0.06</v>
      </c>
      <c r="W36" s="73">
        <f t="shared" si="6"/>
        <v>0.06</v>
      </c>
      <c r="X36" s="2345">
        <v>1</v>
      </c>
      <c r="Y36" s="2346">
        <v>0.3</v>
      </c>
      <c r="Z36" s="73">
        <f t="shared" si="7"/>
        <v>0.3</v>
      </c>
      <c r="AA36" s="2345">
        <v>1</v>
      </c>
      <c r="AB36" s="2346">
        <v>0.35</v>
      </c>
      <c r="AC36" s="73">
        <f t="shared" si="8"/>
        <v>0.35</v>
      </c>
      <c r="AD36" s="45">
        <f>(+M36+P36+S36+V36+Y36+AB36)/6</f>
        <v>0.11833333333333333</v>
      </c>
      <c r="AE36" s="73">
        <f t="shared" si="10"/>
        <v>0.11833333333333333</v>
      </c>
      <c r="AF36" s="2345">
        <v>1</v>
      </c>
      <c r="AG36" s="2346">
        <v>0.4</v>
      </c>
      <c r="AH36" s="73">
        <f t="shared" si="11"/>
        <v>0.4</v>
      </c>
      <c r="AI36" s="2345">
        <v>1</v>
      </c>
      <c r="AJ36" s="2346">
        <v>0.45</v>
      </c>
      <c r="AK36" s="73">
        <f t="shared" si="12"/>
        <v>0.45</v>
      </c>
      <c r="AL36" s="2345">
        <v>1</v>
      </c>
      <c r="AM36" s="2346">
        <v>0.5</v>
      </c>
      <c r="AN36" s="73">
        <f t="shared" si="13"/>
        <v>0.5</v>
      </c>
      <c r="AO36" s="2345">
        <v>1</v>
      </c>
      <c r="AP36" s="2346">
        <v>0.55000000000000004</v>
      </c>
      <c r="AQ36" s="73">
        <f t="shared" si="14"/>
        <v>0.55000000000000004</v>
      </c>
      <c r="AR36" s="2345">
        <v>1</v>
      </c>
      <c r="AS36" s="2346">
        <v>0.9</v>
      </c>
      <c r="AT36" s="73">
        <f t="shared" si="15"/>
        <v>0.9</v>
      </c>
      <c r="AU36" s="2345">
        <v>1</v>
      </c>
      <c r="AV36" s="2346">
        <v>0.9</v>
      </c>
      <c r="AW36" s="73">
        <f t="shared" si="0"/>
        <v>0.9</v>
      </c>
      <c r="AX36" s="2345">
        <f>(+M36+P36+S36+V36+Y36+AB36+AG36+AJ36+AM36+AP36+AS36+AV36)/12</f>
        <v>0.36749999999999994</v>
      </c>
      <c r="AY36" s="73">
        <f t="shared" si="2"/>
        <v>0.36749999999999994</v>
      </c>
    </row>
    <row r="37" spans="1:51" s="22" customFormat="1" ht="84" customHeight="1" thickTop="1" thickBot="1">
      <c r="A37" s="2944"/>
      <c r="B37" s="2849"/>
      <c r="C37" s="3215"/>
      <c r="D37" s="731" t="s">
        <v>132</v>
      </c>
      <c r="E37" s="87" t="s">
        <v>133</v>
      </c>
      <c r="F37" s="81" t="s">
        <v>10</v>
      </c>
      <c r="G37" s="642">
        <v>1</v>
      </c>
      <c r="H37" s="81"/>
      <c r="I37" s="642"/>
      <c r="J37" s="81"/>
      <c r="K37" s="81" t="s">
        <v>7</v>
      </c>
      <c r="L37" s="2343">
        <v>0</v>
      </c>
      <c r="M37" s="2344"/>
      <c r="N37" s="73" t="e">
        <f t="shared" si="3"/>
        <v>#DIV/0!</v>
      </c>
      <c r="O37" s="2343">
        <v>0</v>
      </c>
      <c r="P37" s="2344"/>
      <c r="Q37" s="73" t="e">
        <f t="shared" si="4"/>
        <v>#DIV/0!</v>
      </c>
      <c r="R37" s="2343">
        <v>0</v>
      </c>
      <c r="S37" s="2344"/>
      <c r="T37" s="73" t="e">
        <f t="shared" si="5"/>
        <v>#DIV/0!</v>
      </c>
      <c r="U37" s="2343">
        <v>0</v>
      </c>
      <c r="V37" s="2344"/>
      <c r="W37" s="73" t="e">
        <f t="shared" si="6"/>
        <v>#DIV/0!</v>
      </c>
      <c r="X37" s="2343">
        <v>0</v>
      </c>
      <c r="Y37" s="2344"/>
      <c r="Z37" s="73" t="e">
        <f t="shared" si="7"/>
        <v>#DIV/0!</v>
      </c>
      <c r="AA37" s="2343">
        <v>0</v>
      </c>
      <c r="AB37" s="2344"/>
      <c r="AC37" s="73" t="e">
        <f t="shared" si="8"/>
        <v>#DIV/0!</v>
      </c>
      <c r="AD37" s="45">
        <f t="shared" si="9"/>
        <v>0</v>
      </c>
      <c r="AE37" s="73">
        <f t="shared" si="10"/>
        <v>0</v>
      </c>
      <c r="AF37" s="2343">
        <v>0</v>
      </c>
      <c r="AG37" s="2344"/>
      <c r="AH37" s="73" t="e">
        <f t="shared" si="11"/>
        <v>#DIV/0!</v>
      </c>
      <c r="AI37" s="2343">
        <v>1</v>
      </c>
      <c r="AJ37" s="2344">
        <v>0.5</v>
      </c>
      <c r="AK37" s="73">
        <f t="shared" si="12"/>
        <v>0.5</v>
      </c>
      <c r="AL37" s="2343">
        <v>0</v>
      </c>
      <c r="AM37" s="2344"/>
      <c r="AN37" s="73" t="e">
        <f t="shared" si="13"/>
        <v>#DIV/0!</v>
      </c>
      <c r="AO37" s="2343">
        <v>0</v>
      </c>
      <c r="AP37" s="2344"/>
      <c r="AQ37" s="73" t="e">
        <f t="shared" si="14"/>
        <v>#DIV/0!</v>
      </c>
      <c r="AR37" s="2343">
        <v>0</v>
      </c>
      <c r="AS37" s="2344">
        <v>0</v>
      </c>
      <c r="AT37" s="73" t="e">
        <f t="shared" si="15"/>
        <v>#DIV/0!</v>
      </c>
      <c r="AU37" s="2343">
        <v>0</v>
      </c>
      <c r="AV37" s="2344">
        <v>0</v>
      </c>
      <c r="AW37" s="73" t="e">
        <f t="shared" si="0"/>
        <v>#DIV/0!</v>
      </c>
      <c r="AX37" s="2343">
        <f>+AJ37</f>
        <v>0.5</v>
      </c>
      <c r="AY37" s="73">
        <f t="shared" si="2"/>
        <v>0.5</v>
      </c>
    </row>
    <row r="38" spans="1:51" s="22" customFormat="1" ht="60.2" customHeight="1" thickTop="1" thickBot="1">
      <c r="A38" s="2944"/>
      <c r="B38" s="2849"/>
      <c r="C38" s="727" t="s">
        <v>1008</v>
      </c>
      <c r="D38" s="623" t="s">
        <v>417</v>
      </c>
      <c r="E38" s="76" t="s">
        <v>22</v>
      </c>
      <c r="F38" s="76" t="s">
        <v>300</v>
      </c>
      <c r="G38" s="2347" t="s">
        <v>136</v>
      </c>
      <c r="H38" s="78"/>
      <c r="I38" s="90"/>
      <c r="J38" s="78"/>
      <c r="K38" s="76" t="s">
        <v>23</v>
      </c>
      <c r="L38" s="2348">
        <v>0</v>
      </c>
      <c r="M38" s="2349"/>
      <c r="N38" s="73" t="e">
        <f t="shared" si="3"/>
        <v>#DIV/0!</v>
      </c>
      <c r="O38" s="2348">
        <v>0</v>
      </c>
      <c r="P38" s="2349"/>
      <c r="Q38" s="73" t="e">
        <f t="shared" si="4"/>
        <v>#DIV/0!</v>
      </c>
      <c r="R38" s="2348">
        <v>0</v>
      </c>
      <c r="S38" s="2349"/>
      <c r="T38" s="73" t="e">
        <f t="shared" si="5"/>
        <v>#DIV/0!</v>
      </c>
      <c r="U38" s="2348">
        <v>0</v>
      </c>
      <c r="V38" s="2349"/>
      <c r="W38" s="73" t="e">
        <f t="shared" si="6"/>
        <v>#DIV/0!</v>
      </c>
      <c r="X38" s="2348">
        <v>0</v>
      </c>
      <c r="Y38" s="2349"/>
      <c r="Z38" s="73" t="e">
        <f t="shared" si="7"/>
        <v>#DIV/0!</v>
      </c>
      <c r="AA38" s="2348">
        <v>0</v>
      </c>
      <c r="AB38" s="2349"/>
      <c r="AC38" s="73" t="e">
        <f t="shared" si="8"/>
        <v>#DIV/0!</v>
      </c>
      <c r="AD38" s="584">
        <f t="shared" si="9"/>
        <v>0</v>
      </c>
      <c r="AE38" s="73" t="e">
        <f t="shared" si="10"/>
        <v>#VALUE!</v>
      </c>
      <c r="AF38" s="2348">
        <v>0</v>
      </c>
      <c r="AG38" s="2349"/>
      <c r="AH38" s="73" t="e">
        <f t="shared" si="11"/>
        <v>#DIV/0!</v>
      </c>
      <c r="AI38" s="2348">
        <v>0</v>
      </c>
      <c r="AJ38" s="2349"/>
      <c r="AK38" s="73" t="e">
        <f t="shared" si="12"/>
        <v>#DIV/0!</v>
      </c>
      <c r="AL38" s="2348">
        <v>0</v>
      </c>
      <c r="AM38" s="2349"/>
      <c r="AN38" s="73" t="e">
        <f t="shared" si="13"/>
        <v>#DIV/0!</v>
      </c>
      <c r="AO38" s="2348">
        <v>0</v>
      </c>
      <c r="AP38" s="2349"/>
      <c r="AQ38" s="73" t="e">
        <f t="shared" si="14"/>
        <v>#DIV/0!</v>
      </c>
      <c r="AR38" s="2348">
        <v>0</v>
      </c>
      <c r="AS38" s="2349"/>
      <c r="AT38" s="73" t="e">
        <f t="shared" si="15"/>
        <v>#DIV/0!</v>
      </c>
      <c r="AU38" s="2348">
        <v>0</v>
      </c>
      <c r="AV38" s="2349"/>
      <c r="AW38" s="73" t="e">
        <f t="shared" si="0"/>
        <v>#DIV/0!</v>
      </c>
      <c r="AX38" s="2348">
        <f t="shared" si="16"/>
        <v>0</v>
      </c>
      <c r="AY38" s="73"/>
    </row>
    <row r="39" spans="1:51" s="22" customFormat="1" ht="49.9" customHeight="1" thickTop="1" thickBot="1">
      <c r="A39" s="2944"/>
      <c r="B39" s="2848" t="s">
        <v>418</v>
      </c>
      <c r="C39" s="1745" t="s">
        <v>286</v>
      </c>
      <c r="D39" s="623" t="s">
        <v>224</v>
      </c>
      <c r="E39" s="561" t="s">
        <v>225</v>
      </c>
      <c r="F39" s="561" t="s">
        <v>17</v>
      </c>
      <c r="G39" s="638">
        <v>1793</v>
      </c>
      <c r="H39" s="561" t="s">
        <v>226</v>
      </c>
      <c r="I39" s="90"/>
      <c r="J39" s="78"/>
      <c r="K39" s="561" t="s">
        <v>226</v>
      </c>
      <c r="L39" s="2174">
        <v>177</v>
      </c>
      <c r="M39" s="2182">
        <v>217</v>
      </c>
      <c r="N39" s="73">
        <f t="shared" si="3"/>
        <v>1.2259887005649717</v>
      </c>
      <c r="O39" s="2174">
        <v>172</v>
      </c>
      <c r="P39" s="2182">
        <v>235</v>
      </c>
      <c r="Q39" s="73">
        <f t="shared" si="4"/>
        <v>1.3662790697674418</v>
      </c>
      <c r="R39" s="2174">
        <v>126</v>
      </c>
      <c r="S39" s="2182">
        <v>386</v>
      </c>
      <c r="T39" s="73">
        <f t="shared" si="5"/>
        <v>3.0634920634920637</v>
      </c>
      <c r="U39" s="2174">
        <v>51</v>
      </c>
      <c r="V39" s="2182">
        <v>596</v>
      </c>
      <c r="W39" s="73">
        <f t="shared" si="6"/>
        <v>11.686274509803921</v>
      </c>
      <c r="X39" s="2174">
        <v>121</v>
      </c>
      <c r="Y39" s="2182">
        <v>784</v>
      </c>
      <c r="Z39" s="73">
        <f t="shared" si="7"/>
        <v>6.4793388429752063</v>
      </c>
      <c r="AA39" s="2174">
        <v>145</v>
      </c>
      <c r="AB39" s="2182">
        <v>268</v>
      </c>
      <c r="AC39" s="73">
        <f t="shared" si="8"/>
        <v>1.8482758620689654</v>
      </c>
      <c r="AD39" s="28">
        <f>+M39+P39+S39+V39+Y39+AB39</f>
        <v>2486</v>
      </c>
      <c r="AE39" s="73">
        <f t="shared" si="10"/>
        <v>1.3865030674846626</v>
      </c>
      <c r="AF39" s="2174">
        <v>199</v>
      </c>
      <c r="AG39" s="2182">
        <v>289</v>
      </c>
      <c r="AH39" s="73">
        <f t="shared" si="11"/>
        <v>1.4522613065326633</v>
      </c>
      <c r="AI39" s="2174">
        <v>170</v>
      </c>
      <c r="AJ39" s="2182">
        <v>237</v>
      </c>
      <c r="AK39" s="73">
        <f t="shared" si="12"/>
        <v>1.3941176470588235</v>
      </c>
      <c r="AL39" s="2174">
        <v>157</v>
      </c>
      <c r="AM39" s="2182">
        <v>207</v>
      </c>
      <c r="AN39" s="73">
        <f t="shared" si="13"/>
        <v>1.3184713375796178</v>
      </c>
      <c r="AO39" s="2174">
        <v>175</v>
      </c>
      <c r="AP39" s="2182">
        <v>199</v>
      </c>
      <c r="AQ39" s="73">
        <f t="shared" si="14"/>
        <v>1.1371428571428572</v>
      </c>
      <c r="AR39" s="2174">
        <v>150</v>
      </c>
      <c r="AS39" s="2182">
        <v>239</v>
      </c>
      <c r="AT39" s="73">
        <f t="shared" si="15"/>
        <v>1.5933333333333333</v>
      </c>
      <c r="AU39" s="2174">
        <v>150</v>
      </c>
      <c r="AV39" s="2182">
        <v>250</v>
      </c>
      <c r="AW39" s="73">
        <f t="shared" si="0"/>
        <v>1.6666666666666667</v>
      </c>
      <c r="AX39" s="2174">
        <f t="shared" si="16"/>
        <v>3907</v>
      </c>
      <c r="AY39" s="73">
        <f t="shared" si="2"/>
        <v>2.1790295593976574</v>
      </c>
    </row>
    <row r="40" spans="1:51" s="22" customFormat="1" ht="99.2" customHeight="1" thickTop="1" thickBot="1">
      <c r="A40" s="2944"/>
      <c r="B40" s="2849"/>
      <c r="C40" s="711" t="s">
        <v>180</v>
      </c>
      <c r="D40" s="627" t="s">
        <v>227</v>
      </c>
      <c r="E40" s="81" t="s">
        <v>139</v>
      </c>
      <c r="F40" s="81" t="s">
        <v>101</v>
      </c>
      <c r="G40" s="2325">
        <f>+'[4]FIS-24'!$BF$16</f>
        <v>13399999999.999998</v>
      </c>
      <c r="H40" s="81"/>
      <c r="I40" s="87"/>
      <c r="J40" s="82"/>
      <c r="K40" s="81" t="s">
        <v>140</v>
      </c>
      <c r="L40" s="2350">
        <v>800000000</v>
      </c>
      <c r="M40" s="2351">
        <v>628724262</v>
      </c>
      <c r="N40" s="73">
        <f t="shared" si="3"/>
        <v>0.78590532749999997</v>
      </c>
      <c r="O40" s="2350">
        <v>800000000</v>
      </c>
      <c r="P40" s="2351">
        <v>788383218</v>
      </c>
      <c r="Q40" s="73">
        <f t="shared" si="4"/>
        <v>0.98547902249999997</v>
      </c>
      <c r="R40" s="2350">
        <v>800000000</v>
      </c>
      <c r="S40" s="2351">
        <v>274798710</v>
      </c>
      <c r="T40" s="73">
        <f t="shared" si="5"/>
        <v>0.3434983875</v>
      </c>
      <c r="U40" s="2350">
        <v>1586666667</v>
      </c>
      <c r="V40" s="2351">
        <v>0</v>
      </c>
      <c r="W40" s="73">
        <f t="shared" si="6"/>
        <v>0</v>
      </c>
      <c r="X40" s="2350">
        <v>1586666667</v>
      </c>
      <c r="Y40" s="2351">
        <v>0</v>
      </c>
      <c r="Z40" s="73">
        <f t="shared" si="7"/>
        <v>0</v>
      </c>
      <c r="AA40" s="2350">
        <v>1586666667</v>
      </c>
      <c r="AB40" s="2351">
        <v>367829454</v>
      </c>
      <c r="AC40" s="73">
        <f t="shared" si="8"/>
        <v>0.23182528608575098</v>
      </c>
      <c r="AD40" s="584">
        <f t="shared" si="9"/>
        <v>2059735644</v>
      </c>
      <c r="AE40" s="73">
        <f t="shared" si="10"/>
        <v>0.15371161522388063</v>
      </c>
      <c r="AF40" s="2350">
        <v>1586666668</v>
      </c>
      <c r="AG40" s="2351">
        <v>787860068</v>
      </c>
      <c r="AH40" s="73">
        <f t="shared" si="11"/>
        <v>0.49655046260794078</v>
      </c>
      <c r="AI40" s="2350">
        <v>1070266666.13</v>
      </c>
      <c r="AJ40" s="2351">
        <v>674046544</v>
      </c>
      <c r="AK40" s="73">
        <f t="shared" si="12"/>
        <v>0.62979308365951381</v>
      </c>
      <c r="AL40" s="2350">
        <v>1070266666.13</v>
      </c>
      <c r="AM40" s="2351">
        <v>869067345</v>
      </c>
      <c r="AN40" s="73">
        <f t="shared" si="13"/>
        <v>0.81201010225094561</v>
      </c>
      <c r="AO40" s="2350">
        <v>1070266666.13</v>
      </c>
      <c r="AP40" s="2351">
        <v>791783908</v>
      </c>
      <c r="AQ40" s="73">
        <f t="shared" si="14"/>
        <v>0.73980058714061259</v>
      </c>
      <c r="AR40" s="2350">
        <v>721266666.30499995</v>
      </c>
      <c r="AS40" s="2351">
        <v>717902890</v>
      </c>
      <c r="AT40" s="73">
        <f t="shared" si="15"/>
        <v>0.99533629313242444</v>
      </c>
      <c r="AU40" s="2350">
        <v>721266666.30499995</v>
      </c>
      <c r="AV40" s="2351">
        <v>363026846</v>
      </c>
      <c r="AW40" s="73">
        <f t="shared" si="0"/>
        <v>0.50331848532493795</v>
      </c>
      <c r="AX40" s="2350">
        <f t="shared" si="16"/>
        <v>6263423245</v>
      </c>
      <c r="AY40" s="73">
        <f t="shared" si="2"/>
        <v>0.46741964514925377</v>
      </c>
    </row>
    <row r="41" spans="1:51" s="22" customFormat="1" ht="115.5" customHeight="1" thickTop="1" thickBot="1">
      <c r="A41" s="2944"/>
      <c r="B41" s="2849"/>
      <c r="C41" s="1048" t="s">
        <v>1009</v>
      </c>
      <c r="D41" s="623" t="s">
        <v>230</v>
      </c>
      <c r="E41" s="76" t="s">
        <v>231</v>
      </c>
      <c r="F41" s="76" t="s">
        <v>101</v>
      </c>
      <c r="G41" s="2326">
        <v>824989940</v>
      </c>
      <c r="H41" s="76"/>
      <c r="I41" s="90"/>
      <c r="J41" s="78"/>
      <c r="K41" s="76" t="s">
        <v>140</v>
      </c>
      <c r="L41" s="2348">
        <v>54999329.333333336</v>
      </c>
      <c r="M41" s="2349"/>
      <c r="N41" s="73">
        <f t="shared" si="3"/>
        <v>0</v>
      </c>
      <c r="O41" s="2348">
        <v>54999329.333333336</v>
      </c>
      <c r="P41" s="2349"/>
      <c r="Q41" s="73">
        <f t="shared" si="4"/>
        <v>0</v>
      </c>
      <c r="R41" s="2348">
        <v>54999329.333333336</v>
      </c>
      <c r="S41" s="2349"/>
      <c r="T41" s="73">
        <f t="shared" si="5"/>
        <v>0</v>
      </c>
      <c r="U41" s="2348">
        <v>82498994</v>
      </c>
      <c r="V41" s="2349">
        <v>0</v>
      </c>
      <c r="W41" s="73">
        <f t="shared" si="6"/>
        <v>0</v>
      </c>
      <c r="X41" s="2348">
        <v>82498994</v>
      </c>
      <c r="Y41" s="2349">
        <v>0</v>
      </c>
      <c r="Z41" s="73">
        <f t="shared" si="7"/>
        <v>0</v>
      </c>
      <c r="AA41" s="2348">
        <v>82498994</v>
      </c>
      <c r="AB41" s="2349">
        <v>0</v>
      </c>
      <c r="AC41" s="73">
        <f t="shared" si="8"/>
        <v>0</v>
      </c>
      <c r="AD41" s="584">
        <f t="shared" si="9"/>
        <v>0</v>
      </c>
      <c r="AE41" s="73">
        <f t="shared" si="10"/>
        <v>0</v>
      </c>
      <c r="AF41" s="2348">
        <v>82498994</v>
      </c>
      <c r="AG41" s="2349">
        <v>0</v>
      </c>
      <c r="AH41" s="73">
        <f t="shared" si="11"/>
        <v>0</v>
      </c>
      <c r="AI41" s="2348">
        <v>82498994</v>
      </c>
      <c r="AJ41" s="2349"/>
      <c r="AK41" s="73">
        <f t="shared" si="12"/>
        <v>0</v>
      </c>
      <c r="AL41" s="2348">
        <v>82498994</v>
      </c>
      <c r="AM41" s="2349">
        <v>2764126288</v>
      </c>
      <c r="AN41" s="73">
        <f t="shared" si="13"/>
        <v>33.504969624235663</v>
      </c>
      <c r="AO41" s="2348">
        <v>54999329.333333336</v>
      </c>
      <c r="AP41" s="2349">
        <v>241085143</v>
      </c>
      <c r="AQ41" s="73">
        <f t="shared" si="14"/>
        <v>4.3834196875176437</v>
      </c>
      <c r="AR41" s="2348">
        <v>54999329.333333336</v>
      </c>
      <c r="AS41" s="2349">
        <v>1828756783</v>
      </c>
      <c r="AT41" s="73">
        <f t="shared" si="15"/>
        <v>33.250528782205514</v>
      </c>
      <c r="AU41" s="2348">
        <v>54999329.333333336</v>
      </c>
      <c r="AV41" s="2349">
        <v>311316377</v>
      </c>
      <c r="AW41" s="73">
        <f t="shared" si="0"/>
        <v>5.6603667858058966</v>
      </c>
      <c r="AX41" s="2348">
        <f t="shared" si="16"/>
        <v>5145284591</v>
      </c>
      <c r="AY41" s="73">
        <f t="shared" si="2"/>
        <v>6.2367846461255034</v>
      </c>
    </row>
    <row r="42" spans="1:51" s="22" customFormat="1" ht="75.2" customHeight="1" thickTop="1" thickBot="1">
      <c r="A42" s="2944"/>
      <c r="B42" s="2849"/>
      <c r="C42" s="2917" t="s">
        <v>1010</v>
      </c>
      <c r="D42" s="627" t="s">
        <v>288</v>
      </c>
      <c r="E42" s="81" t="s">
        <v>234</v>
      </c>
      <c r="F42" s="81" t="s">
        <v>10</v>
      </c>
      <c r="G42" s="732">
        <v>0.02</v>
      </c>
      <c r="H42" s="82"/>
      <c r="I42" s="87"/>
      <c r="J42" s="82"/>
      <c r="K42" s="81" t="s">
        <v>235</v>
      </c>
      <c r="L42" s="2343">
        <v>0</v>
      </c>
      <c r="M42" s="2344">
        <v>0</v>
      </c>
      <c r="N42" s="73" t="e">
        <f t="shared" si="3"/>
        <v>#DIV/0!</v>
      </c>
      <c r="O42" s="2343">
        <v>0</v>
      </c>
      <c r="P42" s="2344">
        <v>2.5000000000000001E-2</v>
      </c>
      <c r="Q42" s="73" t="e">
        <f t="shared" si="4"/>
        <v>#DIV/0!</v>
      </c>
      <c r="R42" s="2343">
        <v>0</v>
      </c>
      <c r="S42" s="2344">
        <v>0</v>
      </c>
      <c r="T42" s="73" t="e">
        <f t="shared" si="5"/>
        <v>#DIV/0!</v>
      </c>
      <c r="U42" s="2343">
        <v>0.02</v>
      </c>
      <c r="V42" s="2344">
        <v>0</v>
      </c>
      <c r="W42" s="73">
        <f t="shared" si="6"/>
        <v>0</v>
      </c>
      <c r="X42" s="2343">
        <v>0.02</v>
      </c>
      <c r="Y42" s="2344">
        <v>0</v>
      </c>
      <c r="Z42" s="73">
        <f t="shared" si="7"/>
        <v>0</v>
      </c>
      <c r="AA42" s="2343">
        <v>0.02</v>
      </c>
      <c r="AB42" s="2344">
        <v>0</v>
      </c>
      <c r="AC42" s="73">
        <f t="shared" si="8"/>
        <v>0</v>
      </c>
      <c r="AD42" s="45">
        <f>(+M42+P42+S42+V42+Y42+AB42)/3</f>
        <v>8.3333333333333332E-3</v>
      </c>
      <c r="AE42" s="73">
        <f t="shared" si="10"/>
        <v>0.41666666666666663</v>
      </c>
      <c r="AF42" s="2343">
        <v>0.02</v>
      </c>
      <c r="AG42" s="2344">
        <v>5.1999999999999998E-2</v>
      </c>
      <c r="AH42" s="73">
        <f t="shared" si="11"/>
        <v>2.5999999999999996</v>
      </c>
      <c r="AI42" s="2343">
        <v>0.02</v>
      </c>
      <c r="AJ42" s="2344">
        <v>6.3E-2</v>
      </c>
      <c r="AK42" s="73">
        <f t="shared" si="12"/>
        <v>3.15</v>
      </c>
      <c r="AL42" s="2343">
        <v>0.02</v>
      </c>
      <c r="AM42" s="2344">
        <v>2.5999999999999999E-2</v>
      </c>
      <c r="AN42" s="73">
        <f t="shared" si="13"/>
        <v>1.2999999999999998</v>
      </c>
      <c r="AO42" s="2343">
        <v>0.02</v>
      </c>
      <c r="AP42" s="2344">
        <v>1.0999999999999999E-2</v>
      </c>
      <c r="AQ42" s="73">
        <f t="shared" si="14"/>
        <v>0.54999999999999993</v>
      </c>
      <c r="AR42" s="2343">
        <v>0.02</v>
      </c>
      <c r="AS42" s="2344">
        <v>0</v>
      </c>
      <c r="AT42" s="73">
        <f t="shared" si="15"/>
        <v>0</v>
      </c>
      <c r="AU42" s="2343">
        <v>0.02</v>
      </c>
      <c r="AV42" s="2344">
        <v>0</v>
      </c>
      <c r="AW42" s="73">
        <f t="shared" si="0"/>
        <v>0</v>
      </c>
      <c r="AX42" s="2343">
        <f>(+M42+P42+S42+V42+Y42+AB42+AG42+AJ42+AM42+AP42+AS42+AV42)/9</f>
        <v>1.9666666666666669E-2</v>
      </c>
      <c r="AY42" s="73">
        <f t="shared" si="2"/>
        <v>0.98333333333333339</v>
      </c>
    </row>
    <row r="43" spans="1:51" s="22" customFormat="1" ht="81.75" customHeight="1" thickTop="1" thickBot="1">
      <c r="A43" s="2944"/>
      <c r="B43" s="2849"/>
      <c r="C43" s="2918"/>
      <c r="D43" s="86" t="s">
        <v>236</v>
      </c>
      <c r="E43" s="81" t="s">
        <v>237</v>
      </c>
      <c r="F43" s="88" t="s">
        <v>10</v>
      </c>
      <c r="G43" s="167">
        <v>0.02</v>
      </c>
      <c r="H43" s="88"/>
      <c r="I43" s="81"/>
      <c r="J43" s="81"/>
      <c r="K43" s="87" t="s">
        <v>23</v>
      </c>
      <c r="L43" s="163">
        <v>0</v>
      </c>
      <c r="M43" s="164">
        <v>6.0000000000000001E-3</v>
      </c>
      <c r="N43" s="19" t="e">
        <f t="shared" si="3"/>
        <v>#DIV/0!</v>
      </c>
      <c r="O43" s="163">
        <v>0</v>
      </c>
      <c r="P43" s="164">
        <v>2E-3</v>
      </c>
      <c r="Q43" s="19" t="e">
        <f t="shared" si="4"/>
        <v>#DIV/0!</v>
      </c>
      <c r="R43" s="163">
        <v>0</v>
      </c>
      <c r="S43" s="164">
        <v>1.4E-2</v>
      </c>
      <c r="T43" s="19" t="e">
        <f t="shared" si="5"/>
        <v>#DIV/0!</v>
      </c>
      <c r="U43" s="163">
        <v>0.03</v>
      </c>
      <c r="V43" s="164">
        <v>0</v>
      </c>
      <c r="W43" s="19">
        <f t="shared" si="6"/>
        <v>0</v>
      </c>
      <c r="X43" s="163">
        <v>0.03</v>
      </c>
      <c r="Y43" s="164">
        <v>0</v>
      </c>
      <c r="Z43" s="19">
        <f t="shared" si="7"/>
        <v>0</v>
      </c>
      <c r="AA43" s="163">
        <v>0.03</v>
      </c>
      <c r="AB43" s="164">
        <v>4.0000000000000001E-3</v>
      </c>
      <c r="AC43" s="19">
        <f t="shared" si="8"/>
        <v>0.13333333333333333</v>
      </c>
      <c r="AD43" s="165">
        <f>(V43+Y43+AB43)/3</f>
        <v>1.3333333333333333E-3</v>
      </c>
      <c r="AE43" s="19">
        <f t="shared" si="10"/>
        <v>6.6666666666666666E-2</v>
      </c>
      <c r="AF43" s="163">
        <v>0.03</v>
      </c>
      <c r="AG43" s="164">
        <v>2.5000000000000001E-2</v>
      </c>
      <c r="AH43" s="19">
        <f t="shared" si="11"/>
        <v>0.83333333333333337</v>
      </c>
      <c r="AI43" s="163">
        <v>0.03</v>
      </c>
      <c r="AJ43" s="164">
        <v>3.3000000000000002E-2</v>
      </c>
      <c r="AK43" s="19">
        <f t="shared" si="12"/>
        <v>1.1000000000000001</v>
      </c>
      <c r="AL43" s="163">
        <v>0.02</v>
      </c>
      <c r="AM43" s="164">
        <v>6.5000000000000002E-2</v>
      </c>
      <c r="AN43" s="19">
        <f t="shared" si="13"/>
        <v>3.25</v>
      </c>
      <c r="AO43" s="163">
        <v>0.02</v>
      </c>
      <c r="AP43" s="164">
        <v>6.0999999999999999E-2</v>
      </c>
      <c r="AQ43" s="19">
        <f t="shared" si="14"/>
        <v>3.05</v>
      </c>
      <c r="AR43" s="163">
        <v>0.02</v>
      </c>
      <c r="AS43" s="164">
        <v>3.7999999999999999E-2</v>
      </c>
      <c r="AT43" s="19">
        <f t="shared" si="15"/>
        <v>1.9</v>
      </c>
      <c r="AU43" s="163">
        <v>0.02</v>
      </c>
      <c r="AV43" s="164">
        <v>2.7E-2</v>
      </c>
      <c r="AW43" s="19">
        <f t="shared" si="0"/>
        <v>1.3499999999999999</v>
      </c>
      <c r="AX43" s="163">
        <f>+((AG43+AJ43)/2+(AM43+AP43+AS43+AV43)/4)</f>
        <v>7.6749999999999999E-2</v>
      </c>
      <c r="AY43" s="19">
        <f t="shared" si="2"/>
        <v>3.8374999999999999</v>
      </c>
    </row>
    <row r="44" spans="1:51" s="22" customFormat="1" ht="81.75" customHeight="1" thickTop="1" thickBot="1">
      <c r="A44" s="2944"/>
      <c r="B44" s="2849"/>
      <c r="C44" s="2918"/>
      <c r="D44" s="86" t="s">
        <v>238</v>
      </c>
      <c r="E44" s="81" t="s">
        <v>239</v>
      </c>
      <c r="F44" s="88" t="s">
        <v>10</v>
      </c>
      <c r="G44" s="167">
        <v>0.01</v>
      </c>
      <c r="H44" s="88"/>
      <c r="I44" s="81"/>
      <c r="J44" s="81"/>
      <c r="K44" s="87" t="s">
        <v>23</v>
      </c>
      <c r="L44" s="163">
        <v>0</v>
      </c>
      <c r="M44" s="164">
        <v>0</v>
      </c>
      <c r="N44" s="19" t="e">
        <f t="shared" si="3"/>
        <v>#DIV/0!</v>
      </c>
      <c r="O44" s="163">
        <v>0</v>
      </c>
      <c r="P44" s="164">
        <v>0</v>
      </c>
      <c r="Q44" s="19" t="e">
        <f t="shared" si="4"/>
        <v>#DIV/0!</v>
      </c>
      <c r="R44" s="163">
        <v>0</v>
      </c>
      <c r="S44" s="164">
        <v>0</v>
      </c>
      <c r="T44" s="19" t="e">
        <f t="shared" si="5"/>
        <v>#DIV/0!</v>
      </c>
      <c r="U44" s="163">
        <v>0</v>
      </c>
      <c r="V44" s="164">
        <v>0</v>
      </c>
      <c r="W44" s="19" t="e">
        <f t="shared" si="6"/>
        <v>#DIV/0!</v>
      </c>
      <c r="X44" s="163">
        <v>0</v>
      </c>
      <c r="Y44" s="164">
        <v>0</v>
      </c>
      <c r="Z44" s="19" t="e">
        <f t="shared" si="7"/>
        <v>#DIV/0!</v>
      </c>
      <c r="AA44" s="163">
        <v>0</v>
      </c>
      <c r="AB44" s="164">
        <v>0</v>
      </c>
      <c r="AC44" s="19" t="e">
        <f t="shared" si="8"/>
        <v>#DIV/0!</v>
      </c>
      <c r="AD44" s="165">
        <f t="shared" ref="AD44" si="17">(V44+Y44+AB44)/3</f>
        <v>0</v>
      </c>
      <c r="AE44" s="19">
        <f>+AD44/G44</f>
        <v>0</v>
      </c>
      <c r="AF44" s="163">
        <v>0</v>
      </c>
      <c r="AG44" s="164">
        <v>0</v>
      </c>
      <c r="AH44" s="19" t="e">
        <f t="shared" si="11"/>
        <v>#DIV/0!</v>
      </c>
      <c r="AI44" s="163">
        <v>0</v>
      </c>
      <c r="AJ44" s="164">
        <v>0</v>
      </c>
      <c r="AK44" s="19" t="e">
        <f t="shared" si="12"/>
        <v>#DIV/0!</v>
      </c>
      <c r="AL44" s="163">
        <v>0.01</v>
      </c>
      <c r="AM44" s="164">
        <v>0</v>
      </c>
      <c r="AN44" s="19">
        <f t="shared" si="13"/>
        <v>0</v>
      </c>
      <c r="AO44" s="163">
        <v>0.01</v>
      </c>
      <c r="AP44" s="164">
        <v>0</v>
      </c>
      <c r="AQ44" s="19">
        <f t="shared" si="14"/>
        <v>0</v>
      </c>
      <c r="AR44" s="163">
        <v>0.01</v>
      </c>
      <c r="AS44" s="164">
        <v>0</v>
      </c>
      <c r="AT44" s="19">
        <f t="shared" si="15"/>
        <v>0</v>
      </c>
      <c r="AU44" s="163">
        <v>0.01</v>
      </c>
      <c r="AV44" s="164">
        <v>0</v>
      </c>
      <c r="AW44" s="19">
        <f t="shared" si="0"/>
        <v>0</v>
      </c>
      <c r="AX44" s="163">
        <f>+(AV44+AS44+AP44+AM44)/4</f>
        <v>0</v>
      </c>
      <c r="AY44" s="19"/>
    </row>
    <row r="45" spans="1:51" s="22" customFormat="1" ht="129" customHeight="1" thickTop="1" thickBot="1">
      <c r="A45" s="2944"/>
      <c r="B45" s="2849"/>
      <c r="C45" s="2918"/>
      <c r="D45" s="111" t="s">
        <v>245</v>
      </c>
      <c r="E45" s="177" t="s">
        <v>246</v>
      </c>
      <c r="F45" s="177" t="s">
        <v>10</v>
      </c>
      <c r="G45" s="888">
        <v>0.1</v>
      </c>
      <c r="H45" s="88"/>
      <c r="I45" s="81"/>
      <c r="J45" s="81"/>
      <c r="K45" s="179" t="s">
        <v>244</v>
      </c>
      <c r="L45" s="2345">
        <v>0</v>
      </c>
      <c r="M45" s="2346">
        <v>0</v>
      </c>
      <c r="N45" s="73" t="e">
        <f t="shared" si="3"/>
        <v>#DIV/0!</v>
      </c>
      <c r="O45" s="2345">
        <v>0</v>
      </c>
      <c r="P45" s="2346">
        <v>0</v>
      </c>
      <c r="Q45" s="73" t="e">
        <f t="shared" si="4"/>
        <v>#DIV/0!</v>
      </c>
      <c r="R45" s="2345">
        <v>0</v>
      </c>
      <c r="S45" s="2346">
        <v>0</v>
      </c>
      <c r="T45" s="73" t="e">
        <f t="shared" si="5"/>
        <v>#DIV/0!</v>
      </c>
      <c r="U45" s="2345">
        <v>0</v>
      </c>
      <c r="V45" s="2346">
        <v>0</v>
      </c>
      <c r="W45" s="73" t="e">
        <f t="shared" si="6"/>
        <v>#DIV/0!</v>
      </c>
      <c r="X45" s="2345">
        <v>0</v>
      </c>
      <c r="Y45" s="2346">
        <v>0</v>
      </c>
      <c r="Z45" s="73" t="e">
        <f t="shared" si="7"/>
        <v>#DIV/0!</v>
      </c>
      <c r="AA45" s="2345">
        <v>0</v>
      </c>
      <c r="AB45" s="2346">
        <v>0</v>
      </c>
      <c r="AC45" s="73" t="e">
        <f t="shared" si="8"/>
        <v>#DIV/0!</v>
      </c>
      <c r="AD45" s="45">
        <f>+M45+P45+S45+V45+Y45+AB45</f>
        <v>0</v>
      </c>
      <c r="AE45" s="73">
        <f>+AD45/50%</f>
        <v>0</v>
      </c>
      <c r="AF45" s="2345">
        <v>0</v>
      </c>
      <c r="AG45" s="2346">
        <v>0</v>
      </c>
      <c r="AH45" s="73" t="e">
        <f t="shared" si="11"/>
        <v>#DIV/0!</v>
      </c>
      <c r="AI45" s="2345">
        <v>0</v>
      </c>
      <c r="AJ45" s="2346">
        <v>0</v>
      </c>
      <c r="AK45" s="73" t="e">
        <f t="shared" si="12"/>
        <v>#DIV/0!</v>
      </c>
      <c r="AL45" s="2345">
        <v>0</v>
      </c>
      <c r="AM45" s="2346">
        <v>0</v>
      </c>
      <c r="AN45" s="73" t="e">
        <f t="shared" si="13"/>
        <v>#DIV/0!</v>
      </c>
      <c r="AO45" s="2345">
        <v>0.1</v>
      </c>
      <c r="AP45" s="2346">
        <v>0.75</v>
      </c>
      <c r="AQ45" s="73">
        <f t="shared" si="14"/>
        <v>7.5</v>
      </c>
      <c r="AR45" s="2345">
        <v>0</v>
      </c>
      <c r="AS45" s="2346">
        <v>0</v>
      </c>
      <c r="AT45" s="73" t="e">
        <f t="shared" si="15"/>
        <v>#DIV/0!</v>
      </c>
      <c r="AU45" s="2345">
        <v>0</v>
      </c>
      <c r="AV45" s="2346">
        <v>0</v>
      </c>
      <c r="AW45" s="73" t="e">
        <f t="shared" si="0"/>
        <v>#DIV/0!</v>
      </c>
      <c r="AX45" s="2345">
        <f>+AP45</f>
        <v>0.75</v>
      </c>
      <c r="AY45" s="73">
        <f t="shared" si="2"/>
        <v>7.5</v>
      </c>
    </row>
    <row r="46" spans="1:51" s="22" customFormat="1" ht="139.15" customHeight="1" thickTop="1" thickBot="1">
      <c r="A46" s="2944"/>
      <c r="B46" s="2849"/>
      <c r="C46" s="2918"/>
      <c r="D46" s="2352" t="s">
        <v>247</v>
      </c>
      <c r="E46" s="2353" t="s">
        <v>447</v>
      </c>
      <c r="F46" s="2353" t="s">
        <v>24</v>
      </c>
      <c r="G46" s="2353">
        <v>88</v>
      </c>
      <c r="H46" s="710"/>
      <c r="I46" s="2173"/>
      <c r="J46" s="710"/>
      <c r="K46" s="76" t="s">
        <v>249</v>
      </c>
      <c r="L46" s="2174">
        <v>0</v>
      </c>
      <c r="M46" s="2182">
        <v>8</v>
      </c>
      <c r="N46" s="73" t="e">
        <f t="shared" si="3"/>
        <v>#DIV/0!</v>
      </c>
      <c r="O46" s="2174">
        <v>0</v>
      </c>
      <c r="P46" s="2182">
        <v>20</v>
      </c>
      <c r="Q46" s="73" t="e">
        <f t="shared" si="4"/>
        <v>#DIV/0!</v>
      </c>
      <c r="R46" s="2174">
        <v>0</v>
      </c>
      <c r="S46" s="2182">
        <v>6</v>
      </c>
      <c r="T46" s="73" t="e">
        <f t="shared" si="5"/>
        <v>#DIV/0!</v>
      </c>
      <c r="U46" s="2174">
        <v>0</v>
      </c>
      <c r="V46" s="2182">
        <v>0</v>
      </c>
      <c r="W46" s="73" t="e">
        <f t="shared" si="6"/>
        <v>#DIV/0!</v>
      </c>
      <c r="X46" s="2174">
        <v>11</v>
      </c>
      <c r="Y46" s="2182">
        <v>1</v>
      </c>
      <c r="Z46" s="73">
        <f t="shared" si="7"/>
        <v>9.0909090909090912E-2</v>
      </c>
      <c r="AA46" s="2174">
        <v>11</v>
      </c>
      <c r="AB46" s="2182">
        <v>21</v>
      </c>
      <c r="AC46" s="73">
        <f t="shared" si="8"/>
        <v>1.9090909090909092</v>
      </c>
      <c r="AD46" s="28">
        <f t="shared" si="9"/>
        <v>56</v>
      </c>
      <c r="AE46" s="73">
        <f t="shared" si="10"/>
        <v>0.63636363636363635</v>
      </c>
      <c r="AF46" s="2174">
        <v>11</v>
      </c>
      <c r="AG46" s="2182">
        <v>6</v>
      </c>
      <c r="AH46" s="73">
        <f t="shared" si="11"/>
        <v>0.54545454545454541</v>
      </c>
      <c r="AI46" s="2174">
        <v>11</v>
      </c>
      <c r="AJ46" s="2182">
        <v>8</v>
      </c>
      <c r="AK46" s="73">
        <f t="shared" si="12"/>
        <v>0.72727272727272729</v>
      </c>
      <c r="AL46" s="2174">
        <v>11</v>
      </c>
      <c r="AM46" s="2182">
        <v>0</v>
      </c>
      <c r="AN46" s="73">
        <f t="shared" si="13"/>
        <v>0</v>
      </c>
      <c r="AO46" s="2174">
        <v>11</v>
      </c>
      <c r="AP46" s="2182">
        <v>3</v>
      </c>
      <c r="AQ46" s="73">
        <f t="shared" si="14"/>
        <v>0.27272727272727271</v>
      </c>
      <c r="AR46" s="2174">
        <v>11</v>
      </c>
      <c r="AS46" s="2182">
        <v>17</v>
      </c>
      <c r="AT46" s="73">
        <f t="shared" si="15"/>
        <v>1.5454545454545454</v>
      </c>
      <c r="AU46" s="2174">
        <v>11</v>
      </c>
      <c r="AV46" s="2182">
        <v>2</v>
      </c>
      <c r="AW46" s="73">
        <f t="shared" si="0"/>
        <v>0.18181818181818182</v>
      </c>
      <c r="AX46" s="2174">
        <f t="shared" si="16"/>
        <v>92</v>
      </c>
      <c r="AY46" s="73">
        <f t="shared" si="2"/>
        <v>1.0454545454545454</v>
      </c>
    </row>
    <row r="47" spans="1:51" s="22" customFormat="1" ht="81.75" customHeight="1" thickTop="1" thickBot="1">
      <c r="A47" s="2944"/>
      <c r="B47" s="2849"/>
      <c r="C47" s="2918"/>
      <c r="D47" s="2354" t="s">
        <v>290</v>
      </c>
      <c r="E47" s="2355" t="s">
        <v>449</v>
      </c>
      <c r="F47" s="2355" t="s">
        <v>24</v>
      </c>
      <c r="G47" s="2355">
        <v>15</v>
      </c>
      <c r="H47" s="715"/>
      <c r="I47" s="2216"/>
      <c r="J47" s="715"/>
      <c r="K47" s="81" t="s">
        <v>249</v>
      </c>
      <c r="L47" s="2174">
        <v>0</v>
      </c>
      <c r="M47" s="2182">
        <v>1</v>
      </c>
      <c r="N47" s="73" t="e">
        <f t="shared" si="3"/>
        <v>#DIV/0!</v>
      </c>
      <c r="O47" s="2174">
        <v>0</v>
      </c>
      <c r="P47" s="2182">
        <v>1</v>
      </c>
      <c r="Q47" s="73" t="e">
        <f t="shared" si="4"/>
        <v>#DIV/0!</v>
      </c>
      <c r="R47" s="2174">
        <v>0</v>
      </c>
      <c r="S47" s="2182">
        <v>0</v>
      </c>
      <c r="T47" s="73" t="e">
        <f t="shared" si="5"/>
        <v>#DIV/0!</v>
      </c>
      <c r="U47" s="2174">
        <v>0</v>
      </c>
      <c r="V47" s="2182">
        <v>0</v>
      </c>
      <c r="W47" s="73" t="e">
        <f t="shared" si="6"/>
        <v>#DIV/0!</v>
      </c>
      <c r="X47" s="2174">
        <v>2</v>
      </c>
      <c r="Y47" s="2182">
        <v>0</v>
      </c>
      <c r="Z47" s="73">
        <f t="shared" si="7"/>
        <v>0</v>
      </c>
      <c r="AA47" s="2174">
        <v>2</v>
      </c>
      <c r="AB47" s="2182">
        <v>0</v>
      </c>
      <c r="AC47" s="73">
        <f t="shared" si="8"/>
        <v>0</v>
      </c>
      <c r="AD47" s="28">
        <f t="shared" si="9"/>
        <v>2</v>
      </c>
      <c r="AE47" s="73">
        <f t="shared" si="10"/>
        <v>0.13333333333333333</v>
      </c>
      <c r="AF47" s="2174">
        <v>2</v>
      </c>
      <c r="AG47" s="2182">
        <v>0</v>
      </c>
      <c r="AH47" s="73">
        <f t="shared" si="11"/>
        <v>0</v>
      </c>
      <c r="AI47" s="2174">
        <v>2</v>
      </c>
      <c r="AJ47" s="2182">
        <v>4</v>
      </c>
      <c r="AK47" s="73">
        <f t="shared" si="12"/>
        <v>2</v>
      </c>
      <c r="AL47" s="2174">
        <v>2</v>
      </c>
      <c r="AM47" s="2182">
        <v>3</v>
      </c>
      <c r="AN47" s="73">
        <f t="shared" si="13"/>
        <v>1.5</v>
      </c>
      <c r="AO47" s="2174">
        <v>2</v>
      </c>
      <c r="AP47" s="2182">
        <v>3</v>
      </c>
      <c r="AQ47" s="73">
        <f t="shared" si="14"/>
        <v>1.5</v>
      </c>
      <c r="AR47" s="2174">
        <v>2</v>
      </c>
      <c r="AS47" s="2182">
        <v>2</v>
      </c>
      <c r="AT47" s="73">
        <f t="shared" si="15"/>
        <v>1</v>
      </c>
      <c r="AU47" s="2174">
        <v>1</v>
      </c>
      <c r="AV47" s="2182">
        <v>1</v>
      </c>
      <c r="AW47" s="73">
        <f t="shared" si="0"/>
        <v>1</v>
      </c>
      <c r="AX47" s="2174">
        <f t="shared" si="16"/>
        <v>15</v>
      </c>
      <c r="AY47" s="73">
        <f t="shared" si="2"/>
        <v>1</v>
      </c>
    </row>
    <row r="48" spans="1:51" s="22" customFormat="1" ht="123.2" customHeight="1" thickTop="1" thickBot="1">
      <c r="A48" s="2945"/>
      <c r="B48" s="2850"/>
      <c r="C48" s="2919"/>
      <c r="D48" s="2352" t="s">
        <v>724</v>
      </c>
      <c r="E48" s="2353" t="s">
        <v>450</v>
      </c>
      <c r="F48" s="2353" t="s">
        <v>24</v>
      </c>
      <c r="G48" s="2353">
        <v>88</v>
      </c>
      <c r="H48" s="710"/>
      <c r="I48" s="2173"/>
      <c r="J48" s="710"/>
      <c r="K48" s="76" t="s">
        <v>249</v>
      </c>
      <c r="L48" s="2185">
        <v>0</v>
      </c>
      <c r="M48" s="2342">
        <v>0</v>
      </c>
      <c r="N48" s="73" t="e">
        <f t="shared" si="3"/>
        <v>#DIV/0!</v>
      </c>
      <c r="O48" s="2185">
        <v>0</v>
      </c>
      <c r="P48" s="2342">
        <v>0</v>
      </c>
      <c r="Q48" s="73" t="e">
        <f t="shared" si="4"/>
        <v>#DIV/0!</v>
      </c>
      <c r="R48" s="2185">
        <v>0</v>
      </c>
      <c r="S48" s="2342">
        <v>0</v>
      </c>
      <c r="T48" s="73" t="e">
        <f t="shared" si="5"/>
        <v>#DIV/0!</v>
      </c>
      <c r="U48" s="2185">
        <v>0</v>
      </c>
      <c r="V48" s="2342">
        <v>0</v>
      </c>
      <c r="W48" s="73" t="e">
        <f t="shared" si="6"/>
        <v>#DIV/0!</v>
      </c>
      <c r="X48" s="2185">
        <v>11</v>
      </c>
      <c r="Y48" s="2342">
        <v>11</v>
      </c>
      <c r="Z48" s="73">
        <f t="shared" si="7"/>
        <v>1</v>
      </c>
      <c r="AA48" s="2185">
        <v>11</v>
      </c>
      <c r="AB48" s="2342">
        <v>11</v>
      </c>
      <c r="AC48" s="73">
        <f t="shared" si="8"/>
        <v>1</v>
      </c>
      <c r="AD48" s="28">
        <f t="shared" si="9"/>
        <v>22</v>
      </c>
      <c r="AE48" s="73">
        <f t="shared" si="10"/>
        <v>0.25</v>
      </c>
      <c r="AF48" s="2185">
        <v>11</v>
      </c>
      <c r="AG48" s="2342">
        <v>11</v>
      </c>
      <c r="AH48" s="73">
        <f t="shared" si="11"/>
        <v>1</v>
      </c>
      <c r="AI48" s="2185">
        <v>11</v>
      </c>
      <c r="AJ48" s="2342">
        <v>11</v>
      </c>
      <c r="AK48" s="73">
        <f t="shared" si="12"/>
        <v>1</v>
      </c>
      <c r="AL48" s="2185">
        <v>11</v>
      </c>
      <c r="AM48" s="2342">
        <v>11</v>
      </c>
      <c r="AN48" s="73">
        <f t="shared" si="13"/>
        <v>1</v>
      </c>
      <c r="AO48" s="2185">
        <v>11</v>
      </c>
      <c r="AP48" s="2342">
        <v>11</v>
      </c>
      <c r="AQ48" s="73">
        <f t="shared" si="14"/>
        <v>1</v>
      </c>
      <c r="AR48" s="2185">
        <v>11</v>
      </c>
      <c r="AS48" s="2342">
        <v>11</v>
      </c>
      <c r="AT48" s="73">
        <f t="shared" si="15"/>
        <v>1</v>
      </c>
      <c r="AU48" s="2185">
        <v>11</v>
      </c>
      <c r="AV48" s="2342">
        <v>11</v>
      </c>
      <c r="AW48" s="73">
        <f t="shared" si="0"/>
        <v>1</v>
      </c>
      <c r="AX48" s="2185">
        <f t="shared" si="16"/>
        <v>88</v>
      </c>
      <c r="AY48" s="73">
        <f t="shared" si="2"/>
        <v>1</v>
      </c>
    </row>
    <row r="49" spans="1:51" ht="22.5" thickTop="1" thickBot="1">
      <c r="A49" s="2857" t="s">
        <v>682</v>
      </c>
      <c r="B49" s="2858"/>
      <c r="C49" s="2862"/>
      <c r="D49" s="2862"/>
      <c r="E49" s="2862"/>
      <c r="F49" s="2862"/>
      <c r="G49" s="2862"/>
      <c r="H49" s="2862"/>
      <c r="I49" s="2862"/>
      <c r="J49" s="2862"/>
      <c r="K49" s="2920"/>
      <c r="L49" s="2356"/>
      <c r="M49" s="2357"/>
      <c r="N49" s="2358"/>
      <c r="O49" s="2357"/>
      <c r="P49" s="2357"/>
      <c r="Q49" s="2358"/>
      <c r="R49" s="2357"/>
      <c r="S49" s="2357"/>
      <c r="T49" s="2358"/>
      <c r="U49" s="2357"/>
      <c r="V49" s="2357"/>
      <c r="W49" s="2358"/>
      <c r="X49" s="2357"/>
      <c r="Y49" s="2357"/>
      <c r="Z49" s="2358"/>
      <c r="AA49" s="2357"/>
      <c r="AB49" s="2357"/>
      <c r="AC49" s="2358"/>
      <c r="AD49" s="2357"/>
      <c r="AE49" s="2358"/>
      <c r="AF49" s="2357"/>
      <c r="AG49" s="2357"/>
      <c r="AH49" s="2358"/>
      <c r="AI49" s="2357"/>
      <c r="AJ49" s="2357"/>
      <c r="AK49" s="2358"/>
      <c r="AL49" s="2357"/>
      <c r="AM49" s="2357"/>
      <c r="AN49" s="2358"/>
      <c r="AO49" s="2357"/>
      <c r="AP49" s="2357"/>
      <c r="AQ49" s="2358"/>
      <c r="AR49" s="2357"/>
      <c r="AS49" s="2357"/>
      <c r="AT49" s="2358"/>
      <c r="AU49" s="2357"/>
      <c r="AV49" s="2357"/>
      <c r="AW49" s="2358"/>
      <c r="AX49" s="2357"/>
      <c r="AY49" s="2359"/>
    </row>
    <row r="50" spans="1:51" ht="125.45" customHeight="1" thickTop="1" thickBot="1">
      <c r="A50" s="2860" t="s">
        <v>181</v>
      </c>
      <c r="B50" s="3044" t="s">
        <v>314</v>
      </c>
      <c r="C50" s="2360" t="s">
        <v>366</v>
      </c>
      <c r="D50" s="2361" t="s">
        <v>144</v>
      </c>
      <c r="E50" s="2360" t="s">
        <v>145</v>
      </c>
      <c r="F50" s="2360" t="s">
        <v>17</v>
      </c>
      <c r="G50" s="2360">
        <v>140</v>
      </c>
      <c r="H50" s="710"/>
      <c r="I50" s="2173"/>
      <c r="J50" s="710"/>
      <c r="K50" s="76" t="s">
        <v>146</v>
      </c>
      <c r="L50" s="625">
        <v>0</v>
      </c>
      <c r="M50" s="59"/>
      <c r="N50" s="73" t="e">
        <f t="shared" si="3"/>
        <v>#DIV/0!</v>
      </c>
      <c r="O50" s="625">
        <v>0</v>
      </c>
      <c r="P50" s="59"/>
      <c r="Q50" s="73" t="e">
        <f t="shared" si="4"/>
        <v>#DIV/0!</v>
      </c>
      <c r="R50" s="625">
        <v>0</v>
      </c>
      <c r="S50" s="59"/>
      <c r="T50" s="73" t="e">
        <f t="shared" si="5"/>
        <v>#DIV/0!</v>
      </c>
      <c r="U50" s="625">
        <v>28</v>
      </c>
      <c r="V50" s="59">
        <v>100</v>
      </c>
      <c r="W50" s="73">
        <f t="shared" si="6"/>
        <v>3.5714285714285716</v>
      </c>
      <c r="X50" s="625">
        <v>0</v>
      </c>
      <c r="Y50" s="59"/>
      <c r="Z50" s="73" t="e">
        <f t="shared" si="7"/>
        <v>#DIV/0!</v>
      </c>
      <c r="AA50" s="625">
        <v>0</v>
      </c>
      <c r="AB50" s="59"/>
      <c r="AC50" s="73" t="e">
        <f t="shared" si="8"/>
        <v>#DIV/0!</v>
      </c>
      <c r="AD50" s="28">
        <f t="shared" si="9"/>
        <v>100</v>
      </c>
      <c r="AE50" s="73">
        <f t="shared" si="10"/>
        <v>0.7142857142857143</v>
      </c>
      <c r="AF50" s="625">
        <v>0</v>
      </c>
      <c r="AG50" s="59"/>
      <c r="AH50" s="73" t="e">
        <f t="shared" si="11"/>
        <v>#DIV/0!</v>
      </c>
      <c r="AI50" s="625">
        <v>42</v>
      </c>
      <c r="AJ50" s="59">
        <v>385</v>
      </c>
      <c r="AK50" s="73">
        <f t="shared" si="12"/>
        <v>9.1666666666666661</v>
      </c>
      <c r="AL50" s="625">
        <v>0</v>
      </c>
      <c r="AM50" s="59"/>
      <c r="AN50" s="73" t="e">
        <f t="shared" si="13"/>
        <v>#DIV/0!</v>
      </c>
      <c r="AO50" s="625">
        <v>0</v>
      </c>
      <c r="AP50" s="59"/>
      <c r="AQ50" s="73" t="e">
        <f t="shared" si="14"/>
        <v>#DIV/0!</v>
      </c>
      <c r="AR50" s="625">
        <v>0</v>
      </c>
      <c r="AS50" s="59"/>
      <c r="AT50" s="73" t="e">
        <f t="shared" si="15"/>
        <v>#DIV/0!</v>
      </c>
      <c r="AU50" s="625">
        <v>70</v>
      </c>
      <c r="AV50" s="59">
        <v>90</v>
      </c>
      <c r="AW50" s="73">
        <f t="shared" si="0"/>
        <v>1.2857142857142858</v>
      </c>
      <c r="AX50" s="625">
        <f t="shared" si="16"/>
        <v>575</v>
      </c>
      <c r="AY50" s="73">
        <f t="shared" si="2"/>
        <v>4.1071428571428568</v>
      </c>
    </row>
    <row r="51" spans="1:51" ht="86.65" customHeight="1" thickTop="1" thickBot="1">
      <c r="A51" s="2861"/>
      <c r="B51" s="3045"/>
      <c r="C51" s="1166" t="s">
        <v>1011</v>
      </c>
      <c r="D51" s="2362" t="s">
        <v>148</v>
      </c>
      <c r="E51" s="1166" t="s">
        <v>149</v>
      </c>
      <c r="F51" s="1166" t="s">
        <v>8</v>
      </c>
      <c r="G51" s="1166">
        <v>10.199999999999999</v>
      </c>
      <c r="H51" s="715"/>
      <c r="I51" s="2216"/>
      <c r="J51" s="715"/>
      <c r="K51" s="81" t="s">
        <v>9</v>
      </c>
      <c r="L51" s="665">
        <v>10.199999999999999</v>
      </c>
      <c r="M51" s="28">
        <v>9</v>
      </c>
      <c r="N51" s="73">
        <f>+L51/M51</f>
        <v>1.1333333333333333</v>
      </c>
      <c r="O51" s="665">
        <v>10.199999999999999</v>
      </c>
      <c r="P51" s="28">
        <v>9</v>
      </c>
      <c r="Q51" s="73">
        <f>+O51/P51</f>
        <v>1.1333333333333333</v>
      </c>
      <c r="R51" s="665">
        <v>10.199999999999999</v>
      </c>
      <c r="S51" s="28">
        <v>9</v>
      </c>
      <c r="T51" s="73">
        <f>+R51/S51</f>
        <v>1.1333333333333333</v>
      </c>
      <c r="U51" s="665">
        <v>10.199999999999999</v>
      </c>
      <c r="V51" s="28">
        <v>9</v>
      </c>
      <c r="W51" s="73">
        <f>+U51/V51</f>
        <v>1.1333333333333333</v>
      </c>
      <c r="X51" s="665">
        <v>10.199999999999999</v>
      </c>
      <c r="Y51" s="28">
        <v>9</v>
      </c>
      <c r="Z51" s="73">
        <f>+X51/Y51</f>
        <v>1.1333333333333333</v>
      </c>
      <c r="AA51" s="665">
        <v>10.199999999999999</v>
      </c>
      <c r="AB51" s="28">
        <v>9</v>
      </c>
      <c r="AC51" s="73">
        <f>+AA51/AB51</f>
        <v>1.1333333333333333</v>
      </c>
      <c r="AD51" s="28">
        <f>(+M51+P51+S51+V51+Y51+AB51)/6</f>
        <v>9</v>
      </c>
      <c r="AE51" s="73">
        <f>+G51/AD51</f>
        <v>1.1333333333333333</v>
      </c>
      <c r="AF51" s="665">
        <v>10.199999999999999</v>
      </c>
      <c r="AG51" s="28">
        <v>9</v>
      </c>
      <c r="AH51" s="73">
        <f>+AF51/AG51</f>
        <v>1.1333333333333333</v>
      </c>
      <c r="AI51" s="665">
        <v>10.199999999999999</v>
      </c>
      <c r="AJ51" s="28">
        <v>9</v>
      </c>
      <c r="AK51" s="73">
        <f>+AI51/AJ51</f>
        <v>1.1333333333333333</v>
      </c>
      <c r="AL51" s="665">
        <v>10.199999999999999</v>
      </c>
      <c r="AM51" s="28">
        <v>9</v>
      </c>
      <c r="AN51" s="73">
        <f>+AL51/AM51</f>
        <v>1.1333333333333333</v>
      </c>
      <c r="AO51" s="665">
        <v>10.199999999999999</v>
      </c>
      <c r="AP51" s="28">
        <v>9</v>
      </c>
      <c r="AQ51" s="73">
        <f>+AO51/AP51</f>
        <v>1.1333333333333333</v>
      </c>
      <c r="AR51" s="665">
        <v>10.199999999999999</v>
      </c>
      <c r="AS51" s="28">
        <v>9</v>
      </c>
      <c r="AT51" s="73">
        <f>+AR51/AS51</f>
        <v>1.1333333333333333</v>
      </c>
      <c r="AU51" s="665">
        <v>10.199999999999999</v>
      </c>
      <c r="AV51" s="28">
        <v>9</v>
      </c>
      <c r="AW51" s="73">
        <f>+AU51/AV51</f>
        <v>1.1333333333333333</v>
      </c>
      <c r="AX51" s="665">
        <f>(+M51+P51+S51+V51+Y51+AB51+AG51+AJ51+AM51+AP51+AS51+AV51)/12</f>
        <v>9</v>
      </c>
      <c r="AY51" s="73">
        <f>+G51/AX51</f>
        <v>1.1333333333333333</v>
      </c>
    </row>
    <row r="52" spans="1:51" ht="72.75" customHeight="1" thickTop="1" thickBot="1">
      <c r="A52" s="2861"/>
      <c r="B52" s="3045"/>
      <c r="C52" s="3216" t="s">
        <v>293</v>
      </c>
      <c r="D52" s="623" t="s">
        <v>261</v>
      </c>
      <c r="E52" s="561" t="s">
        <v>262</v>
      </c>
      <c r="F52" s="561" t="s">
        <v>10</v>
      </c>
      <c r="G52" s="48">
        <v>0.03</v>
      </c>
      <c r="H52" s="710"/>
      <c r="I52" s="2173"/>
      <c r="J52" s="710"/>
      <c r="K52" s="561" t="s">
        <v>226</v>
      </c>
      <c r="L52" s="653">
        <v>0</v>
      </c>
      <c r="M52" s="50"/>
      <c r="N52" s="73" t="e">
        <f t="shared" si="3"/>
        <v>#DIV/0!</v>
      </c>
      <c r="O52" s="653">
        <v>0</v>
      </c>
      <c r="P52" s="50"/>
      <c r="Q52" s="73" t="e">
        <f t="shared" si="4"/>
        <v>#DIV/0!</v>
      </c>
      <c r="R52" s="653">
        <v>0</v>
      </c>
      <c r="S52" s="50"/>
      <c r="T52" s="73" t="e">
        <f t="shared" si="5"/>
        <v>#DIV/0!</v>
      </c>
      <c r="U52" s="653">
        <v>0</v>
      </c>
      <c r="V52" s="50"/>
      <c r="W52" s="73" t="e">
        <f t="shared" si="6"/>
        <v>#DIV/0!</v>
      </c>
      <c r="X52" s="653">
        <v>0</v>
      </c>
      <c r="Y52" s="50"/>
      <c r="Z52" s="73" t="e">
        <f t="shared" si="7"/>
        <v>#DIV/0!</v>
      </c>
      <c r="AA52" s="653">
        <v>0</v>
      </c>
      <c r="AB52" s="50"/>
      <c r="AC52" s="73" t="e">
        <f t="shared" si="8"/>
        <v>#DIV/0!</v>
      </c>
      <c r="AD52" s="45">
        <f t="shared" si="9"/>
        <v>0</v>
      </c>
      <c r="AE52" s="73">
        <f t="shared" si="10"/>
        <v>0</v>
      </c>
      <c r="AF52" s="653">
        <v>0</v>
      </c>
      <c r="AG52" s="50"/>
      <c r="AH52" s="73" t="e">
        <f t="shared" si="11"/>
        <v>#DIV/0!</v>
      </c>
      <c r="AI52" s="653">
        <v>0</v>
      </c>
      <c r="AJ52" s="50"/>
      <c r="AK52" s="73" t="e">
        <f t="shared" si="12"/>
        <v>#DIV/0!</v>
      </c>
      <c r="AL52" s="653">
        <v>0</v>
      </c>
      <c r="AM52" s="50"/>
      <c r="AN52" s="73" t="e">
        <f t="shared" si="13"/>
        <v>#DIV/0!</v>
      </c>
      <c r="AO52" s="653">
        <v>0</v>
      </c>
      <c r="AP52" s="50"/>
      <c r="AQ52" s="73" t="e">
        <f t="shared" si="14"/>
        <v>#DIV/0!</v>
      </c>
      <c r="AR52" s="653">
        <v>0</v>
      </c>
      <c r="AS52" s="50"/>
      <c r="AT52" s="73" t="e">
        <f t="shared" si="15"/>
        <v>#DIV/0!</v>
      </c>
      <c r="AU52" s="653">
        <v>0.03</v>
      </c>
      <c r="AV52" s="50"/>
      <c r="AW52" s="73">
        <f t="shared" si="0"/>
        <v>0</v>
      </c>
      <c r="AX52" s="653">
        <f>+AV52</f>
        <v>0</v>
      </c>
      <c r="AY52" s="73"/>
    </row>
    <row r="53" spans="1:51" ht="71.25" customHeight="1" thickTop="1" thickBot="1">
      <c r="A53" s="2861"/>
      <c r="B53" s="3045"/>
      <c r="C53" s="3216"/>
      <c r="D53" s="623" t="s">
        <v>263</v>
      </c>
      <c r="E53" s="881" t="s">
        <v>264</v>
      </c>
      <c r="F53" s="561" t="s">
        <v>10</v>
      </c>
      <c r="G53" s="48">
        <v>1</v>
      </c>
      <c r="H53" s="710"/>
      <c r="I53" s="2173"/>
      <c r="J53" s="710"/>
      <c r="K53" s="561" t="s">
        <v>226</v>
      </c>
      <c r="L53" s="653">
        <v>0</v>
      </c>
      <c r="M53" s="50"/>
      <c r="N53" s="73" t="e">
        <f t="shared" si="3"/>
        <v>#DIV/0!</v>
      </c>
      <c r="O53" s="653">
        <v>0</v>
      </c>
      <c r="P53" s="50"/>
      <c r="Q53" s="73" t="e">
        <f t="shared" si="4"/>
        <v>#DIV/0!</v>
      </c>
      <c r="R53" s="653">
        <v>0</v>
      </c>
      <c r="S53" s="50"/>
      <c r="T53" s="73" t="e">
        <f t="shared" si="5"/>
        <v>#DIV/0!</v>
      </c>
      <c r="U53" s="653">
        <v>0</v>
      </c>
      <c r="V53" s="50"/>
      <c r="W53" s="73" t="e">
        <f t="shared" si="6"/>
        <v>#DIV/0!</v>
      </c>
      <c r="X53" s="653">
        <v>0</v>
      </c>
      <c r="Y53" s="50"/>
      <c r="Z53" s="73" t="e">
        <f t="shared" si="7"/>
        <v>#DIV/0!</v>
      </c>
      <c r="AA53" s="653">
        <v>0</v>
      </c>
      <c r="AB53" s="50"/>
      <c r="AC53" s="73" t="e">
        <f t="shared" si="8"/>
        <v>#DIV/0!</v>
      </c>
      <c r="AD53" s="45">
        <f t="shared" si="9"/>
        <v>0</v>
      </c>
      <c r="AE53" s="73">
        <f t="shared" si="10"/>
        <v>0</v>
      </c>
      <c r="AF53" s="653">
        <v>0</v>
      </c>
      <c r="AG53" s="50"/>
      <c r="AH53" s="73" t="e">
        <f t="shared" si="11"/>
        <v>#DIV/0!</v>
      </c>
      <c r="AI53" s="653">
        <v>0</v>
      </c>
      <c r="AJ53" s="50"/>
      <c r="AK53" s="73" t="e">
        <f t="shared" si="12"/>
        <v>#DIV/0!</v>
      </c>
      <c r="AL53" s="653">
        <v>0.5</v>
      </c>
      <c r="AM53" s="50">
        <v>0.5</v>
      </c>
      <c r="AN53" s="73">
        <f t="shared" si="13"/>
        <v>1</v>
      </c>
      <c r="AO53" s="653">
        <v>0</v>
      </c>
      <c r="AP53" s="50"/>
      <c r="AQ53" s="73" t="e">
        <f t="shared" si="14"/>
        <v>#DIV/0!</v>
      </c>
      <c r="AR53" s="653">
        <v>0</v>
      </c>
      <c r="AS53" s="50"/>
      <c r="AT53" s="73" t="e">
        <f t="shared" si="15"/>
        <v>#DIV/0!</v>
      </c>
      <c r="AU53" s="653">
        <v>0.5</v>
      </c>
      <c r="AV53" s="50">
        <v>0.5</v>
      </c>
      <c r="AW53" s="73">
        <f t="shared" si="0"/>
        <v>1</v>
      </c>
      <c r="AX53" s="653">
        <f>+AV53+AM53</f>
        <v>1</v>
      </c>
      <c r="AY53" s="73">
        <f t="shared" si="2"/>
        <v>1</v>
      </c>
    </row>
    <row r="54" spans="1:51" ht="91.5" customHeight="1" thickTop="1" thickBot="1">
      <c r="A54" s="2861"/>
      <c r="B54" s="1958" t="s">
        <v>150</v>
      </c>
      <c r="C54" s="2355" t="s">
        <v>1012</v>
      </c>
      <c r="D54" s="2354" t="s">
        <v>152</v>
      </c>
      <c r="E54" s="2355" t="s">
        <v>183</v>
      </c>
      <c r="F54" s="2355" t="s">
        <v>17</v>
      </c>
      <c r="G54" s="2355">
        <v>37</v>
      </c>
      <c r="H54" s="715"/>
      <c r="I54" s="2216"/>
      <c r="J54" s="715"/>
      <c r="K54" s="81" t="s">
        <v>21</v>
      </c>
      <c r="L54" s="665">
        <v>0</v>
      </c>
      <c r="M54" s="28">
        <v>46</v>
      </c>
      <c r="N54" s="73">
        <f>+L54/M54</f>
        <v>0</v>
      </c>
      <c r="O54" s="665">
        <v>0</v>
      </c>
      <c r="P54" s="28">
        <v>42</v>
      </c>
      <c r="Q54" s="73">
        <f>+O54/P54</f>
        <v>0</v>
      </c>
      <c r="R54" s="665">
        <v>37</v>
      </c>
      <c r="S54" s="28">
        <v>42</v>
      </c>
      <c r="T54" s="73">
        <f>+R54/S54</f>
        <v>0.88095238095238093</v>
      </c>
      <c r="U54" s="665">
        <v>37</v>
      </c>
      <c r="V54" s="28">
        <v>45</v>
      </c>
      <c r="W54" s="73">
        <f>+U54/V54</f>
        <v>0.82222222222222219</v>
      </c>
      <c r="X54" s="665">
        <v>37</v>
      </c>
      <c r="Y54" s="28">
        <v>39</v>
      </c>
      <c r="Z54" s="73">
        <f>+X54/Y54</f>
        <v>0.94871794871794868</v>
      </c>
      <c r="AA54" s="665">
        <v>37</v>
      </c>
      <c r="AB54" s="28">
        <v>34</v>
      </c>
      <c r="AC54" s="73">
        <f>+AA54/AB54</f>
        <v>1.088235294117647</v>
      </c>
      <c r="AD54" s="28">
        <f>(+M54+P54+S54+V54+Y54+AB54)/4</f>
        <v>62</v>
      </c>
      <c r="AE54" s="73">
        <f>+G54/AD54</f>
        <v>0.59677419354838712</v>
      </c>
      <c r="AF54" s="665">
        <v>37</v>
      </c>
      <c r="AG54" s="28">
        <v>31</v>
      </c>
      <c r="AH54" s="73">
        <f>+AF54/AG54</f>
        <v>1.1935483870967742</v>
      </c>
      <c r="AI54" s="665">
        <v>37</v>
      </c>
      <c r="AJ54" s="28">
        <v>32</v>
      </c>
      <c r="AK54" s="73">
        <f>+AI54/AJ54</f>
        <v>1.15625</v>
      </c>
      <c r="AL54" s="665">
        <v>37</v>
      </c>
      <c r="AM54" s="28">
        <v>37</v>
      </c>
      <c r="AN54" s="73">
        <f>+AL54/AM54</f>
        <v>1</v>
      </c>
      <c r="AO54" s="665">
        <v>37</v>
      </c>
      <c r="AP54" s="28">
        <v>30</v>
      </c>
      <c r="AQ54" s="73">
        <f>+AO54/AP54</f>
        <v>1.2333333333333334</v>
      </c>
      <c r="AR54" s="665">
        <v>37</v>
      </c>
      <c r="AS54" s="28">
        <v>39</v>
      </c>
      <c r="AT54" s="73">
        <f>+AR54/AS54</f>
        <v>0.94871794871794868</v>
      </c>
      <c r="AU54" s="665">
        <v>37</v>
      </c>
      <c r="AV54" s="28">
        <v>36</v>
      </c>
      <c r="AW54" s="73">
        <f>+AU54/AV54</f>
        <v>1.0277777777777777</v>
      </c>
      <c r="AX54" s="665">
        <f>(+M54+P54+S54+V54+Y54+AB54+AG54+AJ54+AM54+AP54+AS54+AV54)/10</f>
        <v>45.3</v>
      </c>
      <c r="AY54" s="73">
        <f>+G54/AX54</f>
        <v>0.81677704194260492</v>
      </c>
    </row>
    <row r="55" spans="1:51" ht="22.5" thickTop="1" thickBot="1">
      <c r="A55" s="2842" t="s">
        <v>154</v>
      </c>
      <c r="B55" s="2843"/>
      <c r="C55" s="2843"/>
      <c r="D55" s="2843"/>
      <c r="E55" s="2843"/>
      <c r="F55" s="2843"/>
      <c r="G55" s="2843"/>
      <c r="H55" s="2843"/>
      <c r="I55" s="2843"/>
      <c r="J55" s="2843"/>
      <c r="K55" s="2844"/>
      <c r="L55" s="1039"/>
      <c r="M55" s="1040"/>
      <c r="N55" s="1103"/>
      <c r="O55" s="1040"/>
      <c r="P55" s="1040"/>
      <c r="Q55" s="1103"/>
      <c r="R55" s="1040"/>
      <c r="S55" s="1040"/>
      <c r="T55" s="1103"/>
      <c r="U55" s="1040"/>
      <c r="V55" s="1040"/>
      <c r="W55" s="1103"/>
      <c r="X55" s="1040"/>
      <c r="Y55" s="1040"/>
      <c r="Z55" s="1103"/>
      <c r="AA55" s="1040"/>
      <c r="AB55" s="1040"/>
      <c r="AC55" s="1103"/>
      <c r="AD55" s="1040"/>
      <c r="AE55" s="1103"/>
      <c r="AF55" s="1040"/>
      <c r="AG55" s="1040"/>
      <c r="AH55" s="1103"/>
      <c r="AI55" s="1040"/>
      <c r="AJ55" s="1040"/>
      <c r="AK55" s="1103"/>
      <c r="AL55" s="1040"/>
      <c r="AM55" s="1040"/>
      <c r="AN55" s="1103"/>
      <c r="AO55" s="1040"/>
      <c r="AP55" s="1040"/>
      <c r="AQ55" s="1103"/>
      <c r="AR55" s="1040"/>
      <c r="AS55" s="1040"/>
      <c r="AT55" s="1103"/>
      <c r="AU55" s="1040"/>
      <c r="AV55" s="1040"/>
      <c r="AW55" s="1103"/>
      <c r="AX55" s="1040"/>
      <c r="AY55" s="1195"/>
    </row>
    <row r="56" spans="1:51" ht="91.5" customHeight="1" thickTop="1" thickBot="1">
      <c r="A56" s="100" t="s">
        <v>155</v>
      </c>
      <c r="B56" s="1101" t="s">
        <v>156</v>
      </c>
      <c r="C56" s="1106" t="s">
        <v>184</v>
      </c>
      <c r="D56" s="1107" t="s">
        <v>158</v>
      </c>
      <c r="E56" s="1106" t="s">
        <v>159</v>
      </c>
      <c r="F56" s="1106" t="s">
        <v>17</v>
      </c>
      <c r="G56" s="1108">
        <v>10</v>
      </c>
      <c r="H56" s="1106"/>
      <c r="I56" s="1108"/>
      <c r="J56" s="1106"/>
      <c r="K56" s="72" t="s">
        <v>27</v>
      </c>
      <c r="L56" s="665">
        <v>0</v>
      </c>
      <c r="M56" s="28"/>
      <c r="N56" s="73" t="e">
        <f t="shared" si="3"/>
        <v>#DIV/0!</v>
      </c>
      <c r="O56" s="665">
        <v>0</v>
      </c>
      <c r="P56" s="28"/>
      <c r="Q56" s="73" t="e">
        <f t="shared" si="4"/>
        <v>#DIV/0!</v>
      </c>
      <c r="R56" s="665">
        <v>0</v>
      </c>
      <c r="S56" s="28"/>
      <c r="T56" s="73" t="e">
        <f t="shared" si="5"/>
        <v>#DIV/0!</v>
      </c>
      <c r="U56" s="665">
        <v>0</v>
      </c>
      <c r="V56" s="28"/>
      <c r="W56" s="73" t="e">
        <f t="shared" si="6"/>
        <v>#DIV/0!</v>
      </c>
      <c r="X56" s="665">
        <v>2</v>
      </c>
      <c r="Y56" s="28">
        <v>2</v>
      </c>
      <c r="Z56" s="73">
        <f t="shared" si="7"/>
        <v>1</v>
      </c>
      <c r="AA56" s="665">
        <v>0</v>
      </c>
      <c r="AB56" s="28"/>
      <c r="AC56" s="73" t="e">
        <f t="shared" si="8"/>
        <v>#DIV/0!</v>
      </c>
      <c r="AD56" s="28">
        <f>+Y56</f>
        <v>2</v>
      </c>
      <c r="AE56" s="73">
        <f t="shared" si="10"/>
        <v>0.2</v>
      </c>
      <c r="AF56" s="665">
        <v>1</v>
      </c>
      <c r="AG56" s="28">
        <v>1</v>
      </c>
      <c r="AH56" s="73">
        <f t="shared" si="11"/>
        <v>1</v>
      </c>
      <c r="AI56" s="665">
        <v>3</v>
      </c>
      <c r="AJ56" s="28">
        <v>3</v>
      </c>
      <c r="AK56" s="73">
        <f t="shared" si="12"/>
        <v>1</v>
      </c>
      <c r="AL56" s="665">
        <v>1</v>
      </c>
      <c r="AM56" s="28">
        <v>1</v>
      </c>
      <c r="AN56" s="73">
        <f t="shared" si="13"/>
        <v>1</v>
      </c>
      <c r="AO56" s="665">
        <v>3</v>
      </c>
      <c r="AP56" s="28">
        <v>3</v>
      </c>
      <c r="AQ56" s="73">
        <f t="shared" si="14"/>
        <v>1</v>
      </c>
      <c r="AR56" s="665">
        <v>0</v>
      </c>
      <c r="AS56" s="28"/>
      <c r="AT56" s="73" t="e">
        <f t="shared" si="15"/>
        <v>#DIV/0!</v>
      </c>
      <c r="AU56" s="665">
        <v>0</v>
      </c>
      <c r="AV56" s="28"/>
      <c r="AW56" s="73" t="e">
        <f t="shared" si="0"/>
        <v>#DIV/0!</v>
      </c>
      <c r="AX56" s="665">
        <f>+AP56+AM56+AJ56+AG56+Y56</f>
        <v>10</v>
      </c>
      <c r="AY56" s="73">
        <f t="shared" ref="AY56" si="18">+AX56/G56</f>
        <v>1</v>
      </c>
    </row>
    <row r="57" spans="1:51" ht="17.25" thickTop="1"/>
    <row r="61" spans="1:51">
      <c r="G61" s="2363"/>
    </row>
  </sheetData>
  <sheetProtection algorithmName="SHA-512" hashValue="Yx9bS/ByCG5WLIGRbiNxN5gCJQzZa1h/D7SqgWwD3Z9V2MfHqazETPDGPtOB+0M3fi+DIuR5xo/pQD+EjD4xjg==" saltValue="rw/aVIXeg/2Rm57PO2qM8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45:K45" name="Rango1_2"/>
    <protectedRange algorithmName="SHA-512" hashValue="Uds9cYMsxnQI1SjFHe8NNqfDC/fFeray9QhmtAdG/GCgT0L97QBkFAQ9tCw5vTy3J/lQFdDpBTyQoZDg0KZNmQ==" saltValue="0HoWkw5WsZ+PdZDtJpkerg==" spinCount="100000" sqref="AD43:AD44" name="Rango1_1_2"/>
    <protectedRange algorithmName="SHA-512" hashValue="Uds9cYMsxnQI1SjFHe8NNqfDC/fFeray9QhmtAdG/GCgT0L97QBkFAQ9tCw5vTy3J/lQFdDpBTyQoZDg0KZNmQ==" saltValue="0HoWkw5WsZ+PdZDtJpkerg==" spinCount="100000" sqref="AX43:AX44" name="Rango1_1_1_1"/>
  </protectedRanges>
  <mergeCells count="40">
    <mergeCell ref="A55:K55"/>
    <mergeCell ref="C31:C37"/>
    <mergeCell ref="B39:B48"/>
    <mergeCell ref="C42:C48"/>
    <mergeCell ref="A49:K49"/>
    <mergeCell ref="A50:A54"/>
    <mergeCell ref="B50:B53"/>
    <mergeCell ref="C52:C53"/>
    <mergeCell ref="A9:A48"/>
    <mergeCell ref="B9:B10"/>
    <mergeCell ref="B11:B38"/>
    <mergeCell ref="C12:C21"/>
    <mergeCell ref="C25:C27"/>
    <mergeCell ref="AO5:AQ7"/>
    <mergeCell ref="AR5:AT7"/>
    <mergeCell ref="AU5:AW7"/>
    <mergeCell ref="AX5:AY7"/>
    <mergeCell ref="A8:K8"/>
    <mergeCell ref="X5:Z7"/>
    <mergeCell ref="AA5:AC7"/>
    <mergeCell ref="AD5:AE7"/>
    <mergeCell ref="AF5:AH7"/>
    <mergeCell ref="AI5:AK7"/>
    <mergeCell ref="AL5:AN7"/>
    <mergeCell ref="H5:J6"/>
    <mergeCell ref="K5:K7"/>
    <mergeCell ref="L5:N7"/>
    <mergeCell ref="O5:Q7"/>
    <mergeCell ref="R5:T7"/>
    <mergeCell ref="U5:W7"/>
    <mergeCell ref="C1:K1"/>
    <mergeCell ref="C2:K2"/>
    <mergeCell ref="C3:K3"/>
    <mergeCell ref="A5:A7"/>
    <mergeCell ref="B5:B7"/>
    <mergeCell ref="C5:C7"/>
    <mergeCell ref="D5:D7"/>
    <mergeCell ref="E5:E7"/>
    <mergeCell ref="F5:F7"/>
    <mergeCell ref="G5:G7"/>
  </mergeCells>
  <conditionalFormatting sqref="N45:N48 N9:N42 Q9:Q42 T9:T42 W9:W42 Z9:Z42 AC9:AC42 AE9:AE42 AH9:AH42 AK9:AK42 AN9:AN42 AQ9:AQ42 AT9:AT42 AW9:AW42 AY9:AY42">
    <cfRule type="cellIs" dxfId="3739" priority="271" operator="greaterThan">
      <formula>110%</formula>
    </cfRule>
    <cfRule type="cellIs" dxfId="3738" priority="272" operator="between">
      <formula>100.001%</formula>
      <formula>110%</formula>
    </cfRule>
    <cfRule type="cellIs" dxfId="3737" priority="273" operator="between">
      <formula>70.001%</formula>
      <formula>100%</formula>
    </cfRule>
    <cfRule type="cellIs" dxfId="3736" priority="274" operator="between">
      <formula>0.00001%</formula>
      <formula>70%</formula>
    </cfRule>
    <cfRule type="cellIs" dxfId="3735" priority="275" operator="equal">
      <formula>0</formula>
    </cfRule>
  </conditionalFormatting>
  <conditionalFormatting sqref="N50:N54 N56">
    <cfRule type="cellIs" dxfId="3734" priority="266" operator="greaterThan">
      <formula>110%</formula>
    </cfRule>
    <cfRule type="cellIs" dxfId="3733" priority="267" operator="between">
      <formula>100.001%</formula>
      <formula>110%</formula>
    </cfRule>
    <cfRule type="cellIs" dxfId="3732" priority="268" operator="between">
      <formula>70.001%</formula>
      <formula>100%</formula>
    </cfRule>
    <cfRule type="cellIs" dxfId="3731" priority="269" operator="between">
      <formula>0.00001%</formula>
      <formula>70%</formula>
    </cfRule>
    <cfRule type="cellIs" dxfId="3730" priority="270" operator="equal">
      <formula>0</formula>
    </cfRule>
  </conditionalFormatting>
  <conditionalFormatting sqref="Q45:Q48">
    <cfRule type="cellIs" dxfId="3729" priority="261" operator="greaterThan">
      <formula>110%</formula>
    </cfRule>
    <cfRule type="cellIs" dxfId="3728" priority="262" operator="between">
      <formula>100.001%</formula>
      <formula>110%</formula>
    </cfRule>
    <cfRule type="cellIs" dxfId="3727" priority="263" operator="between">
      <formula>70.001%</formula>
      <formula>100%</formula>
    </cfRule>
    <cfRule type="cellIs" dxfId="3726" priority="264" operator="between">
      <formula>0.00001%</formula>
      <formula>70%</formula>
    </cfRule>
    <cfRule type="cellIs" dxfId="3725" priority="265" operator="equal">
      <formula>0</formula>
    </cfRule>
  </conditionalFormatting>
  <conditionalFormatting sqref="Q50:Q54 Q56">
    <cfRule type="cellIs" dxfId="3724" priority="256" operator="greaterThan">
      <formula>110%</formula>
    </cfRule>
    <cfRule type="cellIs" dxfId="3723" priority="257" operator="between">
      <formula>100.001%</formula>
      <formula>110%</formula>
    </cfRule>
    <cfRule type="cellIs" dxfId="3722" priority="258" operator="between">
      <formula>70.001%</formula>
      <formula>100%</formula>
    </cfRule>
    <cfRule type="cellIs" dxfId="3721" priority="259" operator="between">
      <formula>0.00001%</formula>
      <formula>70%</formula>
    </cfRule>
    <cfRule type="cellIs" dxfId="3720" priority="260" operator="equal">
      <formula>0</formula>
    </cfRule>
  </conditionalFormatting>
  <conditionalFormatting sqref="T45:T48">
    <cfRule type="cellIs" dxfId="3719" priority="251" operator="greaterThan">
      <formula>110%</formula>
    </cfRule>
    <cfRule type="cellIs" dxfId="3718" priority="252" operator="between">
      <formula>100.001%</formula>
      <formula>110%</formula>
    </cfRule>
    <cfRule type="cellIs" dxfId="3717" priority="253" operator="between">
      <formula>70.001%</formula>
      <formula>100%</formula>
    </cfRule>
    <cfRule type="cellIs" dxfId="3716" priority="254" operator="between">
      <formula>0.00001%</formula>
      <formula>70%</formula>
    </cfRule>
    <cfRule type="cellIs" dxfId="3715" priority="255" operator="equal">
      <formula>0</formula>
    </cfRule>
  </conditionalFormatting>
  <conditionalFormatting sqref="T50:T54 T56">
    <cfRule type="cellIs" dxfId="3714" priority="246" operator="greaterThan">
      <formula>110%</formula>
    </cfRule>
    <cfRule type="cellIs" dxfId="3713" priority="247" operator="between">
      <formula>100.001%</formula>
      <formula>110%</formula>
    </cfRule>
    <cfRule type="cellIs" dxfId="3712" priority="248" operator="between">
      <formula>70.001%</formula>
      <formula>100%</formula>
    </cfRule>
    <cfRule type="cellIs" dxfId="3711" priority="249" operator="between">
      <formula>0.00001%</formula>
      <formula>70%</formula>
    </cfRule>
    <cfRule type="cellIs" dxfId="3710" priority="250" operator="equal">
      <formula>0</formula>
    </cfRule>
  </conditionalFormatting>
  <conditionalFormatting sqref="W45:W48">
    <cfRule type="cellIs" dxfId="3709" priority="241" operator="greaterThan">
      <formula>110%</formula>
    </cfRule>
    <cfRule type="cellIs" dxfId="3708" priority="242" operator="between">
      <formula>100.001%</formula>
      <formula>110%</formula>
    </cfRule>
    <cfRule type="cellIs" dxfId="3707" priority="243" operator="between">
      <formula>70.001%</formula>
      <formula>100%</formula>
    </cfRule>
    <cfRule type="cellIs" dxfId="3706" priority="244" operator="between">
      <formula>0.00001%</formula>
      <formula>70%</formula>
    </cfRule>
    <cfRule type="cellIs" dxfId="3705" priority="245" operator="equal">
      <formula>0</formula>
    </cfRule>
  </conditionalFormatting>
  <conditionalFormatting sqref="W50:W54 W56">
    <cfRule type="cellIs" dxfId="3704" priority="236" operator="greaterThan">
      <formula>110%</formula>
    </cfRule>
    <cfRule type="cellIs" dxfId="3703" priority="237" operator="between">
      <formula>100.001%</formula>
      <formula>110%</formula>
    </cfRule>
    <cfRule type="cellIs" dxfId="3702" priority="238" operator="between">
      <formula>70.001%</formula>
      <formula>100%</formula>
    </cfRule>
    <cfRule type="cellIs" dxfId="3701" priority="239" operator="between">
      <formula>0.00001%</formula>
      <formula>70%</formula>
    </cfRule>
    <cfRule type="cellIs" dxfId="3700" priority="240" operator="equal">
      <formula>0</formula>
    </cfRule>
  </conditionalFormatting>
  <conditionalFormatting sqref="Z45:Z48">
    <cfRule type="cellIs" dxfId="3699" priority="231" operator="greaterThan">
      <formula>110%</formula>
    </cfRule>
    <cfRule type="cellIs" dxfId="3698" priority="232" operator="between">
      <formula>100.001%</formula>
      <formula>110%</formula>
    </cfRule>
    <cfRule type="cellIs" dxfId="3697" priority="233" operator="between">
      <formula>70.001%</formula>
      <formula>100%</formula>
    </cfRule>
    <cfRule type="cellIs" dxfId="3696" priority="234" operator="between">
      <formula>0.00001%</formula>
      <formula>70%</formula>
    </cfRule>
    <cfRule type="cellIs" dxfId="3695" priority="235" operator="equal">
      <formula>0</formula>
    </cfRule>
  </conditionalFormatting>
  <conditionalFormatting sqref="Z50:Z54 Z56">
    <cfRule type="cellIs" dxfId="3694" priority="226" operator="greaterThan">
      <formula>110%</formula>
    </cfRule>
    <cfRule type="cellIs" dxfId="3693" priority="227" operator="between">
      <formula>100.001%</formula>
      <formula>110%</formula>
    </cfRule>
    <cfRule type="cellIs" dxfId="3692" priority="228" operator="between">
      <formula>70.001%</formula>
      <formula>100%</formula>
    </cfRule>
    <cfRule type="cellIs" dxfId="3691" priority="229" operator="between">
      <formula>0.00001%</formula>
      <formula>70%</formula>
    </cfRule>
    <cfRule type="cellIs" dxfId="3690" priority="230" operator="equal">
      <formula>0</formula>
    </cfRule>
  </conditionalFormatting>
  <conditionalFormatting sqref="AC45:AC48">
    <cfRule type="cellIs" dxfId="3689" priority="221" operator="greaterThan">
      <formula>110%</formula>
    </cfRule>
    <cfRule type="cellIs" dxfId="3688" priority="222" operator="between">
      <formula>100.001%</formula>
      <formula>110%</formula>
    </cfRule>
    <cfRule type="cellIs" dxfId="3687" priority="223" operator="between">
      <formula>70.001%</formula>
      <formula>100%</formula>
    </cfRule>
    <cfRule type="cellIs" dxfId="3686" priority="224" operator="between">
      <formula>0.00001%</formula>
      <formula>70%</formula>
    </cfRule>
    <cfRule type="cellIs" dxfId="3685" priority="225" operator="equal">
      <formula>0</formula>
    </cfRule>
  </conditionalFormatting>
  <conditionalFormatting sqref="AC50:AC54 AC56">
    <cfRule type="cellIs" dxfId="3684" priority="216" operator="greaterThan">
      <formula>110%</formula>
    </cfRule>
    <cfRule type="cellIs" dxfId="3683" priority="217" operator="between">
      <formula>100.001%</formula>
      <formula>110%</formula>
    </cfRule>
    <cfRule type="cellIs" dxfId="3682" priority="218" operator="between">
      <formula>70.001%</formula>
      <formula>100%</formula>
    </cfRule>
    <cfRule type="cellIs" dxfId="3681" priority="219" operator="between">
      <formula>0.00001%</formula>
      <formula>70%</formula>
    </cfRule>
    <cfRule type="cellIs" dxfId="3680" priority="220" operator="equal">
      <formula>0</formula>
    </cfRule>
  </conditionalFormatting>
  <conditionalFormatting sqref="AE50:AE54 AE56 AE45:AE48">
    <cfRule type="cellIs" dxfId="3679" priority="211" operator="greaterThan">
      <formula>110%</formula>
    </cfRule>
    <cfRule type="cellIs" dxfId="3678" priority="212" operator="between">
      <formula>100.001%</formula>
      <formula>110%</formula>
    </cfRule>
    <cfRule type="cellIs" dxfId="3677" priority="213" operator="between">
      <formula>70.001%</formula>
      <formula>100%</formula>
    </cfRule>
    <cfRule type="cellIs" dxfId="3676" priority="214" operator="between">
      <formula>0.00001%</formula>
      <formula>70%</formula>
    </cfRule>
    <cfRule type="cellIs" dxfId="3675" priority="215" operator="equal">
      <formula>0</formula>
    </cfRule>
  </conditionalFormatting>
  <conditionalFormatting sqref="AH45:AH48">
    <cfRule type="cellIs" dxfId="3674" priority="206" operator="greaterThan">
      <formula>110%</formula>
    </cfRule>
    <cfRule type="cellIs" dxfId="3673" priority="207" operator="between">
      <formula>100.001%</formula>
      <formula>110%</formula>
    </cfRule>
    <cfRule type="cellIs" dxfId="3672" priority="208" operator="between">
      <formula>70.001%</formula>
      <formula>100%</formula>
    </cfRule>
    <cfRule type="cellIs" dxfId="3671" priority="209" operator="between">
      <formula>0.00001%</formula>
      <formula>70%</formula>
    </cfRule>
    <cfRule type="cellIs" dxfId="3670" priority="210" operator="equal">
      <formula>0</formula>
    </cfRule>
  </conditionalFormatting>
  <conditionalFormatting sqref="AH50:AH54 AH56">
    <cfRule type="cellIs" dxfId="3669" priority="201" operator="greaterThan">
      <formula>110%</formula>
    </cfRule>
    <cfRule type="cellIs" dxfId="3668" priority="202" operator="between">
      <formula>100.001%</formula>
      <formula>110%</formula>
    </cfRule>
    <cfRule type="cellIs" dxfId="3667" priority="203" operator="between">
      <formula>70.001%</formula>
      <formula>100%</formula>
    </cfRule>
    <cfRule type="cellIs" dxfId="3666" priority="204" operator="between">
      <formula>0.00001%</formula>
      <formula>70%</formula>
    </cfRule>
    <cfRule type="cellIs" dxfId="3665" priority="205" operator="equal">
      <formula>0</formula>
    </cfRule>
  </conditionalFormatting>
  <conditionalFormatting sqref="AK45:AK48">
    <cfRule type="cellIs" dxfId="3664" priority="196" operator="greaterThan">
      <formula>110%</formula>
    </cfRule>
    <cfRule type="cellIs" dxfId="3663" priority="197" operator="between">
      <formula>100.001%</formula>
      <formula>110%</formula>
    </cfRule>
    <cfRule type="cellIs" dxfId="3662" priority="198" operator="between">
      <formula>70.001%</formula>
      <formula>100%</formula>
    </cfRule>
    <cfRule type="cellIs" dxfId="3661" priority="199" operator="between">
      <formula>0.00001%</formula>
      <formula>70%</formula>
    </cfRule>
    <cfRule type="cellIs" dxfId="3660" priority="200" operator="equal">
      <formula>0</formula>
    </cfRule>
  </conditionalFormatting>
  <conditionalFormatting sqref="AK50:AK54 AK56">
    <cfRule type="cellIs" dxfId="3659" priority="191" operator="greaterThan">
      <formula>110%</formula>
    </cfRule>
    <cfRule type="cellIs" dxfId="3658" priority="192" operator="between">
      <formula>100.001%</formula>
      <formula>110%</formula>
    </cfRule>
    <cfRule type="cellIs" dxfId="3657" priority="193" operator="between">
      <formula>70.001%</formula>
      <formula>100%</formula>
    </cfRule>
    <cfRule type="cellIs" dxfId="3656" priority="194" operator="between">
      <formula>0.00001%</formula>
      <formula>70%</formula>
    </cfRule>
    <cfRule type="cellIs" dxfId="3655" priority="195" operator="equal">
      <formula>0</formula>
    </cfRule>
  </conditionalFormatting>
  <conditionalFormatting sqref="AN45:AN48">
    <cfRule type="cellIs" dxfId="3654" priority="186" operator="greaterThan">
      <formula>110%</formula>
    </cfRule>
    <cfRule type="cellIs" dxfId="3653" priority="187" operator="between">
      <formula>100.001%</formula>
      <formula>110%</formula>
    </cfRule>
    <cfRule type="cellIs" dxfId="3652" priority="188" operator="between">
      <formula>70.001%</formula>
      <formula>100%</formula>
    </cfRule>
    <cfRule type="cellIs" dxfId="3651" priority="189" operator="between">
      <formula>0.00001%</formula>
      <formula>70%</formula>
    </cfRule>
    <cfRule type="cellIs" dxfId="3650" priority="190" operator="equal">
      <formula>0</formula>
    </cfRule>
  </conditionalFormatting>
  <conditionalFormatting sqref="AN50:AN54 AN56">
    <cfRule type="cellIs" dxfId="3649" priority="181" operator="greaterThan">
      <formula>110%</formula>
    </cfRule>
    <cfRule type="cellIs" dxfId="3648" priority="182" operator="between">
      <formula>100.001%</formula>
      <formula>110%</formula>
    </cfRule>
    <cfRule type="cellIs" dxfId="3647" priority="183" operator="between">
      <formula>70.001%</formula>
      <formula>100%</formula>
    </cfRule>
    <cfRule type="cellIs" dxfId="3646" priority="184" operator="between">
      <formula>0.00001%</formula>
      <formula>70%</formula>
    </cfRule>
    <cfRule type="cellIs" dxfId="3645" priority="185" operator="equal">
      <formula>0</formula>
    </cfRule>
  </conditionalFormatting>
  <conditionalFormatting sqref="AQ45:AQ48">
    <cfRule type="cellIs" dxfId="3644" priority="176" operator="greaterThan">
      <formula>110%</formula>
    </cfRule>
    <cfRule type="cellIs" dxfId="3643" priority="177" operator="between">
      <formula>100.001%</formula>
      <formula>110%</formula>
    </cfRule>
    <cfRule type="cellIs" dxfId="3642" priority="178" operator="between">
      <formula>70.001%</formula>
      <formula>100%</formula>
    </cfRule>
    <cfRule type="cellIs" dxfId="3641" priority="179" operator="between">
      <formula>0.00001%</formula>
      <formula>70%</formula>
    </cfRule>
    <cfRule type="cellIs" dxfId="3640" priority="180" operator="equal">
      <formula>0</formula>
    </cfRule>
  </conditionalFormatting>
  <conditionalFormatting sqref="AQ50:AQ54 AQ56">
    <cfRule type="cellIs" dxfId="3639" priority="171" operator="greaterThan">
      <formula>110%</formula>
    </cfRule>
    <cfRule type="cellIs" dxfId="3638" priority="172" operator="between">
      <formula>100.001%</formula>
      <formula>110%</formula>
    </cfRule>
    <cfRule type="cellIs" dxfId="3637" priority="173" operator="between">
      <formula>70.001%</formula>
      <formula>100%</formula>
    </cfRule>
    <cfRule type="cellIs" dxfId="3636" priority="174" operator="between">
      <formula>0.00001%</formula>
      <formula>70%</formula>
    </cfRule>
    <cfRule type="cellIs" dxfId="3635" priority="175" operator="equal">
      <formula>0</formula>
    </cfRule>
  </conditionalFormatting>
  <conditionalFormatting sqref="AT45:AT48">
    <cfRule type="cellIs" dxfId="3634" priority="166" operator="greaterThan">
      <formula>110%</formula>
    </cfRule>
    <cfRule type="cellIs" dxfId="3633" priority="167" operator="between">
      <formula>100.001%</formula>
      <formula>110%</formula>
    </cfRule>
    <cfRule type="cellIs" dxfId="3632" priority="168" operator="between">
      <formula>70.001%</formula>
      <formula>100%</formula>
    </cfRule>
    <cfRule type="cellIs" dxfId="3631" priority="169" operator="between">
      <formula>0.00001%</formula>
      <formula>70%</formula>
    </cfRule>
    <cfRule type="cellIs" dxfId="3630" priority="170" operator="equal">
      <formula>0</formula>
    </cfRule>
  </conditionalFormatting>
  <conditionalFormatting sqref="AT50:AT54 AT56">
    <cfRule type="cellIs" dxfId="3629" priority="161" operator="greaterThan">
      <formula>110%</formula>
    </cfRule>
    <cfRule type="cellIs" dxfId="3628" priority="162" operator="between">
      <formula>100.001%</formula>
      <formula>110%</formula>
    </cfRule>
    <cfRule type="cellIs" dxfId="3627" priority="163" operator="between">
      <formula>70.001%</formula>
      <formula>100%</formula>
    </cfRule>
    <cfRule type="cellIs" dxfId="3626" priority="164" operator="between">
      <formula>0.00001%</formula>
      <formula>70%</formula>
    </cfRule>
    <cfRule type="cellIs" dxfId="3625" priority="165" operator="equal">
      <formula>0</formula>
    </cfRule>
  </conditionalFormatting>
  <conditionalFormatting sqref="AW45:AW48">
    <cfRule type="cellIs" dxfId="3624" priority="156" operator="greaterThan">
      <formula>110%</formula>
    </cfRule>
    <cfRule type="cellIs" dxfId="3623" priority="157" operator="between">
      <formula>100.001%</formula>
      <formula>110%</formula>
    </cfRule>
    <cfRule type="cellIs" dxfId="3622" priority="158" operator="between">
      <formula>70.001%</formula>
      <formula>100%</formula>
    </cfRule>
    <cfRule type="cellIs" dxfId="3621" priority="159" operator="between">
      <formula>0.00001%</formula>
      <formula>70%</formula>
    </cfRule>
    <cfRule type="cellIs" dxfId="3620" priority="160" operator="equal">
      <formula>0</formula>
    </cfRule>
  </conditionalFormatting>
  <conditionalFormatting sqref="AW50:AW54 AW56">
    <cfRule type="cellIs" dxfId="3619" priority="151" operator="greaterThan">
      <formula>110%</formula>
    </cfRule>
    <cfRule type="cellIs" dxfId="3618" priority="152" operator="between">
      <formula>100.001%</formula>
      <formula>110%</formula>
    </cfRule>
    <cfRule type="cellIs" dxfId="3617" priority="153" operator="between">
      <formula>70.001%</formula>
      <formula>100%</formula>
    </cfRule>
    <cfRule type="cellIs" dxfId="3616" priority="154" operator="between">
      <formula>0.00001%</formula>
      <formula>70%</formula>
    </cfRule>
    <cfRule type="cellIs" dxfId="3615" priority="155" operator="equal">
      <formula>0</formula>
    </cfRule>
  </conditionalFormatting>
  <conditionalFormatting sqref="AY45:AY48">
    <cfRule type="cellIs" dxfId="3614" priority="146" operator="greaterThan">
      <formula>110%</formula>
    </cfRule>
    <cfRule type="cellIs" dxfId="3613" priority="147" operator="between">
      <formula>100.001%</formula>
      <formula>110%</formula>
    </cfRule>
    <cfRule type="cellIs" dxfId="3612" priority="148" operator="between">
      <formula>70.001%</formula>
      <formula>100%</formula>
    </cfRule>
    <cfRule type="cellIs" dxfId="3611" priority="149" operator="between">
      <formula>0.00001%</formula>
      <formula>70%</formula>
    </cfRule>
    <cfRule type="cellIs" dxfId="3610" priority="150" operator="equal">
      <formula>0</formula>
    </cfRule>
  </conditionalFormatting>
  <conditionalFormatting sqref="AY50:AY54 AY56">
    <cfRule type="cellIs" dxfId="3609" priority="141" operator="greaterThan">
      <formula>110%</formula>
    </cfRule>
    <cfRule type="cellIs" dxfId="3608" priority="142" operator="between">
      <formula>100.001%</formula>
      <formula>110%</formula>
    </cfRule>
    <cfRule type="cellIs" dxfId="3607" priority="143" operator="between">
      <formula>70.001%</formula>
      <formula>100%</formula>
    </cfRule>
    <cfRule type="cellIs" dxfId="3606" priority="144" operator="between">
      <formula>0.00001%</formula>
      <formula>70%</formula>
    </cfRule>
    <cfRule type="cellIs" dxfId="3605" priority="145" operator="equal">
      <formula>0</formula>
    </cfRule>
  </conditionalFormatting>
  <conditionalFormatting sqref="N43">
    <cfRule type="cellIs" dxfId="3604" priority="136" operator="greaterThan">
      <formula>110%</formula>
    </cfRule>
    <cfRule type="cellIs" dxfId="3603" priority="137" operator="between">
      <formula>100.001%</formula>
      <formula>110%</formula>
    </cfRule>
    <cfRule type="cellIs" dxfId="3602" priority="138" operator="between">
      <formula>70.001%</formula>
      <formula>100%</formula>
    </cfRule>
    <cfRule type="cellIs" dxfId="3601" priority="139" operator="between">
      <formula>0.00001%</formula>
      <formula>70%</formula>
    </cfRule>
    <cfRule type="cellIs" dxfId="3600" priority="140" operator="equal">
      <formula>0%</formula>
    </cfRule>
  </conditionalFormatting>
  <conditionalFormatting sqref="Q43">
    <cfRule type="cellIs" dxfId="3599" priority="131" operator="greaterThan">
      <formula>110%</formula>
    </cfRule>
    <cfRule type="cellIs" dxfId="3598" priority="132" operator="between">
      <formula>100.001%</formula>
      <formula>110%</formula>
    </cfRule>
    <cfRule type="cellIs" dxfId="3597" priority="133" operator="between">
      <formula>70.001%</formula>
      <formula>100%</formula>
    </cfRule>
    <cfRule type="cellIs" dxfId="3596" priority="134" operator="between">
      <formula>0.00001%</formula>
      <formula>70%</formula>
    </cfRule>
    <cfRule type="cellIs" dxfId="3595" priority="135" operator="equal">
      <formula>0%</formula>
    </cfRule>
  </conditionalFormatting>
  <conditionalFormatting sqref="T43">
    <cfRule type="cellIs" dxfId="3594" priority="126" operator="greaterThan">
      <formula>110%</formula>
    </cfRule>
    <cfRule type="cellIs" dxfId="3593" priority="127" operator="between">
      <formula>100.001%</formula>
      <formula>110%</formula>
    </cfRule>
    <cfRule type="cellIs" dxfId="3592" priority="128" operator="between">
      <formula>70.001%</formula>
      <formula>100%</formula>
    </cfRule>
    <cfRule type="cellIs" dxfId="3591" priority="129" operator="between">
      <formula>0.00001%</formula>
      <formula>70%</formula>
    </cfRule>
    <cfRule type="cellIs" dxfId="3590" priority="130" operator="equal">
      <formula>0%</formula>
    </cfRule>
  </conditionalFormatting>
  <conditionalFormatting sqref="W43">
    <cfRule type="cellIs" dxfId="3589" priority="121" operator="greaterThan">
      <formula>110%</formula>
    </cfRule>
    <cfRule type="cellIs" dxfId="3588" priority="122" operator="between">
      <formula>100.001%</formula>
      <formula>110%</formula>
    </cfRule>
    <cfRule type="cellIs" dxfId="3587" priority="123" operator="between">
      <formula>70.001%</formula>
      <formula>100%</formula>
    </cfRule>
    <cfRule type="cellIs" dxfId="3586" priority="124" operator="between">
      <formula>0.00001%</formula>
      <formula>70%</formula>
    </cfRule>
    <cfRule type="cellIs" dxfId="3585" priority="125" operator="equal">
      <formula>0%</formula>
    </cfRule>
  </conditionalFormatting>
  <conditionalFormatting sqref="Z43">
    <cfRule type="cellIs" dxfId="3584" priority="116" operator="greaterThan">
      <formula>110%</formula>
    </cfRule>
    <cfRule type="cellIs" dxfId="3583" priority="117" operator="between">
      <formula>100.001%</formula>
      <formula>110%</formula>
    </cfRule>
    <cfRule type="cellIs" dxfId="3582" priority="118" operator="between">
      <formula>70.001%</formula>
      <formula>100%</formula>
    </cfRule>
    <cfRule type="cellIs" dxfId="3581" priority="119" operator="between">
      <formula>0.00001%</formula>
      <formula>70%</formula>
    </cfRule>
    <cfRule type="cellIs" dxfId="3580" priority="120" operator="equal">
      <formula>0%</formula>
    </cfRule>
  </conditionalFormatting>
  <conditionalFormatting sqref="AC43">
    <cfRule type="cellIs" dxfId="3579" priority="111" operator="greaterThan">
      <formula>110%</formula>
    </cfRule>
    <cfRule type="cellIs" dxfId="3578" priority="112" operator="between">
      <formula>100.001%</formula>
      <formula>110%</formula>
    </cfRule>
    <cfRule type="cellIs" dxfId="3577" priority="113" operator="between">
      <formula>70.001%</formula>
      <formula>100%</formula>
    </cfRule>
    <cfRule type="cellIs" dxfId="3576" priority="114" operator="between">
      <formula>0.00001%</formula>
      <formula>70%</formula>
    </cfRule>
    <cfRule type="cellIs" dxfId="3575" priority="115" operator="equal">
      <formula>0%</formula>
    </cfRule>
  </conditionalFormatting>
  <conditionalFormatting sqref="AE43">
    <cfRule type="cellIs" dxfId="3574" priority="106" operator="greaterThan">
      <formula>110%</formula>
    </cfRule>
    <cfRule type="cellIs" dxfId="3573" priority="107" operator="between">
      <formula>100.001%</formula>
      <formula>110%</formula>
    </cfRule>
    <cfRule type="cellIs" dxfId="3572" priority="108" operator="between">
      <formula>70.001%</formula>
      <formula>100%</formula>
    </cfRule>
    <cfRule type="cellIs" dxfId="3571" priority="109" operator="between">
      <formula>0.00001%</formula>
      <formula>70%</formula>
    </cfRule>
    <cfRule type="cellIs" dxfId="3570" priority="110" operator="equal">
      <formula>0%</formula>
    </cfRule>
  </conditionalFormatting>
  <conditionalFormatting sqref="AH43">
    <cfRule type="cellIs" dxfId="3569" priority="101" operator="greaterThan">
      <formula>110%</formula>
    </cfRule>
    <cfRule type="cellIs" dxfId="3568" priority="102" operator="between">
      <formula>100.001%</formula>
      <formula>110%</formula>
    </cfRule>
    <cfRule type="cellIs" dxfId="3567" priority="103" operator="between">
      <formula>70.001%</formula>
      <formula>100%</formula>
    </cfRule>
    <cfRule type="cellIs" dxfId="3566" priority="104" operator="between">
      <formula>0.00001%</formula>
      <formula>70%</formula>
    </cfRule>
    <cfRule type="cellIs" dxfId="3565" priority="105" operator="equal">
      <formula>0%</formula>
    </cfRule>
  </conditionalFormatting>
  <conditionalFormatting sqref="AK43">
    <cfRule type="cellIs" dxfId="3564" priority="96" operator="greaterThan">
      <formula>110%</formula>
    </cfRule>
    <cfRule type="cellIs" dxfId="3563" priority="97" operator="between">
      <formula>100.001%</formula>
      <formula>110%</formula>
    </cfRule>
    <cfRule type="cellIs" dxfId="3562" priority="98" operator="between">
      <formula>70.001%</formula>
      <formula>100%</formula>
    </cfRule>
    <cfRule type="cellIs" dxfId="3561" priority="99" operator="between">
      <formula>0.00001%</formula>
      <formula>70%</formula>
    </cfRule>
    <cfRule type="cellIs" dxfId="3560" priority="100" operator="equal">
      <formula>0%</formula>
    </cfRule>
  </conditionalFormatting>
  <conditionalFormatting sqref="AN43">
    <cfRule type="cellIs" dxfId="3559" priority="91" operator="greaterThan">
      <formula>110%</formula>
    </cfRule>
    <cfRule type="cellIs" dxfId="3558" priority="92" operator="between">
      <formula>100.001%</formula>
      <formula>110%</formula>
    </cfRule>
    <cfRule type="cellIs" dxfId="3557" priority="93" operator="between">
      <formula>70.001%</formula>
      <formula>100%</formula>
    </cfRule>
    <cfRule type="cellIs" dxfId="3556" priority="94" operator="between">
      <formula>0.00001%</formula>
      <formula>70%</formula>
    </cfRule>
    <cfRule type="cellIs" dxfId="3555" priority="95" operator="equal">
      <formula>0%</formula>
    </cfRule>
  </conditionalFormatting>
  <conditionalFormatting sqref="AQ43">
    <cfRule type="cellIs" dxfId="3554" priority="86" operator="greaterThan">
      <formula>110%</formula>
    </cfRule>
    <cfRule type="cellIs" dxfId="3553" priority="87" operator="between">
      <formula>100.001%</formula>
      <formula>110%</formula>
    </cfRule>
    <cfRule type="cellIs" dxfId="3552" priority="88" operator="between">
      <formula>70.001%</formula>
      <formula>100%</formula>
    </cfRule>
    <cfRule type="cellIs" dxfId="3551" priority="89" operator="between">
      <formula>0.00001%</formula>
      <formula>70%</formula>
    </cfRule>
    <cfRule type="cellIs" dxfId="3550" priority="90" operator="equal">
      <formula>0%</formula>
    </cfRule>
  </conditionalFormatting>
  <conditionalFormatting sqref="AT43">
    <cfRule type="cellIs" dxfId="3549" priority="81" operator="greaterThan">
      <formula>110%</formula>
    </cfRule>
    <cfRule type="cellIs" dxfId="3548" priority="82" operator="between">
      <formula>100.001%</formula>
      <formula>110%</formula>
    </cfRule>
    <cfRule type="cellIs" dxfId="3547" priority="83" operator="between">
      <formula>70.001%</formula>
      <formula>100%</formula>
    </cfRule>
    <cfRule type="cellIs" dxfId="3546" priority="84" operator="between">
      <formula>0.00001%</formula>
      <formula>70%</formula>
    </cfRule>
    <cfRule type="cellIs" dxfId="3545" priority="85" operator="equal">
      <formula>0%</formula>
    </cfRule>
  </conditionalFormatting>
  <conditionalFormatting sqref="AW43">
    <cfRule type="cellIs" dxfId="3544" priority="76" operator="greaterThan">
      <formula>110%</formula>
    </cfRule>
    <cfRule type="cellIs" dxfId="3543" priority="77" operator="between">
      <formula>100.001%</formula>
      <formula>110%</formula>
    </cfRule>
    <cfRule type="cellIs" dxfId="3542" priority="78" operator="between">
      <formula>70.001%</formula>
      <formula>100%</formula>
    </cfRule>
    <cfRule type="cellIs" dxfId="3541" priority="79" operator="between">
      <formula>0.00001%</formula>
      <formula>70%</formula>
    </cfRule>
    <cfRule type="cellIs" dxfId="3540" priority="80" operator="equal">
      <formula>0%</formula>
    </cfRule>
  </conditionalFormatting>
  <conditionalFormatting sqref="AY43">
    <cfRule type="cellIs" dxfId="3539" priority="71" operator="greaterThan">
      <formula>110%</formula>
    </cfRule>
    <cfRule type="cellIs" dxfId="3538" priority="72" operator="between">
      <formula>100.001%</formula>
      <formula>110%</formula>
    </cfRule>
    <cfRule type="cellIs" dxfId="3537" priority="73" operator="between">
      <formula>70.001%</formula>
      <formula>100%</formula>
    </cfRule>
    <cfRule type="cellIs" dxfId="3536" priority="74" operator="between">
      <formula>0.00001%</formula>
      <formula>70%</formula>
    </cfRule>
    <cfRule type="cellIs" dxfId="3535" priority="75" operator="equal">
      <formula>0%</formula>
    </cfRule>
  </conditionalFormatting>
  <conditionalFormatting sqref="N44">
    <cfRule type="cellIs" dxfId="3534" priority="66" operator="greaterThan">
      <formula>110%</formula>
    </cfRule>
    <cfRule type="cellIs" dxfId="3533" priority="67" operator="between">
      <formula>100.001%</formula>
      <formula>110%</formula>
    </cfRule>
    <cfRule type="cellIs" dxfId="3532" priority="68" operator="between">
      <formula>70.001%</formula>
      <formula>100%</formula>
    </cfRule>
    <cfRule type="cellIs" dxfId="3531" priority="69" operator="between">
      <formula>0.00001%</formula>
      <formula>70%</formula>
    </cfRule>
    <cfRule type="cellIs" dxfId="3530" priority="70" operator="equal">
      <formula>0%</formula>
    </cfRule>
  </conditionalFormatting>
  <conditionalFormatting sqref="Q44">
    <cfRule type="cellIs" dxfId="3529" priority="61" operator="greaterThan">
      <formula>110%</formula>
    </cfRule>
    <cfRule type="cellIs" dxfId="3528" priority="62" operator="between">
      <formula>100.001%</formula>
      <formula>110%</formula>
    </cfRule>
    <cfRule type="cellIs" dxfId="3527" priority="63" operator="between">
      <formula>70.001%</formula>
      <formula>100%</formula>
    </cfRule>
    <cfRule type="cellIs" dxfId="3526" priority="64" operator="between">
      <formula>0.00001%</formula>
      <formula>70%</formula>
    </cfRule>
    <cfRule type="cellIs" dxfId="3525" priority="65" operator="equal">
      <formula>0%</formula>
    </cfRule>
  </conditionalFormatting>
  <conditionalFormatting sqref="T44">
    <cfRule type="cellIs" dxfId="3524" priority="56" operator="greaterThan">
      <formula>110%</formula>
    </cfRule>
    <cfRule type="cellIs" dxfId="3523" priority="57" operator="between">
      <formula>100.001%</formula>
      <formula>110%</formula>
    </cfRule>
    <cfRule type="cellIs" dxfId="3522" priority="58" operator="between">
      <formula>70.001%</formula>
      <formula>100%</formula>
    </cfRule>
    <cfRule type="cellIs" dxfId="3521" priority="59" operator="between">
      <formula>0.00001%</formula>
      <formula>70%</formula>
    </cfRule>
    <cfRule type="cellIs" dxfId="3520" priority="60" operator="equal">
      <formula>0%</formula>
    </cfRule>
  </conditionalFormatting>
  <conditionalFormatting sqref="W44">
    <cfRule type="cellIs" dxfId="3519" priority="51" operator="greaterThan">
      <formula>110%</formula>
    </cfRule>
    <cfRule type="cellIs" dxfId="3518" priority="52" operator="between">
      <formula>100.001%</formula>
      <formula>110%</formula>
    </cfRule>
    <cfRule type="cellIs" dxfId="3517" priority="53" operator="between">
      <formula>70.001%</formula>
      <formula>100%</formula>
    </cfRule>
    <cfRule type="cellIs" dxfId="3516" priority="54" operator="between">
      <formula>0.00001%</formula>
      <formula>70%</formula>
    </cfRule>
    <cfRule type="cellIs" dxfId="3515" priority="55" operator="equal">
      <formula>0%</formula>
    </cfRule>
  </conditionalFormatting>
  <conditionalFormatting sqref="Z44">
    <cfRule type="cellIs" dxfId="3514" priority="46" operator="greaterThan">
      <formula>110%</formula>
    </cfRule>
    <cfRule type="cellIs" dxfId="3513" priority="47" operator="between">
      <formula>100.001%</formula>
      <formula>110%</formula>
    </cfRule>
    <cfRule type="cellIs" dxfId="3512" priority="48" operator="between">
      <formula>70.001%</formula>
      <formula>100%</formula>
    </cfRule>
    <cfRule type="cellIs" dxfId="3511" priority="49" operator="between">
      <formula>0.00001%</formula>
      <formula>70%</formula>
    </cfRule>
    <cfRule type="cellIs" dxfId="3510" priority="50" operator="equal">
      <formula>0%</formula>
    </cfRule>
  </conditionalFormatting>
  <conditionalFormatting sqref="AC44">
    <cfRule type="cellIs" dxfId="3509" priority="41" operator="greaterThan">
      <formula>110%</formula>
    </cfRule>
    <cfRule type="cellIs" dxfId="3508" priority="42" operator="between">
      <formula>100.001%</formula>
      <formula>110%</formula>
    </cfRule>
    <cfRule type="cellIs" dxfId="3507" priority="43" operator="between">
      <formula>70.001%</formula>
      <formula>100%</formula>
    </cfRule>
    <cfRule type="cellIs" dxfId="3506" priority="44" operator="between">
      <formula>0.00001%</formula>
      <formula>70%</formula>
    </cfRule>
    <cfRule type="cellIs" dxfId="3505" priority="45" operator="equal">
      <formula>0%</formula>
    </cfRule>
  </conditionalFormatting>
  <conditionalFormatting sqref="AE44">
    <cfRule type="cellIs" dxfId="3504" priority="36" operator="greaterThan">
      <formula>110%</formula>
    </cfRule>
    <cfRule type="cellIs" dxfId="3503" priority="37" operator="between">
      <formula>100.001%</formula>
      <formula>110%</formula>
    </cfRule>
    <cfRule type="cellIs" dxfId="3502" priority="38" operator="between">
      <formula>70.001%</formula>
      <formula>100%</formula>
    </cfRule>
    <cfRule type="cellIs" dxfId="3501" priority="39" operator="between">
      <formula>0.00001%</formula>
      <formula>70%</formula>
    </cfRule>
    <cfRule type="cellIs" dxfId="3500" priority="40" operator="equal">
      <formula>0%</formula>
    </cfRule>
  </conditionalFormatting>
  <conditionalFormatting sqref="AH44">
    <cfRule type="cellIs" dxfId="3499" priority="31" operator="greaterThan">
      <formula>110%</formula>
    </cfRule>
    <cfRule type="cellIs" dxfId="3498" priority="32" operator="between">
      <formula>100.001%</formula>
      <formula>110%</formula>
    </cfRule>
    <cfRule type="cellIs" dxfId="3497" priority="33" operator="between">
      <formula>70.001%</formula>
      <formula>100%</formula>
    </cfRule>
    <cfRule type="cellIs" dxfId="3496" priority="34" operator="between">
      <formula>0.00001%</formula>
      <formula>70%</formula>
    </cfRule>
    <cfRule type="cellIs" dxfId="3495" priority="35" operator="equal">
      <formula>0%</formula>
    </cfRule>
  </conditionalFormatting>
  <conditionalFormatting sqref="AK44">
    <cfRule type="cellIs" dxfId="3494" priority="26" operator="greaterThan">
      <formula>110%</formula>
    </cfRule>
    <cfRule type="cellIs" dxfId="3493" priority="27" operator="between">
      <formula>100.001%</formula>
      <formula>110%</formula>
    </cfRule>
    <cfRule type="cellIs" dxfId="3492" priority="28" operator="between">
      <formula>70.001%</formula>
      <formula>100%</formula>
    </cfRule>
    <cfRule type="cellIs" dxfId="3491" priority="29" operator="between">
      <formula>0.00001%</formula>
      <formula>70%</formula>
    </cfRule>
    <cfRule type="cellIs" dxfId="3490" priority="30" operator="equal">
      <formula>0%</formula>
    </cfRule>
  </conditionalFormatting>
  <conditionalFormatting sqref="AN44">
    <cfRule type="cellIs" dxfId="3489" priority="21" operator="greaterThan">
      <formula>110%</formula>
    </cfRule>
    <cfRule type="cellIs" dxfId="3488" priority="22" operator="between">
      <formula>100.001%</formula>
      <formula>110%</formula>
    </cfRule>
    <cfRule type="cellIs" dxfId="3487" priority="23" operator="between">
      <formula>70.001%</formula>
      <formula>100%</formula>
    </cfRule>
    <cfRule type="cellIs" dxfId="3486" priority="24" operator="between">
      <formula>0.00001%</formula>
      <formula>70%</formula>
    </cfRule>
    <cfRule type="cellIs" dxfId="3485" priority="25" operator="equal">
      <formula>0%</formula>
    </cfRule>
  </conditionalFormatting>
  <conditionalFormatting sqref="AQ44">
    <cfRule type="cellIs" dxfId="3484" priority="16" operator="greaterThan">
      <formula>110%</formula>
    </cfRule>
    <cfRule type="cellIs" dxfId="3483" priority="17" operator="between">
      <formula>100.001%</formula>
      <formula>110%</formula>
    </cfRule>
    <cfRule type="cellIs" dxfId="3482" priority="18" operator="between">
      <formula>70.001%</formula>
      <formula>100%</formula>
    </cfRule>
    <cfRule type="cellIs" dxfId="3481" priority="19" operator="between">
      <formula>0.00001%</formula>
      <formula>70%</formula>
    </cfRule>
    <cfRule type="cellIs" dxfId="3480" priority="20" operator="equal">
      <formula>0%</formula>
    </cfRule>
  </conditionalFormatting>
  <conditionalFormatting sqref="AT44">
    <cfRule type="cellIs" dxfId="3479" priority="11" operator="greaterThan">
      <formula>110%</formula>
    </cfRule>
    <cfRule type="cellIs" dxfId="3478" priority="12" operator="between">
      <formula>100.001%</formula>
      <formula>110%</formula>
    </cfRule>
    <cfRule type="cellIs" dxfId="3477" priority="13" operator="between">
      <formula>70.001%</formula>
      <formula>100%</formula>
    </cfRule>
    <cfRule type="cellIs" dxfId="3476" priority="14" operator="between">
      <formula>0.00001%</formula>
      <formula>70%</formula>
    </cfRule>
    <cfRule type="cellIs" dxfId="3475" priority="15" operator="equal">
      <formula>0%</formula>
    </cfRule>
  </conditionalFormatting>
  <conditionalFormatting sqref="AW44">
    <cfRule type="cellIs" dxfId="3474" priority="6" operator="greaterThan">
      <formula>110%</formula>
    </cfRule>
    <cfRule type="cellIs" dxfId="3473" priority="7" operator="between">
      <formula>100.001%</formula>
      <formula>110%</formula>
    </cfRule>
    <cfRule type="cellIs" dxfId="3472" priority="8" operator="between">
      <formula>70.001%</formula>
      <formula>100%</formula>
    </cfRule>
    <cfRule type="cellIs" dxfId="3471" priority="9" operator="between">
      <formula>0.00001%</formula>
      <formula>70%</formula>
    </cfRule>
    <cfRule type="cellIs" dxfId="3470" priority="10" operator="equal">
      <formula>0%</formula>
    </cfRule>
  </conditionalFormatting>
  <conditionalFormatting sqref="AY44">
    <cfRule type="cellIs" dxfId="3469" priority="1" operator="greaterThan">
      <formula>110%</formula>
    </cfRule>
    <cfRule type="cellIs" dxfId="3468" priority="2" operator="between">
      <formula>100.001%</formula>
      <formula>110%</formula>
    </cfRule>
    <cfRule type="cellIs" dxfId="3467" priority="3" operator="between">
      <formula>70.001%</formula>
      <formula>100%</formula>
    </cfRule>
    <cfRule type="cellIs" dxfId="3466" priority="4" operator="between">
      <formula>0.00001%</formula>
      <formula>70%</formula>
    </cfRule>
    <cfRule type="cellIs" dxfId="3465" priority="5" operator="equal">
      <formula>0%</formula>
    </cfRule>
  </conditionalFormatting>
  <hyperlinks>
    <hyperlink ref="D11" location="'IN1-3'!Área_de_impresión" display="IN1-3  Recaudo Bruto" xr:uid="{00000000-0004-0000-2300-000000000000}"/>
    <hyperlink ref="D12" location="'FIS-4'!Área_de_impresión" display="FIS-4 Gestión efectiva en fiscalización tributaria" xr:uid="{00000000-0004-0000-2300-000001000000}"/>
    <hyperlink ref="D13" location="'FIS-5'!Área_de_impresión" display="FIS-5  Gestión efectiva de Fiscalización Aduanera" xr:uid="{00000000-0004-0000-2300-000002000000}"/>
    <hyperlink ref="D14" location="'FIS-7'!Área_de_impresión" display="FIS-7  Gestión efectiva de Control Cambiario" xr:uid="{00000000-0004-0000-2300-000003000000}"/>
    <hyperlink ref="D15" location="'FIS-8'!Área_de_impresión" display="FIS-8 Gestión aceptada de Fiscalización Aduanera (Recaudo)" xr:uid="{00000000-0004-0000-2300-000004000000}"/>
    <hyperlink ref="D16" location="'FIS-9'!Área_de_impresión" display="FIS-9  Gestión aceptada de Fiscalización Aduanera (Resoluciones en firme)" xr:uid="{00000000-0004-0000-2300-000005000000}"/>
    <hyperlink ref="D17" location="'FIS-10'!Área_de_impresión" display="FIS-10 Gestión aceptada en fiscalización tributaria" xr:uid="{00000000-0004-0000-2300-000006000000}"/>
    <hyperlink ref="D18" location="'FIS-11'!Área_de_impresión" display="FIS-11 Gestión aceptada cambiaria (Recaudo)" xr:uid="{00000000-0004-0000-2300-000007000000}"/>
    <hyperlink ref="D19" location="'FIS-12'!Área_de_impresión" display="FIS-12 Gestión aceptada cambiaria (Resoluciones en firme)" xr:uid="{00000000-0004-0000-2300-000008000000}"/>
    <hyperlink ref="D20" location="'FIS-27'!Área_de_impresión" display="FIS-27 Reclasificación de no responsables a responsables" xr:uid="{00000000-0004-0000-2300-000009000000}"/>
    <hyperlink ref="D21" location="'FIS-17'!Área_de_impresión" display="FIS-17 Evacuación de expedientes en fiscalización tributaria" xr:uid="{00000000-0004-0000-2300-00000A000000}"/>
    <hyperlink ref="D22" location="'IN1-4'!Área_de_impresión" display="IN1-4 Recaudo por gestión de cartera" xr:uid="{00000000-0004-0000-2300-00000B000000}"/>
    <hyperlink ref="D23" location="'IN1-5'!Área_de_impresión" display="IN1-5 Inscritos en el Régimen Simple de Tributación - RST" xr:uid="{00000000-0004-0000-2300-00000C000000}"/>
    <hyperlink ref="D24" location="'IN1-6.1'!Área_de_impresión" display="INI-6.1 Grado de cumplimiento del cronograma de campañas del RST" xr:uid="{00000000-0004-0000-2300-00000D000000}"/>
    <hyperlink ref="D25" location="'FIS-16'!Área_de_impresión" display="FIS-16 Visitas de control a personas que hacen la venta y compra de divisas sin estar autorizados" xr:uid="{00000000-0004-0000-2300-00000E000000}"/>
    <hyperlink ref="D26" location="'FIS-15'!Área_de_impresión" display="FIS-15  Visitas de control a profesionales de cambio" xr:uid="{00000000-0004-0000-2300-00000F000000}"/>
    <hyperlink ref="D27" location="'FIS-18'!Área_de_impresión" display="FIS-18 Evacuación de expedientes en fiscalización cambiaria" xr:uid="{00000000-0004-0000-2300-000010000000}"/>
    <hyperlink ref="D28" location="'FIS-21'!Área_de_impresión" display="FIS-21 Propuestas de Programas de control posterior de fiscalización  aduanera (Sanciones, LOC, LOR, Origen)" xr:uid="{00000000-0004-0000-2300-000011000000}"/>
    <hyperlink ref="D29" location="'FIS-14'!Área_de_impresión" display="FIS-14 Propuestas acciones aduaneras de control posterior contra el contrabando técnico(Sanciones, LOC, LOR, Origen)" xr:uid="{00000000-0004-0000-2300-000012000000}"/>
    <hyperlink ref="D30" location="'IN1-8'!Área_de_impresión" display="IN1-8 Contribuyentes habilitados como facturadores electrónicos" xr:uid="{00000000-0004-0000-2300-000013000000}"/>
    <hyperlink ref="D31" location="'JUR-3.1'!Área_de_impresión" display="JUR-3.1 Porcentaje de éxito de litigiosidad" xr:uid="{00000000-0004-0000-2300-000014000000}"/>
    <hyperlink ref="D32" location="'JUR-3.2'!Área_de_impresión" display="JUR-3.2 Porcentaje  procesos judiciales revisados con mayor riesgo en Ekogui" xr:uid="{00000000-0004-0000-2300-000015000000}"/>
    <hyperlink ref="D33" location="'JUR-3.3'!Área_de_impresión" display="JUR-3.3 Porcentaje de análisis de jurisprudencia remitidos junto con la copia de la sentencia " xr:uid="{00000000-0004-0000-2300-000016000000}"/>
    <hyperlink ref="D34" location="'JUR-3.4'!Área_de_impresión" display="JUR-3.4 Porcentaje  de procesos revisados con VoBo del Jefe " xr:uid="{00000000-0004-0000-2300-000017000000}"/>
    <hyperlink ref="D35" location="'JUR-3.5'!Área_de_impresión" display="JUR-3.5 Porcentaje de requerimientos atendidos en oportunidad" xr:uid="{00000000-0004-0000-2300-000018000000}"/>
    <hyperlink ref="D36" location="'JUR-3.6'!Área_de_impresión" display="JUR-3.6 Porcentaje funcionarios capacitaciones en cursos virtuales de la ANDJE" xr:uid="{00000000-0004-0000-2300-000019000000}"/>
    <hyperlink ref="D38" location="'ADU-3'!Área_de_impresión" display="ADU-3  Monto de la recaudación total de Aduanas" xr:uid="{00000000-0004-0000-2300-00001A000000}"/>
    <hyperlink ref="D39" location="'POLFA-3'!Área_de_impresión" display="POLFA-3 Acciones de control de fiscalización contra el contrabando" xr:uid="{00000000-0004-0000-2300-00001B000000}"/>
    <hyperlink ref="D40" location="'FIS-24'!Área_de_impresión" display="FIS-24 Valor Decomisos de mercancías en firme" xr:uid="{00000000-0004-0000-2300-00001C000000}"/>
    <hyperlink ref="D41" location="'FIS-32'!Área_de_impresión" display="FIS-32 Valor Aprehensiones sectores de Licores, Cigarrillos, Calzado y Confecciones" xr:uid="{00000000-0004-0000-2300-00001D000000}"/>
    <hyperlink ref="D46" location="'ADU-29'!Área_de_impresión" display="ADU-29 Eficacia en la toma de muestras de las mercancías presentadas e identificadas por posibles desviaciones de la clasificación arancelaria u otro tipo de incumplimiento de restricciones legales y administrativas, entre otras." xr:uid="{00000000-0004-0000-2300-00001E000000}"/>
    <hyperlink ref="D47" location="'ADU-30'!Área_de_impresión" display="ADU-30 Eficacia Visitas de verificación y control a los productores  y/o exportadores colombianos." xr:uid="{00000000-0004-0000-2300-00001F000000}"/>
    <hyperlink ref="D48" location="'ADU-31'!Área_de_impresión" display="ADU-31  Eficacia en la revisión de criterios de origen de los productos colombianos" xr:uid="{00000000-0004-0000-2300-000020000000}"/>
    <hyperlink ref="D37" location="'JUR-4'!Área_de_impresión" display="JUR-4 Porcentaje funcionarios que participaron en el concurso de escritura jurídica" xr:uid="{00000000-0004-0000-2300-000021000000}"/>
    <hyperlink ref="D42" location="'ADU-8'!Área_de_impresión" display="ADU-8 Efectividad en los controles previos - Lucha contra el Contrabando" xr:uid="{00000000-0004-0000-2300-000022000000}"/>
    <hyperlink ref="D50" location="'IN1-11'!Área_de_impresión" display="IN1-11  Nivel de cobertura de personas sensibilizadas por el plan de cultura. ACTUALMENTE. Cumplimiento al Plan de Acción de Cultura de la Contribución" xr:uid="{00000000-0004-0000-2300-000023000000}"/>
    <hyperlink ref="D51" location="'JUR-7'!Área_de_impresión" display="JUR-7 Oportunidad en las decisiones de los recursos tributarios hasta su remisión a notificaciones" xr:uid="{00000000-0004-0000-2300-000024000000}"/>
    <hyperlink ref="D52" location="'POLFA-7'!Área_de_impresión" display="POLFA-7 Implementación programa zonas de comercio legal (Formalización)" xr:uid="{00000000-0004-0000-2300-000025000000}"/>
    <hyperlink ref="D53" location="'POLFA-8'!Área_de_impresión" display="POLFA-8 Porcentaje de cumplimiento programa semilleros de la legalidad" xr:uid="{00000000-0004-0000-2300-000026000000}"/>
    <hyperlink ref="D54" location="'IN1-15'!Área_de_impresión" display="'IN1-15'!Área_de_impresión" xr:uid="{00000000-0004-0000-2300-000027000000}"/>
    <hyperlink ref="D9" location="'DGRAE-1'!Área_de_impresión" display="DGRAE-1 Nivel de Ejecución del presupuesto " xr:uid="{00000000-0004-0000-2300-000028000000}"/>
    <hyperlink ref="D56" location="'DGRAE-25'!Área_de_impresión" display="DGRAE-25 Actividades que componen el  PIC para la Dirección de Gestión" xr:uid="{00000000-0004-0000-2300-000029000000}"/>
    <hyperlink ref="D10" location="'DGRAE-2'!A1" display="DGRAE-2 Nivel de ejecución del PAA de la Dirección" xr:uid="{00000000-0004-0000-2300-00002A000000}"/>
    <hyperlink ref="D45" location="'ADU-13'!A1" display="ADU-13 Efectividad en los Controles a los  usuarios de comercio - Hallazgos en visitas de usuarios no visitados anteriormente" xr:uid="{00000000-0004-0000-2300-00002B000000}"/>
    <hyperlink ref="D43" location="'ADU-9'!A1" display="ADU-9 Efectividad en el control simultaneo - Lucha contra el Contrabando" xr:uid="{00000000-0004-0000-2300-00002C000000}"/>
    <hyperlink ref="D44" location="'ADU-9.1'!A1" display="ADU-9.1 Efectividad en el control simultaneo - Lucha contra el Contrabando - Documental" xr:uid="{00000000-0004-0000-2300-00002D000000}"/>
    <hyperlink ref="AY2" location="'Consolidado '!A1" display="VOLVER" xr:uid="{00000000-0004-0000-2300-00002E000000}"/>
  </hyperlinks>
  <pageMargins left="0.7" right="0.7" top="0.75" bottom="0.75" header="0.3" footer="0.3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Z34"/>
  <sheetViews>
    <sheetView topLeftCell="F1" zoomScale="80" zoomScaleNormal="80" workbookViewId="0">
      <selection activeCell="AZ6" sqref="AZ6"/>
    </sheetView>
  </sheetViews>
  <sheetFormatPr baseColWidth="10" defaultColWidth="11.42578125" defaultRowHeight="16.5"/>
  <cols>
    <col min="1" max="1" width="20.5703125" style="8" customWidth="1"/>
    <col min="2" max="2" width="37" style="8" customWidth="1"/>
    <col min="3" max="3" width="56" style="63" customWidth="1"/>
    <col min="4" max="4" width="26.85546875" style="63" customWidth="1"/>
    <col min="5" max="5" width="67.42578125" style="8" customWidth="1"/>
    <col min="6" max="6" width="23.85546875" style="8" bestFit="1" customWidth="1"/>
    <col min="7" max="7" width="25.85546875" style="8" customWidth="1"/>
    <col min="8" max="8" width="12" style="8" hidden="1" customWidth="1"/>
    <col min="9" max="9" width="9.140625" style="8" hidden="1" customWidth="1"/>
    <col min="10" max="10" width="15" style="8" hidden="1" customWidth="1"/>
    <col min="11" max="11" width="29.140625" style="8" customWidth="1"/>
    <col min="12" max="13" width="21.7109375" style="8" hidden="1" customWidth="1"/>
    <col min="14" max="14" width="21.7109375" style="69" hidden="1" customWidth="1"/>
    <col min="15" max="16" width="21.7109375" style="8" hidden="1" customWidth="1"/>
    <col min="17" max="17" width="21.7109375" style="69" hidden="1" customWidth="1"/>
    <col min="18" max="19" width="21.7109375" style="8" hidden="1" customWidth="1"/>
    <col min="20" max="20" width="21.7109375" style="69" hidden="1" customWidth="1"/>
    <col min="21" max="22" width="21.7109375" style="8" hidden="1" customWidth="1"/>
    <col min="23" max="23" width="21.7109375" style="69" hidden="1" customWidth="1"/>
    <col min="24" max="25" width="21.7109375" style="8" hidden="1" customWidth="1"/>
    <col min="26" max="26" width="21.7109375" style="69" hidden="1" customWidth="1"/>
    <col min="27" max="30" width="21.7109375" style="8" hidden="1" customWidth="1"/>
    <col min="31" max="31" width="21.7109375" style="69" hidden="1" customWidth="1"/>
    <col min="32" max="33" width="21.7109375" style="8" hidden="1" customWidth="1"/>
    <col min="34" max="34" width="21.7109375" style="69" hidden="1" customWidth="1"/>
    <col min="35" max="39" width="21.7109375" style="8" hidden="1" customWidth="1"/>
    <col min="40" max="40" width="21.7109375" style="69" hidden="1" customWidth="1"/>
    <col min="41" max="42" width="21.7109375" style="8" hidden="1" customWidth="1"/>
    <col min="43" max="43" width="21.7109375" style="69" hidden="1" customWidth="1"/>
    <col min="44" max="45" width="21.7109375" style="8" hidden="1" customWidth="1"/>
    <col min="46" max="46" width="21.7109375" style="69" hidden="1" customWidth="1"/>
    <col min="47" max="48" width="21.7109375" style="8" hidden="1" customWidth="1"/>
    <col min="49" max="49" width="21.7109375" style="69" hidden="1" customWidth="1"/>
    <col min="50" max="50" width="24.5703125" style="8" customWidth="1"/>
    <col min="51" max="51" width="21.7109375" style="2365" customWidth="1"/>
    <col min="52" max="16384" width="11.42578125" style="8"/>
  </cols>
  <sheetData>
    <row r="1" spans="1:52" ht="26.25">
      <c r="A1" s="101"/>
      <c r="B1" s="101"/>
      <c r="C1" s="2885" t="s">
        <v>1013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2402" t="s">
        <v>185</v>
      </c>
    </row>
    <row r="3" spans="1:52">
      <c r="A3" s="107"/>
      <c r="B3" s="108"/>
      <c r="C3" s="2866" t="s">
        <v>1014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AZ4" s="69">
        <f>+(AY9+AY10+AY11+AY12+AY13+AY14+AY15+AY16+AY17+AY18+AY19+AY21+AY23+AY25+AY27+AY29+AY30+AY31+AY33)/19</f>
        <v>1.1715475813710292</v>
      </c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160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989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990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165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2366" t="s">
        <v>84</v>
      </c>
      <c r="M8" s="13" t="s">
        <v>85</v>
      </c>
      <c r="N8" s="15" t="s">
        <v>86</v>
      </c>
      <c r="O8" s="14" t="s">
        <v>84</v>
      </c>
      <c r="P8" s="16" t="s">
        <v>85</v>
      </c>
      <c r="Q8" s="15" t="s">
        <v>86</v>
      </c>
      <c r="R8" s="13" t="s">
        <v>84</v>
      </c>
      <c r="S8" s="14" t="s">
        <v>85</v>
      </c>
      <c r="T8" s="15" t="s">
        <v>86</v>
      </c>
      <c r="U8" s="16" t="s">
        <v>84</v>
      </c>
      <c r="V8" s="16" t="s">
        <v>85</v>
      </c>
      <c r="W8" s="15" t="s">
        <v>86</v>
      </c>
      <c r="X8" s="13" t="s">
        <v>84</v>
      </c>
      <c r="Y8" s="13" t="s">
        <v>85</v>
      </c>
      <c r="Z8" s="15" t="s">
        <v>86</v>
      </c>
      <c r="AA8" s="14" t="s">
        <v>84</v>
      </c>
      <c r="AB8" s="16" t="s">
        <v>85</v>
      </c>
      <c r="AC8" s="13" t="s">
        <v>86</v>
      </c>
      <c r="AD8" s="16" t="s">
        <v>87</v>
      </c>
      <c r="AE8" s="71" t="s">
        <v>6</v>
      </c>
      <c r="AF8" s="13" t="s">
        <v>84</v>
      </c>
      <c r="AG8" s="14" t="s">
        <v>85</v>
      </c>
      <c r="AH8" s="15" t="s">
        <v>86</v>
      </c>
      <c r="AI8" s="16" t="s">
        <v>84</v>
      </c>
      <c r="AJ8" s="16" t="s">
        <v>85</v>
      </c>
      <c r="AK8" s="13" t="s">
        <v>86</v>
      </c>
      <c r="AL8" s="13" t="s">
        <v>84</v>
      </c>
      <c r="AM8" s="14" t="s">
        <v>85</v>
      </c>
      <c r="AN8" s="15" t="s">
        <v>86</v>
      </c>
      <c r="AO8" s="16" t="s">
        <v>84</v>
      </c>
      <c r="AP8" s="13" t="s">
        <v>85</v>
      </c>
      <c r="AQ8" s="15" t="s">
        <v>86</v>
      </c>
      <c r="AR8" s="14" t="s">
        <v>84</v>
      </c>
      <c r="AS8" s="16" t="s">
        <v>85</v>
      </c>
      <c r="AT8" s="15" t="s">
        <v>86</v>
      </c>
      <c r="AU8" s="16" t="s">
        <v>84</v>
      </c>
      <c r="AV8" s="16" t="s">
        <v>85</v>
      </c>
      <c r="AW8" s="15" t="s">
        <v>86</v>
      </c>
      <c r="AX8" s="16" t="s">
        <v>87</v>
      </c>
      <c r="AY8" s="71" t="s">
        <v>6</v>
      </c>
    </row>
    <row r="9" spans="1:52" s="80" customFormat="1" ht="31.5" thickTop="1" thickBot="1">
      <c r="A9" s="2943" t="s">
        <v>88</v>
      </c>
      <c r="B9" s="3009" t="s">
        <v>166</v>
      </c>
      <c r="C9" s="72" t="s">
        <v>167</v>
      </c>
      <c r="D9" s="1422" t="s">
        <v>90</v>
      </c>
      <c r="E9" s="1407" t="s">
        <v>91</v>
      </c>
      <c r="F9" s="1407" t="s">
        <v>168</v>
      </c>
      <c r="G9" s="2367">
        <f>331798690/1000000</f>
        <v>331.79869000000002</v>
      </c>
      <c r="H9" s="1407"/>
      <c r="I9" s="1407"/>
      <c r="J9" s="1407"/>
      <c r="K9" s="1407" t="s">
        <v>25</v>
      </c>
      <c r="L9" s="2368">
        <v>125.053375</v>
      </c>
      <c r="M9" s="2369">
        <v>128</v>
      </c>
      <c r="N9" s="73">
        <f t="shared" ref="N9:N33" si="0">+M9/L9</f>
        <v>1.023562938625207</v>
      </c>
      <c r="O9" s="2368">
        <v>41.893791999999998</v>
      </c>
      <c r="P9" s="2369">
        <v>10</v>
      </c>
      <c r="Q9" s="73">
        <f>+P9/O9</f>
        <v>0.23869885065548616</v>
      </c>
      <c r="R9" s="2368">
        <v>40.300055999999998</v>
      </c>
      <c r="S9" s="2369">
        <v>41</v>
      </c>
      <c r="T9" s="73">
        <f>+S9/R9</f>
        <v>1.0173683133343536</v>
      </c>
      <c r="U9" s="2368">
        <v>14.400055999999999</v>
      </c>
      <c r="V9" s="2369">
        <v>9</v>
      </c>
      <c r="W9" s="73">
        <f>+V9/U9</f>
        <v>0.62499756945389662</v>
      </c>
      <c r="X9" s="2368">
        <v>16.300056000000001</v>
      </c>
      <c r="Y9" s="2369">
        <v>6</v>
      </c>
      <c r="Z9" s="73">
        <f>+Y9/X9</f>
        <v>0.3680968948818335</v>
      </c>
      <c r="AA9" s="2368">
        <v>16.300056000000001</v>
      </c>
      <c r="AB9" s="2369">
        <v>34</v>
      </c>
      <c r="AC9" s="73">
        <f t="shared" ref="AC9:AC10" si="1">+AB9/AA9</f>
        <v>2.0858824043303898</v>
      </c>
      <c r="AD9" s="2370">
        <f t="shared" ref="AD9:AD10" si="2">+M9+P9+S9+V9+Y9+AB9</f>
        <v>228</v>
      </c>
      <c r="AE9" s="73">
        <f t="shared" ref="AE9:AE10" si="3">AD9/G9</f>
        <v>0.6871636533586073</v>
      </c>
      <c r="AF9" s="2368">
        <v>20.300056000000001</v>
      </c>
      <c r="AG9" s="2369">
        <v>7</v>
      </c>
      <c r="AH9" s="73">
        <f>+AG9/AF9</f>
        <v>0.34482663496100696</v>
      </c>
      <c r="AI9" s="2368">
        <v>14.300056</v>
      </c>
      <c r="AJ9" s="2369">
        <v>7</v>
      </c>
      <c r="AK9" s="73">
        <f>+AJ9/AI9</f>
        <v>0.48950857255384178</v>
      </c>
      <c r="AL9" s="2368">
        <v>14.300056</v>
      </c>
      <c r="AM9" s="2369">
        <v>8</v>
      </c>
      <c r="AN9" s="73">
        <f>+AM9/AL9</f>
        <v>0.55943836863296204</v>
      </c>
      <c r="AO9" s="2368">
        <v>14.700056</v>
      </c>
      <c r="AP9" s="2369">
        <v>13</v>
      </c>
      <c r="AQ9" s="73">
        <f>+AP9/AO9</f>
        <v>0.88435037254279847</v>
      </c>
      <c r="AR9" s="2368">
        <v>14.750056000000001</v>
      </c>
      <c r="AS9" s="2369">
        <v>41</v>
      </c>
      <c r="AT9" s="73">
        <f>+AS9/AR9</f>
        <v>2.7796504636999342</v>
      </c>
      <c r="AU9" s="2368">
        <v>14.296065</v>
      </c>
      <c r="AV9" s="2369">
        <v>12</v>
      </c>
      <c r="AW9" s="73">
        <f>+AV9/AU9</f>
        <v>0.83939181865779144</v>
      </c>
      <c r="AX9" s="2368">
        <f>+M9+P9+S9+V9+Y9+AB9+AG9+AJ9+AM9+AP9+AS9+AV9</f>
        <v>316</v>
      </c>
      <c r="AY9" s="73">
        <f>+AX9/G9</f>
        <v>0.95238471254964863</v>
      </c>
    </row>
    <row r="10" spans="1:52" s="2373" customFormat="1" ht="31.5" thickTop="1" thickBot="1">
      <c r="A10" s="2944"/>
      <c r="B10" s="3010"/>
      <c r="C10" s="74" t="s">
        <v>169</v>
      </c>
      <c r="D10" s="2196" t="s">
        <v>92</v>
      </c>
      <c r="E10" s="2129" t="s">
        <v>170</v>
      </c>
      <c r="F10" s="2129" t="s">
        <v>17</v>
      </c>
      <c r="G10" s="2130">
        <v>7</v>
      </c>
      <c r="H10" s="2130" t="s">
        <v>26</v>
      </c>
      <c r="I10" s="2130"/>
      <c r="J10" s="2130"/>
      <c r="K10" s="2129" t="s">
        <v>26</v>
      </c>
      <c r="L10" s="2371">
        <v>2</v>
      </c>
      <c r="M10" s="2372">
        <v>2</v>
      </c>
      <c r="N10" s="73">
        <f t="shared" si="0"/>
        <v>1</v>
      </c>
      <c r="O10" s="2371">
        <v>1</v>
      </c>
      <c r="P10" s="2372">
        <v>1</v>
      </c>
      <c r="Q10" s="73">
        <f t="shared" ref="Q10:Q33" si="4">+P10/O10</f>
        <v>1</v>
      </c>
      <c r="R10" s="2371">
        <v>1</v>
      </c>
      <c r="S10" s="2372">
        <v>1</v>
      </c>
      <c r="T10" s="73">
        <f t="shared" ref="T10:T33" si="5">+S10/R10</f>
        <v>1</v>
      </c>
      <c r="U10" s="2371">
        <v>0</v>
      </c>
      <c r="V10" s="2372"/>
      <c r="W10" s="73" t="e">
        <f t="shared" ref="W10:W33" si="6">+V10/U10</f>
        <v>#DIV/0!</v>
      </c>
      <c r="X10" s="2371">
        <v>0</v>
      </c>
      <c r="Y10" s="2372"/>
      <c r="Z10" s="73" t="e">
        <f t="shared" ref="Z10:Z33" si="7">+Y10/X10</f>
        <v>#DIV/0!</v>
      </c>
      <c r="AA10" s="2371">
        <v>0</v>
      </c>
      <c r="AB10" s="2372"/>
      <c r="AC10" s="73" t="e">
        <f t="shared" si="1"/>
        <v>#DIV/0!</v>
      </c>
      <c r="AD10" s="2369">
        <f t="shared" si="2"/>
        <v>4</v>
      </c>
      <c r="AE10" s="73">
        <f t="shared" si="3"/>
        <v>0.5714285714285714</v>
      </c>
      <c r="AF10" s="2371">
        <v>0</v>
      </c>
      <c r="AG10" s="2372"/>
      <c r="AH10" s="73" t="e">
        <f t="shared" ref="AH10:AH33" si="8">+AG10/AF10</f>
        <v>#DIV/0!</v>
      </c>
      <c r="AI10" s="2371">
        <v>1</v>
      </c>
      <c r="AJ10" s="2372">
        <v>1</v>
      </c>
      <c r="AK10" s="73">
        <f t="shared" ref="AK10:AK33" si="9">+AJ10/AI10</f>
        <v>1</v>
      </c>
      <c r="AL10" s="2371">
        <v>0</v>
      </c>
      <c r="AM10" s="2372"/>
      <c r="AN10" s="73" t="e">
        <f t="shared" ref="AN10:AN33" si="10">+AM10/AL10</f>
        <v>#DIV/0!</v>
      </c>
      <c r="AO10" s="2371">
        <v>0</v>
      </c>
      <c r="AP10" s="2372"/>
      <c r="AQ10" s="73" t="e">
        <f t="shared" ref="AQ10:AQ33" si="11">+AP10/AO10</f>
        <v>#DIV/0!</v>
      </c>
      <c r="AR10" s="2371">
        <v>2</v>
      </c>
      <c r="AS10" s="2372">
        <v>2</v>
      </c>
      <c r="AT10" s="73">
        <f t="shared" ref="AT10:AT33" si="12">+AS10/AR10</f>
        <v>1</v>
      </c>
      <c r="AU10" s="2371">
        <v>0</v>
      </c>
      <c r="AV10" s="2372"/>
      <c r="AW10" s="73" t="e">
        <f t="shared" ref="AW10" si="13">+AV10/AU10</f>
        <v>#DIV/0!</v>
      </c>
      <c r="AX10" s="880">
        <f t="shared" ref="AX10" si="14">+M10+P10+S10+V10+Y10+AB10+AG10+AJ10+AM10+AP10+AS10+AV10</f>
        <v>7</v>
      </c>
      <c r="AY10" s="73">
        <f t="shared" ref="AY10" si="15">+AX10/G10</f>
        <v>1</v>
      </c>
    </row>
    <row r="11" spans="1:52" s="80" customFormat="1" ht="31.5" thickTop="1" thickBot="1">
      <c r="A11" s="2944"/>
      <c r="B11" s="2848" t="s">
        <v>171</v>
      </c>
      <c r="C11" s="76" t="s">
        <v>1015</v>
      </c>
      <c r="D11" s="17" t="s">
        <v>673</v>
      </c>
      <c r="E11" s="76" t="s">
        <v>97</v>
      </c>
      <c r="F11" s="76" t="s">
        <v>168</v>
      </c>
      <c r="G11" s="637">
        <v>147379</v>
      </c>
      <c r="H11" s="78"/>
      <c r="I11" s="79"/>
      <c r="J11" s="78"/>
      <c r="K11" s="76" t="s">
        <v>20</v>
      </c>
      <c r="L11" s="2368" t="s">
        <v>98</v>
      </c>
      <c r="M11" s="2369"/>
      <c r="N11" s="1606" t="e">
        <f>+M11/L11</f>
        <v>#VALUE!</v>
      </c>
      <c r="O11" s="2368" t="s">
        <v>98</v>
      </c>
      <c r="P11" s="2369"/>
      <c r="Q11" s="73" t="e">
        <f>+P11/O11</f>
        <v>#VALUE!</v>
      </c>
      <c r="R11" s="2368" t="s">
        <v>98</v>
      </c>
      <c r="S11" s="2369"/>
      <c r="T11" s="73" t="e">
        <f>+S11/R11</f>
        <v>#VALUE!</v>
      </c>
      <c r="U11" s="2368" t="s">
        <v>98</v>
      </c>
      <c r="V11" s="2369"/>
      <c r="W11" s="73" t="e">
        <f>+V11/U11</f>
        <v>#VALUE!</v>
      </c>
      <c r="X11" s="2368" t="s">
        <v>98</v>
      </c>
      <c r="Y11" s="2369"/>
      <c r="Z11" s="73" t="e">
        <f>+Y11/X11</f>
        <v>#VALUE!</v>
      </c>
      <c r="AA11" s="2368" t="s">
        <v>98</v>
      </c>
      <c r="AB11" s="2369"/>
      <c r="AC11" s="73" t="e">
        <f>+AB11/AA11</f>
        <v>#VALUE!</v>
      </c>
      <c r="AD11" s="2369"/>
      <c r="AE11" s="73">
        <f>AD11/G11</f>
        <v>0</v>
      </c>
      <c r="AF11" s="2368" t="s">
        <v>98</v>
      </c>
      <c r="AG11" s="2369"/>
      <c r="AH11" s="73" t="e">
        <f>+AG11/AF11</f>
        <v>#VALUE!</v>
      </c>
      <c r="AI11" s="2368" t="s">
        <v>98</v>
      </c>
      <c r="AJ11" s="2369"/>
      <c r="AK11" s="73" t="e">
        <f>+AJ11/AI11</f>
        <v>#VALUE!</v>
      </c>
      <c r="AL11" s="2368" t="s">
        <v>98</v>
      </c>
      <c r="AM11" s="2369"/>
      <c r="AN11" s="73" t="e">
        <f>+AM11/AL11</f>
        <v>#VALUE!</v>
      </c>
      <c r="AO11" s="2368" t="s">
        <v>98</v>
      </c>
      <c r="AP11" s="2369"/>
      <c r="AQ11" s="73" t="e">
        <f>+AP11/AO11</f>
        <v>#VALUE!</v>
      </c>
      <c r="AR11" s="2368" t="s">
        <v>98</v>
      </c>
      <c r="AS11" s="2369"/>
      <c r="AT11" s="73" t="e">
        <f>+AS11/AR11</f>
        <v>#VALUE!</v>
      </c>
      <c r="AU11" s="2368" t="s">
        <v>98</v>
      </c>
      <c r="AV11" s="2369">
        <v>147379</v>
      </c>
      <c r="AW11" s="73" t="e">
        <f>+AV11/AU11</f>
        <v>#VALUE!</v>
      </c>
      <c r="AX11" s="2368">
        <f>+M11+P11+S11+V11+Y11+AB11+AG11+AJ11+AM11+AP11+AS11+AV11</f>
        <v>147379</v>
      </c>
      <c r="AY11" s="73">
        <v>1</v>
      </c>
    </row>
    <row r="12" spans="1:52" s="80" customFormat="1" ht="76.5" thickTop="1" thickBot="1">
      <c r="A12" s="2944"/>
      <c r="B12" s="2849"/>
      <c r="C12" s="3223" t="s">
        <v>623</v>
      </c>
      <c r="D12" s="24" t="s">
        <v>926</v>
      </c>
      <c r="E12" s="81" t="s">
        <v>100</v>
      </c>
      <c r="F12" s="81" t="s">
        <v>101</v>
      </c>
      <c r="G12" s="2374">
        <v>27930000000</v>
      </c>
      <c r="H12" s="715"/>
      <c r="I12" s="629"/>
      <c r="J12" s="715"/>
      <c r="K12" s="81" t="s">
        <v>172</v>
      </c>
      <c r="L12" s="880">
        <v>2234400000</v>
      </c>
      <c r="M12" s="2370">
        <v>2661529900</v>
      </c>
      <c r="N12" s="73">
        <f t="shared" si="0"/>
        <v>1.1911608933046902</v>
      </c>
      <c r="O12" s="880">
        <v>2234400000</v>
      </c>
      <c r="P12" s="2370">
        <v>1286402741</v>
      </c>
      <c r="Q12" s="73">
        <f t="shared" si="4"/>
        <v>0.57572625358037954</v>
      </c>
      <c r="R12" s="880">
        <v>2234400000</v>
      </c>
      <c r="S12" s="2370">
        <v>522169000</v>
      </c>
      <c r="T12" s="73">
        <f t="shared" si="5"/>
        <v>0.2336953992123165</v>
      </c>
      <c r="U12" s="880">
        <v>2513700000</v>
      </c>
      <c r="V12" s="2370">
        <v>505776000</v>
      </c>
      <c r="W12" s="73">
        <f t="shared" si="6"/>
        <v>0.20120778135815731</v>
      </c>
      <c r="X12" s="880">
        <v>2793000000</v>
      </c>
      <c r="Y12" s="2370">
        <v>277173000</v>
      </c>
      <c r="Z12" s="73">
        <f t="shared" si="7"/>
        <v>9.9238453276047259E-2</v>
      </c>
      <c r="AA12" s="880">
        <v>2793000000</v>
      </c>
      <c r="AB12" s="2370">
        <v>355252000</v>
      </c>
      <c r="AC12" s="73">
        <f t="shared" ref="AC12:AC33" si="16">+AB12/AA12</f>
        <v>0.1271936985320444</v>
      </c>
      <c r="AD12" s="2370">
        <f t="shared" ref="AD12:AD33" si="17">+M12+P12+S12+V12+Y12+AB12</f>
        <v>5608302641</v>
      </c>
      <c r="AE12" s="73">
        <f t="shared" ref="AE12:AE27" si="18">AD12/G12</f>
        <v>0.20079851919083422</v>
      </c>
      <c r="AF12" s="880">
        <v>2793000000</v>
      </c>
      <c r="AG12" s="2370">
        <v>2246014181</v>
      </c>
      <c r="AH12" s="73">
        <f t="shared" si="8"/>
        <v>0.8041583175796635</v>
      </c>
      <c r="AI12" s="880">
        <v>2793000000</v>
      </c>
      <c r="AJ12" s="2370">
        <v>690537891</v>
      </c>
      <c r="AK12" s="73">
        <f t="shared" si="9"/>
        <v>0.24723877228786251</v>
      </c>
      <c r="AL12" s="880">
        <v>2793000000</v>
      </c>
      <c r="AM12" s="2370">
        <v>1535454960</v>
      </c>
      <c r="AN12" s="73">
        <f t="shared" si="10"/>
        <v>0.549751149301826</v>
      </c>
      <c r="AO12" s="880">
        <v>2793000000</v>
      </c>
      <c r="AP12" s="2370">
        <v>1567723060</v>
      </c>
      <c r="AQ12" s="73">
        <f t="shared" si="11"/>
        <v>0.56130435374149656</v>
      </c>
      <c r="AR12" s="880">
        <v>1117200000</v>
      </c>
      <c r="AS12" s="2370">
        <v>4272778050</v>
      </c>
      <c r="AT12" s="73">
        <f t="shared" si="12"/>
        <v>3.8245417561761545</v>
      </c>
      <c r="AU12" s="880">
        <v>837900000</v>
      </c>
      <c r="AV12" s="2370">
        <v>2289662350</v>
      </c>
      <c r="AW12" s="73">
        <f t="shared" ref="AW12:AW33" si="19">+AV12/AU12</f>
        <v>2.7326200620599117</v>
      </c>
      <c r="AX12" s="880">
        <f>+M12+P12+S12+V12+Y12+AB12+AG12+AJ12+AM12+AP12+AS12+AV12</f>
        <v>18210473133</v>
      </c>
      <c r="AY12" s="304">
        <f>+AX12/(L12+O12+R12+U12+X12+AA12+AF12+AI12+AL12+AO12+AR12+AU12)</f>
        <v>0.65200405059076261</v>
      </c>
    </row>
    <row r="13" spans="1:52" s="22" customFormat="1" ht="76.5" thickTop="1" thickBot="1">
      <c r="A13" s="2944"/>
      <c r="B13" s="2849"/>
      <c r="C13" s="3224"/>
      <c r="D13" s="17" t="s">
        <v>927</v>
      </c>
      <c r="E13" s="76" t="s">
        <v>527</v>
      </c>
      <c r="F13" s="76" t="s">
        <v>101</v>
      </c>
      <c r="G13" s="2375">
        <v>21000000000</v>
      </c>
      <c r="H13" s="78"/>
      <c r="I13" s="79"/>
      <c r="J13" s="78"/>
      <c r="K13" s="76" t="s">
        <v>172</v>
      </c>
      <c r="L13" s="2368">
        <v>1680000000</v>
      </c>
      <c r="M13" s="2369">
        <v>4102108830</v>
      </c>
      <c r="N13" s="73">
        <f t="shared" si="0"/>
        <v>2.4417314464285713</v>
      </c>
      <c r="O13" s="2368">
        <v>1680000000</v>
      </c>
      <c r="P13" s="2369">
        <v>561571000</v>
      </c>
      <c r="Q13" s="73">
        <f t="shared" si="4"/>
        <v>0.33426845238095237</v>
      </c>
      <c r="R13" s="2368">
        <v>1680000000</v>
      </c>
      <c r="S13" s="2369">
        <v>1001758000</v>
      </c>
      <c r="T13" s="73">
        <f t="shared" si="5"/>
        <v>0.59628452380952379</v>
      </c>
      <c r="U13" s="2368">
        <v>1890000000</v>
      </c>
      <c r="V13" s="2369">
        <v>505776000</v>
      </c>
      <c r="W13" s="73">
        <f t="shared" si="6"/>
        <v>0.26760634920634918</v>
      </c>
      <c r="X13" s="2368">
        <v>2100000000</v>
      </c>
      <c r="Y13" s="2369">
        <v>277173000</v>
      </c>
      <c r="Z13" s="73">
        <f t="shared" si="7"/>
        <v>0.13198714285714286</v>
      </c>
      <c r="AA13" s="2368">
        <v>2100000000</v>
      </c>
      <c r="AB13" s="2369">
        <v>353881000</v>
      </c>
      <c r="AC13" s="73">
        <f t="shared" si="16"/>
        <v>0.16851476190476192</v>
      </c>
      <c r="AD13" s="2369">
        <f t="shared" si="17"/>
        <v>6802267830</v>
      </c>
      <c r="AE13" s="73">
        <f t="shared" si="18"/>
        <v>0.32391751571428573</v>
      </c>
      <c r="AF13" s="2368">
        <v>2100000000</v>
      </c>
      <c r="AG13" s="2369">
        <v>3364800396.6391406</v>
      </c>
      <c r="AH13" s="73">
        <f t="shared" si="8"/>
        <v>1.6022859031614956</v>
      </c>
      <c r="AI13" s="2368">
        <v>2100000000</v>
      </c>
      <c r="AJ13" s="2369">
        <v>630654000</v>
      </c>
      <c r="AK13" s="73">
        <f t="shared" si="9"/>
        <v>0.30031142857142856</v>
      </c>
      <c r="AL13" s="2368">
        <v>2100000000</v>
      </c>
      <c r="AM13" s="2369">
        <v>2201509356</v>
      </c>
      <c r="AN13" s="73">
        <f t="shared" si="10"/>
        <v>1.0483377885714287</v>
      </c>
      <c r="AO13" s="2368">
        <v>2100000000</v>
      </c>
      <c r="AP13" s="2369">
        <v>1028653000</v>
      </c>
      <c r="AQ13" s="73">
        <f t="shared" si="11"/>
        <v>0.48983476190476188</v>
      </c>
      <c r="AR13" s="2368">
        <v>840000000</v>
      </c>
      <c r="AS13" s="2369">
        <v>1277170000</v>
      </c>
      <c r="AT13" s="73">
        <f t="shared" si="12"/>
        <v>1.5204404761904762</v>
      </c>
      <c r="AU13" s="2368">
        <v>630000000</v>
      </c>
      <c r="AV13" s="2369">
        <v>1253241000</v>
      </c>
      <c r="AW13" s="73">
        <f t="shared" si="19"/>
        <v>1.9892714285714286</v>
      </c>
      <c r="AX13" s="2368">
        <f>+M13+P13+S13+V13+Y13+AB13+AG13+AJ13+AM13+AP13+AS13+AV13</f>
        <v>16558295582.639141</v>
      </c>
      <c r="AY13" s="73">
        <f>+AX13/G13</f>
        <v>0.78849026583995907</v>
      </c>
    </row>
    <row r="14" spans="1:52" s="22" customFormat="1" ht="76.5" thickTop="1" thickBot="1">
      <c r="A14" s="2944"/>
      <c r="B14" s="2849"/>
      <c r="C14" s="3224"/>
      <c r="D14" s="24" t="s">
        <v>928</v>
      </c>
      <c r="E14" s="81" t="s">
        <v>105</v>
      </c>
      <c r="F14" s="81" t="s">
        <v>24</v>
      </c>
      <c r="G14" s="634">
        <v>60</v>
      </c>
      <c r="H14" s="82"/>
      <c r="I14" s="629"/>
      <c r="J14" s="82"/>
      <c r="K14" s="81" t="s">
        <v>172</v>
      </c>
      <c r="L14" s="2376">
        <v>0</v>
      </c>
      <c r="M14" s="2377">
        <v>0</v>
      </c>
      <c r="N14" s="73" t="e">
        <f t="shared" si="0"/>
        <v>#DIV/0!</v>
      </c>
      <c r="O14" s="2376">
        <v>0</v>
      </c>
      <c r="P14" s="2377"/>
      <c r="Q14" s="73" t="e">
        <f t="shared" si="4"/>
        <v>#DIV/0!</v>
      </c>
      <c r="R14" s="2376">
        <v>15</v>
      </c>
      <c r="S14" s="2377">
        <v>12</v>
      </c>
      <c r="T14" s="73">
        <f t="shared" si="5"/>
        <v>0.8</v>
      </c>
      <c r="U14" s="2376">
        <v>0</v>
      </c>
      <c r="V14" s="2377">
        <v>0</v>
      </c>
      <c r="W14" s="73" t="e">
        <f t="shared" si="6"/>
        <v>#DIV/0!</v>
      </c>
      <c r="X14" s="2376">
        <v>0</v>
      </c>
      <c r="Y14" s="2377">
        <v>0</v>
      </c>
      <c r="Z14" s="73" t="e">
        <f t="shared" si="7"/>
        <v>#DIV/0!</v>
      </c>
      <c r="AA14" s="2376">
        <v>15</v>
      </c>
      <c r="AB14" s="2377">
        <v>0</v>
      </c>
      <c r="AC14" s="73">
        <f t="shared" si="16"/>
        <v>0</v>
      </c>
      <c r="AD14" s="2378">
        <f>+M14+P14+S14+V14+Y14+AB14</f>
        <v>12</v>
      </c>
      <c r="AE14" s="73">
        <f>AD14/(AA14+R14)</f>
        <v>0.4</v>
      </c>
      <c r="AF14" s="2376">
        <v>0</v>
      </c>
      <c r="AG14" s="2377">
        <v>0</v>
      </c>
      <c r="AH14" s="73" t="e">
        <f t="shared" si="8"/>
        <v>#DIV/0!</v>
      </c>
      <c r="AI14" s="2376">
        <v>0</v>
      </c>
      <c r="AJ14" s="2377">
        <v>0</v>
      </c>
      <c r="AK14" s="73" t="e">
        <f t="shared" si="9"/>
        <v>#DIV/0!</v>
      </c>
      <c r="AL14" s="2376">
        <v>15</v>
      </c>
      <c r="AM14" s="2377">
        <v>11</v>
      </c>
      <c r="AN14" s="73">
        <f t="shared" si="10"/>
        <v>0.73333333333333328</v>
      </c>
      <c r="AO14" s="2376">
        <v>0</v>
      </c>
      <c r="AP14" s="2377">
        <v>0</v>
      </c>
      <c r="AQ14" s="73" t="e">
        <f t="shared" si="11"/>
        <v>#DIV/0!</v>
      </c>
      <c r="AR14" s="2376">
        <v>0</v>
      </c>
      <c r="AS14" s="2377"/>
      <c r="AT14" s="73" t="e">
        <f t="shared" si="12"/>
        <v>#DIV/0!</v>
      </c>
      <c r="AU14" s="2376">
        <v>15</v>
      </c>
      <c r="AV14" s="2377">
        <v>40</v>
      </c>
      <c r="AW14" s="73">
        <f t="shared" si="19"/>
        <v>2.6666666666666665</v>
      </c>
      <c r="AX14" s="2368">
        <f>+M14+P14+S14+V14+Y14+AB14+AG14+AJ14+AM14+AP14+AS14+AV14</f>
        <v>63</v>
      </c>
      <c r="AY14" s="73">
        <f>+AX14/G14</f>
        <v>1.05</v>
      </c>
    </row>
    <row r="15" spans="1:52" s="22" customFormat="1" ht="76.5" thickTop="1" thickBot="1">
      <c r="A15" s="2944"/>
      <c r="B15" s="2849"/>
      <c r="C15" s="3225"/>
      <c r="D15" s="17" t="s">
        <v>106</v>
      </c>
      <c r="E15" s="76" t="s">
        <v>173</v>
      </c>
      <c r="F15" s="76" t="s">
        <v>24</v>
      </c>
      <c r="G15" s="2379">
        <v>44</v>
      </c>
      <c r="H15" s="710"/>
      <c r="I15" s="2212"/>
      <c r="J15" s="710"/>
      <c r="K15" s="76" t="s">
        <v>172</v>
      </c>
      <c r="L15" s="2380">
        <v>0</v>
      </c>
      <c r="M15" s="2378"/>
      <c r="N15" s="73" t="e">
        <f t="shared" si="0"/>
        <v>#DIV/0!</v>
      </c>
      <c r="O15" s="2380">
        <v>0</v>
      </c>
      <c r="P15" s="2378"/>
      <c r="Q15" s="73" t="e">
        <f t="shared" si="4"/>
        <v>#DIV/0!</v>
      </c>
      <c r="R15" s="2380">
        <v>0</v>
      </c>
      <c r="S15" s="2378"/>
      <c r="T15" s="73" t="e">
        <f t="shared" si="5"/>
        <v>#DIV/0!</v>
      </c>
      <c r="U15" s="2380">
        <v>0</v>
      </c>
      <c r="V15" s="2378"/>
      <c r="W15" s="73" t="e">
        <f t="shared" si="6"/>
        <v>#DIV/0!</v>
      </c>
      <c r="X15" s="2380"/>
      <c r="Y15" s="2378"/>
      <c r="Z15" s="73" t="e">
        <f t="shared" si="7"/>
        <v>#DIV/0!</v>
      </c>
      <c r="AA15" s="2380">
        <v>0</v>
      </c>
      <c r="AB15" s="2378"/>
      <c r="AC15" s="73" t="e">
        <f t="shared" si="16"/>
        <v>#DIV/0!</v>
      </c>
      <c r="AD15" s="2378">
        <f>+M15+P15+S15+V15+Y15+AB15</f>
        <v>0</v>
      </c>
      <c r="AE15" s="73">
        <f t="shared" si="18"/>
        <v>0</v>
      </c>
      <c r="AF15" s="2380">
        <v>22</v>
      </c>
      <c r="AG15" s="2378">
        <v>21</v>
      </c>
      <c r="AH15" s="73">
        <f t="shared" si="8"/>
        <v>0.95454545454545459</v>
      </c>
      <c r="AI15" s="2380">
        <v>0</v>
      </c>
      <c r="AJ15" s="2378">
        <v>0</v>
      </c>
      <c r="AK15" s="73" t="e">
        <f t="shared" si="9"/>
        <v>#DIV/0!</v>
      </c>
      <c r="AL15" s="2380">
        <v>0</v>
      </c>
      <c r="AM15" s="2378">
        <v>0</v>
      </c>
      <c r="AN15" s="73" t="e">
        <f t="shared" si="10"/>
        <v>#DIV/0!</v>
      </c>
      <c r="AO15" s="2380">
        <v>0</v>
      </c>
      <c r="AP15" s="2378">
        <v>0</v>
      </c>
      <c r="AQ15" s="73" t="e">
        <f t="shared" si="11"/>
        <v>#DIV/0!</v>
      </c>
      <c r="AR15" s="2380">
        <v>0</v>
      </c>
      <c r="AS15" s="2378"/>
      <c r="AT15" s="73" t="e">
        <f t="shared" si="12"/>
        <v>#DIV/0!</v>
      </c>
      <c r="AU15" s="2380">
        <v>22</v>
      </c>
      <c r="AV15" s="2378">
        <v>23</v>
      </c>
      <c r="AW15" s="73">
        <f t="shared" si="19"/>
        <v>1.0454545454545454</v>
      </c>
      <c r="AX15" s="2368">
        <f>+M15+P15+S15+V15+Y15+AB15+AG15+AJ15+AM15+AP15+AS15+AV15</f>
        <v>44</v>
      </c>
      <c r="AY15" s="73">
        <f>+AX15/G15</f>
        <v>1</v>
      </c>
    </row>
    <row r="16" spans="1:52" s="22" customFormat="1" ht="46.5" thickTop="1" thickBot="1">
      <c r="A16" s="2944"/>
      <c r="B16" s="2849"/>
      <c r="C16" s="2381" t="s">
        <v>1002</v>
      </c>
      <c r="D16" s="24" t="s">
        <v>568</v>
      </c>
      <c r="E16" s="81" t="s">
        <v>110</v>
      </c>
      <c r="F16" s="81" t="s">
        <v>18</v>
      </c>
      <c r="G16" s="2374">
        <v>58797</v>
      </c>
      <c r="H16" s="715"/>
      <c r="I16" s="2216"/>
      <c r="J16" s="715"/>
      <c r="K16" s="81" t="s">
        <v>21</v>
      </c>
      <c r="L16" s="2382">
        <v>0</v>
      </c>
      <c r="M16" s="2383"/>
      <c r="N16" s="73" t="e">
        <f t="shared" si="0"/>
        <v>#DIV/0!</v>
      </c>
      <c r="O16" s="2382">
        <v>0</v>
      </c>
      <c r="P16" s="2383"/>
      <c r="Q16" s="73" t="e">
        <f t="shared" si="4"/>
        <v>#DIV/0!</v>
      </c>
      <c r="R16" s="2382">
        <v>14686.95332646012</v>
      </c>
      <c r="S16" s="2383"/>
      <c r="T16" s="73">
        <f t="shared" si="5"/>
        <v>0</v>
      </c>
      <c r="U16" s="2382">
        <v>5295.7916507535483</v>
      </c>
      <c r="V16" s="2383"/>
      <c r="W16" s="73">
        <f t="shared" si="6"/>
        <v>0</v>
      </c>
      <c r="X16" s="2382">
        <v>6095.6637367221501</v>
      </c>
      <c r="Y16" s="2383"/>
      <c r="Z16" s="73">
        <f t="shared" si="7"/>
        <v>0</v>
      </c>
      <c r="AA16" s="2382">
        <v>4902.9417018491094</v>
      </c>
      <c r="AB16" s="2383"/>
      <c r="AC16" s="73">
        <f t="shared" si="16"/>
        <v>0</v>
      </c>
      <c r="AD16" s="2383">
        <f t="shared" si="17"/>
        <v>0</v>
      </c>
      <c r="AE16" s="73">
        <f t="shared" si="18"/>
        <v>0</v>
      </c>
      <c r="AF16" s="2382">
        <v>4551.9026580590162</v>
      </c>
      <c r="AG16" s="2383"/>
      <c r="AH16" s="73">
        <f t="shared" si="8"/>
        <v>0</v>
      </c>
      <c r="AI16" s="2382">
        <v>4544.2537580276839</v>
      </c>
      <c r="AJ16" s="2383"/>
      <c r="AK16" s="73">
        <f t="shared" si="9"/>
        <v>0</v>
      </c>
      <c r="AL16" s="2382">
        <v>5412.0040160792341</v>
      </c>
      <c r="AM16" s="2383"/>
      <c r="AN16" s="73">
        <f t="shared" si="10"/>
        <v>0</v>
      </c>
      <c r="AO16" s="2382">
        <v>4989.3900000000003</v>
      </c>
      <c r="AP16" s="2383"/>
      <c r="AQ16" s="73">
        <f t="shared" si="11"/>
        <v>0</v>
      </c>
      <c r="AR16" s="2382">
        <v>55171</v>
      </c>
      <c r="AS16" s="2383"/>
      <c r="AT16" s="73">
        <f t="shared" si="12"/>
        <v>0</v>
      </c>
      <c r="AU16" s="2382">
        <v>58797</v>
      </c>
      <c r="AV16" s="2383">
        <v>45171</v>
      </c>
      <c r="AW16" s="73">
        <f t="shared" si="19"/>
        <v>0.76825348232052659</v>
      </c>
      <c r="AX16" s="2382">
        <f t="shared" ref="AX16:AX19" si="20">+M16+P16+S16+V16+Y16+AB16+AG16+AJ16+AM16+AP16+AS16+AV16</f>
        <v>45171</v>
      </c>
      <c r="AY16" s="73">
        <f t="shared" ref="AY16:AY18" si="21">+AX16/G16</f>
        <v>0.76825348232052659</v>
      </c>
    </row>
    <row r="17" spans="1:51" s="22" customFormat="1" ht="46.5" thickTop="1" thickBot="1">
      <c r="A17" s="2944"/>
      <c r="B17" s="2849"/>
      <c r="C17" s="2384" t="s">
        <v>659</v>
      </c>
      <c r="D17" s="17" t="s">
        <v>660</v>
      </c>
      <c r="E17" s="76" t="s">
        <v>112</v>
      </c>
      <c r="F17" s="76" t="s">
        <v>17</v>
      </c>
      <c r="G17" s="637">
        <v>143</v>
      </c>
      <c r="H17" s="710"/>
      <c r="I17" s="2173"/>
      <c r="J17" s="710"/>
      <c r="K17" s="76" t="s">
        <v>20</v>
      </c>
      <c r="L17" s="2385">
        <v>0</v>
      </c>
      <c r="M17" s="2386"/>
      <c r="N17" s="73" t="e">
        <f t="shared" si="0"/>
        <v>#DIV/0!</v>
      </c>
      <c r="O17" s="2385">
        <v>0</v>
      </c>
      <c r="P17" s="2386"/>
      <c r="Q17" s="73" t="e">
        <f t="shared" si="4"/>
        <v>#DIV/0!</v>
      </c>
      <c r="R17" s="2385">
        <v>20</v>
      </c>
      <c r="S17" s="2386"/>
      <c r="T17" s="73">
        <f t="shared" si="5"/>
        <v>0</v>
      </c>
      <c r="U17" s="2385">
        <v>26</v>
      </c>
      <c r="V17" s="2386"/>
      <c r="W17" s="73">
        <f t="shared" si="6"/>
        <v>0</v>
      </c>
      <c r="X17" s="2385">
        <v>28</v>
      </c>
      <c r="Y17" s="2386"/>
      <c r="Z17" s="73">
        <f t="shared" si="7"/>
        <v>0</v>
      </c>
      <c r="AA17" s="2385">
        <v>30</v>
      </c>
      <c r="AB17" s="2386"/>
      <c r="AC17" s="73">
        <f t="shared" si="16"/>
        <v>0</v>
      </c>
      <c r="AD17" s="2386">
        <f t="shared" si="17"/>
        <v>0</v>
      </c>
      <c r="AE17" s="73">
        <f t="shared" si="18"/>
        <v>0</v>
      </c>
      <c r="AF17" s="2385">
        <v>80</v>
      </c>
      <c r="AG17" s="2386"/>
      <c r="AH17" s="73">
        <f t="shared" si="8"/>
        <v>0</v>
      </c>
      <c r="AI17" s="2385">
        <v>15</v>
      </c>
      <c r="AJ17" s="2386"/>
      <c r="AK17" s="73">
        <f t="shared" si="9"/>
        <v>0</v>
      </c>
      <c r="AL17" s="2385">
        <v>12</v>
      </c>
      <c r="AM17" s="2386"/>
      <c r="AN17" s="73">
        <f t="shared" si="10"/>
        <v>0</v>
      </c>
      <c r="AO17" s="2385">
        <v>9</v>
      </c>
      <c r="AP17" s="2386"/>
      <c r="AQ17" s="73">
        <f t="shared" si="11"/>
        <v>0</v>
      </c>
      <c r="AR17" s="2385">
        <v>6</v>
      </c>
      <c r="AS17" s="2386"/>
      <c r="AT17" s="73">
        <f t="shared" si="12"/>
        <v>0</v>
      </c>
      <c r="AU17" s="2385">
        <v>3</v>
      </c>
      <c r="AV17" s="2386">
        <v>91</v>
      </c>
      <c r="AW17" s="73">
        <f t="shared" si="19"/>
        <v>30.333333333333332</v>
      </c>
      <c r="AX17" s="2385">
        <v>91</v>
      </c>
      <c r="AY17" s="73">
        <f>+AX17/G17</f>
        <v>0.63636363636363635</v>
      </c>
    </row>
    <row r="18" spans="1:51" s="22" customFormat="1" ht="61.5" thickTop="1" thickBot="1">
      <c r="A18" s="2944"/>
      <c r="B18" s="2849"/>
      <c r="C18" s="81" t="s">
        <v>1016</v>
      </c>
      <c r="D18" s="24" t="s">
        <v>114</v>
      </c>
      <c r="E18" s="81" t="s">
        <v>115</v>
      </c>
      <c r="F18" s="81" t="s">
        <v>10</v>
      </c>
      <c r="G18" s="2387">
        <v>1</v>
      </c>
      <c r="H18" s="82"/>
      <c r="I18" s="629"/>
      <c r="J18" s="82"/>
      <c r="K18" s="81" t="s">
        <v>20</v>
      </c>
      <c r="L18" s="83">
        <v>0</v>
      </c>
      <c r="M18" s="84"/>
      <c r="N18" s="73" t="e">
        <f t="shared" si="0"/>
        <v>#DIV/0!</v>
      </c>
      <c r="O18" s="83">
        <v>0</v>
      </c>
      <c r="P18" s="84"/>
      <c r="Q18" s="73" t="e">
        <f t="shared" si="4"/>
        <v>#DIV/0!</v>
      </c>
      <c r="R18" s="83">
        <v>0.25</v>
      </c>
      <c r="S18" s="84"/>
      <c r="T18" s="73">
        <f t="shared" si="5"/>
        <v>0</v>
      </c>
      <c r="U18" s="83">
        <v>0</v>
      </c>
      <c r="V18" s="84"/>
      <c r="W18" s="73" t="e">
        <f t="shared" si="6"/>
        <v>#DIV/0!</v>
      </c>
      <c r="X18" s="83">
        <v>0</v>
      </c>
      <c r="Y18" s="84"/>
      <c r="Z18" s="73" t="e">
        <f t="shared" si="7"/>
        <v>#DIV/0!</v>
      </c>
      <c r="AA18" s="83">
        <v>0.25</v>
      </c>
      <c r="AB18" s="84"/>
      <c r="AC18" s="73">
        <f t="shared" si="16"/>
        <v>0</v>
      </c>
      <c r="AD18" s="84">
        <f t="shared" si="17"/>
        <v>0</v>
      </c>
      <c r="AE18" s="73">
        <f t="shared" si="18"/>
        <v>0</v>
      </c>
      <c r="AF18" s="83">
        <v>0</v>
      </c>
      <c r="AG18" s="84"/>
      <c r="AH18" s="73" t="e">
        <f t="shared" si="8"/>
        <v>#DIV/0!</v>
      </c>
      <c r="AI18" s="83">
        <v>0</v>
      </c>
      <c r="AJ18" s="84"/>
      <c r="AK18" s="73" t="e">
        <f t="shared" si="9"/>
        <v>#DIV/0!</v>
      </c>
      <c r="AL18" s="83">
        <v>0.25</v>
      </c>
      <c r="AM18" s="84"/>
      <c r="AN18" s="73">
        <f t="shared" si="10"/>
        <v>0</v>
      </c>
      <c r="AO18" s="83">
        <v>0</v>
      </c>
      <c r="AP18" s="84"/>
      <c r="AQ18" s="73" t="e">
        <f t="shared" si="11"/>
        <v>#DIV/0!</v>
      </c>
      <c r="AR18" s="83">
        <v>0</v>
      </c>
      <c r="AS18" s="84"/>
      <c r="AT18" s="73" t="e">
        <f t="shared" si="12"/>
        <v>#DIV/0!</v>
      </c>
      <c r="AU18" s="83">
        <v>0.25</v>
      </c>
      <c r="AV18" s="84">
        <v>1</v>
      </c>
      <c r="AW18" s="73">
        <f t="shared" si="19"/>
        <v>4</v>
      </c>
      <c r="AX18" s="83">
        <f>+M18+P18+S18+V18+Y18+AB18+AG18+AJ18+AM18+AP18+AS18+AV18</f>
        <v>1</v>
      </c>
      <c r="AY18" s="73">
        <f t="shared" si="21"/>
        <v>1</v>
      </c>
    </row>
    <row r="19" spans="1:51" s="22" customFormat="1" ht="46.5" thickTop="1" thickBot="1">
      <c r="A19" s="2944"/>
      <c r="B19" s="2849"/>
      <c r="C19" s="1745" t="s">
        <v>174</v>
      </c>
      <c r="D19" s="2388" t="s">
        <v>116</v>
      </c>
      <c r="E19" s="727" t="s">
        <v>117</v>
      </c>
      <c r="F19" s="85" t="s">
        <v>17</v>
      </c>
      <c r="G19" s="40">
        <v>2538</v>
      </c>
      <c r="H19" s="85"/>
      <c r="I19" s="18"/>
      <c r="J19" s="85"/>
      <c r="K19" s="561" t="s">
        <v>118</v>
      </c>
      <c r="L19" s="2389">
        <v>0</v>
      </c>
      <c r="M19" s="2390"/>
      <c r="N19" s="73" t="e">
        <f t="shared" si="0"/>
        <v>#DIV/0!</v>
      </c>
      <c r="O19" s="2389">
        <v>0</v>
      </c>
      <c r="P19" s="2390"/>
      <c r="Q19" s="73" t="e">
        <f t="shared" si="4"/>
        <v>#DIV/0!</v>
      </c>
      <c r="R19" s="2389">
        <v>482</v>
      </c>
      <c r="S19" s="2390"/>
      <c r="T19" s="73">
        <f t="shared" si="5"/>
        <v>0</v>
      </c>
      <c r="U19" s="2389">
        <v>392</v>
      </c>
      <c r="V19" s="2390"/>
      <c r="W19" s="73">
        <f t="shared" si="6"/>
        <v>0</v>
      </c>
      <c r="X19" s="2389">
        <v>114</v>
      </c>
      <c r="Y19" s="2390"/>
      <c r="Z19" s="73">
        <f t="shared" si="7"/>
        <v>0</v>
      </c>
      <c r="AA19" s="2389">
        <v>128</v>
      </c>
      <c r="AB19" s="2390"/>
      <c r="AC19" s="73">
        <f t="shared" si="16"/>
        <v>0</v>
      </c>
      <c r="AD19" s="2390">
        <f t="shared" si="17"/>
        <v>0</v>
      </c>
      <c r="AE19" s="73">
        <f t="shared" si="18"/>
        <v>0</v>
      </c>
      <c r="AF19" s="2389">
        <v>236</v>
      </c>
      <c r="AG19" s="2390"/>
      <c r="AH19" s="73">
        <f t="shared" si="8"/>
        <v>0</v>
      </c>
      <c r="AI19" s="2389">
        <v>361</v>
      </c>
      <c r="AJ19" s="2390"/>
      <c r="AK19" s="73">
        <f t="shared" si="9"/>
        <v>0</v>
      </c>
      <c r="AL19" s="2389">
        <v>489</v>
      </c>
      <c r="AM19" s="2390"/>
      <c r="AN19" s="73">
        <f t="shared" si="10"/>
        <v>0</v>
      </c>
      <c r="AO19" s="2389">
        <v>191</v>
      </c>
      <c r="AP19" s="2390"/>
      <c r="AQ19" s="73">
        <f t="shared" si="11"/>
        <v>0</v>
      </c>
      <c r="AR19" s="2389">
        <v>131</v>
      </c>
      <c r="AS19" s="2390"/>
      <c r="AT19" s="73">
        <f t="shared" si="12"/>
        <v>0</v>
      </c>
      <c r="AU19" s="2389">
        <v>14</v>
      </c>
      <c r="AV19" s="2390">
        <v>3235</v>
      </c>
      <c r="AW19" s="73">
        <f t="shared" si="19"/>
        <v>231.07142857142858</v>
      </c>
      <c r="AX19" s="2389">
        <f t="shared" si="20"/>
        <v>3235</v>
      </c>
      <c r="AY19" s="73">
        <f>+AX19/G19</f>
        <v>1.2746256895193064</v>
      </c>
    </row>
    <row r="20" spans="1:51" s="22" customFormat="1" ht="61.5" thickTop="1" thickBot="1">
      <c r="A20" s="2944"/>
      <c r="B20" s="2849"/>
      <c r="C20" s="2911" t="s">
        <v>119</v>
      </c>
      <c r="D20" s="86" t="s">
        <v>120</v>
      </c>
      <c r="E20" s="87" t="s">
        <v>121</v>
      </c>
      <c r="F20" s="81" t="s">
        <v>10</v>
      </c>
      <c r="G20" s="88" t="s">
        <v>1017</v>
      </c>
      <c r="H20" s="82"/>
      <c r="I20" s="88"/>
      <c r="J20" s="82"/>
      <c r="K20" s="81" t="s">
        <v>7</v>
      </c>
      <c r="L20" s="83">
        <v>0</v>
      </c>
      <c r="M20" s="84"/>
      <c r="N20" s="73" t="e">
        <f t="shared" si="0"/>
        <v>#DIV/0!</v>
      </c>
      <c r="O20" s="83">
        <v>0</v>
      </c>
      <c r="P20" s="84"/>
      <c r="Q20" s="73" t="e">
        <f t="shared" si="4"/>
        <v>#DIV/0!</v>
      </c>
      <c r="R20" s="83">
        <v>0</v>
      </c>
      <c r="S20" s="84"/>
      <c r="T20" s="73" t="e">
        <f t="shared" si="5"/>
        <v>#DIV/0!</v>
      </c>
      <c r="U20" s="83">
        <v>0</v>
      </c>
      <c r="V20" s="84"/>
      <c r="W20" s="73">
        <v>0</v>
      </c>
      <c r="X20" s="83">
        <v>0</v>
      </c>
      <c r="Y20" s="84"/>
      <c r="Z20" s="73" t="e">
        <f t="shared" si="7"/>
        <v>#DIV/0!</v>
      </c>
      <c r="AA20" s="83">
        <v>0</v>
      </c>
      <c r="AB20" s="84"/>
      <c r="AC20" s="73" t="e">
        <f t="shared" si="16"/>
        <v>#DIV/0!</v>
      </c>
      <c r="AD20" s="84">
        <f t="shared" si="17"/>
        <v>0</v>
      </c>
      <c r="AE20" s="73">
        <f t="shared" si="18"/>
        <v>0</v>
      </c>
      <c r="AF20" s="83">
        <v>0</v>
      </c>
      <c r="AG20" s="84"/>
      <c r="AH20" s="73" t="e">
        <f t="shared" si="8"/>
        <v>#DIV/0!</v>
      </c>
      <c r="AI20" s="83">
        <v>0</v>
      </c>
      <c r="AJ20" s="84"/>
      <c r="AK20" s="73">
        <v>0</v>
      </c>
      <c r="AL20" s="83">
        <v>0</v>
      </c>
      <c r="AM20" s="84"/>
      <c r="AN20" s="73" t="e">
        <f t="shared" si="10"/>
        <v>#DIV/0!</v>
      </c>
      <c r="AO20" s="83">
        <v>0</v>
      </c>
      <c r="AP20" s="84" t="s">
        <v>323</v>
      </c>
      <c r="AQ20" s="73">
        <v>0</v>
      </c>
      <c r="AR20" s="83">
        <v>0</v>
      </c>
      <c r="AS20" s="84" t="s">
        <v>323</v>
      </c>
      <c r="AT20" s="73" t="e">
        <f t="shared" si="12"/>
        <v>#VALUE!</v>
      </c>
      <c r="AU20" s="83">
        <v>0.64100000000000001</v>
      </c>
      <c r="AV20" s="84" t="s">
        <v>323</v>
      </c>
      <c r="AW20" s="73" t="e">
        <f t="shared" si="19"/>
        <v>#VALUE!</v>
      </c>
      <c r="AX20" s="83" t="str">
        <f>AV20</f>
        <v>-</v>
      </c>
      <c r="AY20" s="73"/>
    </row>
    <row r="21" spans="1:51" s="22" customFormat="1" ht="46.5" thickTop="1" thickBot="1">
      <c r="A21" s="2944"/>
      <c r="B21" s="2849"/>
      <c r="C21" s="2912"/>
      <c r="D21" s="89" t="s">
        <v>175</v>
      </c>
      <c r="E21" s="90" t="s">
        <v>123</v>
      </c>
      <c r="F21" s="76" t="s">
        <v>10</v>
      </c>
      <c r="G21" s="91">
        <v>1</v>
      </c>
      <c r="H21" s="78"/>
      <c r="I21" s="91"/>
      <c r="J21" s="78"/>
      <c r="K21" s="76" t="s">
        <v>7</v>
      </c>
      <c r="L21" s="2391">
        <v>0</v>
      </c>
      <c r="M21" s="2392"/>
      <c r="N21" s="73" t="e">
        <f t="shared" si="0"/>
        <v>#DIV/0!</v>
      </c>
      <c r="O21" s="2391">
        <v>0</v>
      </c>
      <c r="P21" s="2392"/>
      <c r="Q21" s="73" t="e">
        <f t="shared" si="4"/>
        <v>#DIV/0!</v>
      </c>
      <c r="R21" s="2391">
        <v>0</v>
      </c>
      <c r="S21" s="2392"/>
      <c r="T21" s="73" t="e">
        <f>+S21/R21</f>
        <v>#DIV/0!</v>
      </c>
      <c r="U21" s="2391">
        <v>1</v>
      </c>
      <c r="V21" s="2392">
        <v>1</v>
      </c>
      <c r="W21" s="73">
        <f>V21/U21</f>
        <v>1</v>
      </c>
      <c r="X21" s="2391">
        <v>0</v>
      </c>
      <c r="Y21" s="2392"/>
      <c r="Z21" s="73" t="e">
        <f t="shared" si="7"/>
        <v>#DIV/0!</v>
      </c>
      <c r="AA21" s="2391">
        <v>0</v>
      </c>
      <c r="AB21" s="2392"/>
      <c r="AC21" s="73" t="e">
        <f t="shared" si="16"/>
        <v>#DIV/0!</v>
      </c>
      <c r="AD21" s="2392">
        <f t="shared" si="17"/>
        <v>1</v>
      </c>
      <c r="AE21" s="73">
        <f t="shared" si="18"/>
        <v>1</v>
      </c>
      <c r="AF21" s="2391">
        <v>0</v>
      </c>
      <c r="AG21" s="2392"/>
      <c r="AH21" s="73" t="e">
        <f t="shared" si="8"/>
        <v>#DIV/0!</v>
      </c>
      <c r="AI21" s="2391">
        <v>0</v>
      </c>
      <c r="AJ21" s="2392"/>
      <c r="AK21" s="73" t="e">
        <f t="shared" si="9"/>
        <v>#DIV/0!</v>
      </c>
      <c r="AL21" s="2391">
        <v>0</v>
      </c>
      <c r="AM21" s="2392"/>
      <c r="AN21" s="73" t="e">
        <f t="shared" si="10"/>
        <v>#DIV/0!</v>
      </c>
      <c r="AO21" s="2391">
        <v>1</v>
      </c>
      <c r="AP21" s="2392">
        <v>1</v>
      </c>
      <c r="AQ21" s="73">
        <f>AP21/AO21</f>
        <v>1</v>
      </c>
      <c r="AR21" s="2391">
        <v>0</v>
      </c>
      <c r="AS21" s="2392"/>
      <c r="AT21" s="73" t="e">
        <f t="shared" si="12"/>
        <v>#DIV/0!</v>
      </c>
      <c r="AU21" s="2391">
        <v>0</v>
      </c>
      <c r="AV21" s="2392"/>
      <c r="AW21" s="73" t="e">
        <f t="shared" si="19"/>
        <v>#DIV/0!</v>
      </c>
      <c r="AX21" s="2391">
        <f>(+AP21+V21)/2</f>
        <v>1</v>
      </c>
      <c r="AY21" s="73">
        <v>1</v>
      </c>
    </row>
    <row r="22" spans="1:51" s="22" customFormat="1" ht="61.5" thickTop="1" thickBot="1">
      <c r="A22" s="2944"/>
      <c r="B22" s="2849"/>
      <c r="C22" s="2912"/>
      <c r="D22" s="86" t="s">
        <v>124</v>
      </c>
      <c r="E22" s="87" t="s">
        <v>176</v>
      </c>
      <c r="F22" s="81" t="s">
        <v>10</v>
      </c>
      <c r="G22" s="88">
        <v>1</v>
      </c>
      <c r="H22" s="82"/>
      <c r="I22" s="88"/>
      <c r="J22" s="82"/>
      <c r="K22" s="81" t="s">
        <v>7</v>
      </c>
      <c r="L22" s="83">
        <v>0</v>
      </c>
      <c r="M22" s="84"/>
      <c r="N22" s="73" t="e">
        <f t="shared" si="0"/>
        <v>#DIV/0!</v>
      </c>
      <c r="O22" s="83">
        <v>0</v>
      </c>
      <c r="P22" s="84"/>
      <c r="Q22" s="73" t="e">
        <f t="shared" si="4"/>
        <v>#DIV/0!</v>
      </c>
      <c r="R22" s="83">
        <v>1</v>
      </c>
      <c r="S22" s="84" t="s">
        <v>323</v>
      </c>
      <c r="T22" s="73" t="e">
        <f t="shared" si="5"/>
        <v>#VALUE!</v>
      </c>
      <c r="U22" s="83">
        <v>0</v>
      </c>
      <c r="V22" s="84"/>
      <c r="W22" s="73" t="e">
        <f t="shared" si="6"/>
        <v>#DIV/0!</v>
      </c>
      <c r="X22" s="83">
        <v>0</v>
      </c>
      <c r="Y22" s="84"/>
      <c r="Z22" s="73" t="e">
        <f t="shared" si="7"/>
        <v>#DIV/0!</v>
      </c>
      <c r="AA22" s="83">
        <v>1</v>
      </c>
      <c r="AB22" s="84" t="s">
        <v>1018</v>
      </c>
      <c r="AC22" s="73" t="e">
        <f t="shared" si="16"/>
        <v>#VALUE!</v>
      </c>
      <c r="AD22" s="84" t="e">
        <f>(+AB22+S22)/2</f>
        <v>#VALUE!</v>
      </c>
      <c r="AE22" s="73" t="e">
        <f t="shared" si="18"/>
        <v>#VALUE!</v>
      </c>
      <c r="AF22" s="83">
        <v>0</v>
      </c>
      <c r="AG22" s="84"/>
      <c r="AH22" s="73" t="e">
        <f t="shared" si="8"/>
        <v>#DIV/0!</v>
      </c>
      <c r="AI22" s="83">
        <v>0</v>
      </c>
      <c r="AJ22" s="84"/>
      <c r="AK22" s="73" t="e">
        <f t="shared" si="9"/>
        <v>#DIV/0!</v>
      </c>
      <c r="AL22" s="83">
        <v>1</v>
      </c>
      <c r="AM22" s="84" t="s">
        <v>323</v>
      </c>
      <c r="AN22" s="73" t="e">
        <f t="shared" si="10"/>
        <v>#VALUE!</v>
      </c>
      <c r="AO22" s="83">
        <v>0</v>
      </c>
      <c r="AP22" s="84"/>
      <c r="AQ22" s="73">
        <v>0</v>
      </c>
      <c r="AR22" s="83">
        <v>0</v>
      </c>
      <c r="AS22" s="84"/>
      <c r="AT22" s="73" t="e">
        <f t="shared" si="12"/>
        <v>#DIV/0!</v>
      </c>
      <c r="AU22" s="83">
        <v>1</v>
      </c>
      <c r="AV22" s="84" t="s">
        <v>323</v>
      </c>
      <c r="AW22" s="73" t="e">
        <f t="shared" si="19"/>
        <v>#VALUE!</v>
      </c>
      <c r="AX22" s="83" t="e">
        <f>(+AV22+AM22+AB22+S22)/4</f>
        <v>#VALUE!</v>
      </c>
      <c r="AY22" s="73"/>
    </row>
    <row r="23" spans="1:51" s="22" customFormat="1" ht="46.5" thickTop="1" thickBot="1">
      <c r="A23" s="2944"/>
      <c r="B23" s="2849"/>
      <c r="C23" s="2912"/>
      <c r="D23" s="89" t="s">
        <v>177</v>
      </c>
      <c r="E23" s="90" t="s">
        <v>127</v>
      </c>
      <c r="F23" s="76" t="s">
        <v>10</v>
      </c>
      <c r="G23" s="91">
        <v>1</v>
      </c>
      <c r="H23" s="78"/>
      <c r="I23" s="91"/>
      <c r="J23" s="78"/>
      <c r="K23" s="76" t="s">
        <v>7</v>
      </c>
      <c r="L23" s="92">
        <v>1</v>
      </c>
      <c r="M23" s="2097"/>
      <c r="N23" s="73">
        <f t="shared" si="0"/>
        <v>0</v>
      </c>
      <c r="O23" s="92">
        <v>1</v>
      </c>
      <c r="P23" s="2097"/>
      <c r="Q23" s="73">
        <f t="shared" si="4"/>
        <v>0</v>
      </c>
      <c r="R23" s="92">
        <v>1</v>
      </c>
      <c r="S23" s="2097"/>
      <c r="T23" s="73">
        <f t="shared" si="5"/>
        <v>0</v>
      </c>
      <c r="U23" s="92">
        <v>1</v>
      </c>
      <c r="V23" s="2097"/>
      <c r="W23" s="73">
        <f t="shared" si="6"/>
        <v>0</v>
      </c>
      <c r="X23" s="92">
        <v>1</v>
      </c>
      <c r="Y23" s="2097"/>
      <c r="Z23" s="73">
        <f t="shared" si="7"/>
        <v>0</v>
      </c>
      <c r="AA23" s="92">
        <v>1</v>
      </c>
      <c r="AB23" s="2097"/>
      <c r="AC23" s="73">
        <f t="shared" si="16"/>
        <v>0</v>
      </c>
      <c r="AD23" s="2097">
        <f>(+M23+P23+S23+V23+Y23+AB23)/6</f>
        <v>0</v>
      </c>
      <c r="AE23" s="73">
        <f t="shared" si="18"/>
        <v>0</v>
      </c>
      <c r="AF23" s="92">
        <v>1</v>
      </c>
      <c r="AG23" s="2097"/>
      <c r="AH23" s="73">
        <f t="shared" si="8"/>
        <v>0</v>
      </c>
      <c r="AI23" s="92">
        <v>1</v>
      </c>
      <c r="AJ23" s="2097">
        <v>1</v>
      </c>
      <c r="AK23" s="73">
        <f>AI23/AJ23</f>
        <v>1</v>
      </c>
      <c r="AL23" s="92">
        <v>1</v>
      </c>
      <c r="AM23" s="2097">
        <v>1</v>
      </c>
      <c r="AN23" s="73">
        <f>AL23/AM23</f>
        <v>1</v>
      </c>
      <c r="AO23" s="92">
        <v>1</v>
      </c>
      <c r="AP23" s="2097">
        <v>1</v>
      </c>
      <c r="AQ23" s="73">
        <f>AO23/AP23</f>
        <v>1</v>
      </c>
      <c r="AR23" s="92">
        <v>1</v>
      </c>
      <c r="AS23" s="2097">
        <v>1</v>
      </c>
      <c r="AT23" s="73">
        <f>+AS23/AR23</f>
        <v>1</v>
      </c>
      <c r="AU23" s="92">
        <v>1</v>
      </c>
      <c r="AV23" s="2097">
        <v>1</v>
      </c>
      <c r="AW23" s="73">
        <f t="shared" si="19"/>
        <v>1</v>
      </c>
      <c r="AX23" s="92">
        <f>(+M23+P23+S23+V23+Y23+AB23+AG23+AJ23+AM23+AP23+AS23+AV23)/5</f>
        <v>1</v>
      </c>
      <c r="AY23" s="73">
        <f>AX23/G23</f>
        <v>1</v>
      </c>
    </row>
    <row r="24" spans="1:51" s="22" customFormat="1" ht="61.5" thickTop="1" thickBot="1">
      <c r="A24" s="2944"/>
      <c r="B24" s="2849"/>
      <c r="C24" s="2912"/>
      <c r="D24" s="86" t="s">
        <v>128</v>
      </c>
      <c r="E24" s="87" t="s">
        <v>178</v>
      </c>
      <c r="F24" s="81" t="s">
        <v>10</v>
      </c>
      <c r="G24" s="88">
        <v>1</v>
      </c>
      <c r="H24" s="82"/>
      <c r="I24" s="88"/>
      <c r="J24" s="82"/>
      <c r="K24" s="81" t="s">
        <v>7</v>
      </c>
      <c r="L24" s="83">
        <v>1</v>
      </c>
      <c r="M24" s="84"/>
      <c r="N24" s="73">
        <f t="shared" si="0"/>
        <v>0</v>
      </c>
      <c r="O24" s="83">
        <v>1</v>
      </c>
      <c r="P24" s="84"/>
      <c r="Q24" s="73">
        <f t="shared" si="4"/>
        <v>0</v>
      </c>
      <c r="R24" s="83">
        <v>1</v>
      </c>
      <c r="S24" s="84" t="s">
        <v>323</v>
      </c>
      <c r="T24" s="73" t="e">
        <f t="shared" si="5"/>
        <v>#VALUE!</v>
      </c>
      <c r="U24" s="83">
        <v>1</v>
      </c>
      <c r="V24" s="84" t="s">
        <v>323</v>
      </c>
      <c r="W24" s="73" t="e">
        <f t="shared" si="6"/>
        <v>#VALUE!</v>
      </c>
      <c r="X24" s="83">
        <v>1</v>
      </c>
      <c r="Y24" s="84" t="s">
        <v>323</v>
      </c>
      <c r="Z24" s="73" t="e">
        <f t="shared" si="7"/>
        <v>#VALUE!</v>
      </c>
      <c r="AA24" s="83">
        <v>1</v>
      </c>
      <c r="AB24" s="84" t="s">
        <v>323</v>
      </c>
      <c r="AC24" s="73" t="e">
        <f t="shared" si="16"/>
        <v>#VALUE!</v>
      </c>
      <c r="AD24" s="84" t="e">
        <f>(+M24+P24+S24+V24+Y24+AB24)/6</f>
        <v>#VALUE!</v>
      </c>
      <c r="AE24" s="73" t="e">
        <f t="shared" si="18"/>
        <v>#VALUE!</v>
      </c>
      <c r="AF24" s="83">
        <v>1</v>
      </c>
      <c r="AG24" s="84" t="s">
        <v>323</v>
      </c>
      <c r="AH24" s="73" t="e">
        <f t="shared" si="8"/>
        <v>#VALUE!</v>
      </c>
      <c r="AI24" s="83">
        <v>1</v>
      </c>
      <c r="AJ24" s="84" t="s">
        <v>323</v>
      </c>
      <c r="AK24" s="73" t="e">
        <f t="shared" si="9"/>
        <v>#VALUE!</v>
      </c>
      <c r="AL24" s="83">
        <v>1</v>
      </c>
      <c r="AM24" s="84" t="s">
        <v>323</v>
      </c>
      <c r="AN24" s="73" t="e">
        <f t="shared" si="10"/>
        <v>#VALUE!</v>
      </c>
      <c r="AO24" s="83">
        <v>1</v>
      </c>
      <c r="AP24" s="84" t="s">
        <v>323</v>
      </c>
      <c r="AQ24" s="73"/>
      <c r="AR24" s="83">
        <v>1</v>
      </c>
      <c r="AS24" s="84" t="s">
        <v>323</v>
      </c>
      <c r="AT24" s="73" t="e">
        <f t="shared" si="12"/>
        <v>#VALUE!</v>
      </c>
      <c r="AU24" s="83">
        <v>1</v>
      </c>
      <c r="AV24" s="84" t="s">
        <v>323</v>
      </c>
      <c r="AW24" s="73" t="e">
        <f t="shared" si="19"/>
        <v>#VALUE!</v>
      </c>
      <c r="AX24" s="83" t="e">
        <f>(+M24+P24+S24+V24+Y24+AB24+AG24+AJ24+AM24+AP24+AS24+AV24)/12</f>
        <v>#VALUE!</v>
      </c>
      <c r="AY24" s="1606"/>
    </row>
    <row r="25" spans="1:51" s="22" customFormat="1" ht="61.5" thickTop="1" thickBot="1">
      <c r="A25" s="2944"/>
      <c r="B25" s="2849"/>
      <c r="C25" s="2912"/>
      <c r="D25" s="89" t="s">
        <v>179</v>
      </c>
      <c r="E25" s="90" t="s">
        <v>131</v>
      </c>
      <c r="F25" s="76" t="s">
        <v>10</v>
      </c>
      <c r="G25" s="91">
        <v>1</v>
      </c>
      <c r="H25" s="78"/>
      <c r="I25" s="91"/>
      <c r="J25" s="78"/>
      <c r="K25" s="76" t="s">
        <v>7</v>
      </c>
      <c r="L25" s="92">
        <v>1</v>
      </c>
      <c r="M25" s="2097"/>
      <c r="N25" s="73">
        <f>+M25/L25</f>
        <v>0</v>
      </c>
      <c r="O25" s="92">
        <v>1</v>
      </c>
      <c r="P25" s="2097"/>
      <c r="Q25" s="73">
        <f>+P25/O25</f>
        <v>0</v>
      </c>
      <c r="R25" s="92">
        <v>1</v>
      </c>
      <c r="S25" s="2097"/>
      <c r="T25" s="73">
        <f>S25/R25</f>
        <v>0</v>
      </c>
      <c r="U25" s="92">
        <v>1</v>
      </c>
      <c r="V25" s="2097">
        <v>0.2</v>
      </c>
      <c r="W25" s="73">
        <f>V25/U25</f>
        <v>0.2</v>
      </c>
      <c r="X25" s="92">
        <v>1</v>
      </c>
      <c r="Y25" s="2097">
        <v>0.3</v>
      </c>
      <c r="Z25" s="73">
        <f>Y25/X25</f>
        <v>0.3</v>
      </c>
      <c r="AA25" s="92">
        <v>1</v>
      </c>
      <c r="AB25" s="2097">
        <v>0.3</v>
      </c>
      <c r="AC25" s="73">
        <f>AB25/AA25</f>
        <v>0.3</v>
      </c>
      <c r="AD25" s="2097">
        <f>(+M25+P25+S25+V25+Y25+AB25)/6</f>
        <v>0.13333333333333333</v>
      </c>
      <c r="AE25" s="73">
        <f t="shared" si="18"/>
        <v>0.13333333333333333</v>
      </c>
      <c r="AF25" s="92">
        <v>1</v>
      </c>
      <c r="AG25" s="2097">
        <v>0.5</v>
      </c>
      <c r="AH25" s="73">
        <f>AG25/AF25</f>
        <v>0.5</v>
      </c>
      <c r="AI25" s="92">
        <v>1</v>
      </c>
      <c r="AJ25" s="2097">
        <v>0.6</v>
      </c>
      <c r="AK25" s="73">
        <f>AJ25/AI25</f>
        <v>0.6</v>
      </c>
      <c r="AL25" s="92">
        <v>1</v>
      </c>
      <c r="AM25" s="2097">
        <v>0.6</v>
      </c>
      <c r="AN25" s="73">
        <f>AM25/AL25</f>
        <v>0.6</v>
      </c>
      <c r="AO25" s="92">
        <v>1</v>
      </c>
      <c r="AP25" s="2097">
        <v>0.7</v>
      </c>
      <c r="AQ25" s="73">
        <f>AP25/AO25</f>
        <v>0.7</v>
      </c>
      <c r="AR25" s="92">
        <v>1</v>
      </c>
      <c r="AS25" s="2097">
        <v>0.8</v>
      </c>
      <c r="AT25" s="73">
        <f>+AS25/AR25</f>
        <v>0.8</v>
      </c>
      <c r="AU25" s="92">
        <v>1</v>
      </c>
      <c r="AV25" s="2097">
        <v>1</v>
      </c>
      <c r="AW25" s="73">
        <f t="shared" si="19"/>
        <v>1</v>
      </c>
      <c r="AX25" s="92">
        <v>1</v>
      </c>
      <c r="AY25" s="73">
        <v>1</v>
      </c>
    </row>
    <row r="26" spans="1:51" s="22" customFormat="1" ht="61.5" thickTop="1" thickBot="1">
      <c r="A26" s="2944"/>
      <c r="B26" s="2850"/>
      <c r="C26" s="2913"/>
      <c r="D26" s="86" t="s">
        <v>132</v>
      </c>
      <c r="E26" s="87" t="s">
        <v>133</v>
      </c>
      <c r="F26" s="81" t="s">
        <v>10</v>
      </c>
      <c r="G26" s="88">
        <v>1</v>
      </c>
      <c r="H26" s="81"/>
      <c r="I26" s="88"/>
      <c r="J26" s="81"/>
      <c r="K26" s="81" t="s">
        <v>7</v>
      </c>
      <c r="L26" s="83">
        <v>0</v>
      </c>
      <c r="M26" s="84"/>
      <c r="N26" s="73" t="e">
        <f t="shared" si="0"/>
        <v>#DIV/0!</v>
      </c>
      <c r="O26" s="83">
        <v>0</v>
      </c>
      <c r="P26" s="84"/>
      <c r="Q26" s="73" t="e">
        <f t="shared" si="4"/>
        <v>#DIV/0!</v>
      </c>
      <c r="R26" s="83">
        <v>0</v>
      </c>
      <c r="S26" s="84"/>
      <c r="T26" s="73">
        <v>0</v>
      </c>
      <c r="U26" s="83">
        <v>0</v>
      </c>
      <c r="V26" s="84"/>
      <c r="W26" s="73">
        <v>0</v>
      </c>
      <c r="X26" s="83">
        <v>0</v>
      </c>
      <c r="Y26" s="84"/>
      <c r="Z26" s="73">
        <v>0</v>
      </c>
      <c r="AA26" s="83">
        <v>0</v>
      </c>
      <c r="AB26" s="84">
        <v>0</v>
      </c>
      <c r="AC26" s="73">
        <v>0</v>
      </c>
      <c r="AD26" s="84">
        <f t="shared" si="17"/>
        <v>0</v>
      </c>
      <c r="AE26" s="73">
        <f t="shared" si="18"/>
        <v>0</v>
      </c>
      <c r="AF26" s="83">
        <v>0</v>
      </c>
      <c r="AG26" s="84"/>
      <c r="AH26" s="73">
        <v>0</v>
      </c>
      <c r="AI26" s="83">
        <v>1</v>
      </c>
      <c r="AJ26" s="84"/>
      <c r="AK26" s="73">
        <f t="shared" si="9"/>
        <v>0</v>
      </c>
      <c r="AL26" s="83">
        <v>0</v>
      </c>
      <c r="AM26" s="84"/>
      <c r="AN26" s="73">
        <v>0</v>
      </c>
      <c r="AO26" s="83">
        <v>0</v>
      </c>
      <c r="AP26" s="84">
        <v>0</v>
      </c>
      <c r="AQ26" s="73">
        <v>0</v>
      </c>
      <c r="AR26" s="83">
        <v>0</v>
      </c>
      <c r="AS26" s="84"/>
      <c r="AT26" s="73" t="e">
        <f t="shared" si="12"/>
        <v>#DIV/0!</v>
      </c>
      <c r="AU26" s="83">
        <v>0</v>
      </c>
      <c r="AV26" s="84"/>
      <c r="AW26" s="73">
        <v>0</v>
      </c>
      <c r="AX26" s="83">
        <f>+AJ26</f>
        <v>0</v>
      </c>
      <c r="AY26" s="73"/>
    </row>
    <row r="27" spans="1:51" s="22" customFormat="1" ht="114" thickTop="1" thickBot="1">
      <c r="A27" s="1046"/>
      <c r="B27" s="1169" t="s">
        <v>137</v>
      </c>
      <c r="C27" s="76" t="s">
        <v>180</v>
      </c>
      <c r="D27" s="17" t="s">
        <v>138</v>
      </c>
      <c r="E27" s="76" t="s">
        <v>139</v>
      </c>
      <c r="F27" s="76" t="s">
        <v>101</v>
      </c>
      <c r="G27" s="2375">
        <f>+'[4]FIS-24'!$BR$16</f>
        <v>515000000</v>
      </c>
      <c r="H27" s="78"/>
      <c r="I27" s="79"/>
      <c r="J27" s="78"/>
      <c r="K27" s="76" t="s">
        <v>140</v>
      </c>
      <c r="L27" s="2368">
        <v>40000000</v>
      </c>
      <c r="M27" s="2369">
        <v>21294404</v>
      </c>
      <c r="N27" s="73">
        <f>+M27/L27</f>
        <v>0.5323601</v>
      </c>
      <c r="O27" s="2368">
        <v>40000000</v>
      </c>
      <c r="P27" s="2369">
        <v>56354033</v>
      </c>
      <c r="Q27" s="73">
        <f t="shared" si="4"/>
        <v>1.408850825</v>
      </c>
      <c r="R27" s="2368">
        <v>40000000</v>
      </c>
      <c r="S27" s="2369">
        <v>40271974</v>
      </c>
      <c r="T27" s="73">
        <f t="shared" si="5"/>
        <v>1.0067993500000001</v>
      </c>
      <c r="U27" s="2368">
        <v>79333333</v>
      </c>
      <c r="V27" s="2369">
        <v>0</v>
      </c>
      <c r="W27" s="73">
        <f t="shared" si="6"/>
        <v>0</v>
      </c>
      <c r="X27" s="2368">
        <v>79333333</v>
      </c>
      <c r="Y27" s="2369">
        <v>11558987</v>
      </c>
      <c r="Z27" s="73">
        <f t="shared" si="7"/>
        <v>0.14570151741891393</v>
      </c>
      <c r="AA27" s="2368">
        <v>79333333</v>
      </c>
      <c r="AB27" s="2369">
        <v>38741648</v>
      </c>
      <c r="AC27" s="73">
        <f t="shared" si="16"/>
        <v>0.48834010289218532</v>
      </c>
      <c r="AD27" s="2369">
        <f t="shared" si="17"/>
        <v>168221046</v>
      </c>
      <c r="AE27" s="73">
        <f t="shared" si="18"/>
        <v>0.32664280776699028</v>
      </c>
      <c r="AF27" s="2368">
        <v>79333333</v>
      </c>
      <c r="AG27" s="2369">
        <v>10528247</v>
      </c>
      <c r="AH27" s="73">
        <f t="shared" si="8"/>
        <v>0.13270899635592015</v>
      </c>
      <c r="AI27" s="2368">
        <v>17863333.640000001</v>
      </c>
      <c r="AJ27" s="2369">
        <v>26837986</v>
      </c>
      <c r="AK27" s="73">
        <f t="shared" si="9"/>
        <v>1.5024063559952632</v>
      </c>
      <c r="AL27" s="2368">
        <v>17863333.640000001</v>
      </c>
      <c r="AM27" s="2369">
        <v>43595078</v>
      </c>
      <c r="AN27" s="73">
        <f t="shared" si="10"/>
        <v>2.4404782936137335</v>
      </c>
      <c r="AO27" s="2368">
        <v>17863333.640000001</v>
      </c>
      <c r="AP27" s="2369">
        <v>55132658</v>
      </c>
      <c r="AQ27" s="73">
        <f t="shared" si="11"/>
        <v>3.0863588572597469</v>
      </c>
      <c r="AR27" s="2368">
        <v>12038333.539999999</v>
      </c>
      <c r="AS27" s="2369">
        <v>236553044</v>
      </c>
      <c r="AT27" s="73">
        <f t="shared" si="12"/>
        <v>19.649982550657924</v>
      </c>
      <c r="AU27" s="2368">
        <v>12038333.539999999</v>
      </c>
      <c r="AV27" s="2369">
        <v>45494762</v>
      </c>
      <c r="AW27" s="73">
        <f t="shared" si="19"/>
        <v>3.7791577919679407</v>
      </c>
      <c r="AX27" s="2368">
        <f>+M27+P27+S27+V27+Y27+AB27+AG27+AJ27+AM27+AP27+AS27+AV27</f>
        <v>586362821</v>
      </c>
      <c r="AY27" s="73">
        <f>+AX27/G27</f>
        <v>1.1385685844660194</v>
      </c>
    </row>
    <row r="28" spans="1:51" ht="22.5" thickTop="1" thickBot="1">
      <c r="A28" s="2904" t="s">
        <v>141</v>
      </c>
      <c r="B28" s="2904"/>
      <c r="C28" s="2904"/>
      <c r="D28" s="2904"/>
      <c r="E28" s="2904"/>
      <c r="F28" s="2904"/>
      <c r="G28" s="2904"/>
      <c r="H28" s="2904"/>
      <c r="I28" s="2904"/>
      <c r="J28" s="2904"/>
      <c r="K28" s="2904"/>
      <c r="L28" s="2393"/>
      <c r="M28" s="2394"/>
      <c r="N28" s="1095"/>
      <c r="O28" s="2394"/>
      <c r="P28" s="2394"/>
      <c r="Q28" s="1095"/>
      <c r="R28" s="2394"/>
      <c r="S28" s="2394"/>
      <c r="T28" s="1095"/>
      <c r="U28" s="2394"/>
      <c r="V28" s="2394"/>
      <c r="W28" s="1095"/>
      <c r="X28" s="2394"/>
      <c r="Y28" s="2394"/>
      <c r="Z28" s="1095"/>
      <c r="AA28" s="2394"/>
      <c r="AB28" s="2394"/>
      <c r="AC28" s="896"/>
      <c r="AD28" s="2394"/>
      <c r="AE28" s="1095"/>
      <c r="AF28" s="2394"/>
      <c r="AG28" s="2394"/>
      <c r="AH28" s="1095"/>
      <c r="AI28" s="2394"/>
      <c r="AJ28" s="2394"/>
      <c r="AK28" s="896"/>
      <c r="AL28" s="2394"/>
      <c r="AM28" s="2394"/>
      <c r="AN28" s="1095"/>
      <c r="AO28" s="2394"/>
      <c r="AP28" s="2394"/>
      <c r="AQ28" s="1095"/>
      <c r="AR28" s="2394"/>
      <c r="AS28" s="2394"/>
      <c r="AT28" s="1095"/>
      <c r="AU28" s="2394"/>
      <c r="AV28" s="2394"/>
      <c r="AW28" s="1095"/>
      <c r="AX28" s="896"/>
      <c r="AY28" s="1095"/>
    </row>
    <row r="29" spans="1:51" ht="106.5" thickTop="1" thickBot="1">
      <c r="A29" s="2905" t="s">
        <v>181</v>
      </c>
      <c r="B29" s="2981" t="s">
        <v>143</v>
      </c>
      <c r="C29" s="371" t="s">
        <v>1019</v>
      </c>
      <c r="D29" s="17" t="s">
        <v>144</v>
      </c>
      <c r="E29" s="76" t="s">
        <v>145</v>
      </c>
      <c r="F29" s="76" t="s">
        <v>17</v>
      </c>
      <c r="G29" s="637">
        <v>120</v>
      </c>
      <c r="H29" s="604"/>
      <c r="I29" s="604"/>
      <c r="J29" s="604"/>
      <c r="K29" s="371" t="s">
        <v>146</v>
      </c>
      <c r="L29" s="2395">
        <v>0</v>
      </c>
      <c r="M29" s="2396"/>
      <c r="N29" s="73" t="e">
        <f t="shared" si="0"/>
        <v>#DIV/0!</v>
      </c>
      <c r="O29" s="2395">
        <v>0</v>
      </c>
      <c r="P29" s="2396"/>
      <c r="Q29" s="73" t="e">
        <f t="shared" si="4"/>
        <v>#DIV/0!</v>
      </c>
      <c r="R29" s="2395">
        <v>0</v>
      </c>
      <c r="S29" s="2396"/>
      <c r="T29" s="73" t="e">
        <f t="shared" si="5"/>
        <v>#DIV/0!</v>
      </c>
      <c r="U29" s="2395">
        <v>24</v>
      </c>
      <c r="V29" s="2396">
        <v>134</v>
      </c>
      <c r="W29" s="73">
        <f t="shared" si="6"/>
        <v>5.583333333333333</v>
      </c>
      <c r="X29" s="2395">
        <v>0</v>
      </c>
      <c r="Y29" s="2396">
        <v>140</v>
      </c>
      <c r="Z29" s="73" t="e">
        <f t="shared" si="7"/>
        <v>#DIV/0!</v>
      </c>
      <c r="AA29" s="2395">
        <v>0</v>
      </c>
      <c r="AB29" s="2396"/>
      <c r="AC29" s="73" t="e">
        <f t="shared" si="16"/>
        <v>#DIV/0!</v>
      </c>
      <c r="AD29" s="2396">
        <f>+M29+P29+S29+V29+Y29+AB29</f>
        <v>274</v>
      </c>
      <c r="AE29" s="73">
        <f>AD29/G29</f>
        <v>2.2833333333333332</v>
      </c>
      <c r="AF29" s="2395">
        <v>0</v>
      </c>
      <c r="AG29" s="2396"/>
      <c r="AH29" s="73" t="e">
        <f t="shared" si="8"/>
        <v>#DIV/0!</v>
      </c>
      <c r="AI29" s="2395">
        <v>36</v>
      </c>
      <c r="AJ29" s="2396">
        <v>198</v>
      </c>
      <c r="AK29" s="73">
        <f t="shared" si="9"/>
        <v>5.5</v>
      </c>
      <c r="AL29" s="2395">
        <v>0</v>
      </c>
      <c r="AM29" s="2396"/>
      <c r="AN29" s="73" t="e">
        <f t="shared" si="10"/>
        <v>#DIV/0!</v>
      </c>
      <c r="AO29" s="2395">
        <v>0</v>
      </c>
      <c r="AP29" s="2396">
        <v>11</v>
      </c>
      <c r="AQ29" s="73" t="e">
        <f t="shared" si="11"/>
        <v>#DIV/0!</v>
      </c>
      <c r="AR29" s="2395">
        <v>0</v>
      </c>
      <c r="AS29" s="2396"/>
      <c r="AT29" s="73" t="e">
        <f t="shared" si="12"/>
        <v>#DIV/0!</v>
      </c>
      <c r="AU29" s="2395">
        <v>60</v>
      </c>
      <c r="AV29" s="2396"/>
      <c r="AW29" s="73">
        <f t="shared" si="19"/>
        <v>0</v>
      </c>
      <c r="AX29" s="2389">
        <f t="shared" ref="AX29" si="22">+M29+P29+S29+V29+Y29+AB29+AG29+AJ29+AM29+AP29+AS29+AV29</f>
        <v>483</v>
      </c>
      <c r="AY29" s="73">
        <f>+AX29/G29</f>
        <v>4.0250000000000004</v>
      </c>
    </row>
    <row r="30" spans="1:51" ht="61.5" thickTop="1" thickBot="1">
      <c r="A30" s="2906"/>
      <c r="B30" s="3162"/>
      <c r="C30" s="211" t="s">
        <v>1020</v>
      </c>
      <c r="D30" s="1961" t="s">
        <v>182</v>
      </c>
      <c r="E30" s="23" t="s">
        <v>149</v>
      </c>
      <c r="F30" s="98" t="s">
        <v>8</v>
      </c>
      <c r="G30" s="98">
        <v>10.199999999999999</v>
      </c>
      <c r="H30" s="386"/>
      <c r="I30" s="30"/>
      <c r="J30" s="386"/>
      <c r="K30" s="25" t="s">
        <v>9</v>
      </c>
      <c r="L30" s="2397">
        <v>10.199999999999999</v>
      </c>
      <c r="M30" s="2398"/>
      <c r="N30" s="73" t="e">
        <f>+L30/M30</f>
        <v>#DIV/0!</v>
      </c>
      <c r="O30" s="2397">
        <v>10.199999999999999</v>
      </c>
      <c r="P30" s="2398">
        <v>2</v>
      </c>
      <c r="Q30" s="73">
        <f>O30/P30</f>
        <v>5.0999999999999996</v>
      </c>
      <c r="R30" s="2397">
        <v>10.199999999999999</v>
      </c>
      <c r="S30" s="2398"/>
      <c r="T30" s="73" t="e">
        <f>+R30/S30</f>
        <v>#DIV/0!</v>
      </c>
      <c r="U30" s="2397">
        <v>10.199999999999999</v>
      </c>
      <c r="V30" s="2398"/>
      <c r="W30" s="73" t="e">
        <f>+U30/V30</f>
        <v>#DIV/0!</v>
      </c>
      <c r="X30" s="2397">
        <v>10.199999999999999</v>
      </c>
      <c r="Y30" s="2398"/>
      <c r="Z30" s="73" t="e">
        <f>+X30/Y30</f>
        <v>#DIV/0!</v>
      </c>
      <c r="AA30" s="2397">
        <v>10.199999999999999</v>
      </c>
      <c r="AB30" s="2398">
        <v>11</v>
      </c>
      <c r="AC30" s="73">
        <f>AA30/AB30</f>
        <v>0.92727272727272725</v>
      </c>
      <c r="AD30" s="2398">
        <f>+(M30+P30+S30+V30+Y30+AB30)/6</f>
        <v>2.1666666666666665</v>
      </c>
      <c r="AE30" s="73">
        <f>+G30/AD30</f>
        <v>4.7076923076923078</v>
      </c>
      <c r="AF30" s="2397">
        <v>10.199999999999999</v>
      </c>
      <c r="AG30" s="2398">
        <v>11</v>
      </c>
      <c r="AH30" s="73">
        <f>AF30/AG30</f>
        <v>0.92727272727272725</v>
      </c>
      <c r="AI30" s="2397">
        <v>10.199999999999999</v>
      </c>
      <c r="AJ30" s="2398">
        <v>10.1</v>
      </c>
      <c r="AK30" s="73">
        <f>AI30/AJ30</f>
        <v>1.0099009900990099</v>
      </c>
      <c r="AL30" s="2397">
        <v>10.199999999999999</v>
      </c>
      <c r="AM30" s="2398">
        <v>10</v>
      </c>
      <c r="AN30" s="73">
        <f>AL30/AM30</f>
        <v>1.02</v>
      </c>
      <c r="AO30" s="2397">
        <v>10.199999999999999</v>
      </c>
      <c r="AP30" s="2398"/>
      <c r="AQ30" s="73" t="e">
        <f>+AO30/AP30</f>
        <v>#DIV/0!</v>
      </c>
      <c r="AR30" s="2397">
        <v>10.199999999999999</v>
      </c>
      <c r="AS30" s="2399">
        <v>8.77</v>
      </c>
      <c r="AT30" s="73">
        <f>+AR30/AS30</f>
        <v>1.1630558722919042</v>
      </c>
      <c r="AU30" s="2397">
        <v>10.199999999999999</v>
      </c>
      <c r="AV30" s="2398">
        <v>9.73</v>
      </c>
      <c r="AW30" s="73">
        <f>+AU30/AV30</f>
        <v>1.0483042137718395</v>
      </c>
      <c r="AX30" s="2400">
        <f>+(M30+P30+S30+V30+Y30+AB30+AG30+AJ30+AM30+AP30+AS30+AV30)/12</f>
        <v>5.2166666666666677</v>
      </c>
      <c r="AY30" s="73">
        <f>G30/AX30</f>
        <v>1.9552715654952071</v>
      </c>
    </row>
    <row r="31" spans="1:51" ht="57.75" thickTop="1" thickBot="1">
      <c r="A31" s="2906"/>
      <c r="B31" s="97" t="s">
        <v>150</v>
      </c>
      <c r="C31" s="561" t="s">
        <v>1021</v>
      </c>
      <c r="D31" s="2388" t="s">
        <v>152</v>
      </c>
      <c r="E31" s="561" t="s">
        <v>183</v>
      </c>
      <c r="F31" s="85" t="s">
        <v>17</v>
      </c>
      <c r="G31" s="40">
        <v>37</v>
      </c>
      <c r="H31" s="2401"/>
      <c r="I31" s="2401"/>
      <c r="J31" s="2401"/>
      <c r="K31" s="561" t="s">
        <v>21</v>
      </c>
      <c r="L31" s="2395">
        <v>0</v>
      </c>
      <c r="M31" s="2396"/>
      <c r="N31" s="73" t="e">
        <f>+L31/M31</f>
        <v>#DIV/0!</v>
      </c>
      <c r="O31" s="2395">
        <v>0</v>
      </c>
      <c r="P31" s="2396"/>
      <c r="Q31" s="73" t="e">
        <f>+O31/P31</f>
        <v>#DIV/0!</v>
      </c>
      <c r="R31" s="2395">
        <v>37</v>
      </c>
      <c r="S31" s="2396"/>
      <c r="T31" s="73" t="e">
        <f>+R31/S31</f>
        <v>#DIV/0!</v>
      </c>
      <c r="U31" s="2395">
        <v>37</v>
      </c>
      <c r="V31" s="2396"/>
      <c r="W31" s="73" t="e">
        <f>+U31/V31</f>
        <v>#DIV/0!</v>
      </c>
      <c r="X31" s="2395">
        <v>37</v>
      </c>
      <c r="Y31" s="2396"/>
      <c r="Z31" s="73" t="e">
        <f>+X31/Y31</f>
        <v>#DIV/0!</v>
      </c>
      <c r="AA31" s="2395">
        <v>37</v>
      </c>
      <c r="AB31" s="2396"/>
      <c r="AC31" s="73" t="e">
        <f>+AA31/AB31</f>
        <v>#DIV/0!</v>
      </c>
      <c r="AD31" s="2396">
        <f t="shared" si="17"/>
        <v>0</v>
      </c>
      <c r="AE31" s="73" t="e">
        <f>+G31/AD31</f>
        <v>#DIV/0!</v>
      </c>
      <c r="AF31" s="2395">
        <v>37</v>
      </c>
      <c r="AG31" s="2396"/>
      <c r="AH31" s="73" t="e">
        <f>+AF31/AG31</f>
        <v>#DIV/0!</v>
      </c>
      <c r="AI31" s="2395">
        <v>37</v>
      </c>
      <c r="AJ31" s="2396"/>
      <c r="AK31" s="73">
        <f t="shared" si="9"/>
        <v>0</v>
      </c>
      <c r="AL31" s="2395">
        <v>37</v>
      </c>
      <c r="AM31" s="2396"/>
      <c r="AN31" s="73" t="e">
        <f>+AL31/AM31</f>
        <v>#DIV/0!</v>
      </c>
      <c r="AO31" s="2395">
        <v>37</v>
      </c>
      <c r="AP31" s="2396"/>
      <c r="AQ31" s="73" t="e">
        <f>+AO31/AP31</f>
        <v>#DIV/0!</v>
      </c>
      <c r="AR31" s="2395">
        <v>37</v>
      </c>
      <c r="AS31" s="2396"/>
      <c r="AT31" s="73" t="e">
        <f>+AR31/AS31</f>
        <v>#DIV/0!</v>
      </c>
      <c r="AU31" s="2395">
        <v>37</v>
      </c>
      <c r="AV31" s="2396">
        <v>36.33</v>
      </c>
      <c r="AW31" s="73">
        <f>+AU31/AV31</f>
        <v>1.0184420589044867</v>
      </c>
      <c r="AX31" s="2389">
        <f t="shared" ref="AX31" si="23">+M31+P31+S31+V31+Y31+AB31+AG31+AJ31+AM31+AP31+AS31+AV31</f>
        <v>36.33</v>
      </c>
      <c r="AY31" s="73">
        <f>+G31/AX31</f>
        <v>1.0184420589044867</v>
      </c>
    </row>
    <row r="32" spans="1:5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1103"/>
      <c r="O32" s="1040"/>
      <c r="P32" s="1040"/>
      <c r="Q32" s="1103"/>
      <c r="R32" s="1040"/>
      <c r="S32" s="1040"/>
      <c r="T32" s="1103"/>
      <c r="U32" s="1040"/>
      <c r="V32" s="1040"/>
      <c r="W32" s="1103"/>
      <c r="X32" s="1040"/>
      <c r="Y32" s="1040"/>
      <c r="Z32" s="1103"/>
      <c r="AA32" s="1040"/>
      <c r="AB32" s="1040"/>
      <c r="AC32" s="1040"/>
      <c r="AD32" s="1040"/>
      <c r="AE32" s="1103"/>
      <c r="AF32" s="1040"/>
      <c r="AG32" s="1040"/>
      <c r="AH32" s="1103"/>
      <c r="AI32" s="1040"/>
      <c r="AJ32" s="1040"/>
      <c r="AK32" s="1040"/>
      <c r="AL32" s="1040"/>
      <c r="AM32" s="1040"/>
      <c r="AN32" s="1103"/>
      <c r="AO32" s="1040"/>
      <c r="AP32" s="1040"/>
      <c r="AQ32" s="1103"/>
      <c r="AR32" s="1040"/>
      <c r="AS32" s="1040"/>
      <c r="AT32" s="1103"/>
      <c r="AU32" s="1040"/>
      <c r="AV32" s="1040"/>
      <c r="AW32" s="1103"/>
      <c r="AX32" s="1040"/>
      <c r="AY32" s="1195"/>
    </row>
    <row r="33" spans="1:51" ht="64.5" thickTop="1" thickBot="1">
      <c r="A33" s="100" t="s">
        <v>155</v>
      </c>
      <c r="B33" s="1101" t="s">
        <v>156</v>
      </c>
      <c r="C33" s="1106" t="s">
        <v>184</v>
      </c>
      <c r="D33" s="1107" t="s">
        <v>158</v>
      </c>
      <c r="E33" s="1106" t="s">
        <v>159</v>
      </c>
      <c r="F33" s="1106" t="s">
        <v>17</v>
      </c>
      <c r="G33" s="1108">
        <v>10</v>
      </c>
      <c r="H33" s="1106"/>
      <c r="I33" s="1108"/>
      <c r="J33" s="1106"/>
      <c r="K33" s="72" t="s">
        <v>27</v>
      </c>
      <c r="L33" s="2395">
        <v>0</v>
      </c>
      <c r="M33" s="2396"/>
      <c r="N33" s="73" t="e">
        <f t="shared" si="0"/>
        <v>#DIV/0!</v>
      </c>
      <c r="O33" s="2395">
        <v>0</v>
      </c>
      <c r="P33" s="2396"/>
      <c r="Q33" s="73" t="e">
        <f t="shared" si="4"/>
        <v>#DIV/0!</v>
      </c>
      <c r="R33" s="2395">
        <v>0</v>
      </c>
      <c r="S33" s="2396"/>
      <c r="T33" s="73" t="e">
        <f t="shared" si="5"/>
        <v>#DIV/0!</v>
      </c>
      <c r="U33" s="2395">
        <v>0</v>
      </c>
      <c r="V33" s="2396"/>
      <c r="W33" s="73" t="e">
        <f t="shared" si="6"/>
        <v>#DIV/0!</v>
      </c>
      <c r="X33" s="2395">
        <v>2</v>
      </c>
      <c r="Y33" s="2396">
        <v>2</v>
      </c>
      <c r="Z33" s="73">
        <f t="shared" si="7"/>
        <v>1</v>
      </c>
      <c r="AA33" s="2395">
        <v>0</v>
      </c>
      <c r="AB33" s="2396"/>
      <c r="AC33" s="73" t="e">
        <f t="shared" si="16"/>
        <v>#DIV/0!</v>
      </c>
      <c r="AD33" s="2396">
        <f t="shared" si="17"/>
        <v>2</v>
      </c>
      <c r="AE33" s="73">
        <f>AD33/G33</f>
        <v>0.2</v>
      </c>
      <c r="AF33" s="2395">
        <v>1</v>
      </c>
      <c r="AG33" s="2396">
        <v>1</v>
      </c>
      <c r="AH33" s="73">
        <f t="shared" si="8"/>
        <v>1</v>
      </c>
      <c r="AI33" s="2395">
        <v>3</v>
      </c>
      <c r="AJ33" s="2396">
        <v>3</v>
      </c>
      <c r="AK33" s="73">
        <f t="shared" si="9"/>
        <v>1</v>
      </c>
      <c r="AL33" s="2395">
        <v>1</v>
      </c>
      <c r="AM33" s="2396">
        <v>1</v>
      </c>
      <c r="AN33" s="73">
        <f t="shared" si="10"/>
        <v>1</v>
      </c>
      <c r="AO33" s="2395">
        <v>3</v>
      </c>
      <c r="AP33" s="2396">
        <v>3</v>
      </c>
      <c r="AQ33" s="73">
        <f t="shared" si="11"/>
        <v>1</v>
      </c>
      <c r="AR33" s="2395">
        <v>0</v>
      </c>
      <c r="AS33" s="2396"/>
      <c r="AT33" s="73" t="e">
        <f t="shared" si="12"/>
        <v>#DIV/0!</v>
      </c>
      <c r="AU33" s="2395">
        <v>0</v>
      </c>
      <c r="AV33" s="2396"/>
      <c r="AW33" s="73" t="e">
        <f t="shared" si="19"/>
        <v>#DIV/0!</v>
      </c>
      <c r="AX33" s="2389">
        <f>+AP33+AM33+AJ33+AG33+Y33</f>
        <v>10</v>
      </c>
      <c r="AY33" s="73">
        <f t="shared" ref="AY33" si="24">+AX33/G33</f>
        <v>1</v>
      </c>
    </row>
    <row r="34" spans="1:51" ht="17.25" thickTop="1"/>
  </sheetData>
  <sheetProtection algorithmName="SHA-512" hashValue="q0V01INUqcAHoq5xxor8hcs/ONozC21/8tLp501wM0fPJvZ8mw+G8V1EQOR/+Td4Eu60nFN6EVrYWqBM6Dts1A==" saltValue="biOgkxgVsxrKObSHztprkQ==" spinCount="100000" sheet="1" objects="1" scenarios="1"/>
  <mergeCells count="37">
    <mergeCell ref="A29:A31"/>
    <mergeCell ref="B29:B30"/>
    <mergeCell ref="A32:K32"/>
    <mergeCell ref="A9:A26"/>
    <mergeCell ref="B9:B10"/>
    <mergeCell ref="B11:B26"/>
    <mergeCell ref="C12:C15"/>
    <mergeCell ref="C20:C26"/>
    <mergeCell ref="A28:K28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N9:N10 N33 N29:N31 N12:N27">
    <cfRule type="cellIs" dxfId="3464" priority="136" operator="greaterThan">
      <formula>110%</formula>
    </cfRule>
    <cfRule type="cellIs" dxfId="3463" priority="137" operator="between">
      <formula>100.001%</formula>
      <formula>110%</formula>
    </cfRule>
    <cfRule type="cellIs" dxfId="3462" priority="138" operator="between">
      <formula>70.001%</formula>
      <formula>100%</formula>
    </cfRule>
    <cfRule type="cellIs" dxfId="3461" priority="139" operator="between">
      <formula>0.00001%</formula>
      <formula>70%</formula>
    </cfRule>
    <cfRule type="cellIs" dxfId="3460" priority="140" operator="equal">
      <formula>0</formula>
    </cfRule>
  </conditionalFormatting>
  <conditionalFormatting sqref="Q9:Q10 Q33 Q29:Q31 Q12:Q27">
    <cfRule type="cellIs" dxfId="3459" priority="131" operator="greaterThan">
      <formula>110%</formula>
    </cfRule>
    <cfRule type="cellIs" dxfId="3458" priority="132" operator="between">
      <formula>100.001%</formula>
      <formula>110%</formula>
    </cfRule>
    <cfRule type="cellIs" dxfId="3457" priority="133" operator="between">
      <formula>70.001%</formula>
      <formula>100%</formula>
    </cfRule>
    <cfRule type="cellIs" dxfId="3456" priority="134" operator="between">
      <formula>0.00001%</formula>
      <formula>70%</formula>
    </cfRule>
    <cfRule type="cellIs" dxfId="3455" priority="135" operator="equal">
      <formula>0</formula>
    </cfRule>
  </conditionalFormatting>
  <conditionalFormatting sqref="T9:T10 T33 T29:T31 T12:T27">
    <cfRule type="cellIs" dxfId="3454" priority="126" operator="greaterThan">
      <formula>110%</formula>
    </cfRule>
    <cfRule type="cellIs" dxfId="3453" priority="127" operator="between">
      <formula>100.001%</formula>
      <formula>110%</formula>
    </cfRule>
    <cfRule type="cellIs" dxfId="3452" priority="128" operator="between">
      <formula>70.001%</formula>
      <formula>100%</formula>
    </cfRule>
    <cfRule type="cellIs" dxfId="3451" priority="129" operator="between">
      <formula>0.00001%</formula>
      <formula>70%</formula>
    </cfRule>
    <cfRule type="cellIs" dxfId="3450" priority="130" operator="equal">
      <formula>0</formula>
    </cfRule>
  </conditionalFormatting>
  <conditionalFormatting sqref="W9:W10 W33 W29:W31 W12:W27">
    <cfRule type="cellIs" dxfId="3449" priority="121" operator="greaterThan">
      <formula>110%</formula>
    </cfRule>
    <cfRule type="cellIs" dxfId="3448" priority="122" operator="between">
      <formula>100.001%</formula>
      <formula>110%</formula>
    </cfRule>
    <cfRule type="cellIs" dxfId="3447" priority="123" operator="between">
      <formula>70.001%</formula>
      <formula>100%</formula>
    </cfRule>
    <cfRule type="cellIs" dxfId="3446" priority="124" operator="between">
      <formula>0.00001%</formula>
      <formula>70%</formula>
    </cfRule>
    <cfRule type="cellIs" dxfId="3445" priority="125" operator="equal">
      <formula>0</formula>
    </cfRule>
  </conditionalFormatting>
  <conditionalFormatting sqref="Z9:Z10 Z33 Z29:Z31 Z12:Z27">
    <cfRule type="cellIs" dxfId="3444" priority="116" operator="greaterThan">
      <formula>110%</formula>
    </cfRule>
    <cfRule type="cellIs" dxfId="3443" priority="117" operator="between">
      <formula>100.001%</formula>
      <formula>110%</formula>
    </cfRule>
    <cfRule type="cellIs" dxfId="3442" priority="118" operator="between">
      <formula>70.001%</formula>
      <formula>100%</formula>
    </cfRule>
    <cfRule type="cellIs" dxfId="3441" priority="119" operator="between">
      <formula>0.00001%</formula>
      <formula>70%</formula>
    </cfRule>
    <cfRule type="cellIs" dxfId="3440" priority="120" operator="equal">
      <formula>0</formula>
    </cfRule>
  </conditionalFormatting>
  <conditionalFormatting sqref="AC9:AC10 AC33 AC29:AC31 AC12:AC27">
    <cfRule type="cellIs" dxfId="3439" priority="111" operator="greaterThan">
      <formula>110%</formula>
    </cfRule>
    <cfRule type="cellIs" dxfId="3438" priority="112" operator="between">
      <formula>100.001%</formula>
      <formula>110%</formula>
    </cfRule>
    <cfRule type="cellIs" dxfId="3437" priority="113" operator="between">
      <formula>70.001%</formula>
      <formula>100%</formula>
    </cfRule>
    <cfRule type="cellIs" dxfId="3436" priority="114" operator="between">
      <formula>0.00001%</formula>
      <formula>70%</formula>
    </cfRule>
    <cfRule type="cellIs" dxfId="3435" priority="115" operator="equal">
      <formula>0</formula>
    </cfRule>
  </conditionalFormatting>
  <conditionalFormatting sqref="AH9:AH10 AH33 AH29:AH31 AH12:AH27">
    <cfRule type="cellIs" dxfId="3434" priority="106" operator="greaterThan">
      <formula>110%</formula>
    </cfRule>
    <cfRule type="cellIs" dxfId="3433" priority="107" operator="between">
      <formula>100.001%</formula>
      <formula>110%</formula>
    </cfRule>
    <cfRule type="cellIs" dxfId="3432" priority="108" operator="between">
      <formula>70.001%</formula>
      <formula>100%</formula>
    </cfRule>
    <cfRule type="cellIs" dxfId="3431" priority="109" operator="between">
      <formula>0.00001%</formula>
      <formula>70%</formula>
    </cfRule>
    <cfRule type="cellIs" dxfId="3430" priority="110" operator="equal">
      <formula>0</formula>
    </cfRule>
  </conditionalFormatting>
  <conditionalFormatting sqref="AK9:AK10 AK29 AK33 AK12:AK27 AK31">
    <cfRule type="cellIs" dxfId="3429" priority="101" operator="greaterThan">
      <formula>110%</formula>
    </cfRule>
    <cfRule type="cellIs" dxfId="3428" priority="102" operator="between">
      <formula>100.001%</formula>
      <formula>110%</formula>
    </cfRule>
    <cfRule type="cellIs" dxfId="3427" priority="103" operator="between">
      <formula>70.001%</formula>
      <formula>100%</formula>
    </cfRule>
    <cfRule type="cellIs" dxfId="3426" priority="104" operator="between">
      <formula>0.00001%</formula>
      <formula>70%</formula>
    </cfRule>
    <cfRule type="cellIs" dxfId="3425" priority="105" operator="equal">
      <formula>0</formula>
    </cfRule>
  </conditionalFormatting>
  <conditionalFormatting sqref="AN9:AN10 AN33 AN29:AN31 AN12:AN27">
    <cfRule type="cellIs" dxfId="3424" priority="96" operator="greaterThan">
      <formula>110%</formula>
    </cfRule>
    <cfRule type="cellIs" dxfId="3423" priority="97" operator="between">
      <formula>100.001%</formula>
      <formula>110%</formula>
    </cfRule>
    <cfRule type="cellIs" dxfId="3422" priority="98" operator="between">
      <formula>70.001%</formula>
      <formula>100%</formula>
    </cfRule>
    <cfRule type="cellIs" dxfId="3421" priority="99" operator="between">
      <formula>0.00001%</formula>
      <formula>70%</formula>
    </cfRule>
    <cfRule type="cellIs" dxfId="3420" priority="100" operator="equal">
      <formula>0</formula>
    </cfRule>
  </conditionalFormatting>
  <conditionalFormatting sqref="AQ9:AQ10 AQ33 AQ29:AQ31 AQ12:AQ22 AQ24:AQ27">
    <cfRule type="cellIs" dxfId="3419" priority="91" operator="greaterThan">
      <formula>110%</formula>
    </cfRule>
    <cfRule type="cellIs" dxfId="3418" priority="92" operator="between">
      <formula>100.001%</formula>
      <formula>110%</formula>
    </cfRule>
    <cfRule type="cellIs" dxfId="3417" priority="93" operator="between">
      <formula>70.001%</formula>
      <formula>100%</formula>
    </cfRule>
    <cfRule type="cellIs" dxfId="3416" priority="94" operator="between">
      <formula>0.00001%</formula>
      <formula>70%</formula>
    </cfRule>
    <cfRule type="cellIs" dxfId="3415" priority="95" operator="equal">
      <formula>0</formula>
    </cfRule>
  </conditionalFormatting>
  <conditionalFormatting sqref="AT9:AT10 AT33 AT29:AT31 AT12:AT27">
    <cfRule type="cellIs" dxfId="3414" priority="86" operator="greaterThan">
      <formula>110%</formula>
    </cfRule>
    <cfRule type="cellIs" dxfId="3413" priority="87" operator="between">
      <formula>100.001%</formula>
      <formula>110%</formula>
    </cfRule>
    <cfRule type="cellIs" dxfId="3412" priority="88" operator="between">
      <formula>70.001%</formula>
      <formula>100%</formula>
    </cfRule>
    <cfRule type="cellIs" dxfId="3411" priority="89" operator="between">
      <formula>0.00001%</formula>
      <formula>70%</formula>
    </cfRule>
    <cfRule type="cellIs" dxfId="3410" priority="90" operator="equal">
      <formula>0</formula>
    </cfRule>
  </conditionalFormatting>
  <conditionalFormatting sqref="AW9:AW27 AW33 AW29:AW31">
    <cfRule type="cellIs" dxfId="3409" priority="81" operator="greaterThan">
      <formula>110%</formula>
    </cfRule>
    <cfRule type="cellIs" dxfId="3408" priority="82" operator="between">
      <formula>100.001%</formula>
      <formula>110%</formula>
    </cfRule>
    <cfRule type="cellIs" dxfId="3407" priority="83" operator="between">
      <formula>70.001%</formula>
      <formula>100%</formula>
    </cfRule>
    <cfRule type="cellIs" dxfId="3406" priority="84" operator="between">
      <formula>0.00001%</formula>
      <formula>70%</formula>
    </cfRule>
    <cfRule type="cellIs" dxfId="3405" priority="85" operator="equal">
      <formula>0</formula>
    </cfRule>
  </conditionalFormatting>
  <conditionalFormatting sqref="AY33 AY29:AY31 AY9:AY27">
    <cfRule type="cellIs" dxfId="3404" priority="76" operator="greaterThan">
      <formula>110%</formula>
    </cfRule>
    <cfRule type="cellIs" dxfId="3403" priority="77" operator="between">
      <formula>100.001%</formula>
      <formula>110%</formula>
    </cfRule>
    <cfRule type="cellIs" dxfId="3402" priority="78" operator="between">
      <formula>70.001%</formula>
      <formula>100%</formula>
    </cfRule>
    <cfRule type="cellIs" dxfId="3401" priority="79" operator="between">
      <formula>0.00001%</formula>
      <formula>70%</formula>
    </cfRule>
    <cfRule type="cellIs" dxfId="3400" priority="80" operator="equal">
      <formula>0</formula>
    </cfRule>
  </conditionalFormatting>
  <conditionalFormatting sqref="AE9:AE10 AE29:AE31 AE33 AE12:AE27">
    <cfRule type="cellIs" dxfId="3399" priority="71" operator="greaterThan">
      <formula>110%</formula>
    </cfRule>
    <cfRule type="cellIs" dxfId="3398" priority="72" operator="between">
      <formula>100.001%</formula>
      <formula>110%</formula>
    </cfRule>
    <cfRule type="cellIs" dxfId="3397" priority="73" operator="between">
      <formula>70.001%</formula>
      <formula>100%</formula>
    </cfRule>
    <cfRule type="cellIs" dxfId="3396" priority="74" operator="between">
      <formula>0.00001%</formula>
      <formula>70%</formula>
    </cfRule>
    <cfRule type="cellIs" dxfId="3395" priority="75" operator="equal">
      <formula>0</formula>
    </cfRule>
  </conditionalFormatting>
  <conditionalFormatting sqref="N11">
    <cfRule type="cellIs" dxfId="3394" priority="66" operator="greaterThan">
      <formula>110%</formula>
    </cfRule>
    <cfRule type="cellIs" dxfId="3393" priority="67" operator="between">
      <formula>100.001%</formula>
      <formula>110%</formula>
    </cfRule>
    <cfRule type="cellIs" dxfId="3392" priority="68" operator="between">
      <formula>70.001%</formula>
      <formula>100%</formula>
    </cfRule>
    <cfRule type="cellIs" dxfId="3391" priority="69" operator="between">
      <formula>0.00001%</formula>
      <formula>70%</formula>
    </cfRule>
    <cfRule type="cellIs" dxfId="3390" priority="70" operator="equal">
      <formula>0</formula>
    </cfRule>
  </conditionalFormatting>
  <conditionalFormatting sqref="Q11">
    <cfRule type="cellIs" dxfId="3389" priority="61" operator="greaterThan">
      <formula>110%</formula>
    </cfRule>
    <cfRule type="cellIs" dxfId="3388" priority="62" operator="between">
      <formula>100.001%</formula>
      <formula>110%</formula>
    </cfRule>
    <cfRule type="cellIs" dxfId="3387" priority="63" operator="between">
      <formula>70.001%</formula>
      <formula>100%</formula>
    </cfRule>
    <cfRule type="cellIs" dxfId="3386" priority="64" operator="between">
      <formula>0.00001%</formula>
      <formula>70%</formula>
    </cfRule>
    <cfRule type="cellIs" dxfId="3385" priority="65" operator="equal">
      <formula>0</formula>
    </cfRule>
  </conditionalFormatting>
  <conditionalFormatting sqref="T11">
    <cfRule type="cellIs" dxfId="3384" priority="56" operator="greaterThan">
      <formula>110%</formula>
    </cfRule>
    <cfRule type="cellIs" dxfId="3383" priority="57" operator="between">
      <formula>100.001%</formula>
      <formula>110%</formula>
    </cfRule>
    <cfRule type="cellIs" dxfId="3382" priority="58" operator="between">
      <formula>70.001%</formula>
      <formula>100%</formula>
    </cfRule>
    <cfRule type="cellIs" dxfId="3381" priority="59" operator="between">
      <formula>0.00001%</formula>
      <formula>70%</formula>
    </cfRule>
    <cfRule type="cellIs" dxfId="3380" priority="60" operator="equal">
      <formula>0</formula>
    </cfRule>
  </conditionalFormatting>
  <conditionalFormatting sqref="W11">
    <cfRule type="cellIs" dxfId="3379" priority="51" operator="greaterThan">
      <formula>110%</formula>
    </cfRule>
    <cfRule type="cellIs" dxfId="3378" priority="52" operator="between">
      <formula>100.001%</formula>
      <formula>110%</formula>
    </cfRule>
    <cfRule type="cellIs" dxfId="3377" priority="53" operator="between">
      <formula>70.001%</formula>
      <formula>100%</formula>
    </cfRule>
    <cfRule type="cellIs" dxfId="3376" priority="54" operator="between">
      <formula>0.00001%</formula>
      <formula>70%</formula>
    </cfRule>
    <cfRule type="cellIs" dxfId="3375" priority="55" operator="equal">
      <formula>0</formula>
    </cfRule>
  </conditionalFormatting>
  <conditionalFormatting sqref="Z11">
    <cfRule type="cellIs" dxfId="3374" priority="46" operator="greaterThan">
      <formula>110%</formula>
    </cfRule>
    <cfRule type="cellIs" dxfId="3373" priority="47" operator="between">
      <formula>100.001%</formula>
      <formula>110%</formula>
    </cfRule>
    <cfRule type="cellIs" dxfId="3372" priority="48" operator="between">
      <formula>70.001%</formula>
      <formula>100%</formula>
    </cfRule>
    <cfRule type="cellIs" dxfId="3371" priority="49" operator="between">
      <formula>0.00001%</formula>
      <formula>70%</formula>
    </cfRule>
    <cfRule type="cellIs" dxfId="3370" priority="50" operator="equal">
      <formula>0</formula>
    </cfRule>
  </conditionalFormatting>
  <conditionalFormatting sqref="AC11">
    <cfRule type="cellIs" dxfId="3369" priority="41" operator="greaterThan">
      <formula>110%</formula>
    </cfRule>
    <cfRule type="cellIs" dxfId="3368" priority="42" operator="between">
      <formula>100.001%</formula>
      <formula>110%</formula>
    </cfRule>
    <cfRule type="cellIs" dxfId="3367" priority="43" operator="between">
      <formula>70.001%</formula>
      <formula>100%</formula>
    </cfRule>
    <cfRule type="cellIs" dxfId="3366" priority="44" operator="between">
      <formula>0.00001%</formula>
      <formula>70%</formula>
    </cfRule>
    <cfRule type="cellIs" dxfId="3365" priority="45" operator="equal">
      <formula>0</formula>
    </cfRule>
  </conditionalFormatting>
  <conditionalFormatting sqref="AH11">
    <cfRule type="cellIs" dxfId="3364" priority="36" operator="greaterThan">
      <formula>110%</formula>
    </cfRule>
    <cfRule type="cellIs" dxfId="3363" priority="37" operator="between">
      <formula>100.001%</formula>
      <formula>110%</formula>
    </cfRule>
    <cfRule type="cellIs" dxfId="3362" priority="38" operator="between">
      <formula>70.001%</formula>
      <formula>100%</formula>
    </cfRule>
    <cfRule type="cellIs" dxfId="3361" priority="39" operator="between">
      <formula>0.00001%</formula>
      <formula>70%</formula>
    </cfRule>
    <cfRule type="cellIs" dxfId="3360" priority="40" operator="equal">
      <formula>0</formula>
    </cfRule>
  </conditionalFormatting>
  <conditionalFormatting sqref="AK11">
    <cfRule type="cellIs" dxfId="3359" priority="31" operator="greaterThan">
      <formula>110%</formula>
    </cfRule>
    <cfRule type="cellIs" dxfId="3358" priority="32" operator="between">
      <formula>100.001%</formula>
      <formula>110%</formula>
    </cfRule>
    <cfRule type="cellIs" dxfId="3357" priority="33" operator="between">
      <formula>70.001%</formula>
      <formula>100%</formula>
    </cfRule>
    <cfRule type="cellIs" dxfId="3356" priority="34" operator="between">
      <formula>0.00001%</formula>
      <formula>70%</formula>
    </cfRule>
    <cfRule type="cellIs" dxfId="3355" priority="35" operator="equal">
      <formula>0</formula>
    </cfRule>
  </conditionalFormatting>
  <conditionalFormatting sqref="AN11">
    <cfRule type="cellIs" dxfId="3354" priority="26" operator="greaterThan">
      <formula>110%</formula>
    </cfRule>
    <cfRule type="cellIs" dxfId="3353" priority="27" operator="between">
      <formula>100.001%</formula>
      <formula>110%</formula>
    </cfRule>
    <cfRule type="cellIs" dxfId="3352" priority="28" operator="between">
      <formula>70.001%</formula>
      <formula>100%</formula>
    </cfRule>
    <cfRule type="cellIs" dxfId="3351" priority="29" operator="between">
      <formula>0.00001%</formula>
      <formula>70%</formula>
    </cfRule>
    <cfRule type="cellIs" dxfId="3350" priority="30" operator="equal">
      <formula>0</formula>
    </cfRule>
  </conditionalFormatting>
  <conditionalFormatting sqref="AQ11">
    <cfRule type="cellIs" dxfId="3349" priority="21" operator="greaterThan">
      <formula>110%</formula>
    </cfRule>
    <cfRule type="cellIs" dxfId="3348" priority="22" operator="between">
      <formula>100.001%</formula>
      <formula>110%</formula>
    </cfRule>
    <cfRule type="cellIs" dxfId="3347" priority="23" operator="between">
      <formula>70.001%</formula>
      <formula>100%</formula>
    </cfRule>
    <cfRule type="cellIs" dxfId="3346" priority="24" operator="between">
      <formula>0.00001%</formula>
      <formula>70%</formula>
    </cfRule>
    <cfRule type="cellIs" dxfId="3345" priority="25" operator="equal">
      <formula>0</formula>
    </cfRule>
  </conditionalFormatting>
  <conditionalFormatting sqref="AT11">
    <cfRule type="cellIs" dxfId="3344" priority="16" operator="greaterThan">
      <formula>110%</formula>
    </cfRule>
    <cfRule type="cellIs" dxfId="3343" priority="17" operator="between">
      <formula>100.001%</formula>
      <formula>110%</formula>
    </cfRule>
    <cfRule type="cellIs" dxfId="3342" priority="18" operator="between">
      <formula>70.001%</formula>
      <formula>100%</formula>
    </cfRule>
    <cfRule type="cellIs" dxfId="3341" priority="19" operator="between">
      <formula>0.00001%</formula>
      <formula>70%</formula>
    </cfRule>
    <cfRule type="cellIs" dxfId="3340" priority="20" operator="equal">
      <formula>0</formula>
    </cfRule>
  </conditionalFormatting>
  <conditionalFormatting sqref="AE11">
    <cfRule type="cellIs" dxfId="3339" priority="11" operator="greaterThan">
      <formula>110%</formula>
    </cfRule>
    <cfRule type="cellIs" dxfId="3338" priority="12" operator="between">
      <formula>100.001%</formula>
      <formula>110%</formula>
    </cfRule>
    <cfRule type="cellIs" dxfId="3337" priority="13" operator="between">
      <formula>70.001%</formula>
      <formula>100%</formula>
    </cfRule>
    <cfRule type="cellIs" dxfId="3336" priority="14" operator="between">
      <formula>0.00001%</formula>
      <formula>70%</formula>
    </cfRule>
    <cfRule type="cellIs" dxfId="3335" priority="15" operator="equal">
      <formula>0</formula>
    </cfRule>
  </conditionalFormatting>
  <conditionalFormatting sqref="AK30">
    <cfRule type="cellIs" dxfId="3334" priority="6" operator="greaterThan">
      <formula>110%</formula>
    </cfRule>
    <cfRule type="cellIs" dxfId="3333" priority="7" operator="between">
      <formula>100.001%</formula>
      <formula>110%</formula>
    </cfRule>
    <cfRule type="cellIs" dxfId="3332" priority="8" operator="between">
      <formula>70.001%</formula>
      <formula>100%</formula>
    </cfRule>
    <cfRule type="cellIs" dxfId="3331" priority="9" operator="between">
      <formula>0.00001%</formula>
      <formula>70%</formula>
    </cfRule>
    <cfRule type="cellIs" dxfId="3330" priority="10" operator="equal">
      <formula>0</formula>
    </cfRule>
  </conditionalFormatting>
  <conditionalFormatting sqref="AQ23">
    <cfRule type="cellIs" dxfId="3329" priority="1" operator="greaterThan">
      <formula>110%</formula>
    </cfRule>
    <cfRule type="cellIs" dxfId="3328" priority="2" operator="between">
      <formula>100.001%</formula>
      <formula>110%</formula>
    </cfRule>
    <cfRule type="cellIs" dxfId="3327" priority="3" operator="between">
      <formula>70.001%</formula>
      <formula>100%</formula>
    </cfRule>
    <cfRule type="cellIs" dxfId="3326" priority="4" operator="between">
      <formula>0.00001%</formula>
      <formula>70%</formula>
    </cfRule>
    <cfRule type="cellIs" dxfId="3325" priority="5" operator="equal">
      <formula>0</formula>
    </cfRule>
  </conditionalFormatting>
  <hyperlinks>
    <hyperlink ref="D11" location="'IN1-3'!A1" display="IN1-3  Recaudo Bruto" xr:uid="{00000000-0004-0000-2400-000000000000}"/>
    <hyperlink ref="D12" location="'FIS-4'!A1" display="FIS-4  Gestión efectiva en fiscalización tributaria" xr:uid="{00000000-0004-0000-2400-000001000000}"/>
    <hyperlink ref="D13" location="'FIS-10'!A1" display="FIS-10  Gestión aceptada en fiscalización tributaria" xr:uid="{00000000-0004-0000-2400-000002000000}"/>
    <hyperlink ref="D14" location="'FIS-27'!A1" display="FIS-27  Reclasificación de no responsables a responsables" xr:uid="{00000000-0004-0000-2400-000003000000}"/>
    <hyperlink ref="D15" location="'FIS-17'!A1" display="FIS-17 Evacuación de expedientes en fiscalización tributaria" xr:uid="{00000000-0004-0000-2400-000004000000}"/>
    <hyperlink ref="D16" location="'IN1-4'!A1" display="IN1-4  Recaudo por gestión de cartera" xr:uid="{00000000-0004-0000-2400-000005000000}"/>
    <hyperlink ref="D17" location="'IN1-5'!A1" display="IN1-5  Inscritos en el Régimen Simple de Tributación - RST" xr:uid="{00000000-0004-0000-2400-000006000000}"/>
    <hyperlink ref="D18" location="'IN1-6.1'!A1" display="IN1-6.1 Grado de cumplimiento del cronograma de campañas del RST" xr:uid="{00000000-0004-0000-2400-000007000000}"/>
    <hyperlink ref="D19" location="'IN1-8'!A1" display="IN1-8 Contribuyentes habilitados como facturadores electrónicos" xr:uid="{00000000-0004-0000-2400-000008000000}"/>
    <hyperlink ref="D20" location="'JUR-3.1'!A1" display="JUR-3.1 Porcentaje de éxito de litigiosidad" xr:uid="{00000000-0004-0000-2400-000009000000}"/>
    <hyperlink ref="D21" location="'JUR-3.2'!A1" display="JUR-3.2 Porcentaje  procesos judiciales revisados con mayor riesgo en Ekogui" xr:uid="{00000000-0004-0000-2400-00000A000000}"/>
    <hyperlink ref="D22" location="'JUR-3.3'!A1" display="JUR-3.3 Porcentaje de análisis de jurisprudencia remitidos junto con la copia de la sentencia " xr:uid="{00000000-0004-0000-2400-00000B000000}"/>
    <hyperlink ref="D23" location="'JUR-3.4'!A1" display="JUR-3.4 Porcentaje  de procesos revisados con VoBo del Jefe " xr:uid="{00000000-0004-0000-2400-00000C000000}"/>
    <hyperlink ref="D24" location="'JUR-3.5'!A1" display="JUR-3.5 Porcentaje de requerimientos atendidos en oportunidad" xr:uid="{00000000-0004-0000-2400-00000D000000}"/>
    <hyperlink ref="D25" location="'JUR-3.6'!A1" display="JUR-3.6 Porcentaje funcionarios capacitaciones en cursos virtuales de la ANDJE" xr:uid="{00000000-0004-0000-2400-00000E000000}"/>
    <hyperlink ref="D26" location="'JUR-4'!A1" display="JUR-4 Porcentaje funcionarios que participaron en el concurso de escritura jurídica" xr:uid="{00000000-0004-0000-2400-00000F000000}"/>
    <hyperlink ref="D27" location="'FIS-24'!A1" display="FIS-24  Valor Decomisos de mercancías en firme" xr:uid="{00000000-0004-0000-2400-000010000000}"/>
    <hyperlink ref="D29" location="'IN1-11'!A1" display="IN1-11  Nivel de cobertura de personas sensibilizadas por el plan de cultura. ACTUALMENTE. Cumplimiento al Plan de Acción de Cultura de la Contribución" xr:uid="{00000000-0004-0000-2400-000011000000}"/>
    <hyperlink ref="D30" location="'JUR-7'!A1" display="JUR-7  Oportunidad en las decisiones de los recursos Tributarios hasta su remisión a notificaciones" xr:uid="{00000000-0004-0000-2400-000012000000}"/>
    <hyperlink ref="D31" location="'IN1-15'!A1" display="'IN1-15'!A1" xr:uid="{00000000-0004-0000-2400-000013000000}"/>
    <hyperlink ref="D33" location="'DGRAE-25'!Área_de_impresión" display="DGRAE-25 Actividades que componen el  PIC para la Dirección de Gestión" xr:uid="{00000000-0004-0000-2400-000014000000}"/>
    <hyperlink ref="D9" location="'DGRAE-1'!Área_de_impresión" display="DGRAE-1 Nivel de Ejecución del presupuesto " xr:uid="{00000000-0004-0000-2400-000015000000}"/>
    <hyperlink ref="D10" location="'DGRAE-2'!A1" display="DGRAE-2 Nivel de ejecución del PAA de la Dirección" xr:uid="{00000000-0004-0000-2400-000016000000}"/>
    <hyperlink ref="AY2" location="'Consolidado '!A1" display="VOLVER" xr:uid="{00000000-0004-0000-2400-00001700000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Z239"/>
  <sheetViews>
    <sheetView topLeftCell="E1" zoomScale="60" zoomScaleNormal="60" workbookViewId="0">
      <selection activeCell="AZ4" sqref="AZ4"/>
    </sheetView>
  </sheetViews>
  <sheetFormatPr baseColWidth="10" defaultColWidth="11.42578125" defaultRowHeight="16.5" customHeight="1" zeroHeight="1"/>
  <cols>
    <col min="1" max="1" width="14.7109375" style="8" customWidth="1"/>
    <col min="2" max="2" width="31.140625" style="8" customWidth="1"/>
    <col min="3" max="3" width="44" style="63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1173" customWidth="1"/>
    <col min="12" max="13" width="21.7109375" style="8" hidden="1" customWidth="1"/>
    <col min="14" max="14" width="21.7109375" style="444" hidden="1" customWidth="1"/>
    <col min="15" max="16" width="21.7109375" style="8" hidden="1" customWidth="1"/>
    <col min="17" max="17" width="21.7109375" style="444" hidden="1" customWidth="1"/>
    <col min="18" max="19" width="21.7109375" style="8" hidden="1" customWidth="1"/>
    <col min="20" max="20" width="21.7109375" style="444" hidden="1" customWidth="1"/>
    <col min="21" max="22" width="21.7109375" style="8" hidden="1" customWidth="1"/>
    <col min="23" max="23" width="21.7109375" style="444" hidden="1" customWidth="1"/>
    <col min="24" max="25" width="21.7109375" style="8" hidden="1" customWidth="1"/>
    <col min="26" max="26" width="21.7109375" style="444" hidden="1" customWidth="1"/>
    <col min="27" max="28" width="21.7109375" style="8" hidden="1" customWidth="1"/>
    <col min="29" max="29" width="21.7109375" style="444" hidden="1" customWidth="1"/>
    <col min="30" max="30" width="21.7109375" style="8" hidden="1" customWidth="1"/>
    <col min="31" max="31" width="21.7109375" style="444" hidden="1" customWidth="1"/>
    <col min="32" max="33" width="21.7109375" style="8" hidden="1" customWidth="1"/>
    <col min="34" max="34" width="21.7109375" style="444" hidden="1" customWidth="1"/>
    <col min="35" max="36" width="21.7109375" style="8" hidden="1" customWidth="1"/>
    <col min="37" max="37" width="21.7109375" style="444" hidden="1" customWidth="1"/>
    <col min="38" max="39" width="21.7109375" style="8" hidden="1" customWidth="1"/>
    <col min="40" max="40" width="21.7109375" style="444" hidden="1" customWidth="1"/>
    <col min="41" max="42" width="21.7109375" style="8" hidden="1" customWidth="1"/>
    <col min="43" max="43" width="21.7109375" style="444" hidden="1" customWidth="1"/>
    <col min="44" max="45" width="21.7109375" style="8" hidden="1" customWidth="1"/>
    <col min="46" max="46" width="21.7109375" style="444" hidden="1" customWidth="1"/>
    <col min="47" max="48" width="21.7109375" style="8" hidden="1" customWidth="1"/>
    <col min="49" max="49" width="21.7109375" style="444" hidden="1" customWidth="1"/>
    <col min="50" max="50" width="21.7109375" style="8" customWidth="1"/>
    <col min="51" max="51" width="20.7109375" style="444" customWidth="1"/>
    <col min="52" max="16384" width="11.42578125" style="8"/>
  </cols>
  <sheetData>
    <row r="1" spans="1:52" ht="29.25" customHeight="1">
      <c r="A1" s="101"/>
      <c r="B1" s="101"/>
      <c r="C1" s="2885" t="s">
        <v>1022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545" t="s">
        <v>185</v>
      </c>
    </row>
    <row r="3" spans="1:52">
      <c r="A3" s="546"/>
      <c r="B3" s="547"/>
      <c r="C3" s="2887" t="s">
        <v>1023</v>
      </c>
      <c r="D3" s="2888"/>
      <c r="E3" s="2888"/>
      <c r="F3" s="2888"/>
      <c r="G3" s="2888"/>
      <c r="H3" s="2888"/>
      <c r="I3" s="2888"/>
      <c r="J3" s="2888"/>
      <c r="K3" s="2889"/>
      <c r="AZ3" s="444">
        <f>+(AY9+AY10+AY11+AY12+AY13+AY14+AY15+AY16+AY17+AY18+AY19+AY20+AY21+AY22+AY23+AY24+AY25+AY26+AY27+AY29+AY30+AY31+AY33)/23</f>
        <v>1.1690660812069282</v>
      </c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53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3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40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6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6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</row>
    <row r="9" spans="1:52" s="132" customFormat="1" ht="75" customHeight="1" thickTop="1" thickBot="1">
      <c r="A9" s="2943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2403">
        <v>110.593</v>
      </c>
      <c r="H9" s="72"/>
      <c r="I9" s="72"/>
      <c r="J9" s="72"/>
      <c r="K9" s="72" t="s">
        <v>25</v>
      </c>
      <c r="L9" s="1005">
        <v>11.4275</v>
      </c>
      <c r="M9" s="1006">
        <v>8.9600000000000009</v>
      </c>
      <c r="N9" s="73">
        <f>+M9/L9</f>
        <v>0.78407350689127109</v>
      </c>
      <c r="O9" s="1005">
        <v>12.4275</v>
      </c>
      <c r="P9" s="1006">
        <v>10.32</v>
      </c>
      <c r="Q9" s="73">
        <f>+P9/O9</f>
        <v>0.83041641520820764</v>
      </c>
      <c r="R9" s="1005">
        <v>29.427499999999998</v>
      </c>
      <c r="S9" s="1006">
        <v>5.86</v>
      </c>
      <c r="T9" s="73">
        <f>+S9/R9</f>
        <v>0.19913346359697565</v>
      </c>
      <c r="U9" s="1005">
        <v>24.127500000000001</v>
      </c>
      <c r="V9" s="1006">
        <v>25.37</v>
      </c>
      <c r="W9" s="73">
        <f>+V9/U9</f>
        <v>1.0514972541705523</v>
      </c>
      <c r="X9" s="1005">
        <v>11.4275</v>
      </c>
      <c r="Y9" s="1006">
        <v>3.14</v>
      </c>
      <c r="Z9" s="73">
        <f>+Y9/X9</f>
        <v>0.27477576022752132</v>
      </c>
      <c r="AA9" s="1005">
        <v>11.4275</v>
      </c>
      <c r="AB9" s="1006">
        <v>3.37</v>
      </c>
      <c r="AC9" s="73">
        <f>+AB9/AA9</f>
        <v>0.29490264712316783</v>
      </c>
      <c r="AD9" s="955">
        <f>+M9+P9+S9+V9+Y9+AB9</f>
        <v>57.02</v>
      </c>
      <c r="AE9" s="73">
        <f>+AD9/G9</f>
        <v>0.51558416897995352</v>
      </c>
      <c r="AF9" s="1005">
        <v>11.4275</v>
      </c>
      <c r="AG9" s="1006">
        <v>9.57</v>
      </c>
      <c r="AH9" s="73">
        <f>+AG9/AF9</f>
        <v>0.83745351126668122</v>
      </c>
      <c r="AI9" s="1005">
        <v>11.4275</v>
      </c>
      <c r="AJ9" s="1006">
        <v>5.05</v>
      </c>
      <c r="AK9" s="73">
        <f>+AJ9/AI9</f>
        <v>0.44191642966528111</v>
      </c>
      <c r="AL9" s="1005">
        <v>11.3775</v>
      </c>
      <c r="AM9" s="1006">
        <v>6.93</v>
      </c>
      <c r="AN9" s="73">
        <f>+AM9/AL9</f>
        <v>0.60909690177982856</v>
      </c>
      <c r="AO9" s="1005">
        <v>13.077500000000001</v>
      </c>
      <c r="AP9" s="1006">
        <v>9.26</v>
      </c>
      <c r="AQ9" s="73">
        <f t="shared" ref="AQ9" si="0">+AP9/AO9</f>
        <v>0.70808640795259026</v>
      </c>
      <c r="AR9" s="1005">
        <v>10.0275</v>
      </c>
      <c r="AS9" s="1006">
        <v>8.4</v>
      </c>
      <c r="AT9" s="73">
        <f>+AS9/AR9</f>
        <v>0.83769633507853403</v>
      </c>
      <c r="AU9" s="1005">
        <v>9.9277040000000003</v>
      </c>
      <c r="AV9" s="1006">
        <v>7.75</v>
      </c>
      <c r="AW9" s="73">
        <f>+AV9/AU9</f>
        <v>0.78064374199714248</v>
      </c>
      <c r="AX9" s="1008">
        <f>+M9+P9+S9+V9+Y9+AB9+AG9+AJ9+AM9+AP9+AS9+AV9</f>
        <v>103.98</v>
      </c>
      <c r="AY9" s="73">
        <f>+AX9/G9</f>
        <v>0.94020417205428919</v>
      </c>
    </row>
    <row r="10" spans="1:52" s="1015" customFormat="1" ht="75" customHeight="1" thickTop="1" thickBot="1">
      <c r="A10" s="2944"/>
      <c r="B10" s="2947"/>
      <c r="C10" s="74" t="s">
        <v>169</v>
      </c>
      <c r="D10" s="2196" t="s">
        <v>92</v>
      </c>
      <c r="E10" s="2129" t="s">
        <v>170</v>
      </c>
      <c r="F10" s="2129" t="s">
        <v>17</v>
      </c>
      <c r="G10" s="2404">
        <v>3</v>
      </c>
      <c r="H10" s="2129" t="s">
        <v>326</v>
      </c>
      <c r="I10" s="2293"/>
      <c r="J10" s="2293"/>
      <c r="K10" s="2129" t="s">
        <v>26</v>
      </c>
      <c r="L10" s="1011">
        <v>0</v>
      </c>
      <c r="M10" s="1012"/>
      <c r="N10" s="73" t="e">
        <f t="shared" ref="N10" si="1">+M10/L10</f>
        <v>#DIV/0!</v>
      </c>
      <c r="O10" s="1011">
        <v>0</v>
      </c>
      <c r="P10" s="1012"/>
      <c r="Q10" s="73" t="e">
        <f t="shared" ref="Q10" si="2">+P10/O10</f>
        <v>#DIV/0!</v>
      </c>
      <c r="R10" s="1011">
        <v>0</v>
      </c>
      <c r="S10" s="1012"/>
      <c r="T10" s="73" t="e">
        <f t="shared" ref="T10" si="3">+S10/R10</f>
        <v>#DIV/0!</v>
      </c>
      <c r="U10" s="1011">
        <v>0</v>
      </c>
      <c r="V10" s="1012"/>
      <c r="W10" s="73" t="e">
        <f t="shared" ref="W10" si="4">+V10/U10</f>
        <v>#DIV/0!</v>
      </c>
      <c r="X10" s="1011">
        <v>0</v>
      </c>
      <c r="Y10" s="1012"/>
      <c r="Z10" s="73" t="e">
        <f t="shared" ref="Z10" si="5">+Y10/X10</f>
        <v>#DIV/0!</v>
      </c>
      <c r="AA10" s="1011">
        <v>0</v>
      </c>
      <c r="AB10" s="1012"/>
      <c r="AC10" s="73" t="e">
        <f t="shared" ref="AC10" si="6">+AB10/AA10</f>
        <v>#DIV/0!</v>
      </c>
      <c r="AD10" s="245">
        <f t="shared" ref="AD10" si="7">+M10+P10+S10+V10+Y10+AB10</f>
        <v>0</v>
      </c>
      <c r="AE10" s="73">
        <f t="shared" ref="AE10" si="8">+AD10/G10</f>
        <v>0</v>
      </c>
      <c r="AF10" s="1011">
        <v>0</v>
      </c>
      <c r="AG10" s="1012">
        <v>1</v>
      </c>
      <c r="AH10" s="73" t="e">
        <f t="shared" ref="AH10" si="9">+AG10/AF10</f>
        <v>#DIV/0!</v>
      </c>
      <c r="AI10" s="1011">
        <v>0</v>
      </c>
      <c r="AJ10" s="1012">
        <v>2</v>
      </c>
      <c r="AK10" s="73" t="e">
        <f t="shared" ref="AK10" si="10">+AJ10/AI10</f>
        <v>#DIV/0!</v>
      </c>
      <c r="AL10" s="1011">
        <v>0</v>
      </c>
      <c r="AM10" s="1012"/>
      <c r="AN10" s="73" t="e">
        <f t="shared" ref="AN10" si="11">+AM10/AL10</f>
        <v>#DIV/0!</v>
      </c>
      <c r="AO10" s="1011">
        <v>0</v>
      </c>
      <c r="AP10" s="1012"/>
      <c r="AQ10" s="73" t="e">
        <f>+AP10/AO10</f>
        <v>#DIV/0!</v>
      </c>
      <c r="AR10" s="1011">
        <v>0</v>
      </c>
      <c r="AS10" s="1012"/>
      <c r="AT10" s="73" t="e">
        <f t="shared" ref="AT10" si="12">+AS10/AR10</f>
        <v>#DIV/0!</v>
      </c>
      <c r="AU10" s="1011">
        <v>0</v>
      </c>
      <c r="AV10" s="1012">
        <v>0</v>
      </c>
      <c r="AW10" s="73" t="e">
        <f t="shared" ref="AW10" si="13">+AV10/AU10</f>
        <v>#DIV/0!</v>
      </c>
      <c r="AX10" s="1014">
        <f t="shared" ref="AX10" si="14">+M10+P10+S10+V10+Y10+AB10+AG10+AJ10+AM10+AP10+AS10+AV10</f>
        <v>3</v>
      </c>
      <c r="AY10" s="73">
        <f t="shared" ref="AY10" si="15">+AX10/G10</f>
        <v>1</v>
      </c>
    </row>
    <row r="11" spans="1:52" s="22" customFormat="1" ht="37.5" customHeight="1" thickTop="1" thickBot="1">
      <c r="A11" s="2944"/>
      <c r="B11" s="2948" t="s">
        <v>94</v>
      </c>
      <c r="C11" s="81" t="s">
        <v>491</v>
      </c>
      <c r="D11" s="689" t="s">
        <v>96</v>
      </c>
      <c r="E11" s="661" t="s">
        <v>97</v>
      </c>
      <c r="F11" s="418" t="s">
        <v>168</v>
      </c>
      <c r="G11" s="2405">
        <v>232580</v>
      </c>
      <c r="H11" s="581"/>
      <c r="I11" s="582"/>
      <c r="J11" s="581"/>
      <c r="K11" s="2406" t="s">
        <v>20</v>
      </c>
      <c r="L11" s="1008">
        <v>36160</v>
      </c>
      <c r="M11" s="954">
        <v>36160</v>
      </c>
      <c r="N11" s="73">
        <f>+M11/L11</f>
        <v>1</v>
      </c>
      <c r="O11" s="1008">
        <v>10792</v>
      </c>
      <c r="P11" s="954">
        <v>10791</v>
      </c>
      <c r="Q11" s="73">
        <f>+P11/O11</f>
        <v>0.99990733876945881</v>
      </c>
      <c r="R11" s="1008">
        <v>17721</v>
      </c>
      <c r="S11" s="954">
        <v>17721</v>
      </c>
      <c r="T11" s="73">
        <f>+S11/R11</f>
        <v>1</v>
      </c>
      <c r="U11" s="1008">
        <v>14835</v>
      </c>
      <c r="V11" s="954">
        <v>14835</v>
      </c>
      <c r="W11" s="73">
        <f>+V11/U11</f>
        <v>1</v>
      </c>
      <c r="X11" s="1008">
        <v>19637</v>
      </c>
      <c r="Y11" s="954">
        <v>19637</v>
      </c>
      <c r="Z11" s="73">
        <f>+Y11/X11</f>
        <v>1</v>
      </c>
      <c r="AA11" s="1008">
        <v>12961</v>
      </c>
      <c r="AB11" s="954">
        <v>12961</v>
      </c>
      <c r="AC11" s="73">
        <f>+AB11/AA11</f>
        <v>1</v>
      </c>
      <c r="AD11" s="955">
        <f>+M11+P11+S11+V11+Y11+AB11</f>
        <v>112105</v>
      </c>
      <c r="AE11" s="73">
        <f>+AD11/G11</f>
        <v>0.48200619141800671</v>
      </c>
      <c r="AF11" s="1008">
        <v>15513</v>
      </c>
      <c r="AG11" s="954">
        <v>15513</v>
      </c>
      <c r="AH11" s="73">
        <f>+AG11/AF11</f>
        <v>1</v>
      </c>
      <c r="AI11" s="1008">
        <v>14406</v>
      </c>
      <c r="AJ11" s="954">
        <v>14406</v>
      </c>
      <c r="AK11" s="73">
        <f>+AJ11/AI11</f>
        <v>1</v>
      </c>
      <c r="AL11" s="1008">
        <v>28843</v>
      </c>
      <c r="AM11" s="954">
        <v>28843</v>
      </c>
      <c r="AN11" s="73">
        <f>+AM11/AL11</f>
        <v>1</v>
      </c>
      <c r="AO11" s="1008">
        <v>13544</v>
      </c>
      <c r="AP11" s="954">
        <v>13544</v>
      </c>
      <c r="AQ11" s="73">
        <f>+AP11/AO11</f>
        <v>1</v>
      </c>
      <c r="AR11" s="1008">
        <v>34163</v>
      </c>
      <c r="AS11" s="954">
        <v>34217</v>
      </c>
      <c r="AT11" s="73">
        <f>+AS11/AR11</f>
        <v>1.0015806574364079</v>
      </c>
      <c r="AU11" s="1008">
        <v>14015</v>
      </c>
      <c r="AV11" s="954">
        <v>13952</v>
      </c>
      <c r="AW11" s="73">
        <f>+AV11/AU11</f>
        <v>0.99550481626828402</v>
      </c>
      <c r="AX11" s="1008">
        <f>+M11+P11+S11+V11+Y11+AB11+AG11+AJ11+AM11+AP11+AS11+AV11</f>
        <v>232580</v>
      </c>
      <c r="AY11" s="73">
        <f>+AX11/G11</f>
        <v>1</v>
      </c>
    </row>
    <row r="12" spans="1:52" s="22" customFormat="1" ht="95.45" customHeight="1" thickTop="1" thickBot="1">
      <c r="A12" s="2944"/>
      <c r="B12" s="2949"/>
      <c r="C12" s="3226" t="s">
        <v>1024</v>
      </c>
      <c r="D12" s="623" t="s">
        <v>99</v>
      </c>
      <c r="E12" s="76" t="s">
        <v>100</v>
      </c>
      <c r="F12" s="85" t="s">
        <v>101</v>
      </c>
      <c r="G12" s="2407">
        <v>19600000000</v>
      </c>
      <c r="H12" s="96"/>
      <c r="I12" s="33"/>
      <c r="J12" s="96"/>
      <c r="K12" s="1115" t="s">
        <v>172</v>
      </c>
      <c r="L12" s="1018">
        <v>1568000000</v>
      </c>
      <c r="M12" s="962">
        <v>1272610000</v>
      </c>
      <c r="N12" s="73">
        <f t="shared" ref="N12:N33" si="16">+M12/L12</f>
        <v>0.81161352040816326</v>
      </c>
      <c r="O12" s="1018">
        <v>1568000000</v>
      </c>
      <c r="P12" s="962">
        <v>1019012000</v>
      </c>
      <c r="Q12" s="73">
        <f t="shared" ref="Q12:Q33" si="17">+P12/O12</f>
        <v>0.64988010204081637</v>
      </c>
      <c r="R12" s="1018">
        <v>1568000000</v>
      </c>
      <c r="S12" s="962">
        <v>1232214000</v>
      </c>
      <c r="T12" s="73">
        <f t="shared" ref="T12:T33" si="18">+S12/R12</f>
        <v>0.78585076530612241</v>
      </c>
      <c r="U12" s="1018">
        <v>1764000000</v>
      </c>
      <c r="V12" s="962">
        <v>131897000</v>
      </c>
      <c r="W12" s="73">
        <f t="shared" ref="W12:W33" si="19">+V12/U12</f>
        <v>7.4771541950113374E-2</v>
      </c>
      <c r="X12" s="1018">
        <v>1960000000</v>
      </c>
      <c r="Y12" s="962">
        <v>971850000</v>
      </c>
      <c r="Z12" s="73">
        <f t="shared" ref="Z12:Z33" si="20">+Y12/X12</f>
        <v>0.4958418367346939</v>
      </c>
      <c r="AA12" s="1018">
        <v>1960000000</v>
      </c>
      <c r="AB12" s="962">
        <v>815280000</v>
      </c>
      <c r="AC12" s="73">
        <f t="shared" ref="AC12:AC27" si="21">+AB12/AA12</f>
        <v>0.4159591836734694</v>
      </c>
      <c r="AD12" s="955">
        <f t="shared" ref="AD12:AD13" si="22">+M12+P12+S12+V12+Y12+AB12</f>
        <v>5442863000</v>
      </c>
      <c r="AE12" s="73">
        <f t="shared" ref="AE12:AE27" si="23">+AD12/G12</f>
        <v>0.27769709183673469</v>
      </c>
      <c r="AF12" s="1018">
        <v>1960000000</v>
      </c>
      <c r="AG12" s="962">
        <v>2133418000</v>
      </c>
      <c r="AH12" s="73">
        <f t="shared" ref="AH12:AH33" si="24">+AG12/AF12</f>
        <v>1.0884785714285714</v>
      </c>
      <c r="AI12" s="1018">
        <v>1960000000</v>
      </c>
      <c r="AJ12" s="962">
        <v>1524192000</v>
      </c>
      <c r="AK12" s="73">
        <f t="shared" ref="AK12:AK16" si="25">+AJ12/AI12</f>
        <v>0.77764897959183676</v>
      </c>
      <c r="AL12" s="1018">
        <v>1960000000</v>
      </c>
      <c r="AM12" s="962">
        <v>2022587000</v>
      </c>
      <c r="AN12" s="73">
        <f t="shared" ref="AN12:AN33" si="26">+AM12/AL12</f>
        <v>1.0319321428571429</v>
      </c>
      <c r="AO12" s="1018">
        <v>1960000000</v>
      </c>
      <c r="AP12" s="962">
        <v>1569283000</v>
      </c>
      <c r="AQ12" s="73">
        <f t="shared" ref="AQ12:AQ33" si="27">+AP12/AO12</f>
        <v>0.80065459183673471</v>
      </c>
      <c r="AR12" s="1018">
        <v>784000000</v>
      </c>
      <c r="AS12" s="962">
        <v>5230720159</v>
      </c>
      <c r="AT12" s="73">
        <f t="shared" ref="AT12:AT33" si="28">+AS12/AR12</f>
        <v>6.6718369375000002</v>
      </c>
      <c r="AU12" s="1018">
        <v>588000000</v>
      </c>
      <c r="AV12" s="962">
        <v>1748309000</v>
      </c>
      <c r="AW12" s="73">
        <f t="shared" ref="AW12:AW29" si="29">+AV12/AU12</f>
        <v>2.9733146258503402</v>
      </c>
      <c r="AX12" s="1018">
        <f t="shared" ref="AX12:AX19" si="30">+M12+P12+S12+V12+Y12+AB12+AG12+AJ12+AM12+AP12+AS12+AV12</f>
        <v>19671372159</v>
      </c>
      <c r="AY12" s="73">
        <f t="shared" ref="AY12:AY29" si="31">+AX12/G12</f>
        <v>1.0036414366836734</v>
      </c>
    </row>
    <row r="13" spans="1:52" s="22" customFormat="1" ht="82.5" customHeight="1" thickTop="1" thickBot="1">
      <c r="A13" s="2944"/>
      <c r="B13" s="2949"/>
      <c r="C13" s="3226"/>
      <c r="D13" s="627" t="s">
        <v>102</v>
      </c>
      <c r="E13" s="81" t="s">
        <v>527</v>
      </c>
      <c r="F13" s="98" t="s">
        <v>101</v>
      </c>
      <c r="G13" s="2408">
        <v>14700000000</v>
      </c>
      <c r="H13" s="98"/>
      <c r="I13" s="26"/>
      <c r="J13" s="98"/>
      <c r="K13" s="1724" t="s">
        <v>172</v>
      </c>
      <c r="L13" s="1008">
        <v>1176000000</v>
      </c>
      <c r="M13" s="954">
        <v>296730000</v>
      </c>
      <c r="N13" s="73">
        <f t="shared" si="16"/>
        <v>0.25232142857142859</v>
      </c>
      <c r="O13" s="1008">
        <v>1176000000</v>
      </c>
      <c r="P13" s="954">
        <v>1007889000</v>
      </c>
      <c r="Q13" s="73">
        <f t="shared" si="17"/>
        <v>0.85704846938775514</v>
      </c>
      <c r="R13" s="1008">
        <v>1176000000</v>
      </c>
      <c r="S13" s="954">
        <v>1247589000</v>
      </c>
      <c r="T13" s="73">
        <f t="shared" si="18"/>
        <v>1.060875</v>
      </c>
      <c r="U13" s="1008">
        <v>1323000000</v>
      </c>
      <c r="V13" s="954">
        <v>155081000</v>
      </c>
      <c r="W13" s="73">
        <f t="shared" si="19"/>
        <v>0.11721919879062737</v>
      </c>
      <c r="X13" s="1008">
        <v>1470000000</v>
      </c>
      <c r="Y13" s="954">
        <v>971850000</v>
      </c>
      <c r="Z13" s="73">
        <f t="shared" si="20"/>
        <v>0.66112244897959183</v>
      </c>
      <c r="AA13" s="1008">
        <v>1470000000</v>
      </c>
      <c r="AB13" s="954">
        <v>1363938000</v>
      </c>
      <c r="AC13" s="73">
        <f t="shared" si="21"/>
        <v>0.92784897959183676</v>
      </c>
      <c r="AD13" s="955">
        <f t="shared" si="22"/>
        <v>5043077000</v>
      </c>
      <c r="AE13" s="73">
        <f t="shared" si="23"/>
        <v>0.34306646258503404</v>
      </c>
      <c r="AF13" s="1008">
        <v>1470000000</v>
      </c>
      <c r="AG13" s="954">
        <v>1861479000</v>
      </c>
      <c r="AH13" s="73">
        <f t="shared" si="24"/>
        <v>1.2663122448979591</v>
      </c>
      <c r="AI13" s="1008">
        <v>1470000000</v>
      </c>
      <c r="AJ13" s="954">
        <v>1693378000</v>
      </c>
      <c r="AK13" s="73">
        <f t="shared" si="25"/>
        <v>1.1519578231292518</v>
      </c>
      <c r="AL13" s="1008">
        <v>1470000000</v>
      </c>
      <c r="AM13" s="954">
        <v>1760492000</v>
      </c>
      <c r="AN13" s="73">
        <f t="shared" si="26"/>
        <v>1.1976136054421769</v>
      </c>
      <c r="AO13" s="1008">
        <v>1470000000</v>
      </c>
      <c r="AP13" s="954">
        <v>1584346000</v>
      </c>
      <c r="AQ13" s="73">
        <f t="shared" si="27"/>
        <v>1.0777863945578232</v>
      </c>
      <c r="AR13" s="1008">
        <v>588000000</v>
      </c>
      <c r="AS13" s="954">
        <v>5158333159</v>
      </c>
      <c r="AT13" s="73">
        <f t="shared" si="28"/>
        <v>8.7726754404761902</v>
      </c>
      <c r="AU13" s="1008">
        <v>441000000</v>
      </c>
      <c r="AV13" s="954">
        <v>714744000</v>
      </c>
      <c r="AW13" s="73">
        <f t="shared" si="29"/>
        <v>1.6207346938775511</v>
      </c>
      <c r="AX13" s="1008">
        <f t="shared" si="30"/>
        <v>17815849159</v>
      </c>
      <c r="AY13" s="73">
        <f t="shared" si="31"/>
        <v>1.2119625278231292</v>
      </c>
    </row>
    <row r="14" spans="1:52" s="22" customFormat="1" ht="76.7" customHeight="1" thickTop="1" thickBot="1">
      <c r="A14" s="2944"/>
      <c r="B14" s="2949"/>
      <c r="C14" s="3226"/>
      <c r="D14" s="623" t="s">
        <v>104</v>
      </c>
      <c r="E14" s="76" t="s">
        <v>117</v>
      </c>
      <c r="F14" s="40" t="s">
        <v>17</v>
      </c>
      <c r="G14" s="2222">
        <v>60</v>
      </c>
      <c r="H14" s="85"/>
      <c r="I14" s="18"/>
      <c r="J14" s="85"/>
      <c r="K14" s="260" t="s">
        <v>172</v>
      </c>
      <c r="L14" s="2409">
        <v>0</v>
      </c>
      <c r="M14" s="2410"/>
      <c r="N14" s="73" t="e">
        <f t="shared" si="16"/>
        <v>#DIV/0!</v>
      </c>
      <c r="O14" s="2409">
        <v>0</v>
      </c>
      <c r="P14" s="2410"/>
      <c r="Q14" s="73" t="e">
        <f t="shared" si="17"/>
        <v>#DIV/0!</v>
      </c>
      <c r="R14" s="2409">
        <v>15</v>
      </c>
      <c r="S14" s="2410"/>
      <c r="T14" s="73">
        <f t="shared" si="18"/>
        <v>0</v>
      </c>
      <c r="U14" s="2409">
        <v>0</v>
      </c>
      <c r="V14" s="2410"/>
      <c r="W14" s="73" t="e">
        <f t="shared" si="19"/>
        <v>#DIV/0!</v>
      </c>
      <c r="X14" s="2409">
        <v>0</v>
      </c>
      <c r="Y14" s="2410"/>
      <c r="Z14" s="73" t="e">
        <f t="shared" si="20"/>
        <v>#DIV/0!</v>
      </c>
      <c r="AA14" s="2409">
        <v>15</v>
      </c>
      <c r="AB14" s="2410"/>
      <c r="AC14" s="73">
        <f t="shared" si="21"/>
        <v>0</v>
      </c>
      <c r="AD14" s="782">
        <f>+AB14+S14</f>
        <v>0</v>
      </c>
      <c r="AE14" s="73">
        <f t="shared" si="23"/>
        <v>0</v>
      </c>
      <c r="AF14" s="2409">
        <v>0</v>
      </c>
      <c r="AG14" s="2410">
        <v>1</v>
      </c>
      <c r="AH14" s="73" t="e">
        <f t="shared" si="24"/>
        <v>#DIV/0!</v>
      </c>
      <c r="AI14" s="2409">
        <v>0</v>
      </c>
      <c r="AJ14" s="2410"/>
      <c r="AK14" s="73" t="e">
        <f t="shared" si="25"/>
        <v>#DIV/0!</v>
      </c>
      <c r="AL14" s="2409">
        <v>15</v>
      </c>
      <c r="AM14" s="2410"/>
      <c r="AN14" s="73">
        <f t="shared" si="26"/>
        <v>0</v>
      </c>
      <c r="AO14" s="2409">
        <v>0</v>
      </c>
      <c r="AP14" s="2410">
        <v>9</v>
      </c>
      <c r="AQ14" s="73" t="e">
        <f t="shared" si="27"/>
        <v>#DIV/0!</v>
      </c>
      <c r="AR14" s="2409">
        <v>0</v>
      </c>
      <c r="AS14" s="2410">
        <v>6</v>
      </c>
      <c r="AT14" s="73" t="e">
        <f t="shared" si="28"/>
        <v>#DIV/0!</v>
      </c>
      <c r="AU14" s="2409">
        <v>15</v>
      </c>
      <c r="AV14" s="2410">
        <v>1</v>
      </c>
      <c r="AW14" s="73">
        <f t="shared" si="29"/>
        <v>6.6666666666666666E-2</v>
      </c>
      <c r="AX14" s="1008">
        <f>+M14+P14+S14+V14+Y14+AB14+AG14+AJ14+AM14+AP14+AS14+AV14</f>
        <v>17</v>
      </c>
      <c r="AY14" s="73">
        <f t="shared" si="31"/>
        <v>0.28333333333333333</v>
      </c>
    </row>
    <row r="15" spans="1:52" s="22" customFormat="1" ht="75.75" customHeight="1" thickTop="1" thickBot="1">
      <c r="A15" s="2944"/>
      <c r="B15" s="2949"/>
      <c r="C15" s="3226"/>
      <c r="D15" s="627" t="s">
        <v>106</v>
      </c>
      <c r="E15" s="81" t="s">
        <v>173</v>
      </c>
      <c r="F15" s="98" t="s">
        <v>17</v>
      </c>
      <c r="G15" s="606">
        <v>24</v>
      </c>
      <c r="H15" s="2411" t="s">
        <v>316</v>
      </c>
      <c r="I15" s="204"/>
      <c r="J15" s="204"/>
      <c r="K15" s="1724" t="s">
        <v>172</v>
      </c>
      <c r="L15" s="2409">
        <v>0</v>
      </c>
      <c r="M15" s="2410">
        <v>8</v>
      </c>
      <c r="N15" s="73" t="e">
        <f t="shared" si="16"/>
        <v>#DIV/0!</v>
      </c>
      <c r="O15" s="2409">
        <v>0</v>
      </c>
      <c r="P15" s="2410">
        <v>3</v>
      </c>
      <c r="Q15" s="73" t="e">
        <f t="shared" si="17"/>
        <v>#DIV/0!</v>
      </c>
      <c r="R15" s="2409">
        <v>0</v>
      </c>
      <c r="S15" s="2410">
        <v>1</v>
      </c>
      <c r="T15" s="73" t="e">
        <f t="shared" si="18"/>
        <v>#DIV/0!</v>
      </c>
      <c r="U15" s="2409">
        <v>0</v>
      </c>
      <c r="V15" s="2410">
        <v>0</v>
      </c>
      <c r="W15" s="73" t="e">
        <f t="shared" si="19"/>
        <v>#DIV/0!</v>
      </c>
      <c r="X15" s="2409">
        <v>0</v>
      </c>
      <c r="Y15" s="2410">
        <v>0</v>
      </c>
      <c r="Z15" s="73" t="e">
        <f t="shared" si="20"/>
        <v>#DIV/0!</v>
      </c>
      <c r="AA15" s="2409">
        <v>0</v>
      </c>
      <c r="AB15" s="2410">
        <v>7</v>
      </c>
      <c r="AC15" s="73" t="e">
        <f t="shared" si="21"/>
        <v>#DIV/0!</v>
      </c>
      <c r="AD15" s="782">
        <f t="shared" ref="AD15:AD16" si="32">+M15+P15+S15+V15+Y15+AB15</f>
        <v>19</v>
      </c>
      <c r="AE15" s="73">
        <f t="shared" si="23"/>
        <v>0.79166666666666663</v>
      </c>
      <c r="AF15" s="2409">
        <v>12</v>
      </c>
      <c r="AG15" s="2410">
        <v>1</v>
      </c>
      <c r="AH15" s="73">
        <f t="shared" si="24"/>
        <v>8.3333333333333329E-2</v>
      </c>
      <c r="AI15" s="2409">
        <v>0</v>
      </c>
      <c r="AJ15" s="2410">
        <v>1</v>
      </c>
      <c r="AK15" s="73" t="e">
        <f t="shared" si="25"/>
        <v>#DIV/0!</v>
      </c>
      <c r="AL15" s="2409">
        <v>0</v>
      </c>
      <c r="AM15" s="2410">
        <v>1</v>
      </c>
      <c r="AN15" s="73" t="e">
        <f t="shared" si="26"/>
        <v>#DIV/0!</v>
      </c>
      <c r="AO15" s="2409">
        <v>0</v>
      </c>
      <c r="AP15" s="2410">
        <v>2</v>
      </c>
      <c r="AQ15" s="73" t="e">
        <f t="shared" si="27"/>
        <v>#DIV/0!</v>
      </c>
      <c r="AR15" s="2409">
        <v>0</v>
      </c>
      <c r="AS15" s="2410">
        <v>3</v>
      </c>
      <c r="AT15" s="73" t="e">
        <f t="shared" si="28"/>
        <v>#DIV/0!</v>
      </c>
      <c r="AU15" s="2409">
        <v>12</v>
      </c>
      <c r="AV15" s="2410">
        <v>0</v>
      </c>
      <c r="AW15" s="73">
        <f t="shared" si="29"/>
        <v>0</v>
      </c>
      <c r="AX15" s="1008">
        <f>+M15+P15+S15+V15+Y15+AB15+AG15+AJ15+AM15+AP15+AS15+AV15</f>
        <v>27</v>
      </c>
      <c r="AY15" s="73">
        <f t="shared" si="31"/>
        <v>1.125</v>
      </c>
    </row>
    <row r="16" spans="1:52" s="22" customFormat="1" ht="76.7" customHeight="1" thickTop="1" thickBot="1">
      <c r="A16" s="2944"/>
      <c r="B16" s="2949"/>
      <c r="C16" s="2412" t="s">
        <v>108</v>
      </c>
      <c r="D16" s="2413" t="s">
        <v>109</v>
      </c>
      <c r="E16" s="2414" t="s">
        <v>110</v>
      </c>
      <c r="F16" s="2415" t="s">
        <v>168</v>
      </c>
      <c r="G16" s="2416">
        <v>47566</v>
      </c>
      <c r="H16" s="57"/>
      <c r="I16" s="2417"/>
      <c r="J16" s="57"/>
      <c r="K16" s="2418" t="s">
        <v>21</v>
      </c>
      <c r="L16" s="1021">
        <v>4768</v>
      </c>
      <c r="M16" s="2298">
        <v>7044</v>
      </c>
      <c r="N16" s="73">
        <f t="shared" si="16"/>
        <v>1.4773489932885906</v>
      </c>
      <c r="O16" s="1021">
        <v>4471</v>
      </c>
      <c r="P16" s="2298">
        <v>4104.2</v>
      </c>
      <c r="Q16" s="73">
        <f t="shared" si="17"/>
        <v>0.91796018787743228</v>
      </c>
      <c r="R16" s="1021">
        <v>4014</v>
      </c>
      <c r="S16" s="2298">
        <v>3165.4</v>
      </c>
      <c r="T16" s="73">
        <f t="shared" si="18"/>
        <v>0.78858993522670651</v>
      </c>
      <c r="U16" s="1021">
        <v>3779</v>
      </c>
      <c r="V16" s="2298">
        <v>2598.6</v>
      </c>
      <c r="W16" s="73">
        <f t="shared" si="19"/>
        <v>0.68764223339507802</v>
      </c>
      <c r="X16" s="1021">
        <v>5095</v>
      </c>
      <c r="Y16" s="2298">
        <v>3196.4</v>
      </c>
      <c r="Z16" s="73">
        <f t="shared" si="20"/>
        <v>0.62736015701668302</v>
      </c>
      <c r="AA16" s="1021">
        <v>3898</v>
      </c>
      <c r="AB16" s="2298">
        <v>2821.8</v>
      </c>
      <c r="AC16" s="73">
        <f t="shared" si="21"/>
        <v>0.72390969728065679</v>
      </c>
      <c r="AD16" s="955">
        <f t="shared" si="32"/>
        <v>22930.400000000001</v>
      </c>
      <c r="AE16" s="73">
        <f t="shared" si="23"/>
        <v>0.48207543203128289</v>
      </c>
      <c r="AF16" s="1021">
        <v>3370</v>
      </c>
      <c r="AG16" s="2298">
        <v>3437.1</v>
      </c>
      <c r="AH16" s="73">
        <f t="shared" si="24"/>
        <v>1.0199109792284866</v>
      </c>
      <c r="AI16" s="1021">
        <v>3237</v>
      </c>
      <c r="AJ16" s="2298">
        <v>2552.6</v>
      </c>
      <c r="AK16" s="73">
        <f t="shared" si="25"/>
        <v>0.78856966326845845</v>
      </c>
      <c r="AL16" s="1021">
        <v>4841</v>
      </c>
      <c r="AM16" s="2298">
        <v>4184.3</v>
      </c>
      <c r="AN16" s="73">
        <f t="shared" si="26"/>
        <v>0.86434620946085527</v>
      </c>
      <c r="AO16" s="1021">
        <v>4337</v>
      </c>
      <c r="AP16" s="2298">
        <v>4230.7</v>
      </c>
      <c r="AQ16" s="73">
        <f t="shared" si="27"/>
        <v>0.97548997002536308</v>
      </c>
      <c r="AR16" s="1021">
        <v>3538.3123233747087</v>
      </c>
      <c r="AS16" s="2298">
        <v>4082</v>
      </c>
      <c r="AT16" s="73">
        <f t="shared" si="28"/>
        <v>1.1536573447837251</v>
      </c>
      <c r="AU16" s="1021">
        <v>2219.0558014321696</v>
      </c>
      <c r="AV16" s="2298">
        <v>3312</v>
      </c>
      <c r="AW16" s="73">
        <f t="shared" si="29"/>
        <v>1.4925266853868429</v>
      </c>
      <c r="AX16" s="1021">
        <f t="shared" si="30"/>
        <v>44729.1</v>
      </c>
      <c r="AY16" s="73">
        <f t="shared" si="31"/>
        <v>0.94035865954673503</v>
      </c>
    </row>
    <row r="17" spans="1:51" s="22" customFormat="1" ht="56.25" customHeight="1" thickTop="1" thickBot="1">
      <c r="A17" s="2944"/>
      <c r="B17" s="2949"/>
      <c r="C17" s="25" t="s">
        <v>350</v>
      </c>
      <c r="D17" s="2419" t="s">
        <v>111</v>
      </c>
      <c r="E17" s="661" t="s">
        <v>112</v>
      </c>
      <c r="F17" s="98" t="s">
        <v>17</v>
      </c>
      <c r="G17" s="1946">
        <v>190</v>
      </c>
      <c r="H17" s="98"/>
      <c r="I17" s="26"/>
      <c r="J17" s="98"/>
      <c r="K17" s="25" t="s">
        <v>20</v>
      </c>
      <c r="L17" s="857">
        <v>0</v>
      </c>
      <c r="M17" s="496"/>
      <c r="N17" s="73" t="e">
        <f t="shared" si="16"/>
        <v>#DIV/0!</v>
      </c>
      <c r="O17" s="857">
        <v>0</v>
      </c>
      <c r="P17" s="496"/>
      <c r="Q17" s="73" t="e">
        <f t="shared" si="17"/>
        <v>#DIV/0!</v>
      </c>
      <c r="R17" s="857">
        <v>0</v>
      </c>
      <c r="S17" s="496"/>
      <c r="T17" s="73" t="e">
        <f t="shared" si="18"/>
        <v>#DIV/0!</v>
      </c>
      <c r="U17" s="857">
        <v>0</v>
      </c>
      <c r="V17" s="496">
        <v>110</v>
      </c>
      <c r="W17" s="73" t="e">
        <f t="shared" si="19"/>
        <v>#DIV/0!</v>
      </c>
      <c r="X17" s="857">
        <v>0</v>
      </c>
      <c r="Y17" s="496">
        <v>5</v>
      </c>
      <c r="Z17" s="73" t="e">
        <f t="shared" si="20"/>
        <v>#DIV/0!</v>
      </c>
      <c r="AA17" s="857">
        <v>0</v>
      </c>
      <c r="AB17" s="496">
        <v>9</v>
      </c>
      <c r="AC17" s="73" t="e">
        <f t="shared" si="21"/>
        <v>#DIV/0!</v>
      </c>
      <c r="AD17" s="782">
        <f>+M17+P17+S17+V17+Y17+AB17</f>
        <v>124</v>
      </c>
      <c r="AE17" s="73">
        <f t="shared" si="23"/>
        <v>0.65263157894736845</v>
      </c>
      <c r="AF17" s="857">
        <v>0</v>
      </c>
      <c r="AG17" s="496">
        <v>26</v>
      </c>
      <c r="AH17" s="73" t="e">
        <f t="shared" si="24"/>
        <v>#DIV/0!</v>
      </c>
      <c r="AI17" s="857">
        <v>0</v>
      </c>
      <c r="AJ17" s="496">
        <v>11</v>
      </c>
      <c r="AK17" s="73" t="e">
        <f>+AJ17/AI17</f>
        <v>#DIV/0!</v>
      </c>
      <c r="AL17" s="857">
        <v>0</v>
      </c>
      <c r="AM17" s="496">
        <v>6</v>
      </c>
      <c r="AN17" s="73" t="e">
        <f t="shared" si="26"/>
        <v>#DIV/0!</v>
      </c>
      <c r="AO17" s="857">
        <v>185</v>
      </c>
      <c r="AP17" s="496">
        <v>4</v>
      </c>
      <c r="AQ17" s="73">
        <f t="shared" si="27"/>
        <v>2.1621621621621623E-2</v>
      </c>
      <c r="AR17" s="857">
        <v>0</v>
      </c>
      <c r="AS17" s="496">
        <v>7</v>
      </c>
      <c r="AT17" s="73" t="e">
        <f t="shared" si="28"/>
        <v>#DIV/0!</v>
      </c>
      <c r="AU17" s="857">
        <v>5</v>
      </c>
      <c r="AV17" s="496">
        <v>3</v>
      </c>
      <c r="AW17" s="73">
        <f t="shared" si="29"/>
        <v>0.6</v>
      </c>
      <c r="AX17" s="857">
        <f t="shared" si="30"/>
        <v>181</v>
      </c>
      <c r="AY17" s="73">
        <f t="shared" si="31"/>
        <v>0.95263157894736838</v>
      </c>
    </row>
    <row r="18" spans="1:51" s="22" customFormat="1" ht="60.75" customHeight="1" thickTop="1" thickBot="1">
      <c r="A18" s="2944"/>
      <c r="B18" s="2949"/>
      <c r="C18" s="25" t="s">
        <v>1025</v>
      </c>
      <c r="D18" s="623" t="s">
        <v>114</v>
      </c>
      <c r="E18" s="76" t="s">
        <v>115</v>
      </c>
      <c r="F18" s="85" t="s">
        <v>10</v>
      </c>
      <c r="G18" s="1480">
        <v>1</v>
      </c>
      <c r="H18" s="85"/>
      <c r="I18" s="18"/>
      <c r="J18" s="85"/>
      <c r="K18" s="561" t="s">
        <v>20</v>
      </c>
      <c r="L18" s="1030">
        <v>0</v>
      </c>
      <c r="M18" s="1439"/>
      <c r="N18" s="73" t="e">
        <f t="shared" si="16"/>
        <v>#DIV/0!</v>
      </c>
      <c r="O18" s="1030">
        <v>0</v>
      </c>
      <c r="P18" s="1439"/>
      <c r="Q18" s="73" t="e">
        <f t="shared" si="17"/>
        <v>#DIV/0!</v>
      </c>
      <c r="R18" s="1030">
        <v>0.25</v>
      </c>
      <c r="S18" s="1439">
        <v>5.1900000000000002E-2</v>
      </c>
      <c r="T18" s="73">
        <f t="shared" si="18"/>
        <v>0.20760000000000001</v>
      </c>
      <c r="U18" s="1030">
        <v>0</v>
      </c>
      <c r="V18" s="1439">
        <v>1.2999999999999999E-2</v>
      </c>
      <c r="W18" s="73" t="e">
        <f t="shared" si="19"/>
        <v>#DIV/0!</v>
      </c>
      <c r="X18" s="1030">
        <v>0</v>
      </c>
      <c r="Y18" s="1439">
        <v>0.13</v>
      </c>
      <c r="Z18" s="73" t="e">
        <f t="shared" si="20"/>
        <v>#DIV/0!</v>
      </c>
      <c r="AA18" s="1030">
        <v>0.25</v>
      </c>
      <c r="AB18" s="1439">
        <v>0.61</v>
      </c>
      <c r="AC18" s="73">
        <f>+AB18/AA18</f>
        <v>2.44</v>
      </c>
      <c r="AD18" s="596">
        <f t="shared" ref="AD18" si="33">+M18+P18+S18+V18+Y18+AB18</f>
        <v>0.80489999999999995</v>
      </c>
      <c r="AE18" s="73">
        <f t="shared" si="23"/>
        <v>0.80489999999999995</v>
      </c>
      <c r="AF18" s="1030">
        <v>0</v>
      </c>
      <c r="AG18" s="1439">
        <v>0.18</v>
      </c>
      <c r="AH18" s="73" t="e">
        <f t="shared" si="24"/>
        <v>#DIV/0!</v>
      </c>
      <c r="AI18" s="1030">
        <v>0</v>
      </c>
      <c r="AJ18" s="1439">
        <v>0.66</v>
      </c>
      <c r="AK18" s="73" t="e">
        <f t="shared" ref="AK18:AK33" si="34">+AJ18/AI18</f>
        <v>#DIV/0!</v>
      </c>
      <c r="AL18" s="1030">
        <v>0.25</v>
      </c>
      <c r="AM18" s="1439"/>
      <c r="AN18" s="73">
        <f t="shared" si="26"/>
        <v>0</v>
      </c>
      <c r="AO18" s="1030">
        <v>0</v>
      </c>
      <c r="AP18" s="1439">
        <v>0.61</v>
      </c>
      <c r="AQ18" s="73" t="e">
        <f t="shared" si="27"/>
        <v>#DIV/0!</v>
      </c>
      <c r="AR18" s="1030">
        <v>0</v>
      </c>
      <c r="AS18" s="1439">
        <v>1.2999999999999999E-2</v>
      </c>
      <c r="AT18" s="73" t="e">
        <f t="shared" si="28"/>
        <v>#DIV/0!</v>
      </c>
      <c r="AU18" s="1030">
        <v>0.25</v>
      </c>
      <c r="AV18" s="1439">
        <v>0.61</v>
      </c>
      <c r="AW18" s="73">
        <f t="shared" si="29"/>
        <v>2.44</v>
      </c>
      <c r="AX18" s="1030">
        <f t="shared" si="30"/>
        <v>2.8778999999999995</v>
      </c>
      <c r="AY18" s="73">
        <f t="shared" si="31"/>
        <v>2.8778999999999995</v>
      </c>
    </row>
    <row r="19" spans="1:51" s="22" customFormat="1" ht="51.2" customHeight="1" thickTop="1" thickBot="1">
      <c r="A19" s="2944"/>
      <c r="B19" s="2949"/>
      <c r="C19" s="23" t="s">
        <v>174</v>
      </c>
      <c r="D19" s="2420" t="s">
        <v>116</v>
      </c>
      <c r="E19" s="626" t="s">
        <v>117</v>
      </c>
      <c r="F19" s="98" t="s">
        <v>17</v>
      </c>
      <c r="G19" s="1946">
        <v>3537</v>
      </c>
      <c r="H19" s="98"/>
      <c r="I19" s="26"/>
      <c r="J19" s="98"/>
      <c r="K19" s="25" t="s">
        <v>118</v>
      </c>
      <c r="L19" s="857">
        <v>0</v>
      </c>
      <c r="M19" s="496"/>
      <c r="N19" s="73" t="e">
        <f t="shared" si="16"/>
        <v>#DIV/0!</v>
      </c>
      <c r="O19" s="857">
        <v>0</v>
      </c>
      <c r="P19" s="496"/>
      <c r="Q19" s="73" t="e">
        <f t="shared" si="17"/>
        <v>#DIV/0!</v>
      </c>
      <c r="R19" s="857">
        <v>672</v>
      </c>
      <c r="S19" s="496">
        <v>911</v>
      </c>
      <c r="T19" s="73">
        <f t="shared" si="18"/>
        <v>1.3556547619047619</v>
      </c>
      <c r="U19" s="857">
        <v>546</v>
      </c>
      <c r="V19" s="496">
        <v>59</v>
      </c>
      <c r="W19" s="73">
        <f t="shared" si="19"/>
        <v>0.10805860805860806</v>
      </c>
      <c r="X19" s="857">
        <v>159</v>
      </c>
      <c r="Y19" s="496">
        <v>51</v>
      </c>
      <c r="Z19" s="73">
        <f t="shared" si="20"/>
        <v>0.32075471698113206</v>
      </c>
      <c r="AA19" s="857">
        <v>110</v>
      </c>
      <c r="AB19" s="496">
        <v>110</v>
      </c>
      <c r="AC19" s="73">
        <f t="shared" si="21"/>
        <v>1</v>
      </c>
      <c r="AD19" s="782">
        <f>+M19+P19+S19+V19+Y19+AB19</f>
        <v>1131</v>
      </c>
      <c r="AE19" s="73">
        <f t="shared" si="23"/>
        <v>0.31976251060220529</v>
      </c>
      <c r="AF19" s="857">
        <v>329</v>
      </c>
      <c r="AG19" s="496">
        <v>303</v>
      </c>
      <c r="AH19" s="73">
        <f t="shared" si="24"/>
        <v>0.92097264437689974</v>
      </c>
      <c r="AI19" s="857">
        <v>502</v>
      </c>
      <c r="AJ19" s="496">
        <v>355</v>
      </c>
      <c r="AK19" s="73">
        <f t="shared" si="34"/>
        <v>0.70717131474103589</v>
      </c>
      <c r="AL19" s="857">
        <v>682</v>
      </c>
      <c r="AM19" s="496">
        <v>424</v>
      </c>
      <c r="AN19" s="73">
        <f t="shared" si="26"/>
        <v>0.6217008797653959</v>
      </c>
      <c r="AO19" s="857">
        <v>266</v>
      </c>
      <c r="AP19" s="496">
        <v>516</v>
      </c>
      <c r="AQ19" s="73">
        <f t="shared" si="27"/>
        <v>1.9398496240601504</v>
      </c>
      <c r="AR19" s="857">
        <v>183</v>
      </c>
      <c r="AS19" s="496">
        <v>1556</v>
      </c>
      <c r="AT19" s="73">
        <f t="shared" si="28"/>
        <v>8.5027322404371581</v>
      </c>
      <c r="AU19" s="857">
        <v>20</v>
      </c>
      <c r="AV19" s="496">
        <v>372</v>
      </c>
      <c r="AW19" s="73">
        <f t="shared" si="29"/>
        <v>18.600000000000001</v>
      </c>
      <c r="AX19" s="857">
        <f t="shared" si="30"/>
        <v>4657</v>
      </c>
      <c r="AY19" s="73">
        <f t="shared" si="31"/>
        <v>1.3166525303929884</v>
      </c>
    </row>
    <row r="20" spans="1:51" s="22" customFormat="1" ht="60.2" customHeight="1" thickTop="1" thickBot="1">
      <c r="A20" s="2944"/>
      <c r="B20" s="2949"/>
      <c r="C20" s="2911" t="s">
        <v>119</v>
      </c>
      <c r="D20" s="731" t="s">
        <v>120</v>
      </c>
      <c r="E20" s="87" t="s">
        <v>121</v>
      </c>
      <c r="F20" s="81" t="s">
        <v>10</v>
      </c>
      <c r="G20" s="2343">
        <v>0.64100000000000001</v>
      </c>
      <c r="H20" s="82"/>
      <c r="I20" s="642"/>
      <c r="J20" s="82"/>
      <c r="K20" s="81" t="s">
        <v>7</v>
      </c>
      <c r="L20" s="1030">
        <v>0</v>
      </c>
      <c r="M20" s="1439"/>
      <c r="N20" s="73" t="e">
        <f t="shared" si="16"/>
        <v>#DIV/0!</v>
      </c>
      <c r="O20" s="1030">
        <v>0</v>
      </c>
      <c r="P20" s="1439"/>
      <c r="Q20" s="73" t="e">
        <f t="shared" si="17"/>
        <v>#DIV/0!</v>
      </c>
      <c r="R20" s="1030">
        <v>0</v>
      </c>
      <c r="S20" s="1439"/>
      <c r="T20" s="73" t="e">
        <f t="shared" si="18"/>
        <v>#DIV/0!</v>
      </c>
      <c r="U20" s="1030">
        <v>0</v>
      </c>
      <c r="V20" s="1439"/>
      <c r="W20" s="73" t="e">
        <f t="shared" si="19"/>
        <v>#DIV/0!</v>
      </c>
      <c r="X20" s="1030">
        <v>0</v>
      </c>
      <c r="Y20" s="1439"/>
      <c r="Z20" s="73" t="e">
        <f t="shared" si="20"/>
        <v>#DIV/0!</v>
      </c>
      <c r="AA20" s="1030">
        <v>0</v>
      </c>
      <c r="AB20" s="1439"/>
      <c r="AC20" s="73" t="e">
        <f t="shared" si="21"/>
        <v>#DIV/0!</v>
      </c>
      <c r="AD20" s="596">
        <f t="shared" ref="AD20:AD27" si="35">+M20+P20+S20+V20+Y20+AB20</f>
        <v>0</v>
      </c>
      <c r="AE20" s="73">
        <f t="shared" si="23"/>
        <v>0</v>
      </c>
      <c r="AF20" s="1030">
        <v>0</v>
      </c>
      <c r="AG20" s="2421">
        <v>1</v>
      </c>
      <c r="AH20" s="73" t="e">
        <f t="shared" si="24"/>
        <v>#DIV/0!</v>
      </c>
      <c r="AI20" s="1030">
        <v>0</v>
      </c>
      <c r="AJ20" s="1439">
        <v>0</v>
      </c>
      <c r="AK20" s="73" t="e">
        <f t="shared" si="34"/>
        <v>#DIV/0!</v>
      </c>
      <c r="AL20" s="1030">
        <v>0</v>
      </c>
      <c r="AM20" s="1439">
        <v>0</v>
      </c>
      <c r="AN20" s="73" t="e">
        <f t="shared" si="26"/>
        <v>#DIV/0!</v>
      </c>
      <c r="AO20" s="1030">
        <v>0</v>
      </c>
      <c r="AP20" s="1439">
        <v>0</v>
      </c>
      <c r="AQ20" s="73" t="e">
        <f t="shared" si="27"/>
        <v>#DIV/0!</v>
      </c>
      <c r="AR20" s="1030">
        <v>0</v>
      </c>
      <c r="AS20" s="1439">
        <v>0</v>
      </c>
      <c r="AT20" s="73" t="e">
        <f t="shared" si="28"/>
        <v>#DIV/0!</v>
      </c>
      <c r="AU20" s="1030">
        <v>0.64100000000000001</v>
      </c>
      <c r="AV20" s="1439">
        <v>0</v>
      </c>
      <c r="AW20" s="73">
        <f t="shared" si="29"/>
        <v>0</v>
      </c>
      <c r="AX20" s="857">
        <f>+M20+P20+S20+V20+Y20+AB20+AG20+AJ20+AM20+AP20+AS20+AV20</f>
        <v>1</v>
      </c>
      <c r="AY20" s="73">
        <f t="shared" si="31"/>
        <v>1.5600624024960998</v>
      </c>
    </row>
    <row r="21" spans="1:51" s="22" customFormat="1" ht="60.2" customHeight="1" thickTop="1" thickBot="1">
      <c r="A21" s="2944"/>
      <c r="B21" s="2949"/>
      <c r="C21" s="2912"/>
      <c r="D21" s="728" t="s">
        <v>175</v>
      </c>
      <c r="E21" s="90" t="s">
        <v>123</v>
      </c>
      <c r="F21" s="76" t="s">
        <v>10</v>
      </c>
      <c r="G21" s="2345">
        <v>1</v>
      </c>
      <c r="H21" s="78"/>
      <c r="I21" s="652"/>
      <c r="J21" s="78"/>
      <c r="K21" s="76" t="s">
        <v>7</v>
      </c>
      <c r="L21" s="869">
        <v>0</v>
      </c>
      <c r="M21" s="527">
        <v>0</v>
      </c>
      <c r="N21" s="73" t="e">
        <f t="shared" si="16"/>
        <v>#DIV/0!</v>
      </c>
      <c r="O21" s="869">
        <v>0</v>
      </c>
      <c r="P21" s="527">
        <v>0</v>
      </c>
      <c r="Q21" s="73" t="e">
        <f t="shared" si="17"/>
        <v>#DIV/0!</v>
      </c>
      <c r="R21" s="869">
        <v>1</v>
      </c>
      <c r="S21" s="527">
        <v>1</v>
      </c>
      <c r="T21" s="73">
        <f t="shared" si="18"/>
        <v>1</v>
      </c>
      <c r="U21" s="869">
        <v>0</v>
      </c>
      <c r="V21" s="527">
        <v>0</v>
      </c>
      <c r="W21" s="73" t="e">
        <f t="shared" si="19"/>
        <v>#DIV/0!</v>
      </c>
      <c r="X21" s="869">
        <v>0</v>
      </c>
      <c r="Y21" s="527">
        <v>0</v>
      </c>
      <c r="Z21" s="73" t="e">
        <f t="shared" si="20"/>
        <v>#DIV/0!</v>
      </c>
      <c r="AA21" s="869">
        <v>0</v>
      </c>
      <c r="AB21" s="527">
        <v>0</v>
      </c>
      <c r="AC21" s="73" t="e">
        <f t="shared" si="21"/>
        <v>#DIV/0!</v>
      </c>
      <c r="AD21" s="596">
        <f>+V21</f>
        <v>0</v>
      </c>
      <c r="AE21" s="73">
        <f t="shared" si="23"/>
        <v>0</v>
      </c>
      <c r="AF21" s="869">
        <v>0</v>
      </c>
      <c r="AG21" s="527">
        <v>0</v>
      </c>
      <c r="AH21" s="73" t="e">
        <f t="shared" si="24"/>
        <v>#DIV/0!</v>
      </c>
      <c r="AI21" s="869">
        <v>0</v>
      </c>
      <c r="AJ21" s="527">
        <v>0</v>
      </c>
      <c r="AK21" s="73" t="e">
        <f t="shared" si="34"/>
        <v>#DIV/0!</v>
      </c>
      <c r="AL21" s="869">
        <v>1</v>
      </c>
      <c r="AM21" s="527">
        <v>1</v>
      </c>
      <c r="AN21" s="73">
        <f t="shared" si="26"/>
        <v>1</v>
      </c>
      <c r="AO21" s="869">
        <v>0</v>
      </c>
      <c r="AP21" s="527">
        <v>0</v>
      </c>
      <c r="AQ21" s="73" t="e">
        <f t="shared" si="27"/>
        <v>#DIV/0!</v>
      </c>
      <c r="AR21" s="869">
        <v>0</v>
      </c>
      <c r="AS21" s="527">
        <v>0</v>
      </c>
      <c r="AT21" s="73" t="e">
        <f t="shared" si="28"/>
        <v>#DIV/0!</v>
      </c>
      <c r="AU21" s="869">
        <v>0</v>
      </c>
      <c r="AV21" s="527">
        <v>0</v>
      </c>
      <c r="AW21" s="73" t="e">
        <f t="shared" si="29"/>
        <v>#DIV/0!</v>
      </c>
      <c r="AX21" s="869">
        <f>(AM21+S21)/2</f>
        <v>1</v>
      </c>
      <c r="AY21" s="73">
        <f t="shared" si="31"/>
        <v>1</v>
      </c>
    </row>
    <row r="22" spans="1:51" s="22" customFormat="1" ht="68.45" customHeight="1" thickTop="1" thickBot="1">
      <c r="A22" s="2944"/>
      <c r="B22" s="2949"/>
      <c r="C22" s="2912"/>
      <c r="D22" s="731" t="s">
        <v>124</v>
      </c>
      <c r="E22" s="87" t="s">
        <v>176</v>
      </c>
      <c r="F22" s="81" t="s">
        <v>10</v>
      </c>
      <c r="G22" s="2343">
        <v>1</v>
      </c>
      <c r="H22" s="82"/>
      <c r="I22" s="642"/>
      <c r="J22" s="82"/>
      <c r="K22" s="81" t="s">
        <v>7</v>
      </c>
      <c r="L22" s="871">
        <v>0</v>
      </c>
      <c r="M22" s="145">
        <v>0</v>
      </c>
      <c r="N22" s="73" t="e">
        <f t="shared" si="16"/>
        <v>#DIV/0!</v>
      </c>
      <c r="O22" s="871">
        <v>0</v>
      </c>
      <c r="P22" s="145">
        <v>0</v>
      </c>
      <c r="Q22" s="73" t="e">
        <f t="shared" si="17"/>
        <v>#DIV/0!</v>
      </c>
      <c r="R22" s="871">
        <v>0</v>
      </c>
      <c r="S22" s="145">
        <v>0</v>
      </c>
      <c r="T22" s="73" t="e">
        <f t="shared" si="18"/>
        <v>#DIV/0!</v>
      </c>
      <c r="U22" s="871">
        <v>0</v>
      </c>
      <c r="V22" s="145">
        <v>0</v>
      </c>
      <c r="W22" s="73" t="e">
        <f t="shared" si="19"/>
        <v>#DIV/0!</v>
      </c>
      <c r="X22" s="871">
        <v>0</v>
      </c>
      <c r="Y22" s="145">
        <v>0</v>
      </c>
      <c r="Z22" s="73" t="e">
        <f t="shared" si="20"/>
        <v>#DIV/0!</v>
      </c>
      <c r="AA22" s="871">
        <v>0</v>
      </c>
      <c r="AB22" s="145">
        <v>0</v>
      </c>
      <c r="AC22" s="73" t="e">
        <f t="shared" si="21"/>
        <v>#DIV/0!</v>
      </c>
      <c r="AD22" s="596">
        <f>(+AB22+S22)/2</f>
        <v>0</v>
      </c>
      <c r="AE22" s="73">
        <f t="shared" si="23"/>
        <v>0</v>
      </c>
      <c r="AF22" s="871">
        <v>0</v>
      </c>
      <c r="AG22" s="145">
        <v>0</v>
      </c>
      <c r="AH22" s="73" t="e">
        <f t="shared" si="24"/>
        <v>#DIV/0!</v>
      </c>
      <c r="AI22" s="871">
        <v>0</v>
      </c>
      <c r="AJ22" s="145">
        <v>0</v>
      </c>
      <c r="AK22" s="73" t="e">
        <f t="shared" si="34"/>
        <v>#DIV/0!</v>
      </c>
      <c r="AL22" s="869">
        <v>1</v>
      </c>
      <c r="AM22" s="527">
        <v>1</v>
      </c>
      <c r="AN22" s="73">
        <f t="shared" si="26"/>
        <v>1</v>
      </c>
      <c r="AO22" s="871">
        <v>0</v>
      </c>
      <c r="AP22" s="145">
        <v>0</v>
      </c>
      <c r="AQ22" s="73" t="e">
        <f t="shared" si="27"/>
        <v>#DIV/0!</v>
      </c>
      <c r="AR22" s="871">
        <v>0</v>
      </c>
      <c r="AS22" s="145">
        <v>0</v>
      </c>
      <c r="AT22" s="73" t="e">
        <f t="shared" si="28"/>
        <v>#DIV/0!</v>
      </c>
      <c r="AU22" s="871">
        <v>0</v>
      </c>
      <c r="AV22" s="145">
        <v>0</v>
      </c>
      <c r="AW22" s="73" t="e">
        <f t="shared" si="29"/>
        <v>#DIV/0!</v>
      </c>
      <c r="AX22" s="871">
        <f>(+AV22+AM22+AB22+S22)/1</f>
        <v>1</v>
      </c>
      <c r="AY22" s="73">
        <f t="shared" si="31"/>
        <v>1</v>
      </c>
    </row>
    <row r="23" spans="1:51" s="22" customFormat="1" ht="54" customHeight="1" thickTop="1" thickBot="1">
      <c r="A23" s="2944"/>
      <c r="B23" s="2949"/>
      <c r="C23" s="2912"/>
      <c r="D23" s="728" t="s">
        <v>177</v>
      </c>
      <c r="E23" s="90" t="s">
        <v>127</v>
      </c>
      <c r="F23" s="76" t="s">
        <v>10</v>
      </c>
      <c r="G23" s="2345">
        <v>1</v>
      </c>
      <c r="H23" s="78"/>
      <c r="I23" s="652"/>
      <c r="J23" s="78"/>
      <c r="K23" s="76" t="s">
        <v>7</v>
      </c>
      <c r="L23" s="869">
        <v>1</v>
      </c>
      <c r="M23" s="527">
        <v>1</v>
      </c>
      <c r="N23" s="73">
        <f t="shared" si="16"/>
        <v>1</v>
      </c>
      <c r="O23" s="869">
        <v>1</v>
      </c>
      <c r="P23" s="527">
        <v>1</v>
      </c>
      <c r="Q23" s="73">
        <f t="shared" si="17"/>
        <v>1</v>
      </c>
      <c r="R23" s="869">
        <v>1</v>
      </c>
      <c r="S23" s="527">
        <v>1</v>
      </c>
      <c r="T23" s="73">
        <f t="shared" si="18"/>
        <v>1</v>
      </c>
      <c r="U23" s="869">
        <v>1</v>
      </c>
      <c r="V23" s="527">
        <v>1</v>
      </c>
      <c r="W23" s="73">
        <f t="shared" si="19"/>
        <v>1</v>
      </c>
      <c r="X23" s="869">
        <v>1</v>
      </c>
      <c r="Y23" s="527">
        <v>1</v>
      </c>
      <c r="Z23" s="73">
        <f t="shared" si="20"/>
        <v>1</v>
      </c>
      <c r="AA23" s="869">
        <v>1</v>
      </c>
      <c r="AB23" s="527">
        <v>1</v>
      </c>
      <c r="AC23" s="73">
        <f t="shared" si="21"/>
        <v>1</v>
      </c>
      <c r="AD23" s="596">
        <f>(+M23+P23+S23+V23+Y23+AB23)/6</f>
        <v>1</v>
      </c>
      <c r="AE23" s="73">
        <f t="shared" si="23"/>
        <v>1</v>
      </c>
      <c r="AF23" s="869">
        <v>1</v>
      </c>
      <c r="AG23" s="527">
        <v>1</v>
      </c>
      <c r="AH23" s="73">
        <f t="shared" si="24"/>
        <v>1</v>
      </c>
      <c r="AI23" s="869">
        <v>1</v>
      </c>
      <c r="AJ23" s="527">
        <v>1</v>
      </c>
      <c r="AK23" s="73">
        <f t="shared" si="34"/>
        <v>1</v>
      </c>
      <c r="AL23" s="869">
        <v>1</v>
      </c>
      <c r="AM23" s="527">
        <v>1</v>
      </c>
      <c r="AN23" s="73">
        <f t="shared" si="26"/>
        <v>1</v>
      </c>
      <c r="AO23" s="869">
        <v>1</v>
      </c>
      <c r="AP23" s="527">
        <v>1</v>
      </c>
      <c r="AQ23" s="73">
        <f t="shared" si="27"/>
        <v>1</v>
      </c>
      <c r="AR23" s="869">
        <v>1</v>
      </c>
      <c r="AS23" s="527">
        <v>1</v>
      </c>
      <c r="AT23" s="73">
        <f t="shared" si="28"/>
        <v>1</v>
      </c>
      <c r="AU23" s="869">
        <v>1</v>
      </c>
      <c r="AV23" s="527">
        <v>1</v>
      </c>
      <c r="AW23" s="73">
        <f t="shared" si="29"/>
        <v>1</v>
      </c>
      <c r="AX23" s="869">
        <f>(+M23+P23+S23+V23+Y23+AB23+AG23+AJ23+AM23+AP23+AS23+AV23)/12</f>
        <v>1</v>
      </c>
      <c r="AY23" s="73">
        <f t="shared" si="31"/>
        <v>1</v>
      </c>
    </row>
    <row r="24" spans="1:51" s="22" customFormat="1" ht="60.2" customHeight="1" thickTop="1" thickBot="1">
      <c r="A24" s="2944"/>
      <c r="B24" s="2949"/>
      <c r="C24" s="2912"/>
      <c r="D24" s="731" t="s">
        <v>128</v>
      </c>
      <c r="E24" s="87" t="s">
        <v>178</v>
      </c>
      <c r="F24" s="81" t="s">
        <v>10</v>
      </c>
      <c r="G24" s="2343">
        <v>1</v>
      </c>
      <c r="H24" s="82"/>
      <c r="I24" s="642"/>
      <c r="J24" s="82"/>
      <c r="K24" s="81" t="s">
        <v>7</v>
      </c>
      <c r="L24" s="871">
        <v>0</v>
      </c>
      <c r="M24" s="145">
        <v>0</v>
      </c>
      <c r="N24" s="73" t="e">
        <f t="shared" si="16"/>
        <v>#DIV/0!</v>
      </c>
      <c r="O24" s="871">
        <v>0</v>
      </c>
      <c r="P24" s="145">
        <v>0</v>
      </c>
      <c r="Q24" s="73" t="e">
        <f t="shared" si="17"/>
        <v>#DIV/0!</v>
      </c>
      <c r="R24" s="871">
        <v>0</v>
      </c>
      <c r="S24" s="145">
        <v>0</v>
      </c>
      <c r="T24" s="73" t="e">
        <f t="shared" si="18"/>
        <v>#DIV/0!</v>
      </c>
      <c r="U24" s="871">
        <v>0</v>
      </c>
      <c r="V24" s="145">
        <v>0</v>
      </c>
      <c r="W24" s="73" t="e">
        <f t="shared" si="19"/>
        <v>#DIV/0!</v>
      </c>
      <c r="X24" s="871">
        <v>0</v>
      </c>
      <c r="Y24" s="145">
        <v>0</v>
      </c>
      <c r="Z24" s="73" t="e">
        <f t="shared" si="20"/>
        <v>#DIV/0!</v>
      </c>
      <c r="AA24" s="871">
        <v>0</v>
      </c>
      <c r="AB24" s="145">
        <v>0</v>
      </c>
      <c r="AC24" s="73" t="e">
        <f t="shared" si="21"/>
        <v>#DIV/0!</v>
      </c>
      <c r="AD24" s="596">
        <f>(+M24+P24+S24+V24+Y24+AB24)/6</f>
        <v>0</v>
      </c>
      <c r="AE24" s="73">
        <f t="shared" si="23"/>
        <v>0</v>
      </c>
      <c r="AF24" s="871">
        <v>1</v>
      </c>
      <c r="AG24" s="145">
        <v>1</v>
      </c>
      <c r="AH24" s="73">
        <f t="shared" si="24"/>
        <v>1</v>
      </c>
      <c r="AI24" s="871">
        <v>0</v>
      </c>
      <c r="AJ24" s="145">
        <v>0</v>
      </c>
      <c r="AK24" s="73" t="e">
        <f t="shared" si="34"/>
        <v>#DIV/0!</v>
      </c>
      <c r="AL24" s="871">
        <v>1</v>
      </c>
      <c r="AM24" s="145">
        <v>1</v>
      </c>
      <c r="AN24" s="73">
        <f t="shared" si="26"/>
        <v>1</v>
      </c>
      <c r="AO24" s="871">
        <v>1</v>
      </c>
      <c r="AP24" s="145">
        <v>1</v>
      </c>
      <c r="AQ24" s="73">
        <f t="shared" si="27"/>
        <v>1</v>
      </c>
      <c r="AR24" s="871">
        <v>0</v>
      </c>
      <c r="AS24" s="145">
        <v>0</v>
      </c>
      <c r="AT24" s="73" t="e">
        <f t="shared" si="28"/>
        <v>#DIV/0!</v>
      </c>
      <c r="AU24" s="871">
        <v>0</v>
      </c>
      <c r="AV24" s="145">
        <v>0</v>
      </c>
      <c r="AW24" s="73" t="e">
        <f t="shared" si="29"/>
        <v>#DIV/0!</v>
      </c>
      <c r="AX24" s="871">
        <f>(+M24+P24+S24+V24+Y24+AB24+AG24+AJ24+AM24+AP24+AS24+AV24)/3</f>
        <v>1</v>
      </c>
      <c r="AY24" s="73">
        <f t="shared" si="31"/>
        <v>1</v>
      </c>
    </row>
    <row r="25" spans="1:51" s="22" customFormat="1" ht="65.25" customHeight="1" thickTop="1" thickBot="1">
      <c r="A25" s="2944"/>
      <c r="B25" s="2949"/>
      <c r="C25" s="2912"/>
      <c r="D25" s="728" t="s">
        <v>179</v>
      </c>
      <c r="E25" s="90" t="s">
        <v>131</v>
      </c>
      <c r="F25" s="76" t="s">
        <v>10</v>
      </c>
      <c r="G25" s="2345">
        <v>1</v>
      </c>
      <c r="H25" s="78"/>
      <c r="I25" s="652"/>
      <c r="J25" s="78"/>
      <c r="K25" s="76" t="s">
        <v>7</v>
      </c>
      <c r="L25" s="871">
        <v>0</v>
      </c>
      <c r="M25" s="145">
        <v>0</v>
      </c>
      <c r="N25" s="73" t="e">
        <f t="shared" si="16"/>
        <v>#DIV/0!</v>
      </c>
      <c r="O25" s="871">
        <v>0</v>
      </c>
      <c r="P25" s="145">
        <v>0</v>
      </c>
      <c r="Q25" s="73" t="e">
        <f t="shared" si="17"/>
        <v>#DIV/0!</v>
      </c>
      <c r="R25" s="871">
        <v>0</v>
      </c>
      <c r="S25" s="145">
        <v>0</v>
      </c>
      <c r="T25" s="73" t="e">
        <f t="shared" si="18"/>
        <v>#DIV/0!</v>
      </c>
      <c r="U25" s="871">
        <v>1</v>
      </c>
      <c r="V25" s="145">
        <v>0.2</v>
      </c>
      <c r="W25" s="73">
        <f t="shared" si="19"/>
        <v>0.2</v>
      </c>
      <c r="X25" s="871">
        <v>1</v>
      </c>
      <c r="Y25" s="145">
        <v>0.3</v>
      </c>
      <c r="Z25" s="73">
        <f t="shared" si="20"/>
        <v>0.3</v>
      </c>
      <c r="AA25" s="871">
        <v>1</v>
      </c>
      <c r="AB25" s="145">
        <v>0.4</v>
      </c>
      <c r="AC25" s="73">
        <f t="shared" si="21"/>
        <v>0.4</v>
      </c>
      <c r="AD25" s="596">
        <f>AB25</f>
        <v>0.4</v>
      </c>
      <c r="AE25" s="73">
        <f t="shared" si="23"/>
        <v>0.4</v>
      </c>
      <c r="AF25" s="871">
        <v>1</v>
      </c>
      <c r="AG25" s="145">
        <v>0.5</v>
      </c>
      <c r="AH25" s="73">
        <f t="shared" si="24"/>
        <v>0.5</v>
      </c>
      <c r="AI25" s="871">
        <v>1</v>
      </c>
      <c r="AJ25" s="145">
        <v>0.6</v>
      </c>
      <c r="AK25" s="73">
        <f t="shared" si="34"/>
        <v>0.6</v>
      </c>
      <c r="AL25" s="871">
        <v>1</v>
      </c>
      <c r="AM25" s="145">
        <v>0.6</v>
      </c>
      <c r="AN25" s="73">
        <f t="shared" si="26"/>
        <v>0.6</v>
      </c>
      <c r="AO25" s="871">
        <v>1</v>
      </c>
      <c r="AP25" s="145">
        <v>0.6</v>
      </c>
      <c r="AQ25" s="73">
        <f t="shared" si="27"/>
        <v>0.6</v>
      </c>
      <c r="AR25" s="871">
        <v>1</v>
      </c>
      <c r="AS25" s="145">
        <v>1.2222</v>
      </c>
      <c r="AT25" s="73">
        <f t="shared" si="28"/>
        <v>1.2222</v>
      </c>
      <c r="AU25" s="871">
        <v>1</v>
      </c>
      <c r="AV25" s="145">
        <v>1.3332999999999999</v>
      </c>
      <c r="AW25" s="73">
        <f t="shared" si="29"/>
        <v>1.3332999999999999</v>
      </c>
      <c r="AX25" s="871">
        <f>AV25</f>
        <v>1.3332999999999999</v>
      </c>
      <c r="AY25" s="73">
        <f t="shared" si="31"/>
        <v>1.3332999999999999</v>
      </c>
    </row>
    <row r="26" spans="1:51" s="22" customFormat="1" ht="77.45" customHeight="1" thickTop="1" thickBot="1">
      <c r="A26" s="2944"/>
      <c r="B26" s="2950"/>
      <c r="C26" s="2913"/>
      <c r="D26" s="731" t="s">
        <v>132</v>
      </c>
      <c r="E26" s="87" t="s">
        <v>133</v>
      </c>
      <c r="F26" s="81" t="s">
        <v>10</v>
      </c>
      <c r="G26" s="2343">
        <v>1</v>
      </c>
      <c r="H26" s="81"/>
      <c r="I26" s="642"/>
      <c r="J26" s="81"/>
      <c r="K26" s="81" t="s">
        <v>7</v>
      </c>
      <c r="L26" s="871">
        <v>0</v>
      </c>
      <c r="M26" s="145">
        <v>0</v>
      </c>
      <c r="N26" s="73" t="e">
        <f t="shared" si="16"/>
        <v>#DIV/0!</v>
      </c>
      <c r="O26" s="871">
        <v>0</v>
      </c>
      <c r="P26" s="145">
        <v>0</v>
      </c>
      <c r="Q26" s="73" t="e">
        <f t="shared" si="17"/>
        <v>#DIV/0!</v>
      </c>
      <c r="R26" s="871">
        <v>0</v>
      </c>
      <c r="S26" s="145">
        <v>0</v>
      </c>
      <c r="T26" s="73" t="e">
        <f t="shared" si="18"/>
        <v>#DIV/0!</v>
      </c>
      <c r="U26" s="871">
        <v>0</v>
      </c>
      <c r="V26" s="145">
        <v>0</v>
      </c>
      <c r="W26" s="73" t="e">
        <f t="shared" si="19"/>
        <v>#DIV/0!</v>
      </c>
      <c r="X26" s="871">
        <v>0</v>
      </c>
      <c r="Y26" s="145">
        <v>0</v>
      </c>
      <c r="Z26" s="73" t="e">
        <f t="shared" si="20"/>
        <v>#DIV/0!</v>
      </c>
      <c r="AA26" s="871">
        <v>1</v>
      </c>
      <c r="AB26" s="145">
        <v>1</v>
      </c>
      <c r="AC26" s="73">
        <f t="shared" si="21"/>
        <v>1</v>
      </c>
      <c r="AD26" s="596">
        <f t="shared" si="35"/>
        <v>1</v>
      </c>
      <c r="AE26" s="73">
        <f t="shared" si="23"/>
        <v>1</v>
      </c>
      <c r="AF26" s="871">
        <v>0</v>
      </c>
      <c r="AG26" s="145">
        <v>0</v>
      </c>
      <c r="AH26" s="73" t="e">
        <f t="shared" si="24"/>
        <v>#DIV/0!</v>
      </c>
      <c r="AI26" s="871">
        <v>0</v>
      </c>
      <c r="AJ26" s="145">
        <v>0</v>
      </c>
      <c r="AK26" s="73" t="e">
        <f t="shared" si="34"/>
        <v>#DIV/0!</v>
      </c>
      <c r="AL26" s="871">
        <v>0</v>
      </c>
      <c r="AM26" s="145">
        <v>0</v>
      </c>
      <c r="AN26" s="73" t="e">
        <f t="shared" si="26"/>
        <v>#DIV/0!</v>
      </c>
      <c r="AO26" s="871">
        <v>0</v>
      </c>
      <c r="AP26" s="145">
        <v>0</v>
      </c>
      <c r="AQ26" s="73" t="e">
        <f t="shared" si="27"/>
        <v>#DIV/0!</v>
      </c>
      <c r="AR26" s="871">
        <v>0</v>
      </c>
      <c r="AS26" s="145">
        <v>0</v>
      </c>
      <c r="AT26" s="73" t="e">
        <f t="shared" si="28"/>
        <v>#DIV/0!</v>
      </c>
      <c r="AU26" s="871">
        <v>0</v>
      </c>
      <c r="AV26" s="145">
        <v>0</v>
      </c>
      <c r="AW26" s="73" t="e">
        <f t="shared" si="29"/>
        <v>#DIV/0!</v>
      </c>
      <c r="AX26" s="871">
        <f>AB26</f>
        <v>1</v>
      </c>
      <c r="AY26" s="73">
        <f t="shared" si="31"/>
        <v>1</v>
      </c>
    </row>
    <row r="27" spans="1:51" s="22" customFormat="1" ht="110.25" customHeight="1" thickTop="1" thickBot="1">
      <c r="A27" s="2945"/>
      <c r="B27" s="1050" t="s">
        <v>418</v>
      </c>
      <c r="C27" s="211" t="s">
        <v>441</v>
      </c>
      <c r="D27" s="2422" t="s">
        <v>227</v>
      </c>
      <c r="E27" s="1973" t="s">
        <v>139</v>
      </c>
      <c r="F27" s="2423" t="s">
        <v>101</v>
      </c>
      <c r="G27" s="2408">
        <f>+'[4]FIS-24'!$CA$16</f>
        <v>150000000</v>
      </c>
      <c r="H27" s="98"/>
      <c r="I27" s="26"/>
      <c r="J27" s="98"/>
      <c r="K27" s="606" t="s">
        <v>140</v>
      </c>
      <c r="L27" s="1008">
        <v>6666666.666666667</v>
      </c>
      <c r="M27" s="954">
        <v>19137399</v>
      </c>
      <c r="N27" s="73">
        <f t="shared" si="16"/>
        <v>2.8706098499999997</v>
      </c>
      <c r="O27" s="1008">
        <v>6666666.666666667</v>
      </c>
      <c r="P27" s="954">
        <v>64640972</v>
      </c>
      <c r="Q27" s="73">
        <f t="shared" si="17"/>
        <v>9.6961458</v>
      </c>
      <c r="R27" s="1008">
        <v>6666666.666666667</v>
      </c>
      <c r="S27" s="954">
        <v>13922878</v>
      </c>
      <c r="T27" s="73">
        <f t="shared" si="18"/>
        <v>2.0884317000000001</v>
      </c>
      <c r="U27" s="1008">
        <v>13222222</v>
      </c>
      <c r="V27" s="954">
        <v>0</v>
      </c>
      <c r="W27" s="73">
        <f t="shared" si="19"/>
        <v>0</v>
      </c>
      <c r="X27" s="1008">
        <v>13222222</v>
      </c>
      <c r="Y27" s="954">
        <v>0</v>
      </c>
      <c r="Z27" s="73">
        <f t="shared" si="20"/>
        <v>0</v>
      </c>
      <c r="AA27" s="1008">
        <v>13222222</v>
      </c>
      <c r="AB27" s="954">
        <v>4161439</v>
      </c>
      <c r="AC27" s="73">
        <f t="shared" si="21"/>
        <v>0.31473068596186027</v>
      </c>
      <c r="AD27" s="955">
        <f t="shared" si="35"/>
        <v>101862688</v>
      </c>
      <c r="AE27" s="73">
        <f t="shared" si="23"/>
        <v>0.67908458666666671</v>
      </c>
      <c r="AF27" s="1008">
        <v>13222222</v>
      </c>
      <c r="AG27" s="954">
        <v>14852565</v>
      </c>
      <c r="AH27" s="73">
        <f t="shared" si="24"/>
        <v>1.123303254173164</v>
      </c>
      <c r="AI27" s="1008">
        <v>17735555.760000002</v>
      </c>
      <c r="AJ27" s="954">
        <v>7270184</v>
      </c>
      <c r="AK27" s="73">
        <f t="shared" si="34"/>
        <v>0.40992140863140336</v>
      </c>
      <c r="AL27" s="1008">
        <v>17735555.760000002</v>
      </c>
      <c r="AM27" s="954">
        <v>4658077</v>
      </c>
      <c r="AN27" s="73">
        <f t="shared" si="26"/>
        <v>0.26264059965381087</v>
      </c>
      <c r="AO27" s="1008">
        <v>17735555.760000002</v>
      </c>
      <c r="AP27" s="954">
        <v>20150766</v>
      </c>
      <c r="AQ27" s="73">
        <f t="shared" si="27"/>
        <v>1.1361789995578915</v>
      </c>
      <c r="AR27" s="1008">
        <v>11952222.359999999</v>
      </c>
      <c r="AS27" s="954">
        <v>10636695</v>
      </c>
      <c r="AT27" s="73">
        <f t="shared" si="28"/>
        <v>0.8899344975037764</v>
      </c>
      <c r="AU27" s="1008">
        <v>11952222.359999999</v>
      </c>
      <c r="AV27" s="954">
        <v>10603682</v>
      </c>
      <c r="AW27" s="73">
        <f t="shared" si="29"/>
        <v>0.8871724170298988</v>
      </c>
      <c r="AX27" s="1008">
        <f>+M27+P27+S27+V27+Y27+AB27+AG27+AJ27+AM27+AP27+AS27+AV27</f>
        <v>170034657</v>
      </c>
      <c r="AY27" s="73">
        <f t="shared" si="31"/>
        <v>1.1335643799999999</v>
      </c>
    </row>
    <row r="28" spans="1:51" s="22" customFormat="1" ht="22.7" customHeight="1" thickTop="1" thickBot="1">
      <c r="A28" s="2904" t="s">
        <v>141</v>
      </c>
      <c r="B28" s="2941"/>
      <c r="C28" s="2904"/>
      <c r="D28" s="2941"/>
      <c r="E28" s="2941"/>
      <c r="F28" s="2904"/>
      <c r="G28" s="2904"/>
      <c r="H28" s="2904"/>
      <c r="I28" s="2904"/>
      <c r="J28" s="2904"/>
      <c r="K28" s="2904"/>
      <c r="L28" s="93"/>
      <c r="M28" s="896"/>
      <c r="N28" s="1191"/>
      <c r="O28" s="896"/>
      <c r="P28" s="896"/>
      <c r="Q28" s="1191"/>
      <c r="R28" s="896"/>
      <c r="S28" s="896"/>
      <c r="T28" s="1191"/>
      <c r="U28" s="896"/>
      <c r="V28" s="896"/>
      <c r="W28" s="1191"/>
      <c r="X28" s="896"/>
      <c r="Y28" s="896"/>
      <c r="Z28" s="1191"/>
      <c r="AA28" s="896"/>
      <c r="AB28" s="896"/>
      <c r="AC28" s="1191"/>
      <c r="AD28" s="896"/>
      <c r="AE28" s="1095"/>
      <c r="AF28" s="896"/>
      <c r="AG28" s="896"/>
      <c r="AH28" s="1191"/>
      <c r="AI28" s="896"/>
      <c r="AJ28" s="896"/>
      <c r="AK28" s="1191"/>
      <c r="AL28" s="896"/>
      <c r="AM28" s="896"/>
      <c r="AN28" s="1191"/>
      <c r="AO28" s="896"/>
      <c r="AP28" s="896"/>
      <c r="AQ28" s="1191"/>
      <c r="AR28" s="896"/>
      <c r="AS28" s="896"/>
      <c r="AT28" s="1191"/>
      <c r="AU28" s="896"/>
      <c r="AV28" s="896"/>
      <c r="AW28" s="1191"/>
      <c r="AX28" s="896"/>
      <c r="AY28" s="1192"/>
    </row>
    <row r="29" spans="1:51" s="22" customFormat="1" ht="129.75" customHeight="1" thickTop="1" thickBot="1">
      <c r="A29" s="2905" t="s">
        <v>181</v>
      </c>
      <c r="B29" s="2991" t="s">
        <v>143</v>
      </c>
      <c r="C29" s="1745" t="s">
        <v>353</v>
      </c>
      <c r="D29" s="2340" t="s">
        <v>144</v>
      </c>
      <c r="E29" s="561" t="s">
        <v>145</v>
      </c>
      <c r="F29" s="85" t="s">
        <v>17</v>
      </c>
      <c r="G29" s="47">
        <v>120</v>
      </c>
      <c r="H29" s="85"/>
      <c r="I29" s="18"/>
      <c r="J29" s="85"/>
      <c r="K29" s="561" t="s">
        <v>146</v>
      </c>
      <c r="L29" s="123">
        <v>0</v>
      </c>
      <c r="M29" s="120"/>
      <c r="N29" s="73" t="e">
        <f t="shared" ref="N29" si="36">+M29/L29</f>
        <v>#DIV/0!</v>
      </c>
      <c r="O29" s="123">
        <v>0</v>
      </c>
      <c r="P29" s="120">
        <v>28</v>
      </c>
      <c r="Q29" s="73" t="e">
        <f t="shared" ref="Q29" si="37">+P29/O29</f>
        <v>#DIV/0!</v>
      </c>
      <c r="R29" s="123">
        <v>0</v>
      </c>
      <c r="S29" s="120">
        <v>2</v>
      </c>
      <c r="T29" s="73" t="e">
        <f t="shared" ref="T29" si="38">+S29/R29</f>
        <v>#DIV/0!</v>
      </c>
      <c r="U29" s="123">
        <v>24</v>
      </c>
      <c r="V29" s="120">
        <v>0</v>
      </c>
      <c r="W29" s="73">
        <f>+V29/U29</f>
        <v>0</v>
      </c>
      <c r="X29" s="123">
        <v>0</v>
      </c>
      <c r="Y29" s="120"/>
      <c r="Z29" s="73" t="e">
        <f t="shared" ref="Z29" si="39">+Y29/X29</f>
        <v>#DIV/0!</v>
      </c>
      <c r="AA29" s="123">
        <v>0</v>
      </c>
      <c r="AB29" s="120"/>
      <c r="AC29" s="73" t="e">
        <f t="shared" ref="AC29" si="40">+AB29/AA29</f>
        <v>#DIV/0!</v>
      </c>
      <c r="AD29" s="782">
        <f t="shared" ref="AD29" si="41">+M29+P29+S29+V29+Y29+AB29</f>
        <v>30</v>
      </c>
      <c r="AE29" s="73">
        <f t="shared" ref="AE29" si="42">+AD29/G29</f>
        <v>0.25</v>
      </c>
      <c r="AF29" s="123">
        <v>0</v>
      </c>
      <c r="AG29" s="120"/>
      <c r="AH29" s="73" t="e">
        <f t="shared" ref="AH29" si="43">+AG29/AF29</f>
        <v>#DIV/0!</v>
      </c>
      <c r="AI29" s="123">
        <v>36</v>
      </c>
      <c r="AJ29" s="120">
        <v>111</v>
      </c>
      <c r="AK29" s="73">
        <f t="shared" ref="AK29" si="44">+AJ29/AI29</f>
        <v>3.0833333333333335</v>
      </c>
      <c r="AL29" s="123">
        <v>0</v>
      </c>
      <c r="AM29" s="120">
        <v>16</v>
      </c>
      <c r="AN29" s="73" t="e">
        <f t="shared" ref="AN29" si="45">+AM29/AL29</f>
        <v>#DIV/0!</v>
      </c>
      <c r="AO29" s="123">
        <v>0</v>
      </c>
      <c r="AP29" s="120">
        <v>39</v>
      </c>
      <c r="AQ29" s="73" t="e">
        <f t="shared" ref="AQ29" si="46">+AP29/AO29</f>
        <v>#DIV/0!</v>
      </c>
      <c r="AR29" s="123">
        <v>0</v>
      </c>
      <c r="AS29" s="120"/>
      <c r="AT29" s="73" t="e">
        <f t="shared" ref="AT29" si="47">+AS29/AR29</f>
        <v>#DIV/0!</v>
      </c>
      <c r="AU29" s="123">
        <v>60</v>
      </c>
      <c r="AV29" s="120">
        <v>16</v>
      </c>
      <c r="AW29" s="73">
        <f t="shared" si="29"/>
        <v>0.26666666666666666</v>
      </c>
      <c r="AX29" s="123">
        <f>+M29+P29+S29+V29+Y29+AB29+AG29+AJ29+AM29+AP29+AS29+AV29</f>
        <v>212</v>
      </c>
      <c r="AY29" s="73">
        <f t="shared" si="31"/>
        <v>1.7666666666666666</v>
      </c>
    </row>
    <row r="30" spans="1:51" s="22" customFormat="1" ht="54" customHeight="1" thickTop="1" thickBot="1">
      <c r="A30" s="2906"/>
      <c r="B30" s="2992"/>
      <c r="C30" s="2424" t="s">
        <v>379</v>
      </c>
      <c r="D30" s="2422" t="s">
        <v>319</v>
      </c>
      <c r="E30" s="23" t="s">
        <v>183</v>
      </c>
      <c r="F30" s="98" t="s">
        <v>17</v>
      </c>
      <c r="G30" s="1721">
        <v>37</v>
      </c>
      <c r="H30" s="98"/>
      <c r="I30" s="26"/>
      <c r="J30" s="98"/>
      <c r="K30" s="25" t="s">
        <v>21</v>
      </c>
      <c r="L30" s="857">
        <v>37</v>
      </c>
      <c r="M30" s="496">
        <v>47</v>
      </c>
      <c r="N30" s="73">
        <f>+L30/M30</f>
        <v>0.78723404255319152</v>
      </c>
      <c r="O30" s="857">
        <v>37</v>
      </c>
      <c r="P30" s="496">
        <v>45</v>
      </c>
      <c r="Q30" s="73">
        <f>+O30/P30</f>
        <v>0.82222222222222219</v>
      </c>
      <c r="R30" s="857">
        <v>37</v>
      </c>
      <c r="S30" s="496">
        <v>42</v>
      </c>
      <c r="T30" s="73">
        <f>+R30/S30</f>
        <v>0.88095238095238093</v>
      </c>
      <c r="U30" s="857">
        <v>37</v>
      </c>
      <c r="V30" s="496">
        <v>32</v>
      </c>
      <c r="W30" s="73">
        <f>+U30/V30</f>
        <v>1.15625</v>
      </c>
      <c r="X30" s="857">
        <v>37</v>
      </c>
      <c r="Y30" s="496">
        <v>15</v>
      </c>
      <c r="Z30" s="73">
        <f>+X30/Y30</f>
        <v>2.4666666666666668</v>
      </c>
      <c r="AA30" s="857">
        <v>37</v>
      </c>
      <c r="AB30" s="496">
        <v>11</v>
      </c>
      <c r="AC30" s="73">
        <f>+AA30/AB30</f>
        <v>3.3636363636363638</v>
      </c>
      <c r="AD30" s="782">
        <f>(+M30+P30+S30+V30+Y30+AB30)/4</f>
        <v>48</v>
      </c>
      <c r="AE30" s="73">
        <f>+G30/AD30</f>
        <v>0.77083333333333337</v>
      </c>
      <c r="AF30" s="857">
        <v>37</v>
      </c>
      <c r="AG30" s="496">
        <v>13</v>
      </c>
      <c r="AH30" s="73">
        <f>+AF30/AG30</f>
        <v>2.8461538461538463</v>
      </c>
      <c r="AI30" s="857">
        <v>37</v>
      </c>
      <c r="AJ30" s="496">
        <v>38</v>
      </c>
      <c r="AK30" s="73">
        <f>+AI30/AJ30</f>
        <v>0.97368421052631582</v>
      </c>
      <c r="AL30" s="857">
        <v>37</v>
      </c>
      <c r="AM30" s="496">
        <v>41</v>
      </c>
      <c r="AN30" s="73">
        <f>+AL30/AM30</f>
        <v>0.90243902439024393</v>
      </c>
      <c r="AO30" s="857">
        <v>37</v>
      </c>
      <c r="AP30" s="496">
        <v>35</v>
      </c>
      <c r="AQ30" s="73">
        <f>+AO30/AP30</f>
        <v>1.0571428571428572</v>
      </c>
      <c r="AR30" s="857">
        <v>37</v>
      </c>
      <c r="AS30" s="496">
        <v>39</v>
      </c>
      <c r="AT30" s="73">
        <f>+AR30/AS30</f>
        <v>0.94871794871794868</v>
      </c>
      <c r="AU30" s="857">
        <v>37</v>
      </c>
      <c r="AV30" s="496">
        <v>33</v>
      </c>
      <c r="AW30" s="73">
        <f>+AU30/AV30</f>
        <v>1.1212121212121211</v>
      </c>
      <c r="AX30" s="857">
        <f>(+M30+P30+S30+V30+Y30+AB30+AG30+AJ30+AM30+AP30+AS30+AV30)/12</f>
        <v>32.583333333333336</v>
      </c>
      <c r="AY30" s="73">
        <f>+G30/AX30</f>
        <v>1.1355498721227621</v>
      </c>
    </row>
    <row r="31" spans="1:51" s="22" customFormat="1" ht="76.7" customHeight="1" thickTop="1" thickBot="1">
      <c r="A31" s="2906"/>
      <c r="B31" s="3051"/>
      <c r="C31" s="2219" t="s">
        <v>147</v>
      </c>
      <c r="D31" s="2425" t="s">
        <v>182</v>
      </c>
      <c r="E31" s="1745" t="s">
        <v>149</v>
      </c>
      <c r="F31" s="85" t="s">
        <v>8</v>
      </c>
      <c r="G31" s="2300">
        <v>10.199999999999999</v>
      </c>
      <c r="H31" s="2401"/>
      <c r="I31" s="2401"/>
      <c r="J31" s="2401"/>
      <c r="K31" s="561" t="s">
        <v>9</v>
      </c>
      <c r="L31" s="123">
        <v>10.199999999999999</v>
      </c>
      <c r="M31" s="120"/>
      <c r="N31" s="73" t="e">
        <f>+L31/M31</f>
        <v>#DIV/0!</v>
      </c>
      <c r="O31" s="123">
        <v>10.199999999999999</v>
      </c>
      <c r="P31" s="120"/>
      <c r="Q31" s="73" t="e">
        <f>+O31/P31</f>
        <v>#DIV/0!</v>
      </c>
      <c r="R31" s="123">
        <v>10.199999999999999</v>
      </c>
      <c r="S31" s="120"/>
      <c r="T31" s="73" t="e">
        <f>+R31/S31</f>
        <v>#DIV/0!</v>
      </c>
      <c r="U31" s="123">
        <v>10.199999999999999</v>
      </c>
      <c r="V31" s="120"/>
      <c r="W31" s="73" t="e">
        <f>+U31/V31</f>
        <v>#DIV/0!</v>
      </c>
      <c r="X31" s="123">
        <v>10.199999999999999</v>
      </c>
      <c r="Y31" s="120"/>
      <c r="Z31" s="73" t="e">
        <f>+X31/Y31</f>
        <v>#DIV/0!</v>
      </c>
      <c r="AA31" s="123">
        <v>10.199999999999999</v>
      </c>
      <c r="AB31" s="120"/>
      <c r="AC31" s="73" t="e">
        <f>+AA31/AB31</f>
        <v>#DIV/0!</v>
      </c>
      <c r="AD31" s="782">
        <f>(+M31+P31+S31+V31+Y31+AB31)/6</f>
        <v>0</v>
      </c>
      <c r="AE31" s="73" t="e">
        <f>+G31/AD31</f>
        <v>#DIV/0!</v>
      </c>
      <c r="AF31" s="123">
        <v>10.199999999999999</v>
      </c>
      <c r="AG31" s="120">
        <v>9.9</v>
      </c>
      <c r="AH31" s="73">
        <f>+AF31/AG31</f>
        <v>1.0303030303030303</v>
      </c>
      <c r="AI31" s="123">
        <v>10.199999999999999</v>
      </c>
      <c r="AJ31" s="120">
        <v>0</v>
      </c>
      <c r="AK31" s="73" t="e">
        <f>+AI31/AJ31</f>
        <v>#DIV/0!</v>
      </c>
      <c r="AL31" s="123">
        <v>10.199999999999999</v>
      </c>
      <c r="AM31" s="120">
        <v>0</v>
      </c>
      <c r="AN31" s="73" t="e">
        <f>+AL31/AM31</f>
        <v>#DIV/0!</v>
      </c>
      <c r="AO31" s="123">
        <v>10.199999999999999</v>
      </c>
      <c r="AP31" s="120">
        <v>0</v>
      </c>
      <c r="AQ31" s="73" t="e">
        <f>+AO31/AP31</f>
        <v>#DIV/0!</v>
      </c>
      <c r="AR31" s="123">
        <v>10.199999999999999</v>
      </c>
      <c r="AS31" s="120">
        <v>5.7</v>
      </c>
      <c r="AT31" s="73">
        <f>+AR31/AS31</f>
        <v>1.7894736842105261</v>
      </c>
      <c r="AU31" s="123">
        <v>10.199999999999999</v>
      </c>
      <c r="AV31" s="120">
        <v>0</v>
      </c>
      <c r="AW31" s="73" t="e">
        <f>+AU31/AV31</f>
        <v>#DIV/0!</v>
      </c>
      <c r="AX31" s="123">
        <f>(+M31+P31+S31+V31+Y31+AB31+AG31+AJ31+AM31+AP31+AS31+AV31)/2</f>
        <v>7.8000000000000007</v>
      </c>
      <c r="AY31" s="73">
        <f>+G31/AX31</f>
        <v>1.3076923076923075</v>
      </c>
    </row>
    <row r="32" spans="1:51" s="22" customFormat="1" ht="22.7" customHeight="1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1103"/>
      <c r="O32" s="1040"/>
      <c r="P32" s="1040"/>
      <c r="Q32" s="1103"/>
      <c r="R32" s="1040"/>
      <c r="S32" s="1040"/>
      <c r="T32" s="1103"/>
      <c r="U32" s="1040"/>
      <c r="V32" s="1040"/>
      <c r="W32" s="1103"/>
      <c r="X32" s="1040"/>
      <c r="Y32" s="1040"/>
      <c r="Z32" s="1103"/>
      <c r="AA32" s="1040"/>
      <c r="AB32" s="1040"/>
      <c r="AC32" s="1103"/>
      <c r="AD32" s="1040"/>
      <c r="AE32" s="1194"/>
      <c r="AF32" s="1040"/>
      <c r="AG32" s="1040"/>
      <c r="AH32" s="1103"/>
      <c r="AI32" s="1040"/>
      <c r="AJ32" s="1040"/>
      <c r="AK32" s="1103"/>
      <c r="AL32" s="1040"/>
      <c r="AM32" s="1040"/>
      <c r="AN32" s="1103"/>
      <c r="AO32" s="1040"/>
      <c r="AP32" s="1040"/>
      <c r="AQ32" s="1103"/>
      <c r="AR32" s="1040"/>
      <c r="AS32" s="1040"/>
      <c r="AT32" s="1103"/>
      <c r="AU32" s="1040"/>
      <c r="AV32" s="1040"/>
      <c r="AW32" s="1103"/>
      <c r="AX32" s="1040"/>
      <c r="AY32" s="1195"/>
    </row>
    <row r="33" spans="1:51" s="22" customFormat="1" ht="95.65" customHeight="1" thickTop="1" thickBot="1">
      <c r="A33" s="100" t="s">
        <v>155</v>
      </c>
      <c r="B33" s="1050" t="s">
        <v>156</v>
      </c>
      <c r="C33" s="2424" t="s">
        <v>184</v>
      </c>
      <c r="D33" s="2422" t="s">
        <v>158</v>
      </c>
      <c r="E33" s="23" t="s">
        <v>159</v>
      </c>
      <c r="F33" s="98" t="s">
        <v>17</v>
      </c>
      <c r="G33" s="1721">
        <v>10</v>
      </c>
      <c r="H33" s="98"/>
      <c r="I33" s="26"/>
      <c r="J33" s="98"/>
      <c r="K33" s="25" t="s">
        <v>27</v>
      </c>
      <c r="L33" s="857">
        <v>0</v>
      </c>
      <c r="M33" s="496"/>
      <c r="N33" s="73" t="e">
        <f t="shared" si="16"/>
        <v>#DIV/0!</v>
      </c>
      <c r="O33" s="857">
        <v>0</v>
      </c>
      <c r="P33" s="496"/>
      <c r="Q33" s="73" t="e">
        <f t="shared" si="17"/>
        <v>#DIV/0!</v>
      </c>
      <c r="R33" s="857">
        <v>0</v>
      </c>
      <c r="S33" s="496"/>
      <c r="T33" s="73" t="e">
        <f t="shared" si="18"/>
        <v>#DIV/0!</v>
      </c>
      <c r="U33" s="857">
        <v>0</v>
      </c>
      <c r="V33" s="496"/>
      <c r="W33" s="73" t="e">
        <f t="shared" si="19"/>
        <v>#DIV/0!</v>
      </c>
      <c r="X33" s="857">
        <v>2</v>
      </c>
      <c r="Y33" s="496">
        <v>2</v>
      </c>
      <c r="Z33" s="73">
        <f t="shared" si="20"/>
        <v>1</v>
      </c>
      <c r="AA33" s="857">
        <v>0</v>
      </c>
      <c r="AB33" s="496"/>
      <c r="AC33" s="73" t="e">
        <f t="shared" ref="AC33" si="48">+AB33/AA33</f>
        <v>#DIV/0!</v>
      </c>
      <c r="AD33" s="782">
        <f>+Y33</f>
        <v>2</v>
      </c>
      <c r="AE33" s="73">
        <f t="shared" ref="AE33" si="49">+AD33/G33</f>
        <v>0.2</v>
      </c>
      <c r="AF33" s="857">
        <v>1</v>
      </c>
      <c r="AG33" s="496">
        <v>1</v>
      </c>
      <c r="AH33" s="73">
        <f t="shared" si="24"/>
        <v>1</v>
      </c>
      <c r="AI33" s="857">
        <v>3</v>
      </c>
      <c r="AJ33" s="496">
        <v>3</v>
      </c>
      <c r="AK33" s="73">
        <f t="shared" si="34"/>
        <v>1</v>
      </c>
      <c r="AL33" s="857">
        <v>1</v>
      </c>
      <c r="AM33" s="496">
        <v>1</v>
      </c>
      <c r="AN33" s="73">
        <f t="shared" si="26"/>
        <v>1</v>
      </c>
      <c r="AO33" s="857">
        <v>3</v>
      </c>
      <c r="AP33" s="496">
        <v>3</v>
      </c>
      <c r="AQ33" s="73">
        <f t="shared" si="27"/>
        <v>1</v>
      </c>
      <c r="AR33" s="857">
        <v>0</v>
      </c>
      <c r="AS33" s="496"/>
      <c r="AT33" s="73" t="e">
        <f t="shared" si="28"/>
        <v>#DIV/0!</v>
      </c>
      <c r="AU33" s="857">
        <v>0</v>
      </c>
      <c r="AV33" s="496"/>
      <c r="AW33" s="73" t="e">
        <f t="shared" ref="AW33" si="50">+AV33/AU33</f>
        <v>#DIV/0!</v>
      </c>
      <c r="AX33" s="123">
        <f>+AP33+AM33+AJ33+AG33+Y33+AV33+AS33</f>
        <v>10</v>
      </c>
      <c r="AY33" s="73">
        <f>+AX33/G33</f>
        <v>1</v>
      </c>
    </row>
    <row r="34" spans="1:51" ht="17.25" thickTop="1"/>
    <row r="35" spans="1:51"/>
    <row r="36" spans="1:51"/>
    <row r="37" spans="1:51"/>
    <row r="38" spans="1:51"/>
    <row r="39" spans="1:51"/>
    <row r="40" spans="1:51"/>
    <row r="41" spans="1:51"/>
    <row r="42" spans="1:51"/>
    <row r="43" spans="1:51"/>
    <row r="44" spans="1:51"/>
    <row r="45" spans="1:51"/>
    <row r="46" spans="1:51"/>
    <row r="47" spans="1:51"/>
    <row r="48" spans="1:5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</sheetData>
  <sheetProtection algorithmName="SHA-512" hashValue="TYDsYOxSHy9FiFQgY6Q3NtgQhuUN4f0LwuXKTihmjS3Bx9/KoXeaPzJuaLP2V739dKoTt+dOQP8ZgAVTqhhBHQ==" saltValue="6owYkyN3JexRLmGsFY5GfQ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10:H10" name="Rango1"/>
    <protectedRange algorithmName="SHA-512" hashValue="Uds9cYMsxnQI1SjFHe8NNqfDC/fFeray9QhmtAdG/GCgT0L97QBkFAQ9tCw5vTy3J/lQFdDpBTyQoZDg0KZNmQ==" saltValue="0HoWkw5WsZ+PdZDtJpkerg==" spinCount="100000" sqref="K10" name="Rango1_1"/>
  </protectedRanges>
  <mergeCells count="36">
    <mergeCell ref="A28:K28"/>
    <mergeCell ref="A29:A31"/>
    <mergeCell ref="B29:B31"/>
    <mergeCell ref="A32:K32"/>
    <mergeCell ref="AO5:AQ7"/>
    <mergeCell ref="K5:K7"/>
    <mergeCell ref="L5:N7"/>
    <mergeCell ref="O5:Q7"/>
    <mergeCell ref="R5:T7"/>
    <mergeCell ref="U5:W7"/>
    <mergeCell ref="AR5:AT7"/>
    <mergeCell ref="AU5:AW7"/>
    <mergeCell ref="AX5:AY7"/>
    <mergeCell ref="A8:K8"/>
    <mergeCell ref="A9:A27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C1:K1"/>
    <mergeCell ref="C2:K2"/>
    <mergeCell ref="C3:K3"/>
    <mergeCell ref="A5:A7"/>
    <mergeCell ref="B5:B7"/>
    <mergeCell ref="C5:C7"/>
    <mergeCell ref="D5:D7"/>
    <mergeCell ref="E5:E7"/>
    <mergeCell ref="F5:F7"/>
    <mergeCell ref="G5:G7"/>
  </mergeCells>
  <conditionalFormatting sqref="N33">
    <cfRule type="cellIs" dxfId="3324" priority="1046" operator="greaterThan">
      <formula>110%</formula>
    </cfRule>
    <cfRule type="cellIs" dxfId="3323" priority="1047" operator="between">
      <formula>100.001%</formula>
      <formula>110%</formula>
    </cfRule>
    <cfRule type="cellIs" dxfId="3322" priority="1048" operator="between">
      <formula>70.001%</formula>
      <formula>100%</formula>
    </cfRule>
    <cfRule type="cellIs" dxfId="3321" priority="1049" operator="between">
      <formula>0.00001%</formula>
      <formula>70%</formula>
    </cfRule>
    <cfRule type="cellIs" dxfId="3320" priority="1050" operator="equal">
      <formula>0</formula>
    </cfRule>
  </conditionalFormatting>
  <conditionalFormatting sqref="Q33">
    <cfRule type="cellIs" dxfId="3319" priority="1041" operator="greaterThan">
      <formula>110%</formula>
    </cfRule>
    <cfRule type="cellIs" dxfId="3318" priority="1042" operator="between">
      <formula>100.001%</formula>
      <formula>110%</formula>
    </cfRule>
    <cfRule type="cellIs" dxfId="3317" priority="1043" operator="between">
      <formula>70.001%</formula>
      <formula>100%</formula>
    </cfRule>
    <cfRule type="cellIs" dxfId="3316" priority="1044" operator="between">
      <formula>0.00001%</formula>
      <formula>70%</formula>
    </cfRule>
    <cfRule type="cellIs" dxfId="3315" priority="1045" operator="equal">
      <formula>0</formula>
    </cfRule>
  </conditionalFormatting>
  <conditionalFormatting sqref="T33">
    <cfRule type="cellIs" dxfId="3314" priority="1036" operator="greaterThan">
      <formula>110%</formula>
    </cfRule>
    <cfRule type="cellIs" dxfId="3313" priority="1037" operator="between">
      <formula>100.001%</formula>
      <formula>110%</formula>
    </cfRule>
    <cfRule type="cellIs" dxfId="3312" priority="1038" operator="between">
      <formula>70.001%</formula>
      <formula>100%</formula>
    </cfRule>
    <cfRule type="cellIs" dxfId="3311" priority="1039" operator="between">
      <formula>0.00001%</formula>
      <formula>70%</formula>
    </cfRule>
    <cfRule type="cellIs" dxfId="3310" priority="1040" operator="equal">
      <formula>0</formula>
    </cfRule>
  </conditionalFormatting>
  <conditionalFormatting sqref="W33">
    <cfRule type="cellIs" dxfId="3309" priority="1031" operator="greaterThan">
      <formula>110%</formula>
    </cfRule>
    <cfRule type="cellIs" dxfId="3308" priority="1032" operator="between">
      <formula>100.001%</formula>
      <formula>110%</formula>
    </cfRule>
    <cfRule type="cellIs" dxfId="3307" priority="1033" operator="between">
      <formula>70.001%</formula>
      <formula>100%</formula>
    </cfRule>
    <cfRule type="cellIs" dxfId="3306" priority="1034" operator="between">
      <formula>0.00001%</formula>
      <formula>70%</formula>
    </cfRule>
    <cfRule type="cellIs" dxfId="3305" priority="1035" operator="equal">
      <formula>0</formula>
    </cfRule>
  </conditionalFormatting>
  <conditionalFormatting sqref="Z33">
    <cfRule type="cellIs" dxfId="3304" priority="1026" operator="greaterThan">
      <formula>110%</formula>
    </cfRule>
    <cfRule type="cellIs" dxfId="3303" priority="1027" operator="between">
      <formula>100.001%</formula>
      <formula>110%</formula>
    </cfRule>
    <cfRule type="cellIs" dxfId="3302" priority="1028" operator="between">
      <formula>70.001%</formula>
      <formula>100%</formula>
    </cfRule>
    <cfRule type="cellIs" dxfId="3301" priority="1029" operator="between">
      <formula>0.00001%</formula>
      <formula>70%</formula>
    </cfRule>
    <cfRule type="cellIs" dxfId="3300" priority="1030" operator="equal">
      <formula>0</formula>
    </cfRule>
  </conditionalFormatting>
  <conditionalFormatting sqref="AC33">
    <cfRule type="cellIs" dxfId="3299" priority="1021" operator="greaterThan">
      <formula>110%</formula>
    </cfRule>
    <cfRule type="cellIs" dxfId="3298" priority="1022" operator="between">
      <formula>100.001%</formula>
      <formula>110%</formula>
    </cfRule>
    <cfRule type="cellIs" dxfId="3297" priority="1023" operator="between">
      <formula>70.001%</formula>
      <formula>100%</formula>
    </cfRule>
    <cfRule type="cellIs" dxfId="3296" priority="1024" operator="between">
      <formula>0.00001%</formula>
      <formula>70%</formula>
    </cfRule>
    <cfRule type="cellIs" dxfId="3295" priority="1025" operator="equal">
      <formula>0</formula>
    </cfRule>
  </conditionalFormatting>
  <conditionalFormatting sqref="AE33">
    <cfRule type="cellIs" dxfId="3294" priority="1016" operator="greaterThan">
      <formula>110%</formula>
    </cfRule>
    <cfRule type="cellIs" dxfId="3293" priority="1017" operator="between">
      <formula>100.001%</formula>
      <formula>110%</formula>
    </cfRule>
    <cfRule type="cellIs" dxfId="3292" priority="1018" operator="between">
      <formula>70.001%</formula>
      <formula>100%</formula>
    </cfRule>
    <cfRule type="cellIs" dxfId="3291" priority="1019" operator="between">
      <formula>0.00001%</formula>
      <formula>70%</formula>
    </cfRule>
    <cfRule type="cellIs" dxfId="3290" priority="1020" operator="equal">
      <formula>0</formula>
    </cfRule>
  </conditionalFormatting>
  <conditionalFormatting sqref="AH33">
    <cfRule type="cellIs" dxfId="3289" priority="1011" operator="greaterThan">
      <formula>110%</formula>
    </cfRule>
    <cfRule type="cellIs" dxfId="3288" priority="1012" operator="between">
      <formula>100.001%</formula>
      <formula>110%</formula>
    </cfRule>
    <cfRule type="cellIs" dxfId="3287" priority="1013" operator="between">
      <formula>70.001%</formula>
      <formula>100%</formula>
    </cfRule>
    <cfRule type="cellIs" dxfId="3286" priority="1014" operator="between">
      <formula>0.00001%</formula>
      <formula>70%</formula>
    </cfRule>
    <cfRule type="cellIs" dxfId="3285" priority="1015" operator="equal">
      <formula>0</formula>
    </cfRule>
  </conditionalFormatting>
  <conditionalFormatting sqref="AK33">
    <cfRule type="cellIs" dxfId="3284" priority="1006" operator="greaterThan">
      <formula>110%</formula>
    </cfRule>
    <cfRule type="cellIs" dxfId="3283" priority="1007" operator="between">
      <formula>100.001%</formula>
      <formula>110%</formula>
    </cfRule>
    <cfRule type="cellIs" dxfId="3282" priority="1008" operator="between">
      <formula>70.001%</formula>
      <formula>100%</formula>
    </cfRule>
    <cfRule type="cellIs" dxfId="3281" priority="1009" operator="between">
      <formula>0.00001%</formula>
      <formula>70%</formula>
    </cfRule>
    <cfRule type="cellIs" dxfId="3280" priority="1010" operator="equal">
      <formula>0</formula>
    </cfRule>
  </conditionalFormatting>
  <conditionalFormatting sqref="AN33">
    <cfRule type="cellIs" dxfId="3279" priority="1001" operator="greaterThan">
      <formula>110%</formula>
    </cfRule>
    <cfRule type="cellIs" dxfId="3278" priority="1002" operator="between">
      <formula>100.001%</formula>
      <formula>110%</formula>
    </cfRule>
    <cfRule type="cellIs" dxfId="3277" priority="1003" operator="between">
      <formula>70.001%</formula>
      <formula>100%</formula>
    </cfRule>
    <cfRule type="cellIs" dxfId="3276" priority="1004" operator="between">
      <formula>0.00001%</formula>
      <formula>70%</formula>
    </cfRule>
    <cfRule type="cellIs" dxfId="3275" priority="1005" operator="equal">
      <formula>0</formula>
    </cfRule>
  </conditionalFormatting>
  <conditionalFormatting sqref="AQ33">
    <cfRule type="cellIs" dxfId="3274" priority="996" operator="greaterThan">
      <formula>110%</formula>
    </cfRule>
    <cfRule type="cellIs" dxfId="3273" priority="997" operator="between">
      <formula>100.001%</formula>
      <formula>110%</formula>
    </cfRule>
    <cfRule type="cellIs" dxfId="3272" priority="998" operator="between">
      <formula>70.001%</formula>
      <formula>100%</formula>
    </cfRule>
    <cfRule type="cellIs" dxfId="3271" priority="999" operator="between">
      <formula>0.00001%</formula>
      <formula>70%</formula>
    </cfRule>
    <cfRule type="cellIs" dxfId="3270" priority="1000" operator="equal">
      <formula>0</formula>
    </cfRule>
  </conditionalFormatting>
  <conditionalFormatting sqref="AT33">
    <cfRule type="cellIs" dxfId="3269" priority="991" operator="greaterThan">
      <formula>110%</formula>
    </cfRule>
    <cfRule type="cellIs" dxfId="3268" priority="992" operator="between">
      <formula>100.001%</formula>
      <formula>110%</formula>
    </cfRule>
    <cfRule type="cellIs" dxfId="3267" priority="993" operator="between">
      <formula>70.001%</formula>
      <formula>100%</formula>
    </cfRule>
    <cfRule type="cellIs" dxfId="3266" priority="994" operator="between">
      <formula>0.00001%</formula>
      <formula>70%</formula>
    </cfRule>
    <cfRule type="cellIs" dxfId="3265" priority="995" operator="equal">
      <formula>0</formula>
    </cfRule>
  </conditionalFormatting>
  <conditionalFormatting sqref="AW9:AW27">
    <cfRule type="cellIs" dxfId="3264" priority="986" operator="greaterThan">
      <formula>110%</formula>
    </cfRule>
    <cfRule type="cellIs" dxfId="3263" priority="987" operator="between">
      <formula>100.001%</formula>
      <formula>110%</formula>
    </cfRule>
    <cfRule type="cellIs" dxfId="3262" priority="988" operator="between">
      <formula>70.001%</formula>
      <formula>100%</formula>
    </cfRule>
    <cfRule type="cellIs" dxfId="3261" priority="989" operator="between">
      <formula>0.00001%</formula>
      <formula>70%</formula>
    </cfRule>
    <cfRule type="cellIs" dxfId="3260" priority="990" operator="equal">
      <formula>0</formula>
    </cfRule>
  </conditionalFormatting>
  <conditionalFormatting sqref="AW33 AW29:AW30">
    <cfRule type="cellIs" dxfId="3259" priority="981" operator="greaterThan">
      <formula>110%</formula>
    </cfRule>
    <cfRule type="cellIs" dxfId="3258" priority="982" operator="between">
      <formula>100.001%</formula>
      <formula>110%</formula>
    </cfRule>
    <cfRule type="cellIs" dxfId="3257" priority="983" operator="between">
      <formula>70.001%</formula>
      <formula>100%</formula>
    </cfRule>
    <cfRule type="cellIs" dxfId="3256" priority="984" operator="between">
      <formula>0.00001%</formula>
      <formula>70%</formula>
    </cfRule>
    <cfRule type="cellIs" dxfId="3255" priority="985" operator="equal">
      <formula>0</formula>
    </cfRule>
  </conditionalFormatting>
  <conditionalFormatting sqref="AY9:AY27">
    <cfRule type="cellIs" dxfId="3254" priority="976" operator="greaterThan">
      <formula>110%</formula>
    </cfRule>
    <cfRule type="cellIs" dxfId="3253" priority="977" operator="between">
      <formula>100.001%</formula>
      <formula>110%</formula>
    </cfRule>
    <cfRule type="cellIs" dxfId="3252" priority="978" operator="between">
      <formula>70.001%</formula>
      <formula>100%</formula>
    </cfRule>
    <cfRule type="cellIs" dxfId="3251" priority="979" operator="between">
      <formula>0.00001%</formula>
      <formula>70%</formula>
    </cfRule>
    <cfRule type="cellIs" dxfId="3250" priority="980" operator="equal">
      <formula>0</formula>
    </cfRule>
  </conditionalFormatting>
  <conditionalFormatting sqref="AY33 AY29:AY30">
    <cfRule type="cellIs" dxfId="3249" priority="971" operator="greaterThan">
      <formula>110%</formula>
    </cfRule>
    <cfRule type="cellIs" dxfId="3248" priority="972" operator="between">
      <formula>100.001%</formula>
      <formula>110%</formula>
    </cfRule>
    <cfRule type="cellIs" dxfId="3247" priority="973" operator="between">
      <formula>70.001%</formula>
      <formula>100%</formula>
    </cfRule>
    <cfRule type="cellIs" dxfId="3246" priority="974" operator="between">
      <formula>0.00001%</formula>
      <formula>70%</formula>
    </cfRule>
    <cfRule type="cellIs" dxfId="3245" priority="975" operator="equal">
      <formula>0</formula>
    </cfRule>
  </conditionalFormatting>
  <conditionalFormatting sqref="N29">
    <cfRule type="cellIs" dxfId="3244" priority="966" operator="greaterThan">
      <formula>110%</formula>
    </cfRule>
    <cfRule type="cellIs" dxfId="3243" priority="967" operator="between">
      <formula>100.001%</formula>
      <formula>110%</formula>
    </cfRule>
    <cfRule type="cellIs" dxfId="3242" priority="968" operator="between">
      <formula>70.001%</formula>
      <formula>100%</formula>
    </cfRule>
    <cfRule type="cellIs" dxfId="3241" priority="969" operator="between">
      <formula>0.00001%</formula>
      <formula>70%</formula>
    </cfRule>
    <cfRule type="cellIs" dxfId="3240" priority="970" operator="equal">
      <formula>0</formula>
    </cfRule>
  </conditionalFormatting>
  <conditionalFormatting sqref="Q29">
    <cfRule type="cellIs" dxfId="3239" priority="961" operator="greaterThan">
      <formula>110%</formula>
    </cfRule>
    <cfRule type="cellIs" dxfId="3238" priority="962" operator="between">
      <formula>100.001%</formula>
      <formula>110%</formula>
    </cfRule>
    <cfRule type="cellIs" dxfId="3237" priority="963" operator="between">
      <formula>70.001%</formula>
      <formula>100%</formula>
    </cfRule>
    <cfRule type="cellIs" dxfId="3236" priority="964" operator="between">
      <formula>0.00001%</formula>
      <formula>70%</formula>
    </cfRule>
    <cfRule type="cellIs" dxfId="3235" priority="965" operator="equal">
      <formula>0</formula>
    </cfRule>
  </conditionalFormatting>
  <conditionalFormatting sqref="T29">
    <cfRule type="cellIs" dxfId="3234" priority="956" operator="greaterThan">
      <formula>110%</formula>
    </cfRule>
    <cfRule type="cellIs" dxfId="3233" priority="957" operator="between">
      <formula>100.001%</formula>
      <formula>110%</formula>
    </cfRule>
    <cfRule type="cellIs" dxfId="3232" priority="958" operator="between">
      <formula>70.001%</formula>
      <formula>100%</formula>
    </cfRule>
    <cfRule type="cellIs" dxfId="3231" priority="959" operator="between">
      <formula>0.00001%</formula>
      <formula>70%</formula>
    </cfRule>
    <cfRule type="cellIs" dxfId="3230" priority="960" operator="equal">
      <formula>0</formula>
    </cfRule>
  </conditionalFormatting>
  <conditionalFormatting sqref="W29">
    <cfRule type="cellIs" dxfId="3229" priority="951" operator="greaterThan">
      <formula>110%</formula>
    </cfRule>
    <cfRule type="cellIs" dxfId="3228" priority="952" operator="between">
      <formula>100.001%</formula>
      <formula>110%</formula>
    </cfRule>
    <cfRule type="cellIs" dxfId="3227" priority="953" operator="between">
      <formula>70.001%</formula>
      <formula>100%</formula>
    </cfRule>
    <cfRule type="cellIs" dxfId="3226" priority="954" operator="between">
      <formula>0.00001%</formula>
      <formula>70%</formula>
    </cfRule>
    <cfRule type="cellIs" dxfId="3225" priority="955" operator="equal">
      <formula>0</formula>
    </cfRule>
  </conditionalFormatting>
  <conditionalFormatting sqref="Z29">
    <cfRule type="cellIs" dxfId="3224" priority="946" operator="greaterThan">
      <formula>110%</formula>
    </cfRule>
    <cfRule type="cellIs" dxfId="3223" priority="947" operator="between">
      <formula>100.001%</formula>
      <formula>110%</formula>
    </cfRule>
    <cfRule type="cellIs" dxfId="3222" priority="948" operator="between">
      <formula>70.001%</formula>
      <formula>100%</formula>
    </cfRule>
    <cfRule type="cellIs" dxfId="3221" priority="949" operator="between">
      <formula>0.00001%</formula>
      <formula>70%</formula>
    </cfRule>
    <cfRule type="cellIs" dxfId="3220" priority="950" operator="equal">
      <formula>0</formula>
    </cfRule>
  </conditionalFormatting>
  <conditionalFormatting sqref="AC29">
    <cfRule type="cellIs" dxfId="3219" priority="941" operator="greaterThan">
      <formula>110%</formula>
    </cfRule>
    <cfRule type="cellIs" dxfId="3218" priority="942" operator="between">
      <formula>100.001%</formula>
      <formula>110%</formula>
    </cfRule>
    <cfRule type="cellIs" dxfId="3217" priority="943" operator="between">
      <formula>70.001%</formula>
      <formula>100%</formula>
    </cfRule>
    <cfRule type="cellIs" dxfId="3216" priority="944" operator="between">
      <formula>0.00001%</formula>
      <formula>70%</formula>
    </cfRule>
    <cfRule type="cellIs" dxfId="3215" priority="945" operator="equal">
      <formula>0</formula>
    </cfRule>
  </conditionalFormatting>
  <conditionalFormatting sqref="AE29">
    <cfRule type="cellIs" dxfId="3214" priority="936" operator="greaterThan">
      <formula>110%</formula>
    </cfRule>
    <cfRule type="cellIs" dxfId="3213" priority="937" operator="between">
      <formula>100.001%</formula>
      <formula>110%</formula>
    </cfRule>
    <cfRule type="cellIs" dxfId="3212" priority="938" operator="between">
      <formula>70.001%</formula>
      <formula>100%</formula>
    </cfRule>
    <cfRule type="cellIs" dxfId="3211" priority="939" operator="between">
      <formula>0.00001%</formula>
      <formula>70%</formula>
    </cfRule>
    <cfRule type="cellIs" dxfId="3210" priority="940" operator="equal">
      <formula>0</formula>
    </cfRule>
  </conditionalFormatting>
  <conditionalFormatting sqref="AH29">
    <cfRule type="cellIs" dxfId="3209" priority="931" operator="greaterThan">
      <formula>110%</formula>
    </cfRule>
    <cfRule type="cellIs" dxfId="3208" priority="932" operator="between">
      <formula>100.001%</formula>
      <formula>110%</formula>
    </cfRule>
    <cfRule type="cellIs" dxfId="3207" priority="933" operator="between">
      <formula>70.001%</formula>
      <formula>100%</formula>
    </cfRule>
    <cfRule type="cellIs" dxfId="3206" priority="934" operator="between">
      <formula>0.00001%</formula>
      <formula>70%</formula>
    </cfRule>
    <cfRule type="cellIs" dxfId="3205" priority="935" operator="equal">
      <formula>0</formula>
    </cfRule>
  </conditionalFormatting>
  <conditionalFormatting sqref="AK29">
    <cfRule type="cellIs" dxfId="3204" priority="926" operator="greaterThan">
      <formula>110%</formula>
    </cfRule>
    <cfRule type="cellIs" dxfId="3203" priority="927" operator="between">
      <formula>100.001%</formula>
      <formula>110%</formula>
    </cfRule>
    <cfRule type="cellIs" dxfId="3202" priority="928" operator="between">
      <formula>70.001%</formula>
      <formula>100%</formula>
    </cfRule>
    <cfRule type="cellIs" dxfId="3201" priority="929" operator="between">
      <formula>0.00001%</formula>
      <formula>70%</formula>
    </cfRule>
    <cfRule type="cellIs" dxfId="3200" priority="930" operator="equal">
      <formula>0</formula>
    </cfRule>
  </conditionalFormatting>
  <conditionalFormatting sqref="AN29">
    <cfRule type="cellIs" dxfId="3199" priority="921" operator="greaterThan">
      <formula>110%</formula>
    </cfRule>
    <cfRule type="cellIs" dxfId="3198" priority="922" operator="between">
      <formula>100.001%</formula>
      <formula>110%</formula>
    </cfRule>
    <cfRule type="cellIs" dxfId="3197" priority="923" operator="between">
      <formula>70.001%</formula>
      <formula>100%</formula>
    </cfRule>
    <cfRule type="cellIs" dxfId="3196" priority="924" operator="between">
      <formula>0.00001%</formula>
      <formula>70%</formula>
    </cfRule>
    <cfRule type="cellIs" dxfId="3195" priority="925" operator="equal">
      <formula>0</formula>
    </cfRule>
  </conditionalFormatting>
  <conditionalFormatting sqref="AQ29">
    <cfRule type="cellIs" dxfId="3194" priority="916" operator="greaterThan">
      <formula>110%</formula>
    </cfRule>
    <cfRule type="cellIs" dxfId="3193" priority="917" operator="between">
      <formula>100.001%</formula>
      <formula>110%</formula>
    </cfRule>
    <cfRule type="cellIs" dxfId="3192" priority="918" operator="between">
      <formula>70.001%</formula>
      <formula>100%</formula>
    </cfRule>
    <cfRule type="cellIs" dxfId="3191" priority="919" operator="between">
      <formula>0.00001%</formula>
      <formula>70%</formula>
    </cfRule>
    <cfRule type="cellIs" dxfId="3190" priority="920" operator="equal">
      <formula>0</formula>
    </cfRule>
  </conditionalFormatting>
  <conditionalFormatting sqref="AT29">
    <cfRule type="cellIs" dxfId="3189" priority="911" operator="greaterThan">
      <formula>110%</formula>
    </cfRule>
    <cfRule type="cellIs" dxfId="3188" priority="912" operator="between">
      <formula>100.001%</formula>
      <formula>110%</formula>
    </cfRule>
    <cfRule type="cellIs" dxfId="3187" priority="913" operator="between">
      <formula>70.001%</formula>
      <formula>100%</formula>
    </cfRule>
    <cfRule type="cellIs" dxfId="3186" priority="914" operator="between">
      <formula>0.00001%</formula>
      <formula>70%</formula>
    </cfRule>
    <cfRule type="cellIs" dxfId="3185" priority="915" operator="equal">
      <formula>0</formula>
    </cfRule>
  </conditionalFormatting>
  <conditionalFormatting sqref="N17">
    <cfRule type="cellIs" dxfId="3184" priority="906" operator="greaterThan">
      <formula>110%</formula>
    </cfRule>
    <cfRule type="cellIs" dxfId="3183" priority="907" operator="between">
      <formula>100.001%</formula>
      <formula>110%</formula>
    </cfRule>
    <cfRule type="cellIs" dxfId="3182" priority="908" operator="between">
      <formula>70.001%</formula>
      <formula>100%</formula>
    </cfRule>
    <cfRule type="cellIs" dxfId="3181" priority="909" operator="between">
      <formula>0.00001%</formula>
      <formula>70%</formula>
    </cfRule>
    <cfRule type="cellIs" dxfId="3180" priority="910" operator="equal">
      <formula>0</formula>
    </cfRule>
  </conditionalFormatting>
  <conditionalFormatting sqref="Q17">
    <cfRule type="cellIs" dxfId="3179" priority="901" operator="greaterThan">
      <formula>110%</formula>
    </cfRule>
    <cfRule type="cellIs" dxfId="3178" priority="902" operator="between">
      <formula>100.001%</formula>
      <formula>110%</formula>
    </cfRule>
    <cfRule type="cellIs" dxfId="3177" priority="903" operator="between">
      <formula>70.001%</formula>
      <formula>100%</formula>
    </cfRule>
    <cfRule type="cellIs" dxfId="3176" priority="904" operator="between">
      <formula>0.00001%</formula>
      <formula>70%</formula>
    </cfRule>
    <cfRule type="cellIs" dxfId="3175" priority="905" operator="equal">
      <formula>0</formula>
    </cfRule>
  </conditionalFormatting>
  <conditionalFormatting sqref="T17">
    <cfRule type="cellIs" dxfId="3174" priority="896" operator="greaterThan">
      <formula>110%</formula>
    </cfRule>
    <cfRule type="cellIs" dxfId="3173" priority="897" operator="between">
      <formula>100.001%</formula>
      <formula>110%</formula>
    </cfRule>
    <cfRule type="cellIs" dxfId="3172" priority="898" operator="between">
      <formula>70.001%</formula>
      <formula>100%</formula>
    </cfRule>
    <cfRule type="cellIs" dxfId="3171" priority="899" operator="between">
      <formula>0.00001%</formula>
      <formula>70%</formula>
    </cfRule>
    <cfRule type="cellIs" dxfId="3170" priority="900" operator="equal">
      <formula>0</formula>
    </cfRule>
  </conditionalFormatting>
  <conditionalFormatting sqref="W17">
    <cfRule type="cellIs" dxfId="3169" priority="891" operator="greaterThan">
      <formula>110%</formula>
    </cfRule>
    <cfRule type="cellIs" dxfId="3168" priority="892" operator="between">
      <formula>100.001%</formula>
      <formula>110%</formula>
    </cfRule>
    <cfRule type="cellIs" dxfId="3167" priority="893" operator="between">
      <formula>70.001%</formula>
      <formula>100%</formula>
    </cfRule>
    <cfRule type="cellIs" dxfId="3166" priority="894" operator="between">
      <formula>0.00001%</formula>
      <formula>70%</formula>
    </cfRule>
    <cfRule type="cellIs" dxfId="3165" priority="895" operator="equal">
      <formula>0</formula>
    </cfRule>
  </conditionalFormatting>
  <conditionalFormatting sqref="Z17">
    <cfRule type="cellIs" dxfId="3164" priority="886" operator="greaterThan">
      <formula>110%</formula>
    </cfRule>
    <cfRule type="cellIs" dxfId="3163" priority="887" operator="between">
      <formula>100.001%</formula>
      <formula>110%</formula>
    </cfRule>
    <cfRule type="cellIs" dxfId="3162" priority="888" operator="between">
      <formula>70.001%</formula>
      <formula>100%</formula>
    </cfRule>
    <cfRule type="cellIs" dxfId="3161" priority="889" operator="between">
      <formula>0.00001%</formula>
      <formula>70%</formula>
    </cfRule>
    <cfRule type="cellIs" dxfId="3160" priority="890" operator="equal">
      <formula>0</formula>
    </cfRule>
  </conditionalFormatting>
  <conditionalFormatting sqref="AC17">
    <cfRule type="cellIs" dxfId="3159" priority="881" operator="greaterThan">
      <formula>110%</formula>
    </cfRule>
    <cfRule type="cellIs" dxfId="3158" priority="882" operator="between">
      <formula>100.001%</formula>
      <formula>110%</formula>
    </cfRule>
    <cfRule type="cellIs" dxfId="3157" priority="883" operator="between">
      <formula>70.001%</formula>
      <formula>100%</formula>
    </cfRule>
    <cfRule type="cellIs" dxfId="3156" priority="884" operator="between">
      <formula>0.00001%</formula>
      <formula>70%</formula>
    </cfRule>
    <cfRule type="cellIs" dxfId="3155" priority="885" operator="equal">
      <formula>0</formula>
    </cfRule>
  </conditionalFormatting>
  <conditionalFormatting sqref="AE17">
    <cfRule type="cellIs" dxfId="3154" priority="876" operator="greaterThan">
      <formula>110%</formula>
    </cfRule>
    <cfRule type="cellIs" dxfId="3153" priority="877" operator="between">
      <formula>100.001%</formula>
      <formula>110%</formula>
    </cfRule>
    <cfRule type="cellIs" dxfId="3152" priority="878" operator="between">
      <formula>70.001%</formula>
      <formula>100%</formula>
    </cfRule>
    <cfRule type="cellIs" dxfId="3151" priority="879" operator="between">
      <formula>0.00001%</formula>
      <formula>70%</formula>
    </cfRule>
    <cfRule type="cellIs" dxfId="3150" priority="880" operator="equal">
      <formula>0</formula>
    </cfRule>
  </conditionalFormatting>
  <conditionalFormatting sqref="AH17">
    <cfRule type="cellIs" dxfId="3149" priority="871" operator="greaterThan">
      <formula>110%</formula>
    </cfRule>
    <cfRule type="cellIs" dxfId="3148" priority="872" operator="between">
      <formula>100.001%</formula>
      <formula>110%</formula>
    </cfRule>
    <cfRule type="cellIs" dxfId="3147" priority="873" operator="between">
      <formula>70.001%</formula>
      <formula>100%</formula>
    </cfRule>
    <cfRule type="cellIs" dxfId="3146" priority="874" operator="between">
      <formula>0.00001%</formula>
      <formula>70%</formula>
    </cfRule>
    <cfRule type="cellIs" dxfId="3145" priority="875" operator="equal">
      <formula>0</formula>
    </cfRule>
  </conditionalFormatting>
  <conditionalFormatting sqref="AK17">
    <cfRule type="cellIs" dxfId="3144" priority="866" operator="greaterThan">
      <formula>110%</formula>
    </cfRule>
    <cfRule type="cellIs" dxfId="3143" priority="867" operator="between">
      <formula>100.001%</formula>
      <formula>110%</formula>
    </cfRule>
    <cfRule type="cellIs" dxfId="3142" priority="868" operator="between">
      <formula>70.001%</formula>
      <formula>100%</formula>
    </cfRule>
    <cfRule type="cellIs" dxfId="3141" priority="869" operator="between">
      <formula>0.00001%</formula>
      <formula>70%</formula>
    </cfRule>
    <cfRule type="cellIs" dxfId="3140" priority="870" operator="equal">
      <formula>0</formula>
    </cfRule>
  </conditionalFormatting>
  <conditionalFormatting sqref="AN17">
    <cfRule type="cellIs" dxfId="3139" priority="861" operator="greaterThan">
      <formula>110%</formula>
    </cfRule>
    <cfRule type="cellIs" dxfId="3138" priority="862" operator="between">
      <formula>100.001%</formula>
      <formula>110%</formula>
    </cfRule>
    <cfRule type="cellIs" dxfId="3137" priority="863" operator="between">
      <formula>70.001%</formula>
      <formula>100%</formula>
    </cfRule>
    <cfRule type="cellIs" dxfId="3136" priority="864" operator="between">
      <formula>0.00001%</formula>
      <formula>70%</formula>
    </cfRule>
    <cfRule type="cellIs" dxfId="3135" priority="865" operator="equal">
      <formula>0</formula>
    </cfRule>
  </conditionalFormatting>
  <conditionalFormatting sqref="AQ17">
    <cfRule type="cellIs" dxfId="3134" priority="856" operator="greaterThan">
      <formula>110%</formula>
    </cfRule>
    <cfRule type="cellIs" dxfId="3133" priority="857" operator="between">
      <formula>100.001%</formula>
      <formula>110%</formula>
    </cfRule>
    <cfRule type="cellIs" dxfId="3132" priority="858" operator="between">
      <formula>70.001%</formula>
      <formula>100%</formula>
    </cfRule>
    <cfRule type="cellIs" dxfId="3131" priority="859" operator="between">
      <formula>0.00001%</formula>
      <formula>70%</formula>
    </cfRule>
    <cfRule type="cellIs" dxfId="3130" priority="860" operator="equal">
      <formula>0</formula>
    </cfRule>
  </conditionalFormatting>
  <conditionalFormatting sqref="AT17">
    <cfRule type="cellIs" dxfId="3129" priority="851" operator="greaterThan">
      <formula>110%</formula>
    </cfRule>
    <cfRule type="cellIs" dxfId="3128" priority="852" operator="between">
      <formula>100.001%</formula>
      <formula>110%</formula>
    </cfRule>
    <cfRule type="cellIs" dxfId="3127" priority="853" operator="between">
      <formula>70.001%</formula>
      <formula>100%</formula>
    </cfRule>
    <cfRule type="cellIs" dxfId="3126" priority="854" operator="between">
      <formula>0.00001%</formula>
      <formula>70%</formula>
    </cfRule>
    <cfRule type="cellIs" dxfId="3125" priority="855" operator="equal">
      <formula>0</formula>
    </cfRule>
  </conditionalFormatting>
  <conditionalFormatting sqref="N18">
    <cfRule type="cellIs" dxfId="3124" priority="846" operator="greaterThan">
      <formula>110%</formula>
    </cfRule>
    <cfRule type="cellIs" dxfId="3123" priority="847" operator="between">
      <formula>100.001%</formula>
      <formula>110%</formula>
    </cfRule>
    <cfRule type="cellIs" dxfId="3122" priority="848" operator="between">
      <formula>70.001%</formula>
      <formula>100%</formula>
    </cfRule>
    <cfRule type="cellIs" dxfId="3121" priority="849" operator="between">
      <formula>0.00001%</formula>
      <formula>70%</formula>
    </cfRule>
    <cfRule type="cellIs" dxfId="3120" priority="850" operator="equal">
      <formula>0</formula>
    </cfRule>
  </conditionalFormatting>
  <conditionalFormatting sqref="Q18">
    <cfRule type="cellIs" dxfId="3119" priority="841" operator="greaterThan">
      <formula>110%</formula>
    </cfRule>
    <cfRule type="cellIs" dxfId="3118" priority="842" operator="between">
      <formula>100.001%</formula>
      <formula>110%</formula>
    </cfRule>
    <cfRule type="cellIs" dxfId="3117" priority="843" operator="between">
      <formula>70.001%</formula>
      <formula>100%</formula>
    </cfRule>
    <cfRule type="cellIs" dxfId="3116" priority="844" operator="between">
      <formula>0.00001%</formula>
      <formula>70%</formula>
    </cfRule>
    <cfRule type="cellIs" dxfId="3115" priority="845" operator="equal">
      <formula>0</formula>
    </cfRule>
  </conditionalFormatting>
  <conditionalFormatting sqref="T18">
    <cfRule type="cellIs" dxfId="3114" priority="836" operator="greaterThan">
      <formula>110%</formula>
    </cfRule>
    <cfRule type="cellIs" dxfId="3113" priority="837" operator="between">
      <formula>100.001%</formula>
      <formula>110%</formula>
    </cfRule>
    <cfRule type="cellIs" dxfId="3112" priority="838" operator="between">
      <formula>70.001%</formula>
      <formula>100%</formula>
    </cfRule>
    <cfRule type="cellIs" dxfId="3111" priority="839" operator="between">
      <formula>0.00001%</formula>
      <formula>70%</formula>
    </cfRule>
    <cfRule type="cellIs" dxfId="3110" priority="840" operator="equal">
      <formula>0</formula>
    </cfRule>
  </conditionalFormatting>
  <conditionalFormatting sqref="W18">
    <cfRule type="cellIs" dxfId="3109" priority="831" operator="greaterThan">
      <formula>110%</formula>
    </cfRule>
    <cfRule type="cellIs" dxfId="3108" priority="832" operator="between">
      <formula>100.001%</formula>
      <formula>110%</formula>
    </cfRule>
    <cfRule type="cellIs" dxfId="3107" priority="833" operator="between">
      <formula>70.001%</formula>
      <formula>100%</formula>
    </cfRule>
    <cfRule type="cellIs" dxfId="3106" priority="834" operator="between">
      <formula>0.00001%</formula>
      <formula>70%</formula>
    </cfRule>
    <cfRule type="cellIs" dxfId="3105" priority="835" operator="equal">
      <formula>0</formula>
    </cfRule>
  </conditionalFormatting>
  <conditionalFormatting sqref="Z18">
    <cfRule type="cellIs" dxfId="3104" priority="826" operator="greaterThan">
      <formula>110%</formula>
    </cfRule>
    <cfRule type="cellIs" dxfId="3103" priority="827" operator="between">
      <formula>100.001%</formula>
      <formula>110%</formula>
    </cfRule>
    <cfRule type="cellIs" dxfId="3102" priority="828" operator="between">
      <formula>70.001%</formula>
      <formula>100%</formula>
    </cfRule>
    <cfRule type="cellIs" dxfId="3101" priority="829" operator="between">
      <formula>0.00001%</formula>
      <formula>70%</formula>
    </cfRule>
    <cfRule type="cellIs" dxfId="3100" priority="830" operator="equal">
      <formula>0</formula>
    </cfRule>
  </conditionalFormatting>
  <conditionalFormatting sqref="AC18">
    <cfRule type="cellIs" dxfId="3099" priority="821" operator="greaterThan">
      <formula>110%</formula>
    </cfRule>
    <cfRule type="cellIs" dxfId="3098" priority="822" operator="between">
      <formula>100.001%</formula>
      <formula>110%</formula>
    </cfRule>
    <cfRule type="cellIs" dxfId="3097" priority="823" operator="between">
      <formula>70.001%</formula>
      <formula>100%</formula>
    </cfRule>
    <cfRule type="cellIs" dxfId="3096" priority="824" operator="between">
      <formula>0.00001%</formula>
      <formula>70%</formula>
    </cfRule>
    <cfRule type="cellIs" dxfId="3095" priority="825" operator="equal">
      <formula>0</formula>
    </cfRule>
  </conditionalFormatting>
  <conditionalFormatting sqref="AE18">
    <cfRule type="cellIs" dxfId="3094" priority="816" operator="greaterThan">
      <formula>110%</formula>
    </cfRule>
    <cfRule type="cellIs" dxfId="3093" priority="817" operator="between">
      <formula>100.001%</formula>
      <formula>110%</formula>
    </cfRule>
    <cfRule type="cellIs" dxfId="3092" priority="818" operator="between">
      <formula>70.001%</formula>
      <formula>100%</formula>
    </cfRule>
    <cfRule type="cellIs" dxfId="3091" priority="819" operator="between">
      <formula>0.00001%</formula>
      <formula>70%</formula>
    </cfRule>
    <cfRule type="cellIs" dxfId="3090" priority="820" operator="equal">
      <formula>0</formula>
    </cfRule>
  </conditionalFormatting>
  <conditionalFormatting sqref="AH18">
    <cfRule type="cellIs" dxfId="3089" priority="811" operator="greaterThan">
      <formula>110%</formula>
    </cfRule>
    <cfRule type="cellIs" dxfId="3088" priority="812" operator="between">
      <formula>100.001%</formula>
      <formula>110%</formula>
    </cfRule>
    <cfRule type="cellIs" dxfId="3087" priority="813" operator="between">
      <formula>70.001%</formula>
      <formula>100%</formula>
    </cfRule>
    <cfRule type="cellIs" dxfId="3086" priority="814" operator="between">
      <formula>0.00001%</formula>
      <formula>70%</formula>
    </cfRule>
    <cfRule type="cellIs" dxfId="3085" priority="815" operator="equal">
      <formula>0</formula>
    </cfRule>
  </conditionalFormatting>
  <conditionalFormatting sqref="AK18">
    <cfRule type="cellIs" dxfId="3084" priority="806" operator="greaterThan">
      <formula>110%</formula>
    </cfRule>
    <cfRule type="cellIs" dxfId="3083" priority="807" operator="between">
      <formula>100.001%</formula>
      <formula>110%</formula>
    </cfRule>
    <cfRule type="cellIs" dxfId="3082" priority="808" operator="between">
      <formula>70.001%</formula>
      <formula>100%</formula>
    </cfRule>
    <cfRule type="cellIs" dxfId="3081" priority="809" operator="between">
      <formula>0.00001%</formula>
      <formula>70%</formula>
    </cfRule>
    <cfRule type="cellIs" dxfId="3080" priority="810" operator="equal">
      <formula>0</formula>
    </cfRule>
  </conditionalFormatting>
  <conditionalFormatting sqref="AN18">
    <cfRule type="cellIs" dxfId="3079" priority="801" operator="greaterThan">
      <formula>110%</formula>
    </cfRule>
    <cfRule type="cellIs" dxfId="3078" priority="802" operator="between">
      <formula>100.001%</formula>
      <formula>110%</formula>
    </cfRule>
    <cfRule type="cellIs" dxfId="3077" priority="803" operator="between">
      <formula>70.001%</formula>
      <formula>100%</formula>
    </cfRule>
    <cfRule type="cellIs" dxfId="3076" priority="804" operator="between">
      <formula>0.00001%</formula>
      <formula>70%</formula>
    </cfRule>
    <cfRule type="cellIs" dxfId="3075" priority="805" operator="equal">
      <formula>0</formula>
    </cfRule>
  </conditionalFormatting>
  <conditionalFormatting sqref="AQ18">
    <cfRule type="cellIs" dxfId="3074" priority="796" operator="greaterThan">
      <formula>110%</formula>
    </cfRule>
    <cfRule type="cellIs" dxfId="3073" priority="797" operator="between">
      <formula>100.001%</formula>
      <formula>110%</formula>
    </cfRule>
    <cfRule type="cellIs" dxfId="3072" priority="798" operator="between">
      <formula>70.001%</formula>
      <formula>100%</formula>
    </cfRule>
    <cfRule type="cellIs" dxfId="3071" priority="799" operator="between">
      <formula>0.00001%</formula>
      <formula>70%</formula>
    </cfRule>
    <cfRule type="cellIs" dxfId="3070" priority="800" operator="equal">
      <formula>0</formula>
    </cfRule>
  </conditionalFormatting>
  <conditionalFormatting sqref="AT18">
    <cfRule type="cellIs" dxfId="3069" priority="791" operator="greaterThan">
      <formula>110%</formula>
    </cfRule>
    <cfRule type="cellIs" dxfId="3068" priority="792" operator="between">
      <formula>100.001%</formula>
      <formula>110%</formula>
    </cfRule>
    <cfRule type="cellIs" dxfId="3067" priority="793" operator="between">
      <formula>70.001%</formula>
      <formula>100%</formula>
    </cfRule>
    <cfRule type="cellIs" dxfId="3066" priority="794" operator="between">
      <formula>0.00001%</formula>
      <formula>70%</formula>
    </cfRule>
    <cfRule type="cellIs" dxfId="3065" priority="795" operator="equal">
      <formula>0</formula>
    </cfRule>
  </conditionalFormatting>
  <conditionalFormatting sqref="N19">
    <cfRule type="cellIs" dxfId="3064" priority="786" operator="greaterThan">
      <formula>110%</formula>
    </cfRule>
    <cfRule type="cellIs" dxfId="3063" priority="787" operator="between">
      <formula>100.001%</formula>
      <formula>110%</formula>
    </cfRule>
    <cfRule type="cellIs" dxfId="3062" priority="788" operator="between">
      <formula>70.001%</formula>
      <formula>100%</formula>
    </cfRule>
    <cfRule type="cellIs" dxfId="3061" priority="789" operator="between">
      <formula>0.00001%</formula>
      <formula>70%</formula>
    </cfRule>
    <cfRule type="cellIs" dxfId="3060" priority="790" operator="equal">
      <formula>0</formula>
    </cfRule>
  </conditionalFormatting>
  <conditionalFormatting sqref="Q19">
    <cfRule type="cellIs" dxfId="3059" priority="781" operator="greaterThan">
      <formula>110%</formula>
    </cfRule>
    <cfRule type="cellIs" dxfId="3058" priority="782" operator="between">
      <formula>100.001%</formula>
      <formula>110%</formula>
    </cfRule>
    <cfRule type="cellIs" dxfId="3057" priority="783" operator="between">
      <formula>70.001%</formula>
      <formula>100%</formula>
    </cfRule>
    <cfRule type="cellIs" dxfId="3056" priority="784" operator="between">
      <formula>0.00001%</formula>
      <formula>70%</formula>
    </cfRule>
    <cfRule type="cellIs" dxfId="3055" priority="785" operator="equal">
      <formula>0</formula>
    </cfRule>
  </conditionalFormatting>
  <conditionalFormatting sqref="T19">
    <cfRule type="cellIs" dxfId="3054" priority="776" operator="greaterThan">
      <formula>110%</formula>
    </cfRule>
    <cfRule type="cellIs" dxfId="3053" priority="777" operator="between">
      <formula>100.001%</formula>
      <formula>110%</formula>
    </cfRule>
    <cfRule type="cellIs" dxfId="3052" priority="778" operator="between">
      <formula>70.001%</formula>
      <formula>100%</formula>
    </cfRule>
    <cfRule type="cellIs" dxfId="3051" priority="779" operator="between">
      <formula>0.00001%</formula>
      <formula>70%</formula>
    </cfRule>
    <cfRule type="cellIs" dxfId="3050" priority="780" operator="equal">
      <formula>0</formula>
    </cfRule>
  </conditionalFormatting>
  <conditionalFormatting sqref="W19">
    <cfRule type="cellIs" dxfId="3049" priority="771" operator="greaterThan">
      <formula>110%</formula>
    </cfRule>
    <cfRule type="cellIs" dxfId="3048" priority="772" operator="between">
      <formula>100.001%</formula>
      <formula>110%</formula>
    </cfRule>
    <cfRule type="cellIs" dxfId="3047" priority="773" operator="between">
      <formula>70.001%</formula>
      <formula>100%</formula>
    </cfRule>
    <cfRule type="cellIs" dxfId="3046" priority="774" operator="between">
      <formula>0.00001%</formula>
      <formula>70%</formula>
    </cfRule>
    <cfRule type="cellIs" dxfId="3045" priority="775" operator="equal">
      <formula>0</formula>
    </cfRule>
  </conditionalFormatting>
  <conditionalFormatting sqref="Z19">
    <cfRule type="cellIs" dxfId="3044" priority="766" operator="greaterThan">
      <formula>110%</formula>
    </cfRule>
    <cfRule type="cellIs" dxfId="3043" priority="767" operator="between">
      <formula>100.001%</formula>
      <formula>110%</formula>
    </cfRule>
    <cfRule type="cellIs" dxfId="3042" priority="768" operator="between">
      <formula>70.001%</formula>
      <formula>100%</formula>
    </cfRule>
    <cfRule type="cellIs" dxfId="3041" priority="769" operator="between">
      <formula>0.00001%</formula>
      <formula>70%</formula>
    </cfRule>
    <cfRule type="cellIs" dxfId="3040" priority="770" operator="equal">
      <formula>0</formula>
    </cfRule>
  </conditionalFormatting>
  <conditionalFormatting sqref="AC19">
    <cfRule type="cellIs" dxfId="3039" priority="761" operator="greaterThan">
      <formula>110%</formula>
    </cfRule>
    <cfRule type="cellIs" dxfId="3038" priority="762" operator="between">
      <formula>100.001%</formula>
      <formula>110%</formula>
    </cfRule>
    <cfRule type="cellIs" dxfId="3037" priority="763" operator="between">
      <formula>70.001%</formula>
      <formula>100%</formula>
    </cfRule>
    <cfRule type="cellIs" dxfId="3036" priority="764" operator="between">
      <formula>0.00001%</formula>
      <formula>70%</formula>
    </cfRule>
    <cfRule type="cellIs" dxfId="3035" priority="765" operator="equal">
      <formula>0</formula>
    </cfRule>
  </conditionalFormatting>
  <conditionalFormatting sqref="AE19">
    <cfRule type="cellIs" dxfId="3034" priority="756" operator="greaterThan">
      <formula>110%</formula>
    </cfRule>
    <cfRule type="cellIs" dxfId="3033" priority="757" operator="between">
      <formula>100.001%</formula>
      <formula>110%</formula>
    </cfRule>
    <cfRule type="cellIs" dxfId="3032" priority="758" operator="between">
      <formula>70.001%</formula>
      <formula>100%</formula>
    </cfRule>
    <cfRule type="cellIs" dxfId="3031" priority="759" operator="between">
      <formula>0.00001%</formula>
      <formula>70%</formula>
    </cfRule>
    <cfRule type="cellIs" dxfId="3030" priority="760" operator="equal">
      <formula>0</formula>
    </cfRule>
  </conditionalFormatting>
  <conditionalFormatting sqref="AH19">
    <cfRule type="cellIs" dxfId="3029" priority="751" operator="greaterThan">
      <formula>110%</formula>
    </cfRule>
    <cfRule type="cellIs" dxfId="3028" priority="752" operator="between">
      <formula>100.001%</formula>
      <formula>110%</formula>
    </cfRule>
    <cfRule type="cellIs" dxfId="3027" priority="753" operator="between">
      <formula>70.001%</formula>
      <formula>100%</formula>
    </cfRule>
    <cfRule type="cellIs" dxfId="3026" priority="754" operator="between">
      <formula>0.00001%</formula>
      <formula>70%</formula>
    </cfRule>
    <cfRule type="cellIs" dxfId="3025" priority="755" operator="equal">
      <formula>0</formula>
    </cfRule>
  </conditionalFormatting>
  <conditionalFormatting sqref="AK19">
    <cfRule type="cellIs" dxfId="3024" priority="746" operator="greaterThan">
      <formula>110%</formula>
    </cfRule>
    <cfRule type="cellIs" dxfId="3023" priority="747" operator="between">
      <formula>100.001%</formula>
      <formula>110%</formula>
    </cfRule>
    <cfRule type="cellIs" dxfId="3022" priority="748" operator="between">
      <formula>70.001%</formula>
      <formula>100%</formula>
    </cfRule>
    <cfRule type="cellIs" dxfId="3021" priority="749" operator="between">
      <formula>0.00001%</formula>
      <formula>70%</formula>
    </cfRule>
    <cfRule type="cellIs" dxfId="3020" priority="750" operator="equal">
      <formula>0</formula>
    </cfRule>
  </conditionalFormatting>
  <conditionalFormatting sqref="AN19">
    <cfRule type="cellIs" dxfId="3019" priority="741" operator="greaterThan">
      <formula>110%</formula>
    </cfRule>
    <cfRule type="cellIs" dxfId="3018" priority="742" operator="between">
      <formula>100.001%</formula>
      <formula>110%</formula>
    </cfRule>
    <cfRule type="cellIs" dxfId="3017" priority="743" operator="between">
      <formula>70.001%</formula>
      <formula>100%</formula>
    </cfRule>
    <cfRule type="cellIs" dxfId="3016" priority="744" operator="between">
      <formula>0.00001%</formula>
      <formula>70%</formula>
    </cfRule>
    <cfRule type="cellIs" dxfId="3015" priority="745" operator="equal">
      <formula>0</formula>
    </cfRule>
  </conditionalFormatting>
  <conditionalFormatting sqref="AQ19">
    <cfRule type="cellIs" dxfId="3014" priority="736" operator="greaterThan">
      <formula>110%</formula>
    </cfRule>
    <cfRule type="cellIs" dxfId="3013" priority="737" operator="between">
      <formula>100.001%</formula>
      <formula>110%</formula>
    </cfRule>
    <cfRule type="cellIs" dxfId="3012" priority="738" operator="between">
      <formula>70.001%</formula>
      <formula>100%</formula>
    </cfRule>
    <cfRule type="cellIs" dxfId="3011" priority="739" operator="between">
      <formula>0.00001%</formula>
      <formula>70%</formula>
    </cfRule>
    <cfRule type="cellIs" dxfId="3010" priority="740" operator="equal">
      <formula>0</formula>
    </cfRule>
  </conditionalFormatting>
  <conditionalFormatting sqref="AT19">
    <cfRule type="cellIs" dxfId="3009" priority="731" operator="greaterThan">
      <formula>110%</formula>
    </cfRule>
    <cfRule type="cellIs" dxfId="3008" priority="732" operator="between">
      <formula>100.001%</formula>
      <formula>110%</formula>
    </cfRule>
    <cfRule type="cellIs" dxfId="3007" priority="733" operator="between">
      <formula>70.001%</formula>
      <formula>100%</formula>
    </cfRule>
    <cfRule type="cellIs" dxfId="3006" priority="734" operator="between">
      <formula>0.00001%</formula>
      <formula>70%</formula>
    </cfRule>
    <cfRule type="cellIs" dxfId="3005" priority="735" operator="equal">
      <formula>0</formula>
    </cfRule>
  </conditionalFormatting>
  <conditionalFormatting sqref="AT9">
    <cfRule type="cellIs" dxfId="3004" priority="726" operator="greaterThan">
      <formula>110%</formula>
    </cfRule>
    <cfRule type="cellIs" dxfId="3003" priority="727" operator="between">
      <formula>100.001%</formula>
      <formula>110%</formula>
    </cfRule>
    <cfRule type="cellIs" dxfId="3002" priority="728" operator="between">
      <formula>70.001%</formula>
      <formula>100%</formula>
    </cfRule>
    <cfRule type="cellIs" dxfId="3001" priority="729" operator="between">
      <formula>0.00001%</formula>
      <formula>70%</formula>
    </cfRule>
    <cfRule type="cellIs" dxfId="3000" priority="730" operator="equal">
      <formula>0</formula>
    </cfRule>
  </conditionalFormatting>
  <conditionalFormatting sqref="N10">
    <cfRule type="cellIs" dxfId="2999" priority="721" operator="greaterThan">
      <formula>110%</formula>
    </cfRule>
    <cfRule type="cellIs" dxfId="2998" priority="722" operator="between">
      <formula>100.001%</formula>
      <formula>110%</formula>
    </cfRule>
    <cfRule type="cellIs" dxfId="2997" priority="723" operator="between">
      <formula>70.001%</formula>
      <formula>100%</formula>
    </cfRule>
    <cfRule type="cellIs" dxfId="2996" priority="724" operator="between">
      <formula>0.00001%</formula>
      <formula>70%</formula>
    </cfRule>
    <cfRule type="cellIs" dxfId="2995" priority="725" operator="equal">
      <formula>0</formula>
    </cfRule>
  </conditionalFormatting>
  <conditionalFormatting sqref="Q10">
    <cfRule type="cellIs" dxfId="2994" priority="716" operator="greaterThan">
      <formula>110%</formula>
    </cfRule>
    <cfRule type="cellIs" dxfId="2993" priority="717" operator="between">
      <formula>100.001%</formula>
      <formula>110%</formula>
    </cfRule>
    <cfRule type="cellIs" dxfId="2992" priority="718" operator="between">
      <formula>70.001%</formula>
      <formula>100%</formula>
    </cfRule>
    <cfRule type="cellIs" dxfId="2991" priority="719" operator="between">
      <formula>0.00001%</formula>
      <formula>70%</formula>
    </cfRule>
    <cfRule type="cellIs" dxfId="2990" priority="720" operator="equal">
      <formula>0</formula>
    </cfRule>
  </conditionalFormatting>
  <conditionalFormatting sqref="T10">
    <cfRule type="cellIs" dxfId="2989" priority="711" operator="greaterThan">
      <formula>110%</formula>
    </cfRule>
    <cfRule type="cellIs" dxfId="2988" priority="712" operator="between">
      <formula>100.001%</formula>
      <formula>110%</formula>
    </cfRule>
    <cfRule type="cellIs" dxfId="2987" priority="713" operator="between">
      <formula>70.001%</formula>
      <formula>100%</formula>
    </cfRule>
    <cfRule type="cellIs" dxfId="2986" priority="714" operator="between">
      <formula>0.00001%</formula>
      <formula>70%</formula>
    </cfRule>
    <cfRule type="cellIs" dxfId="2985" priority="715" operator="equal">
      <formula>0</formula>
    </cfRule>
  </conditionalFormatting>
  <conditionalFormatting sqref="W10">
    <cfRule type="cellIs" dxfId="2984" priority="706" operator="greaterThan">
      <formula>110%</formula>
    </cfRule>
    <cfRule type="cellIs" dxfId="2983" priority="707" operator="between">
      <formula>100.001%</formula>
      <formula>110%</formula>
    </cfRule>
    <cfRule type="cellIs" dxfId="2982" priority="708" operator="between">
      <formula>70.001%</formula>
      <formula>100%</formula>
    </cfRule>
    <cfRule type="cellIs" dxfId="2981" priority="709" operator="between">
      <formula>0.00001%</formula>
      <formula>70%</formula>
    </cfRule>
    <cfRule type="cellIs" dxfId="2980" priority="710" operator="equal">
      <formula>0</formula>
    </cfRule>
  </conditionalFormatting>
  <conditionalFormatting sqref="Z10">
    <cfRule type="cellIs" dxfId="2979" priority="701" operator="greaterThan">
      <formula>110%</formula>
    </cfRule>
    <cfRule type="cellIs" dxfId="2978" priority="702" operator="between">
      <formula>100.001%</formula>
      <formula>110%</formula>
    </cfRule>
    <cfRule type="cellIs" dxfId="2977" priority="703" operator="between">
      <formula>70.001%</formula>
      <formula>100%</formula>
    </cfRule>
    <cfRule type="cellIs" dxfId="2976" priority="704" operator="between">
      <formula>0.00001%</formula>
      <formula>70%</formula>
    </cfRule>
    <cfRule type="cellIs" dxfId="2975" priority="705" operator="equal">
      <formula>0</formula>
    </cfRule>
  </conditionalFormatting>
  <conditionalFormatting sqref="AC10">
    <cfRule type="cellIs" dxfId="2974" priority="696" operator="greaterThan">
      <formula>110%</formula>
    </cfRule>
    <cfRule type="cellIs" dxfId="2973" priority="697" operator="between">
      <formula>100.001%</formula>
      <formula>110%</formula>
    </cfRule>
    <cfRule type="cellIs" dxfId="2972" priority="698" operator="between">
      <formula>70.001%</formula>
      <formula>100%</formula>
    </cfRule>
    <cfRule type="cellIs" dxfId="2971" priority="699" operator="between">
      <formula>0.00001%</formula>
      <formula>70%</formula>
    </cfRule>
    <cfRule type="cellIs" dxfId="2970" priority="700" operator="equal">
      <formula>0</formula>
    </cfRule>
  </conditionalFormatting>
  <conditionalFormatting sqref="AE10">
    <cfRule type="cellIs" dxfId="2969" priority="691" operator="greaterThan">
      <formula>110%</formula>
    </cfRule>
    <cfRule type="cellIs" dxfId="2968" priority="692" operator="between">
      <formula>100.001%</formula>
      <formula>110%</formula>
    </cfRule>
    <cfRule type="cellIs" dxfId="2967" priority="693" operator="between">
      <formula>70.001%</formula>
      <formula>100%</formula>
    </cfRule>
    <cfRule type="cellIs" dxfId="2966" priority="694" operator="between">
      <formula>0.00001%</formula>
      <formula>70%</formula>
    </cfRule>
    <cfRule type="cellIs" dxfId="2965" priority="695" operator="equal">
      <formula>0</formula>
    </cfRule>
  </conditionalFormatting>
  <conditionalFormatting sqref="AH10">
    <cfRule type="cellIs" dxfId="2964" priority="686" operator="greaterThan">
      <formula>110%</formula>
    </cfRule>
    <cfRule type="cellIs" dxfId="2963" priority="687" operator="between">
      <formula>100.001%</formula>
      <formula>110%</formula>
    </cfRule>
    <cfRule type="cellIs" dxfId="2962" priority="688" operator="between">
      <formula>70.001%</formula>
      <formula>100%</formula>
    </cfRule>
    <cfRule type="cellIs" dxfId="2961" priority="689" operator="between">
      <formula>0.00001%</formula>
      <formula>70%</formula>
    </cfRule>
    <cfRule type="cellIs" dxfId="2960" priority="690" operator="equal">
      <formula>0</formula>
    </cfRule>
  </conditionalFormatting>
  <conditionalFormatting sqref="AK10">
    <cfRule type="cellIs" dxfId="2959" priority="681" operator="greaterThan">
      <formula>110%</formula>
    </cfRule>
    <cfRule type="cellIs" dxfId="2958" priority="682" operator="between">
      <formula>100.001%</formula>
      <formula>110%</formula>
    </cfRule>
    <cfRule type="cellIs" dxfId="2957" priority="683" operator="between">
      <formula>70.001%</formula>
      <formula>100%</formula>
    </cfRule>
    <cfRule type="cellIs" dxfId="2956" priority="684" operator="between">
      <formula>0.00001%</formula>
      <formula>70%</formula>
    </cfRule>
    <cfRule type="cellIs" dxfId="2955" priority="685" operator="equal">
      <formula>0</formula>
    </cfRule>
  </conditionalFormatting>
  <conditionalFormatting sqref="AN10">
    <cfRule type="cellIs" dxfId="2954" priority="676" operator="greaterThan">
      <formula>110%</formula>
    </cfRule>
    <cfRule type="cellIs" dxfId="2953" priority="677" operator="between">
      <formula>100.001%</formula>
      <formula>110%</formula>
    </cfRule>
    <cfRule type="cellIs" dxfId="2952" priority="678" operator="between">
      <formula>70.001%</formula>
      <formula>100%</formula>
    </cfRule>
    <cfRule type="cellIs" dxfId="2951" priority="679" operator="between">
      <formula>0.00001%</formula>
      <formula>70%</formula>
    </cfRule>
    <cfRule type="cellIs" dxfId="2950" priority="680" operator="equal">
      <formula>0</formula>
    </cfRule>
  </conditionalFormatting>
  <conditionalFormatting sqref="AQ10">
    <cfRule type="cellIs" dxfId="2949" priority="671" operator="greaterThan">
      <formula>110%</formula>
    </cfRule>
    <cfRule type="cellIs" dxfId="2948" priority="672" operator="between">
      <formula>100.001%</formula>
      <formula>110%</formula>
    </cfRule>
    <cfRule type="cellIs" dxfId="2947" priority="673" operator="between">
      <formula>70.001%</formula>
      <formula>100%</formula>
    </cfRule>
    <cfRule type="cellIs" dxfId="2946" priority="674" operator="between">
      <formula>0.00001%</formula>
      <formula>70%</formula>
    </cfRule>
    <cfRule type="cellIs" dxfId="2945" priority="675" operator="equal">
      <formula>0</formula>
    </cfRule>
  </conditionalFormatting>
  <conditionalFormatting sqref="AT10">
    <cfRule type="cellIs" dxfId="2944" priority="666" operator="greaterThan">
      <formula>110%</formula>
    </cfRule>
    <cfRule type="cellIs" dxfId="2943" priority="667" operator="between">
      <formula>100.001%</formula>
      <formula>110%</formula>
    </cfRule>
    <cfRule type="cellIs" dxfId="2942" priority="668" operator="between">
      <formula>70.001%</formula>
      <formula>100%</formula>
    </cfRule>
    <cfRule type="cellIs" dxfId="2941" priority="669" operator="between">
      <formula>0.00001%</formula>
      <formula>70%</formula>
    </cfRule>
    <cfRule type="cellIs" dxfId="2940" priority="670" operator="equal">
      <formula>0</formula>
    </cfRule>
  </conditionalFormatting>
  <conditionalFormatting sqref="N12">
    <cfRule type="cellIs" dxfId="2939" priority="661" operator="greaterThan">
      <formula>110%</formula>
    </cfRule>
    <cfRule type="cellIs" dxfId="2938" priority="662" operator="between">
      <formula>100.001%</formula>
      <formula>110%</formula>
    </cfRule>
    <cfRule type="cellIs" dxfId="2937" priority="663" operator="between">
      <formula>70.001%</formula>
      <formula>100%</formula>
    </cfRule>
    <cfRule type="cellIs" dxfId="2936" priority="664" operator="between">
      <formula>0.00001%</formula>
      <formula>70%</formula>
    </cfRule>
    <cfRule type="cellIs" dxfId="2935" priority="665" operator="equal">
      <formula>0</formula>
    </cfRule>
  </conditionalFormatting>
  <conditionalFormatting sqref="Q12">
    <cfRule type="cellIs" dxfId="2934" priority="656" operator="greaterThan">
      <formula>110%</formula>
    </cfRule>
    <cfRule type="cellIs" dxfId="2933" priority="657" operator="between">
      <formula>100.001%</formula>
      <formula>110%</formula>
    </cfRule>
    <cfRule type="cellIs" dxfId="2932" priority="658" operator="between">
      <formula>70.001%</formula>
      <formula>100%</formula>
    </cfRule>
    <cfRule type="cellIs" dxfId="2931" priority="659" operator="between">
      <formula>0.00001%</formula>
      <formula>70%</formula>
    </cfRule>
    <cfRule type="cellIs" dxfId="2930" priority="660" operator="equal">
      <formula>0</formula>
    </cfRule>
  </conditionalFormatting>
  <conditionalFormatting sqref="T12">
    <cfRule type="cellIs" dxfId="2929" priority="651" operator="greaterThan">
      <formula>110%</formula>
    </cfRule>
    <cfRule type="cellIs" dxfId="2928" priority="652" operator="between">
      <formula>100.001%</formula>
      <formula>110%</formula>
    </cfRule>
    <cfRule type="cellIs" dxfId="2927" priority="653" operator="between">
      <formula>70.001%</formula>
      <formula>100%</formula>
    </cfRule>
    <cfRule type="cellIs" dxfId="2926" priority="654" operator="between">
      <formula>0.00001%</formula>
      <formula>70%</formula>
    </cfRule>
    <cfRule type="cellIs" dxfId="2925" priority="655" operator="equal">
      <formula>0</formula>
    </cfRule>
  </conditionalFormatting>
  <conditionalFormatting sqref="W12">
    <cfRule type="cellIs" dxfId="2924" priority="646" operator="greaterThan">
      <formula>110%</formula>
    </cfRule>
    <cfRule type="cellIs" dxfId="2923" priority="647" operator="between">
      <formula>100.001%</formula>
      <formula>110%</formula>
    </cfRule>
    <cfRule type="cellIs" dxfId="2922" priority="648" operator="between">
      <formula>70.001%</formula>
      <formula>100%</formula>
    </cfRule>
    <cfRule type="cellIs" dxfId="2921" priority="649" operator="between">
      <formula>0.00001%</formula>
      <formula>70%</formula>
    </cfRule>
    <cfRule type="cellIs" dxfId="2920" priority="650" operator="equal">
      <formula>0</formula>
    </cfRule>
  </conditionalFormatting>
  <conditionalFormatting sqref="Z12">
    <cfRule type="cellIs" dxfId="2919" priority="641" operator="greaterThan">
      <formula>110%</formula>
    </cfRule>
    <cfRule type="cellIs" dxfId="2918" priority="642" operator="between">
      <formula>100.001%</formula>
      <formula>110%</formula>
    </cfRule>
    <cfRule type="cellIs" dxfId="2917" priority="643" operator="between">
      <formula>70.001%</formula>
      <formula>100%</formula>
    </cfRule>
    <cfRule type="cellIs" dxfId="2916" priority="644" operator="between">
      <formula>0.00001%</formula>
      <formula>70%</formula>
    </cfRule>
    <cfRule type="cellIs" dxfId="2915" priority="645" operator="equal">
      <formula>0</formula>
    </cfRule>
  </conditionalFormatting>
  <conditionalFormatting sqref="AC12">
    <cfRule type="cellIs" dxfId="2914" priority="636" operator="greaterThan">
      <formula>110%</formula>
    </cfRule>
    <cfRule type="cellIs" dxfId="2913" priority="637" operator="between">
      <formula>100.001%</formula>
      <formula>110%</formula>
    </cfRule>
    <cfRule type="cellIs" dxfId="2912" priority="638" operator="between">
      <formula>70.001%</formula>
      <formula>100%</formula>
    </cfRule>
    <cfRule type="cellIs" dxfId="2911" priority="639" operator="between">
      <formula>0.00001%</formula>
      <formula>70%</formula>
    </cfRule>
    <cfRule type="cellIs" dxfId="2910" priority="640" operator="equal">
      <formula>0</formula>
    </cfRule>
  </conditionalFormatting>
  <conditionalFormatting sqref="AE12">
    <cfRule type="cellIs" dxfId="2909" priority="631" operator="greaterThan">
      <formula>110%</formula>
    </cfRule>
    <cfRule type="cellIs" dxfId="2908" priority="632" operator="between">
      <formula>100.001%</formula>
      <formula>110%</formula>
    </cfRule>
    <cfRule type="cellIs" dxfId="2907" priority="633" operator="between">
      <formula>70.001%</formula>
      <formula>100%</formula>
    </cfRule>
    <cfRule type="cellIs" dxfId="2906" priority="634" operator="between">
      <formula>0.00001%</formula>
      <formula>70%</formula>
    </cfRule>
    <cfRule type="cellIs" dxfId="2905" priority="635" operator="equal">
      <formula>0</formula>
    </cfRule>
  </conditionalFormatting>
  <conditionalFormatting sqref="AH12">
    <cfRule type="cellIs" dxfId="2904" priority="626" operator="greaterThan">
      <formula>110%</formula>
    </cfRule>
    <cfRule type="cellIs" dxfId="2903" priority="627" operator="between">
      <formula>100.001%</formula>
      <formula>110%</formula>
    </cfRule>
    <cfRule type="cellIs" dxfId="2902" priority="628" operator="between">
      <formula>70.001%</formula>
      <formula>100%</formula>
    </cfRule>
    <cfRule type="cellIs" dxfId="2901" priority="629" operator="between">
      <formula>0.00001%</formula>
      <formula>70%</formula>
    </cfRule>
    <cfRule type="cellIs" dxfId="2900" priority="630" operator="equal">
      <formula>0</formula>
    </cfRule>
  </conditionalFormatting>
  <conditionalFormatting sqref="AK12">
    <cfRule type="cellIs" dxfId="2899" priority="621" operator="greaterThan">
      <formula>110%</formula>
    </cfRule>
    <cfRule type="cellIs" dxfId="2898" priority="622" operator="between">
      <formula>100.001%</formula>
      <formula>110%</formula>
    </cfRule>
    <cfRule type="cellIs" dxfId="2897" priority="623" operator="between">
      <formula>70.001%</formula>
      <formula>100%</formula>
    </cfRule>
    <cfRule type="cellIs" dxfId="2896" priority="624" operator="between">
      <formula>0.00001%</formula>
      <formula>70%</formula>
    </cfRule>
    <cfRule type="cellIs" dxfId="2895" priority="625" operator="equal">
      <formula>0</formula>
    </cfRule>
  </conditionalFormatting>
  <conditionalFormatting sqref="AN12">
    <cfRule type="cellIs" dxfId="2894" priority="616" operator="greaterThan">
      <formula>110%</formula>
    </cfRule>
    <cfRule type="cellIs" dxfId="2893" priority="617" operator="between">
      <formula>100.001%</formula>
      <formula>110%</formula>
    </cfRule>
    <cfRule type="cellIs" dxfId="2892" priority="618" operator="between">
      <formula>70.001%</formula>
      <formula>100%</formula>
    </cfRule>
    <cfRule type="cellIs" dxfId="2891" priority="619" operator="between">
      <formula>0.00001%</formula>
      <formula>70%</formula>
    </cfRule>
    <cfRule type="cellIs" dxfId="2890" priority="620" operator="equal">
      <formula>0</formula>
    </cfRule>
  </conditionalFormatting>
  <conditionalFormatting sqref="AQ12">
    <cfRule type="cellIs" dxfId="2889" priority="611" operator="greaterThan">
      <formula>110%</formula>
    </cfRule>
    <cfRule type="cellIs" dxfId="2888" priority="612" operator="between">
      <formula>100.001%</formula>
      <formula>110%</formula>
    </cfRule>
    <cfRule type="cellIs" dxfId="2887" priority="613" operator="between">
      <formula>70.001%</formula>
      <formula>100%</formula>
    </cfRule>
    <cfRule type="cellIs" dxfId="2886" priority="614" operator="between">
      <formula>0.00001%</formula>
      <formula>70%</formula>
    </cfRule>
    <cfRule type="cellIs" dxfId="2885" priority="615" operator="equal">
      <formula>0</formula>
    </cfRule>
  </conditionalFormatting>
  <conditionalFormatting sqref="AT12">
    <cfRule type="cellIs" dxfId="2884" priority="606" operator="greaterThan">
      <formula>110%</formula>
    </cfRule>
    <cfRule type="cellIs" dxfId="2883" priority="607" operator="between">
      <formula>100.001%</formula>
      <formula>110%</formula>
    </cfRule>
    <cfRule type="cellIs" dxfId="2882" priority="608" operator="between">
      <formula>70.001%</formula>
      <formula>100%</formula>
    </cfRule>
    <cfRule type="cellIs" dxfId="2881" priority="609" operator="between">
      <formula>0.00001%</formula>
      <formula>70%</formula>
    </cfRule>
    <cfRule type="cellIs" dxfId="2880" priority="610" operator="equal">
      <formula>0</formula>
    </cfRule>
  </conditionalFormatting>
  <conditionalFormatting sqref="N13">
    <cfRule type="cellIs" dxfId="2879" priority="601" operator="greaterThan">
      <formula>110%</formula>
    </cfRule>
    <cfRule type="cellIs" dxfId="2878" priority="602" operator="between">
      <formula>100.001%</formula>
      <formula>110%</formula>
    </cfRule>
    <cfRule type="cellIs" dxfId="2877" priority="603" operator="between">
      <formula>70.001%</formula>
      <formula>100%</formula>
    </cfRule>
    <cfRule type="cellIs" dxfId="2876" priority="604" operator="between">
      <formula>0.00001%</formula>
      <formula>70%</formula>
    </cfRule>
    <cfRule type="cellIs" dxfId="2875" priority="605" operator="equal">
      <formula>0</formula>
    </cfRule>
  </conditionalFormatting>
  <conditionalFormatting sqref="Q13">
    <cfRule type="cellIs" dxfId="2874" priority="596" operator="greaterThan">
      <formula>110%</formula>
    </cfRule>
    <cfRule type="cellIs" dxfId="2873" priority="597" operator="between">
      <formula>100.001%</formula>
      <formula>110%</formula>
    </cfRule>
    <cfRule type="cellIs" dxfId="2872" priority="598" operator="between">
      <formula>70.001%</formula>
      <formula>100%</formula>
    </cfRule>
    <cfRule type="cellIs" dxfId="2871" priority="599" operator="between">
      <formula>0.00001%</formula>
      <formula>70%</formula>
    </cfRule>
    <cfRule type="cellIs" dxfId="2870" priority="600" operator="equal">
      <formula>0</formula>
    </cfRule>
  </conditionalFormatting>
  <conditionalFormatting sqref="T13">
    <cfRule type="cellIs" dxfId="2869" priority="591" operator="greaterThan">
      <formula>110%</formula>
    </cfRule>
    <cfRule type="cellIs" dxfId="2868" priority="592" operator="between">
      <formula>100.001%</formula>
      <formula>110%</formula>
    </cfRule>
    <cfRule type="cellIs" dxfId="2867" priority="593" operator="between">
      <formula>70.001%</formula>
      <formula>100%</formula>
    </cfRule>
    <cfRule type="cellIs" dxfId="2866" priority="594" operator="between">
      <formula>0.00001%</formula>
      <formula>70%</formula>
    </cfRule>
    <cfRule type="cellIs" dxfId="2865" priority="595" operator="equal">
      <formula>0</formula>
    </cfRule>
  </conditionalFormatting>
  <conditionalFormatting sqref="W13">
    <cfRule type="cellIs" dxfId="2864" priority="586" operator="greaterThan">
      <formula>110%</formula>
    </cfRule>
    <cfRule type="cellIs" dxfId="2863" priority="587" operator="between">
      <formula>100.001%</formula>
      <formula>110%</formula>
    </cfRule>
    <cfRule type="cellIs" dxfId="2862" priority="588" operator="between">
      <formula>70.001%</formula>
      <formula>100%</formula>
    </cfRule>
    <cfRule type="cellIs" dxfId="2861" priority="589" operator="between">
      <formula>0.00001%</formula>
      <formula>70%</formula>
    </cfRule>
    <cfRule type="cellIs" dxfId="2860" priority="590" operator="equal">
      <formula>0</formula>
    </cfRule>
  </conditionalFormatting>
  <conditionalFormatting sqref="Z13">
    <cfRule type="cellIs" dxfId="2859" priority="581" operator="greaterThan">
      <formula>110%</formula>
    </cfRule>
    <cfRule type="cellIs" dxfId="2858" priority="582" operator="between">
      <formula>100.001%</formula>
      <formula>110%</formula>
    </cfRule>
    <cfRule type="cellIs" dxfId="2857" priority="583" operator="between">
      <formula>70.001%</formula>
      <formula>100%</formula>
    </cfRule>
    <cfRule type="cellIs" dxfId="2856" priority="584" operator="between">
      <formula>0.00001%</formula>
      <formula>70%</formula>
    </cfRule>
    <cfRule type="cellIs" dxfId="2855" priority="585" operator="equal">
      <formula>0</formula>
    </cfRule>
  </conditionalFormatting>
  <conditionalFormatting sqref="AC13">
    <cfRule type="cellIs" dxfId="2854" priority="576" operator="greaterThan">
      <formula>110%</formula>
    </cfRule>
    <cfRule type="cellIs" dxfId="2853" priority="577" operator="between">
      <formula>100.001%</formula>
      <formula>110%</formula>
    </cfRule>
    <cfRule type="cellIs" dxfId="2852" priority="578" operator="between">
      <formula>70.001%</formula>
      <formula>100%</formula>
    </cfRule>
    <cfRule type="cellIs" dxfId="2851" priority="579" operator="between">
      <formula>0.00001%</formula>
      <formula>70%</formula>
    </cfRule>
    <cfRule type="cellIs" dxfId="2850" priority="580" operator="equal">
      <formula>0</formula>
    </cfRule>
  </conditionalFormatting>
  <conditionalFormatting sqref="AE13">
    <cfRule type="cellIs" dxfId="2849" priority="571" operator="greaterThan">
      <formula>110%</formula>
    </cfRule>
    <cfRule type="cellIs" dxfId="2848" priority="572" operator="between">
      <formula>100.001%</formula>
      <formula>110%</formula>
    </cfRule>
    <cfRule type="cellIs" dxfId="2847" priority="573" operator="between">
      <formula>70.001%</formula>
      <formula>100%</formula>
    </cfRule>
    <cfRule type="cellIs" dxfId="2846" priority="574" operator="between">
      <formula>0.00001%</formula>
      <formula>70%</formula>
    </cfRule>
    <cfRule type="cellIs" dxfId="2845" priority="575" operator="equal">
      <formula>0</formula>
    </cfRule>
  </conditionalFormatting>
  <conditionalFormatting sqref="AH13">
    <cfRule type="cellIs" dxfId="2844" priority="566" operator="greaterThan">
      <formula>110%</formula>
    </cfRule>
    <cfRule type="cellIs" dxfId="2843" priority="567" operator="between">
      <formula>100.001%</formula>
      <formula>110%</formula>
    </cfRule>
    <cfRule type="cellIs" dxfId="2842" priority="568" operator="between">
      <formula>70.001%</formula>
      <formula>100%</formula>
    </cfRule>
    <cfRule type="cellIs" dxfId="2841" priority="569" operator="between">
      <formula>0.00001%</formula>
      <formula>70%</formula>
    </cfRule>
    <cfRule type="cellIs" dxfId="2840" priority="570" operator="equal">
      <formula>0</formula>
    </cfRule>
  </conditionalFormatting>
  <conditionalFormatting sqref="AK13">
    <cfRule type="cellIs" dxfId="2839" priority="561" operator="greaterThan">
      <formula>110%</formula>
    </cfRule>
    <cfRule type="cellIs" dxfId="2838" priority="562" operator="between">
      <formula>100.001%</formula>
      <formula>110%</formula>
    </cfRule>
    <cfRule type="cellIs" dxfId="2837" priority="563" operator="between">
      <formula>70.001%</formula>
      <formula>100%</formula>
    </cfRule>
    <cfRule type="cellIs" dxfId="2836" priority="564" operator="between">
      <formula>0.00001%</formula>
      <formula>70%</formula>
    </cfRule>
    <cfRule type="cellIs" dxfId="2835" priority="565" operator="equal">
      <formula>0</formula>
    </cfRule>
  </conditionalFormatting>
  <conditionalFormatting sqref="AN13">
    <cfRule type="cellIs" dxfId="2834" priority="556" operator="greaterThan">
      <formula>110%</formula>
    </cfRule>
    <cfRule type="cellIs" dxfId="2833" priority="557" operator="between">
      <formula>100.001%</formula>
      <formula>110%</formula>
    </cfRule>
    <cfRule type="cellIs" dxfId="2832" priority="558" operator="between">
      <formula>70.001%</formula>
      <formula>100%</formula>
    </cfRule>
    <cfRule type="cellIs" dxfId="2831" priority="559" operator="between">
      <formula>0.00001%</formula>
      <formula>70%</formula>
    </cfRule>
    <cfRule type="cellIs" dxfId="2830" priority="560" operator="equal">
      <formula>0</formula>
    </cfRule>
  </conditionalFormatting>
  <conditionalFormatting sqref="AQ13">
    <cfRule type="cellIs" dxfId="2829" priority="551" operator="greaterThan">
      <formula>110%</formula>
    </cfRule>
    <cfRule type="cellIs" dxfId="2828" priority="552" operator="between">
      <formula>100.001%</formula>
      <formula>110%</formula>
    </cfRule>
    <cfRule type="cellIs" dxfId="2827" priority="553" operator="between">
      <formula>70.001%</formula>
      <formula>100%</formula>
    </cfRule>
    <cfRule type="cellIs" dxfId="2826" priority="554" operator="between">
      <formula>0.00001%</formula>
      <formula>70%</formula>
    </cfRule>
    <cfRule type="cellIs" dxfId="2825" priority="555" operator="equal">
      <formula>0</formula>
    </cfRule>
  </conditionalFormatting>
  <conditionalFormatting sqref="AT13">
    <cfRule type="cellIs" dxfId="2824" priority="546" operator="greaterThan">
      <formula>110%</formula>
    </cfRule>
    <cfRule type="cellIs" dxfId="2823" priority="547" operator="between">
      <formula>100.001%</formula>
      <formula>110%</formula>
    </cfRule>
    <cfRule type="cellIs" dxfId="2822" priority="548" operator="between">
      <formula>70.001%</formula>
      <formula>100%</formula>
    </cfRule>
    <cfRule type="cellIs" dxfId="2821" priority="549" operator="between">
      <formula>0.00001%</formula>
      <formula>70%</formula>
    </cfRule>
    <cfRule type="cellIs" dxfId="2820" priority="550" operator="equal">
      <formula>0</formula>
    </cfRule>
  </conditionalFormatting>
  <conditionalFormatting sqref="N14">
    <cfRule type="cellIs" dxfId="2819" priority="541" operator="greaterThan">
      <formula>110%</formula>
    </cfRule>
    <cfRule type="cellIs" dxfId="2818" priority="542" operator="between">
      <formula>100.001%</formula>
      <formula>110%</formula>
    </cfRule>
    <cfRule type="cellIs" dxfId="2817" priority="543" operator="between">
      <formula>70.001%</formula>
      <formula>100%</formula>
    </cfRule>
    <cfRule type="cellIs" dxfId="2816" priority="544" operator="between">
      <formula>0.00001%</formula>
      <formula>70%</formula>
    </cfRule>
    <cfRule type="cellIs" dxfId="2815" priority="545" operator="equal">
      <formula>0</formula>
    </cfRule>
  </conditionalFormatting>
  <conditionalFormatting sqref="Q14">
    <cfRule type="cellIs" dxfId="2814" priority="536" operator="greaterThan">
      <formula>110%</formula>
    </cfRule>
    <cfRule type="cellIs" dxfId="2813" priority="537" operator="between">
      <formula>100.001%</formula>
      <formula>110%</formula>
    </cfRule>
    <cfRule type="cellIs" dxfId="2812" priority="538" operator="between">
      <formula>70.001%</formula>
      <formula>100%</formula>
    </cfRule>
    <cfRule type="cellIs" dxfId="2811" priority="539" operator="between">
      <formula>0.00001%</formula>
      <formula>70%</formula>
    </cfRule>
    <cfRule type="cellIs" dxfId="2810" priority="540" operator="equal">
      <formula>0</formula>
    </cfRule>
  </conditionalFormatting>
  <conditionalFormatting sqref="T14">
    <cfRule type="cellIs" dxfId="2809" priority="531" operator="greaterThan">
      <formula>110%</formula>
    </cfRule>
    <cfRule type="cellIs" dxfId="2808" priority="532" operator="between">
      <formula>100.001%</formula>
      <formula>110%</formula>
    </cfRule>
    <cfRule type="cellIs" dxfId="2807" priority="533" operator="between">
      <formula>70.001%</formula>
      <formula>100%</formula>
    </cfRule>
    <cfRule type="cellIs" dxfId="2806" priority="534" operator="between">
      <formula>0.00001%</formula>
      <formula>70%</formula>
    </cfRule>
    <cfRule type="cellIs" dxfId="2805" priority="535" operator="equal">
      <formula>0</formula>
    </cfRule>
  </conditionalFormatting>
  <conditionalFormatting sqref="W14">
    <cfRule type="cellIs" dxfId="2804" priority="526" operator="greaterThan">
      <formula>110%</formula>
    </cfRule>
    <cfRule type="cellIs" dxfId="2803" priority="527" operator="between">
      <formula>100.001%</formula>
      <formula>110%</formula>
    </cfRule>
    <cfRule type="cellIs" dxfId="2802" priority="528" operator="between">
      <formula>70.001%</formula>
      <formula>100%</formula>
    </cfRule>
    <cfRule type="cellIs" dxfId="2801" priority="529" operator="between">
      <formula>0.00001%</formula>
      <formula>70%</formula>
    </cfRule>
    <cfRule type="cellIs" dxfId="2800" priority="530" operator="equal">
      <formula>0</formula>
    </cfRule>
  </conditionalFormatting>
  <conditionalFormatting sqref="Z14">
    <cfRule type="cellIs" dxfId="2799" priority="521" operator="greaterThan">
      <formula>110%</formula>
    </cfRule>
    <cfRule type="cellIs" dxfId="2798" priority="522" operator="between">
      <formula>100.001%</formula>
      <formula>110%</formula>
    </cfRule>
    <cfRule type="cellIs" dxfId="2797" priority="523" operator="between">
      <formula>70.001%</formula>
      <formula>100%</formula>
    </cfRule>
    <cfRule type="cellIs" dxfId="2796" priority="524" operator="between">
      <formula>0.00001%</formula>
      <formula>70%</formula>
    </cfRule>
    <cfRule type="cellIs" dxfId="2795" priority="525" operator="equal">
      <formula>0</formula>
    </cfRule>
  </conditionalFormatting>
  <conditionalFormatting sqref="AC14">
    <cfRule type="cellIs" dxfId="2794" priority="516" operator="greaterThan">
      <formula>110%</formula>
    </cfRule>
    <cfRule type="cellIs" dxfId="2793" priority="517" operator="between">
      <formula>100.001%</formula>
      <formula>110%</formula>
    </cfRule>
    <cfRule type="cellIs" dxfId="2792" priority="518" operator="between">
      <formula>70.001%</formula>
      <formula>100%</formula>
    </cfRule>
    <cfRule type="cellIs" dxfId="2791" priority="519" operator="between">
      <formula>0.00001%</formula>
      <formula>70%</formula>
    </cfRule>
    <cfRule type="cellIs" dxfId="2790" priority="520" operator="equal">
      <formula>0</formula>
    </cfRule>
  </conditionalFormatting>
  <conditionalFormatting sqref="AE14">
    <cfRule type="cellIs" dxfId="2789" priority="511" operator="greaterThan">
      <formula>110%</formula>
    </cfRule>
    <cfRule type="cellIs" dxfId="2788" priority="512" operator="between">
      <formula>100.001%</formula>
      <formula>110%</formula>
    </cfRule>
    <cfRule type="cellIs" dxfId="2787" priority="513" operator="between">
      <formula>70.001%</formula>
      <formula>100%</formula>
    </cfRule>
    <cfRule type="cellIs" dxfId="2786" priority="514" operator="between">
      <formula>0.00001%</formula>
      <formula>70%</formula>
    </cfRule>
    <cfRule type="cellIs" dxfId="2785" priority="515" operator="equal">
      <formula>0</formula>
    </cfRule>
  </conditionalFormatting>
  <conditionalFormatting sqref="AH14">
    <cfRule type="cellIs" dxfId="2784" priority="506" operator="greaterThan">
      <formula>110%</formula>
    </cfRule>
    <cfRule type="cellIs" dxfId="2783" priority="507" operator="between">
      <formula>100.001%</formula>
      <formula>110%</formula>
    </cfRule>
    <cfRule type="cellIs" dxfId="2782" priority="508" operator="between">
      <formula>70.001%</formula>
      <formula>100%</formula>
    </cfRule>
    <cfRule type="cellIs" dxfId="2781" priority="509" operator="between">
      <formula>0.00001%</formula>
      <formula>70%</formula>
    </cfRule>
    <cfRule type="cellIs" dxfId="2780" priority="510" operator="equal">
      <formula>0</formula>
    </cfRule>
  </conditionalFormatting>
  <conditionalFormatting sqref="AK14">
    <cfRule type="cellIs" dxfId="2779" priority="501" operator="greaterThan">
      <formula>110%</formula>
    </cfRule>
    <cfRule type="cellIs" dxfId="2778" priority="502" operator="between">
      <formula>100.001%</formula>
      <formula>110%</formula>
    </cfRule>
    <cfRule type="cellIs" dxfId="2777" priority="503" operator="between">
      <formula>70.001%</formula>
      <formula>100%</formula>
    </cfRule>
    <cfRule type="cellIs" dxfId="2776" priority="504" operator="between">
      <formula>0.00001%</formula>
      <formula>70%</formula>
    </cfRule>
    <cfRule type="cellIs" dxfId="2775" priority="505" operator="equal">
      <formula>0</formula>
    </cfRule>
  </conditionalFormatting>
  <conditionalFormatting sqref="AN14">
    <cfRule type="cellIs" dxfId="2774" priority="496" operator="greaterThan">
      <formula>110%</formula>
    </cfRule>
    <cfRule type="cellIs" dxfId="2773" priority="497" operator="between">
      <formula>100.001%</formula>
      <formula>110%</formula>
    </cfRule>
    <cfRule type="cellIs" dxfId="2772" priority="498" operator="between">
      <formula>70.001%</formula>
      <formula>100%</formula>
    </cfRule>
    <cfRule type="cellIs" dxfId="2771" priority="499" operator="between">
      <formula>0.00001%</formula>
      <formula>70%</formula>
    </cfRule>
    <cfRule type="cellIs" dxfId="2770" priority="500" operator="equal">
      <formula>0</formula>
    </cfRule>
  </conditionalFormatting>
  <conditionalFormatting sqref="AQ14">
    <cfRule type="cellIs" dxfId="2769" priority="491" operator="greaterThan">
      <formula>110%</formula>
    </cfRule>
    <cfRule type="cellIs" dxfId="2768" priority="492" operator="between">
      <formula>100.001%</formula>
      <formula>110%</formula>
    </cfRule>
    <cfRule type="cellIs" dxfId="2767" priority="493" operator="between">
      <formula>70.001%</formula>
      <formula>100%</formula>
    </cfRule>
    <cfRule type="cellIs" dxfId="2766" priority="494" operator="between">
      <formula>0.00001%</formula>
      <formula>70%</formula>
    </cfRule>
    <cfRule type="cellIs" dxfId="2765" priority="495" operator="equal">
      <formula>0</formula>
    </cfRule>
  </conditionalFormatting>
  <conditionalFormatting sqref="AT14">
    <cfRule type="cellIs" dxfId="2764" priority="486" operator="greaterThan">
      <formula>110%</formula>
    </cfRule>
    <cfRule type="cellIs" dxfId="2763" priority="487" operator="between">
      <formula>100.001%</formula>
      <formula>110%</formula>
    </cfRule>
    <cfRule type="cellIs" dxfId="2762" priority="488" operator="between">
      <formula>70.001%</formula>
      <formula>100%</formula>
    </cfRule>
    <cfRule type="cellIs" dxfId="2761" priority="489" operator="between">
      <formula>0.00001%</formula>
      <formula>70%</formula>
    </cfRule>
    <cfRule type="cellIs" dxfId="2760" priority="490" operator="equal">
      <formula>0</formula>
    </cfRule>
  </conditionalFormatting>
  <conditionalFormatting sqref="N15">
    <cfRule type="cellIs" dxfId="2759" priority="481" operator="greaterThan">
      <formula>110%</formula>
    </cfRule>
    <cfRule type="cellIs" dxfId="2758" priority="482" operator="between">
      <formula>100.001%</formula>
      <formula>110%</formula>
    </cfRule>
    <cfRule type="cellIs" dxfId="2757" priority="483" operator="between">
      <formula>70.001%</formula>
      <formula>100%</formula>
    </cfRule>
    <cfRule type="cellIs" dxfId="2756" priority="484" operator="between">
      <formula>0.00001%</formula>
      <formula>70%</formula>
    </cfRule>
    <cfRule type="cellIs" dxfId="2755" priority="485" operator="equal">
      <formula>0</formula>
    </cfRule>
  </conditionalFormatting>
  <conditionalFormatting sqref="Q15">
    <cfRule type="cellIs" dxfId="2754" priority="476" operator="greaterThan">
      <formula>110%</formula>
    </cfRule>
    <cfRule type="cellIs" dxfId="2753" priority="477" operator="between">
      <formula>100.001%</formula>
      <formula>110%</formula>
    </cfRule>
    <cfRule type="cellIs" dxfId="2752" priority="478" operator="between">
      <formula>70.001%</formula>
      <formula>100%</formula>
    </cfRule>
    <cfRule type="cellIs" dxfId="2751" priority="479" operator="between">
      <formula>0.00001%</formula>
      <formula>70%</formula>
    </cfRule>
    <cfRule type="cellIs" dxfId="2750" priority="480" operator="equal">
      <formula>0</formula>
    </cfRule>
  </conditionalFormatting>
  <conditionalFormatting sqref="T15">
    <cfRule type="cellIs" dxfId="2749" priority="471" operator="greaterThan">
      <formula>110%</formula>
    </cfRule>
    <cfRule type="cellIs" dxfId="2748" priority="472" operator="between">
      <formula>100.001%</formula>
      <formula>110%</formula>
    </cfRule>
    <cfRule type="cellIs" dxfId="2747" priority="473" operator="between">
      <formula>70.001%</formula>
      <formula>100%</formula>
    </cfRule>
    <cfRule type="cellIs" dxfId="2746" priority="474" operator="between">
      <formula>0.00001%</formula>
      <formula>70%</formula>
    </cfRule>
    <cfRule type="cellIs" dxfId="2745" priority="475" operator="equal">
      <formula>0</formula>
    </cfRule>
  </conditionalFormatting>
  <conditionalFormatting sqref="W15">
    <cfRule type="cellIs" dxfId="2744" priority="466" operator="greaterThan">
      <formula>110%</formula>
    </cfRule>
    <cfRule type="cellIs" dxfId="2743" priority="467" operator="between">
      <formula>100.001%</formula>
      <formula>110%</formula>
    </cfRule>
    <cfRule type="cellIs" dxfId="2742" priority="468" operator="between">
      <formula>70.001%</formula>
      <formula>100%</formula>
    </cfRule>
    <cfRule type="cellIs" dxfId="2741" priority="469" operator="between">
      <formula>0.00001%</formula>
      <formula>70%</formula>
    </cfRule>
    <cfRule type="cellIs" dxfId="2740" priority="470" operator="equal">
      <formula>0</formula>
    </cfRule>
  </conditionalFormatting>
  <conditionalFormatting sqref="Z15">
    <cfRule type="cellIs" dxfId="2739" priority="461" operator="greaterThan">
      <formula>110%</formula>
    </cfRule>
    <cfRule type="cellIs" dxfId="2738" priority="462" operator="between">
      <formula>100.001%</formula>
      <formula>110%</formula>
    </cfRule>
    <cfRule type="cellIs" dxfId="2737" priority="463" operator="between">
      <formula>70.001%</formula>
      <formula>100%</formula>
    </cfRule>
    <cfRule type="cellIs" dxfId="2736" priority="464" operator="between">
      <formula>0.00001%</formula>
      <formula>70%</formula>
    </cfRule>
    <cfRule type="cellIs" dxfId="2735" priority="465" operator="equal">
      <formula>0</formula>
    </cfRule>
  </conditionalFormatting>
  <conditionalFormatting sqref="AC15">
    <cfRule type="cellIs" dxfId="2734" priority="456" operator="greaterThan">
      <formula>110%</formula>
    </cfRule>
    <cfRule type="cellIs" dxfId="2733" priority="457" operator="between">
      <formula>100.001%</formula>
      <formula>110%</formula>
    </cfRule>
    <cfRule type="cellIs" dxfId="2732" priority="458" operator="between">
      <formula>70.001%</formula>
      <formula>100%</formula>
    </cfRule>
    <cfRule type="cellIs" dxfId="2731" priority="459" operator="between">
      <formula>0.00001%</formula>
      <formula>70%</formula>
    </cfRule>
    <cfRule type="cellIs" dxfId="2730" priority="460" operator="equal">
      <formula>0</formula>
    </cfRule>
  </conditionalFormatting>
  <conditionalFormatting sqref="AE15">
    <cfRule type="cellIs" dxfId="2729" priority="451" operator="greaterThan">
      <formula>110%</formula>
    </cfRule>
    <cfRule type="cellIs" dxfId="2728" priority="452" operator="between">
      <formula>100.001%</formula>
      <formula>110%</formula>
    </cfRule>
    <cfRule type="cellIs" dxfId="2727" priority="453" operator="between">
      <formula>70.001%</formula>
      <formula>100%</formula>
    </cfRule>
    <cfRule type="cellIs" dxfId="2726" priority="454" operator="between">
      <formula>0.00001%</formula>
      <formula>70%</formula>
    </cfRule>
    <cfRule type="cellIs" dxfId="2725" priority="455" operator="equal">
      <formula>0</formula>
    </cfRule>
  </conditionalFormatting>
  <conditionalFormatting sqref="AH15">
    <cfRule type="cellIs" dxfId="2724" priority="446" operator="greaterThan">
      <formula>110%</formula>
    </cfRule>
    <cfRule type="cellIs" dxfId="2723" priority="447" operator="between">
      <formula>100.001%</formula>
      <formula>110%</formula>
    </cfRule>
    <cfRule type="cellIs" dxfId="2722" priority="448" operator="between">
      <formula>70.001%</formula>
      <formula>100%</formula>
    </cfRule>
    <cfRule type="cellIs" dxfId="2721" priority="449" operator="between">
      <formula>0.00001%</formula>
      <formula>70%</formula>
    </cfRule>
    <cfRule type="cellIs" dxfId="2720" priority="450" operator="equal">
      <formula>0</formula>
    </cfRule>
  </conditionalFormatting>
  <conditionalFormatting sqref="AK15">
    <cfRule type="cellIs" dxfId="2719" priority="441" operator="greaterThan">
      <formula>110%</formula>
    </cfRule>
    <cfRule type="cellIs" dxfId="2718" priority="442" operator="between">
      <formula>100.001%</formula>
      <formula>110%</formula>
    </cfRule>
    <cfRule type="cellIs" dxfId="2717" priority="443" operator="between">
      <formula>70.001%</formula>
      <formula>100%</formula>
    </cfRule>
    <cfRule type="cellIs" dxfId="2716" priority="444" operator="between">
      <formula>0.00001%</formula>
      <formula>70%</formula>
    </cfRule>
    <cfRule type="cellIs" dxfId="2715" priority="445" operator="equal">
      <formula>0</formula>
    </cfRule>
  </conditionalFormatting>
  <conditionalFormatting sqref="AN15">
    <cfRule type="cellIs" dxfId="2714" priority="436" operator="greaterThan">
      <formula>110%</formula>
    </cfRule>
    <cfRule type="cellIs" dxfId="2713" priority="437" operator="between">
      <formula>100.001%</formula>
      <formula>110%</formula>
    </cfRule>
    <cfRule type="cellIs" dxfId="2712" priority="438" operator="between">
      <formula>70.001%</formula>
      <formula>100%</formula>
    </cfRule>
    <cfRule type="cellIs" dxfId="2711" priority="439" operator="between">
      <formula>0.00001%</formula>
      <formula>70%</formula>
    </cfRule>
    <cfRule type="cellIs" dxfId="2710" priority="440" operator="equal">
      <formula>0</formula>
    </cfRule>
  </conditionalFormatting>
  <conditionalFormatting sqref="AQ15">
    <cfRule type="cellIs" dxfId="2709" priority="431" operator="greaterThan">
      <formula>110%</formula>
    </cfRule>
    <cfRule type="cellIs" dxfId="2708" priority="432" operator="between">
      <formula>100.001%</formula>
      <formula>110%</formula>
    </cfRule>
    <cfRule type="cellIs" dxfId="2707" priority="433" operator="between">
      <formula>70.001%</formula>
      <formula>100%</formula>
    </cfRule>
    <cfRule type="cellIs" dxfId="2706" priority="434" operator="between">
      <formula>0.00001%</formula>
      <formula>70%</formula>
    </cfRule>
    <cfRule type="cellIs" dxfId="2705" priority="435" operator="equal">
      <formula>0</formula>
    </cfRule>
  </conditionalFormatting>
  <conditionalFormatting sqref="AT15">
    <cfRule type="cellIs" dxfId="2704" priority="426" operator="greaterThan">
      <formula>110%</formula>
    </cfRule>
    <cfRule type="cellIs" dxfId="2703" priority="427" operator="between">
      <formula>100.001%</formula>
      <formula>110%</formula>
    </cfRule>
    <cfRule type="cellIs" dxfId="2702" priority="428" operator="between">
      <formula>70.001%</formula>
      <formula>100%</formula>
    </cfRule>
    <cfRule type="cellIs" dxfId="2701" priority="429" operator="between">
      <formula>0.00001%</formula>
      <formula>70%</formula>
    </cfRule>
    <cfRule type="cellIs" dxfId="2700" priority="430" operator="equal">
      <formula>0</formula>
    </cfRule>
  </conditionalFormatting>
  <conditionalFormatting sqref="N27">
    <cfRule type="cellIs" dxfId="2699" priority="421" operator="greaterThan">
      <formula>110%</formula>
    </cfRule>
    <cfRule type="cellIs" dxfId="2698" priority="422" operator="between">
      <formula>100.001%</formula>
      <formula>110%</formula>
    </cfRule>
    <cfRule type="cellIs" dxfId="2697" priority="423" operator="between">
      <formula>70.001%</formula>
      <formula>100%</formula>
    </cfRule>
    <cfRule type="cellIs" dxfId="2696" priority="424" operator="between">
      <formula>0.00001%</formula>
      <formula>70%</formula>
    </cfRule>
    <cfRule type="cellIs" dxfId="2695" priority="425" operator="equal">
      <formula>0</formula>
    </cfRule>
  </conditionalFormatting>
  <conditionalFormatting sqref="Q27">
    <cfRule type="cellIs" dxfId="2694" priority="416" operator="greaterThan">
      <formula>110%</formula>
    </cfRule>
    <cfRule type="cellIs" dxfId="2693" priority="417" operator="between">
      <formula>100.001%</formula>
      <formula>110%</formula>
    </cfRule>
    <cfRule type="cellIs" dxfId="2692" priority="418" operator="between">
      <formula>70.001%</formula>
      <formula>100%</formula>
    </cfRule>
    <cfRule type="cellIs" dxfId="2691" priority="419" operator="between">
      <formula>0.00001%</formula>
      <formula>70%</formula>
    </cfRule>
    <cfRule type="cellIs" dxfId="2690" priority="420" operator="equal">
      <formula>0</formula>
    </cfRule>
  </conditionalFormatting>
  <conditionalFormatting sqref="T27">
    <cfRule type="cellIs" dxfId="2689" priority="411" operator="greaterThan">
      <formula>110%</formula>
    </cfRule>
    <cfRule type="cellIs" dxfId="2688" priority="412" operator="between">
      <formula>100.001%</formula>
      <formula>110%</formula>
    </cfRule>
    <cfRule type="cellIs" dxfId="2687" priority="413" operator="between">
      <formula>70.001%</formula>
      <formula>100%</formula>
    </cfRule>
    <cfRule type="cellIs" dxfId="2686" priority="414" operator="between">
      <formula>0.00001%</formula>
      <formula>70%</formula>
    </cfRule>
    <cfRule type="cellIs" dxfId="2685" priority="415" operator="equal">
      <formula>0</formula>
    </cfRule>
  </conditionalFormatting>
  <conditionalFormatting sqref="W27">
    <cfRule type="cellIs" dxfId="2684" priority="406" operator="greaterThan">
      <formula>110%</formula>
    </cfRule>
    <cfRule type="cellIs" dxfId="2683" priority="407" operator="between">
      <formula>100.001%</formula>
      <formula>110%</formula>
    </cfRule>
    <cfRule type="cellIs" dxfId="2682" priority="408" operator="between">
      <formula>70.001%</formula>
      <formula>100%</formula>
    </cfRule>
    <cfRule type="cellIs" dxfId="2681" priority="409" operator="between">
      <formula>0.00001%</formula>
      <formula>70%</formula>
    </cfRule>
    <cfRule type="cellIs" dxfId="2680" priority="410" operator="equal">
      <formula>0</formula>
    </cfRule>
  </conditionalFormatting>
  <conditionalFormatting sqref="Z27">
    <cfRule type="cellIs" dxfId="2679" priority="401" operator="greaterThan">
      <formula>110%</formula>
    </cfRule>
    <cfRule type="cellIs" dxfId="2678" priority="402" operator="between">
      <formula>100.001%</formula>
      <formula>110%</formula>
    </cfRule>
    <cfRule type="cellIs" dxfId="2677" priority="403" operator="between">
      <formula>70.001%</formula>
      <formula>100%</formula>
    </cfRule>
    <cfRule type="cellIs" dxfId="2676" priority="404" operator="between">
      <formula>0.00001%</formula>
      <formula>70%</formula>
    </cfRule>
    <cfRule type="cellIs" dxfId="2675" priority="405" operator="equal">
      <formula>0</formula>
    </cfRule>
  </conditionalFormatting>
  <conditionalFormatting sqref="AC27">
    <cfRule type="cellIs" dxfId="2674" priority="396" operator="greaterThan">
      <formula>110%</formula>
    </cfRule>
    <cfRule type="cellIs" dxfId="2673" priority="397" operator="between">
      <formula>100.001%</formula>
      <formula>110%</formula>
    </cfRule>
    <cfRule type="cellIs" dxfId="2672" priority="398" operator="between">
      <formula>70.001%</formula>
      <formula>100%</formula>
    </cfRule>
    <cfRule type="cellIs" dxfId="2671" priority="399" operator="between">
      <formula>0.00001%</formula>
      <formula>70%</formula>
    </cfRule>
    <cfRule type="cellIs" dxfId="2670" priority="400" operator="equal">
      <formula>0</formula>
    </cfRule>
  </conditionalFormatting>
  <conditionalFormatting sqref="AE27">
    <cfRule type="cellIs" dxfId="2669" priority="391" operator="greaterThan">
      <formula>110%</formula>
    </cfRule>
    <cfRule type="cellIs" dxfId="2668" priority="392" operator="between">
      <formula>100.001%</formula>
      <formula>110%</formula>
    </cfRule>
    <cfRule type="cellIs" dxfId="2667" priority="393" operator="between">
      <formula>70.001%</formula>
      <formula>100%</formula>
    </cfRule>
    <cfRule type="cellIs" dxfId="2666" priority="394" operator="between">
      <formula>0.00001%</formula>
      <formula>70%</formula>
    </cfRule>
    <cfRule type="cellIs" dxfId="2665" priority="395" operator="equal">
      <formula>0</formula>
    </cfRule>
  </conditionalFormatting>
  <conditionalFormatting sqref="AH27">
    <cfRule type="cellIs" dxfId="2664" priority="386" operator="greaterThan">
      <formula>110%</formula>
    </cfRule>
    <cfRule type="cellIs" dxfId="2663" priority="387" operator="between">
      <formula>100.001%</formula>
      <formula>110%</formula>
    </cfRule>
    <cfRule type="cellIs" dxfId="2662" priority="388" operator="between">
      <formula>70.001%</formula>
      <formula>100%</formula>
    </cfRule>
    <cfRule type="cellIs" dxfId="2661" priority="389" operator="between">
      <formula>0.00001%</formula>
      <formula>70%</formula>
    </cfRule>
    <cfRule type="cellIs" dxfId="2660" priority="390" operator="equal">
      <formula>0</formula>
    </cfRule>
  </conditionalFormatting>
  <conditionalFormatting sqref="AK27">
    <cfRule type="cellIs" dxfId="2659" priority="381" operator="greaterThan">
      <formula>110%</formula>
    </cfRule>
    <cfRule type="cellIs" dxfId="2658" priority="382" operator="between">
      <formula>100.001%</formula>
      <formula>110%</formula>
    </cfRule>
    <cfRule type="cellIs" dxfId="2657" priority="383" operator="between">
      <formula>70.001%</formula>
      <formula>100%</formula>
    </cfRule>
    <cfRule type="cellIs" dxfId="2656" priority="384" operator="between">
      <formula>0.00001%</formula>
      <formula>70%</formula>
    </cfRule>
    <cfRule type="cellIs" dxfId="2655" priority="385" operator="equal">
      <formula>0</formula>
    </cfRule>
  </conditionalFormatting>
  <conditionalFormatting sqref="AN27">
    <cfRule type="cellIs" dxfId="2654" priority="376" operator="greaterThan">
      <formula>110%</formula>
    </cfRule>
    <cfRule type="cellIs" dxfId="2653" priority="377" operator="between">
      <formula>100.001%</formula>
      <formula>110%</formula>
    </cfRule>
    <cfRule type="cellIs" dxfId="2652" priority="378" operator="between">
      <formula>70.001%</formula>
      <formula>100%</formula>
    </cfRule>
    <cfRule type="cellIs" dxfId="2651" priority="379" operator="between">
      <formula>0.00001%</formula>
      <formula>70%</formula>
    </cfRule>
    <cfRule type="cellIs" dxfId="2650" priority="380" operator="equal">
      <formula>0</formula>
    </cfRule>
  </conditionalFormatting>
  <conditionalFormatting sqref="AQ27">
    <cfRule type="cellIs" dxfId="2649" priority="371" operator="greaterThan">
      <formula>110%</formula>
    </cfRule>
    <cfRule type="cellIs" dxfId="2648" priority="372" operator="between">
      <formula>100.001%</formula>
      <formula>110%</formula>
    </cfRule>
    <cfRule type="cellIs" dxfId="2647" priority="373" operator="between">
      <formula>70.001%</formula>
      <formula>100%</formula>
    </cfRule>
    <cfRule type="cellIs" dxfId="2646" priority="374" operator="between">
      <formula>0.00001%</formula>
      <formula>70%</formula>
    </cfRule>
    <cfRule type="cellIs" dxfId="2645" priority="375" operator="equal">
      <formula>0</formula>
    </cfRule>
  </conditionalFormatting>
  <conditionalFormatting sqref="AT27">
    <cfRule type="cellIs" dxfId="2644" priority="366" operator="greaterThan">
      <formula>110%</formula>
    </cfRule>
    <cfRule type="cellIs" dxfId="2643" priority="367" operator="between">
      <formula>100.001%</formula>
      <formula>110%</formula>
    </cfRule>
    <cfRule type="cellIs" dxfId="2642" priority="368" operator="between">
      <formula>70.001%</formula>
      <formula>100%</formula>
    </cfRule>
    <cfRule type="cellIs" dxfId="2641" priority="369" operator="between">
      <formula>0.00001%</formula>
      <formula>70%</formula>
    </cfRule>
    <cfRule type="cellIs" dxfId="2640" priority="370" operator="equal">
      <formula>0</formula>
    </cfRule>
  </conditionalFormatting>
  <conditionalFormatting sqref="Q11">
    <cfRule type="cellIs" dxfId="2639" priority="361" operator="greaterThan">
      <formula>110%</formula>
    </cfRule>
    <cfRule type="cellIs" dxfId="2638" priority="362" operator="between">
      <formula>100.001%</formula>
      <formula>110%</formula>
    </cfRule>
    <cfRule type="cellIs" dxfId="2637" priority="363" operator="between">
      <formula>70.001%</formula>
      <formula>100%</formula>
    </cfRule>
    <cfRule type="cellIs" dxfId="2636" priority="364" operator="between">
      <formula>0.00001%</formula>
      <formula>70%</formula>
    </cfRule>
    <cfRule type="cellIs" dxfId="2635" priority="365" operator="equal">
      <formula>0</formula>
    </cfRule>
  </conditionalFormatting>
  <conditionalFormatting sqref="N11">
    <cfRule type="cellIs" dxfId="2634" priority="356" operator="greaterThan">
      <formula>110%</formula>
    </cfRule>
    <cfRule type="cellIs" dxfId="2633" priority="357" operator="between">
      <formula>100.001%</formula>
      <formula>110%</formula>
    </cfRule>
    <cfRule type="cellIs" dxfId="2632" priority="358" operator="between">
      <formula>70.001%</formula>
      <formula>100%</formula>
    </cfRule>
    <cfRule type="cellIs" dxfId="2631" priority="359" operator="between">
      <formula>0.00001%</formula>
      <formula>70%</formula>
    </cfRule>
    <cfRule type="cellIs" dxfId="2630" priority="360" operator="equal">
      <formula>0</formula>
    </cfRule>
  </conditionalFormatting>
  <conditionalFormatting sqref="T11">
    <cfRule type="cellIs" dxfId="2629" priority="351" operator="greaterThan">
      <formula>110%</formula>
    </cfRule>
    <cfRule type="cellIs" dxfId="2628" priority="352" operator="between">
      <formula>100.001%</formula>
      <formula>110%</formula>
    </cfRule>
    <cfRule type="cellIs" dxfId="2627" priority="353" operator="between">
      <formula>70.001%</formula>
      <formula>100%</formula>
    </cfRule>
    <cfRule type="cellIs" dxfId="2626" priority="354" operator="between">
      <formula>0.00001%</formula>
      <formula>70%</formula>
    </cfRule>
    <cfRule type="cellIs" dxfId="2625" priority="355" operator="equal">
      <formula>0</formula>
    </cfRule>
  </conditionalFormatting>
  <conditionalFormatting sqref="W11">
    <cfRule type="cellIs" dxfId="2624" priority="346" operator="greaterThan">
      <formula>110%</formula>
    </cfRule>
    <cfRule type="cellIs" dxfId="2623" priority="347" operator="between">
      <formula>100.001%</formula>
      <formula>110%</formula>
    </cfRule>
    <cfRule type="cellIs" dxfId="2622" priority="348" operator="between">
      <formula>70.001%</formula>
      <formula>100%</formula>
    </cfRule>
    <cfRule type="cellIs" dxfId="2621" priority="349" operator="between">
      <formula>0.00001%</formula>
      <formula>70%</formula>
    </cfRule>
    <cfRule type="cellIs" dxfId="2620" priority="350" operator="equal">
      <formula>0</formula>
    </cfRule>
  </conditionalFormatting>
  <conditionalFormatting sqref="Z11">
    <cfRule type="cellIs" dxfId="2619" priority="341" operator="greaterThan">
      <formula>110%</formula>
    </cfRule>
    <cfRule type="cellIs" dxfId="2618" priority="342" operator="between">
      <formula>100.001%</formula>
      <formula>110%</formula>
    </cfRule>
    <cfRule type="cellIs" dxfId="2617" priority="343" operator="between">
      <formula>70.001%</formula>
      <formula>100%</formula>
    </cfRule>
    <cfRule type="cellIs" dxfId="2616" priority="344" operator="between">
      <formula>0.00001%</formula>
      <formula>70%</formula>
    </cfRule>
    <cfRule type="cellIs" dxfId="2615" priority="345" operator="equal">
      <formula>0</formula>
    </cfRule>
  </conditionalFormatting>
  <conditionalFormatting sqref="AC11">
    <cfRule type="cellIs" dxfId="2614" priority="336" operator="greaterThan">
      <formula>110%</formula>
    </cfRule>
    <cfRule type="cellIs" dxfId="2613" priority="337" operator="between">
      <formula>100.001%</formula>
      <formula>110%</formula>
    </cfRule>
    <cfRule type="cellIs" dxfId="2612" priority="338" operator="between">
      <formula>70.001%</formula>
      <formula>100%</formula>
    </cfRule>
    <cfRule type="cellIs" dxfId="2611" priority="339" operator="between">
      <formula>0.00001%</formula>
      <formula>70%</formula>
    </cfRule>
    <cfRule type="cellIs" dxfId="2610" priority="340" operator="equal">
      <formula>0</formula>
    </cfRule>
  </conditionalFormatting>
  <conditionalFormatting sqref="AE11">
    <cfRule type="cellIs" dxfId="2609" priority="331" operator="greaterThan">
      <formula>110%</formula>
    </cfRule>
    <cfRule type="cellIs" dxfId="2608" priority="332" operator="between">
      <formula>100.001%</formula>
      <formula>110%</formula>
    </cfRule>
    <cfRule type="cellIs" dxfId="2607" priority="333" operator="between">
      <formula>70.001%</formula>
      <formula>100%</formula>
    </cfRule>
    <cfRule type="cellIs" dxfId="2606" priority="334" operator="between">
      <formula>0.00001%</formula>
      <formula>70%</formula>
    </cfRule>
    <cfRule type="cellIs" dxfId="2605" priority="335" operator="equal">
      <formula>0</formula>
    </cfRule>
  </conditionalFormatting>
  <conditionalFormatting sqref="AH11">
    <cfRule type="cellIs" dxfId="2604" priority="326" operator="greaterThan">
      <formula>110%</formula>
    </cfRule>
    <cfRule type="cellIs" dxfId="2603" priority="327" operator="between">
      <formula>100.001%</formula>
      <formula>110%</formula>
    </cfRule>
    <cfRule type="cellIs" dxfId="2602" priority="328" operator="between">
      <formula>70.001%</formula>
      <formula>100%</formula>
    </cfRule>
    <cfRule type="cellIs" dxfId="2601" priority="329" operator="between">
      <formula>0.00001%</formula>
      <formula>70%</formula>
    </cfRule>
    <cfRule type="cellIs" dxfId="2600" priority="330" operator="equal">
      <formula>0</formula>
    </cfRule>
  </conditionalFormatting>
  <conditionalFormatting sqref="AK11">
    <cfRule type="cellIs" dxfId="2599" priority="321" operator="greaterThan">
      <formula>110%</formula>
    </cfRule>
    <cfRule type="cellIs" dxfId="2598" priority="322" operator="between">
      <formula>100.001%</formula>
      <formula>110%</formula>
    </cfRule>
    <cfRule type="cellIs" dxfId="2597" priority="323" operator="between">
      <formula>70.001%</formula>
      <formula>100%</formula>
    </cfRule>
    <cfRule type="cellIs" dxfId="2596" priority="324" operator="between">
      <formula>0.00001%</formula>
      <formula>70%</formula>
    </cfRule>
    <cfRule type="cellIs" dxfId="2595" priority="325" operator="equal">
      <formula>0</formula>
    </cfRule>
  </conditionalFormatting>
  <conditionalFormatting sqref="AN11">
    <cfRule type="cellIs" dxfId="2594" priority="316" operator="greaterThan">
      <formula>110%</formula>
    </cfRule>
    <cfRule type="cellIs" dxfId="2593" priority="317" operator="between">
      <formula>100.001%</formula>
      <formula>110%</formula>
    </cfRule>
    <cfRule type="cellIs" dxfId="2592" priority="318" operator="between">
      <formula>70.001%</formula>
      <formula>100%</formula>
    </cfRule>
    <cfRule type="cellIs" dxfId="2591" priority="319" operator="between">
      <formula>0.00001%</formula>
      <formula>70%</formula>
    </cfRule>
    <cfRule type="cellIs" dxfId="2590" priority="320" operator="equal">
      <formula>0</formula>
    </cfRule>
  </conditionalFormatting>
  <conditionalFormatting sqref="AQ11">
    <cfRule type="cellIs" dxfId="2589" priority="311" operator="greaterThan">
      <formula>110%</formula>
    </cfRule>
    <cfRule type="cellIs" dxfId="2588" priority="312" operator="between">
      <formula>100.001%</formula>
      <formula>110%</formula>
    </cfRule>
    <cfRule type="cellIs" dxfId="2587" priority="313" operator="between">
      <formula>70.001%</formula>
      <formula>100%</formula>
    </cfRule>
    <cfRule type="cellIs" dxfId="2586" priority="314" operator="between">
      <formula>0.00001%</formula>
      <formula>70%</formula>
    </cfRule>
    <cfRule type="cellIs" dxfId="2585" priority="315" operator="equal">
      <formula>0</formula>
    </cfRule>
  </conditionalFormatting>
  <conditionalFormatting sqref="AT11">
    <cfRule type="cellIs" dxfId="2584" priority="306" operator="greaterThan">
      <formula>110%</formula>
    </cfRule>
    <cfRule type="cellIs" dxfId="2583" priority="307" operator="between">
      <formula>100.001%</formula>
      <formula>110%</formula>
    </cfRule>
    <cfRule type="cellIs" dxfId="2582" priority="308" operator="between">
      <formula>70.001%</formula>
      <formula>100%</formula>
    </cfRule>
    <cfRule type="cellIs" dxfId="2581" priority="309" operator="between">
      <formula>0.00001%</formula>
      <formula>70%</formula>
    </cfRule>
    <cfRule type="cellIs" dxfId="2580" priority="310" operator="equal">
      <formula>0</formula>
    </cfRule>
  </conditionalFormatting>
  <conditionalFormatting sqref="N16">
    <cfRule type="cellIs" dxfId="2579" priority="301" operator="greaterThan">
      <formula>110%</formula>
    </cfRule>
    <cfRule type="cellIs" dxfId="2578" priority="302" operator="between">
      <formula>100.001%</formula>
      <formula>110%</formula>
    </cfRule>
    <cfRule type="cellIs" dxfId="2577" priority="303" operator="between">
      <formula>70.001%</formula>
      <formula>100%</formula>
    </cfRule>
    <cfRule type="cellIs" dxfId="2576" priority="304" operator="between">
      <formula>0.00001%</formula>
      <formula>70%</formula>
    </cfRule>
    <cfRule type="cellIs" dxfId="2575" priority="305" operator="equal">
      <formula>0</formula>
    </cfRule>
  </conditionalFormatting>
  <conditionalFormatting sqref="Q16">
    <cfRule type="cellIs" dxfId="2574" priority="296" operator="greaterThan">
      <formula>110%</formula>
    </cfRule>
    <cfRule type="cellIs" dxfId="2573" priority="297" operator="between">
      <formula>100.001%</formula>
      <formula>110%</formula>
    </cfRule>
    <cfRule type="cellIs" dxfId="2572" priority="298" operator="between">
      <formula>70.001%</formula>
      <formula>100%</formula>
    </cfRule>
    <cfRule type="cellIs" dxfId="2571" priority="299" operator="between">
      <formula>0.00001%</formula>
      <formula>70%</formula>
    </cfRule>
    <cfRule type="cellIs" dxfId="2570" priority="300" operator="equal">
      <formula>0</formula>
    </cfRule>
  </conditionalFormatting>
  <conditionalFormatting sqref="T16">
    <cfRule type="cellIs" dxfId="2569" priority="291" operator="greaterThan">
      <formula>110%</formula>
    </cfRule>
    <cfRule type="cellIs" dxfId="2568" priority="292" operator="between">
      <formula>100.001%</formula>
      <formula>110%</formula>
    </cfRule>
    <cfRule type="cellIs" dxfId="2567" priority="293" operator="between">
      <formula>70.001%</formula>
      <formula>100%</formula>
    </cfRule>
    <cfRule type="cellIs" dxfId="2566" priority="294" operator="between">
      <formula>0.00001%</formula>
      <formula>70%</formula>
    </cfRule>
    <cfRule type="cellIs" dxfId="2565" priority="295" operator="equal">
      <formula>0</formula>
    </cfRule>
  </conditionalFormatting>
  <conditionalFormatting sqref="W16">
    <cfRule type="cellIs" dxfId="2564" priority="286" operator="greaterThan">
      <formula>110%</formula>
    </cfRule>
    <cfRule type="cellIs" dxfId="2563" priority="287" operator="between">
      <formula>100.001%</formula>
      <formula>110%</formula>
    </cfRule>
    <cfRule type="cellIs" dxfId="2562" priority="288" operator="between">
      <formula>70.001%</formula>
      <formula>100%</formula>
    </cfRule>
    <cfRule type="cellIs" dxfId="2561" priority="289" operator="between">
      <formula>0.00001%</formula>
      <formula>70%</formula>
    </cfRule>
    <cfRule type="cellIs" dxfId="2560" priority="290" operator="equal">
      <formula>0</formula>
    </cfRule>
  </conditionalFormatting>
  <conditionalFormatting sqref="Z16">
    <cfRule type="cellIs" dxfId="2559" priority="281" operator="greaterThan">
      <formula>110%</formula>
    </cfRule>
    <cfRule type="cellIs" dxfId="2558" priority="282" operator="between">
      <formula>100.001%</formula>
      <formula>110%</formula>
    </cfRule>
    <cfRule type="cellIs" dxfId="2557" priority="283" operator="between">
      <formula>70.001%</formula>
      <formula>100%</formula>
    </cfRule>
    <cfRule type="cellIs" dxfId="2556" priority="284" operator="between">
      <formula>0.00001%</formula>
      <formula>70%</formula>
    </cfRule>
    <cfRule type="cellIs" dxfId="2555" priority="285" operator="equal">
      <formula>0</formula>
    </cfRule>
  </conditionalFormatting>
  <conditionalFormatting sqref="AC16">
    <cfRule type="cellIs" dxfId="2554" priority="276" operator="greaterThan">
      <formula>110%</formula>
    </cfRule>
    <cfRule type="cellIs" dxfId="2553" priority="277" operator="between">
      <formula>100.001%</formula>
      <formula>110%</formula>
    </cfRule>
    <cfRule type="cellIs" dxfId="2552" priority="278" operator="between">
      <formula>70.001%</formula>
      <formula>100%</formula>
    </cfRule>
    <cfRule type="cellIs" dxfId="2551" priority="279" operator="between">
      <formula>0.00001%</formula>
      <formula>70%</formula>
    </cfRule>
    <cfRule type="cellIs" dxfId="2550" priority="280" operator="equal">
      <formula>0</formula>
    </cfRule>
  </conditionalFormatting>
  <conditionalFormatting sqref="AE16">
    <cfRule type="cellIs" dxfId="2549" priority="271" operator="greaterThan">
      <formula>110%</formula>
    </cfRule>
    <cfRule type="cellIs" dxfId="2548" priority="272" operator="between">
      <formula>100.001%</formula>
      <formula>110%</formula>
    </cfRule>
    <cfRule type="cellIs" dxfId="2547" priority="273" operator="between">
      <formula>70.001%</formula>
      <formula>100%</formula>
    </cfRule>
    <cfRule type="cellIs" dxfId="2546" priority="274" operator="between">
      <formula>0.00001%</formula>
      <formula>70%</formula>
    </cfRule>
    <cfRule type="cellIs" dxfId="2545" priority="275" operator="equal">
      <formula>0</formula>
    </cfRule>
  </conditionalFormatting>
  <conditionalFormatting sqref="AH16">
    <cfRule type="cellIs" dxfId="2544" priority="266" operator="greaterThan">
      <formula>110%</formula>
    </cfRule>
    <cfRule type="cellIs" dxfId="2543" priority="267" operator="between">
      <formula>100.001%</formula>
      <formula>110%</formula>
    </cfRule>
    <cfRule type="cellIs" dxfId="2542" priority="268" operator="between">
      <formula>70.001%</formula>
      <formula>100%</formula>
    </cfRule>
    <cfRule type="cellIs" dxfId="2541" priority="269" operator="between">
      <formula>0.00001%</formula>
      <formula>70%</formula>
    </cfRule>
    <cfRule type="cellIs" dxfId="2540" priority="270" operator="equal">
      <formula>0</formula>
    </cfRule>
  </conditionalFormatting>
  <conditionalFormatting sqref="AK16">
    <cfRule type="cellIs" dxfId="2539" priority="261" operator="greaterThan">
      <formula>110%</formula>
    </cfRule>
    <cfRule type="cellIs" dxfId="2538" priority="262" operator="between">
      <formula>100.001%</formula>
      <formula>110%</formula>
    </cfRule>
    <cfRule type="cellIs" dxfId="2537" priority="263" operator="between">
      <formula>70.001%</formula>
      <formula>100%</formula>
    </cfRule>
    <cfRule type="cellIs" dxfId="2536" priority="264" operator="between">
      <formula>0.00001%</formula>
      <formula>70%</formula>
    </cfRule>
    <cfRule type="cellIs" dxfId="2535" priority="265" operator="equal">
      <formula>0</formula>
    </cfRule>
  </conditionalFormatting>
  <conditionalFormatting sqref="AN16">
    <cfRule type="cellIs" dxfId="2534" priority="256" operator="greaterThan">
      <formula>110%</formula>
    </cfRule>
    <cfRule type="cellIs" dxfId="2533" priority="257" operator="between">
      <formula>100.001%</formula>
      <formula>110%</formula>
    </cfRule>
    <cfRule type="cellIs" dxfId="2532" priority="258" operator="between">
      <formula>70.001%</formula>
      <formula>100%</formula>
    </cfRule>
    <cfRule type="cellIs" dxfId="2531" priority="259" operator="between">
      <formula>0.00001%</formula>
      <formula>70%</formula>
    </cfRule>
    <cfRule type="cellIs" dxfId="2530" priority="260" operator="equal">
      <formula>0</formula>
    </cfRule>
  </conditionalFormatting>
  <conditionalFormatting sqref="AQ16">
    <cfRule type="cellIs" dxfId="2529" priority="251" operator="greaterThan">
      <formula>110%</formula>
    </cfRule>
    <cfRule type="cellIs" dxfId="2528" priority="252" operator="between">
      <formula>100.001%</formula>
      <formula>110%</formula>
    </cfRule>
    <cfRule type="cellIs" dxfId="2527" priority="253" operator="between">
      <formula>70.001%</formula>
      <formula>100%</formula>
    </cfRule>
    <cfRule type="cellIs" dxfId="2526" priority="254" operator="between">
      <formula>0.00001%</formula>
      <formula>70%</formula>
    </cfRule>
    <cfRule type="cellIs" dxfId="2525" priority="255" operator="equal">
      <formula>0</formula>
    </cfRule>
  </conditionalFormatting>
  <conditionalFormatting sqref="AT16">
    <cfRule type="cellIs" dxfId="2524" priority="246" operator="greaterThan">
      <formula>110%</formula>
    </cfRule>
    <cfRule type="cellIs" dxfId="2523" priority="247" operator="between">
      <formula>100.001%</formula>
      <formula>110%</formula>
    </cfRule>
    <cfRule type="cellIs" dxfId="2522" priority="248" operator="between">
      <formula>70.001%</formula>
      <formula>100%</formula>
    </cfRule>
    <cfRule type="cellIs" dxfId="2521" priority="249" operator="between">
      <formula>0.00001%</formula>
      <formula>70%</formula>
    </cfRule>
    <cfRule type="cellIs" dxfId="2520" priority="250" operator="equal">
      <formula>0</formula>
    </cfRule>
  </conditionalFormatting>
  <conditionalFormatting sqref="N30">
    <cfRule type="cellIs" dxfId="2519" priority="241" operator="greaterThan">
      <formula>110%</formula>
    </cfRule>
    <cfRule type="cellIs" dxfId="2518" priority="242" operator="between">
      <formula>100.001%</formula>
      <formula>110%</formula>
    </cfRule>
    <cfRule type="cellIs" dxfId="2517" priority="243" operator="between">
      <formula>70.001%</formula>
      <formula>100%</formula>
    </cfRule>
    <cfRule type="cellIs" dxfId="2516" priority="244" operator="between">
      <formula>0.00001%</formula>
      <formula>70%</formula>
    </cfRule>
    <cfRule type="cellIs" dxfId="2515" priority="245" operator="equal">
      <formula>0</formula>
    </cfRule>
  </conditionalFormatting>
  <conditionalFormatting sqref="Q30">
    <cfRule type="cellIs" dxfId="2514" priority="236" operator="greaterThan">
      <formula>110%</formula>
    </cfRule>
    <cfRule type="cellIs" dxfId="2513" priority="237" operator="between">
      <formula>100.001%</formula>
      <formula>110%</formula>
    </cfRule>
    <cfRule type="cellIs" dxfId="2512" priority="238" operator="between">
      <formula>70.001%</formula>
      <formula>100%</formula>
    </cfRule>
    <cfRule type="cellIs" dxfId="2511" priority="239" operator="between">
      <formula>0.00001%</formula>
      <formula>70%</formula>
    </cfRule>
    <cfRule type="cellIs" dxfId="2510" priority="240" operator="equal">
      <formula>0</formula>
    </cfRule>
  </conditionalFormatting>
  <conditionalFormatting sqref="T30">
    <cfRule type="cellIs" dxfId="2509" priority="231" operator="greaterThan">
      <formula>110%</formula>
    </cfRule>
    <cfRule type="cellIs" dxfId="2508" priority="232" operator="between">
      <formula>100.001%</formula>
      <formula>110%</formula>
    </cfRule>
    <cfRule type="cellIs" dxfId="2507" priority="233" operator="between">
      <formula>70.001%</formula>
      <formula>100%</formula>
    </cfRule>
    <cfRule type="cellIs" dxfId="2506" priority="234" operator="between">
      <formula>0.00001%</formula>
      <formula>70%</formula>
    </cfRule>
    <cfRule type="cellIs" dxfId="2505" priority="235" operator="equal">
      <formula>0</formula>
    </cfRule>
  </conditionalFormatting>
  <conditionalFormatting sqref="W30">
    <cfRule type="cellIs" dxfId="2504" priority="226" operator="greaterThan">
      <formula>110%</formula>
    </cfRule>
    <cfRule type="cellIs" dxfId="2503" priority="227" operator="between">
      <formula>100.001%</formula>
      <formula>110%</formula>
    </cfRule>
    <cfRule type="cellIs" dxfId="2502" priority="228" operator="between">
      <formula>70.001%</formula>
      <formula>100%</formula>
    </cfRule>
    <cfRule type="cellIs" dxfId="2501" priority="229" operator="between">
      <formula>0.00001%</formula>
      <formula>70%</formula>
    </cfRule>
    <cfRule type="cellIs" dxfId="2500" priority="230" operator="equal">
      <formula>0</formula>
    </cfRule>
  </conditionalFormatting>
  <conditionalFormatting sqref="Z30">
    <cfRule type="cellIs" dxfId="2499" priority="221" operator="greaterThan">
      <formula>110%</formula>
    </cfRule>
    <cfRule type="cellIs" dxfId="2498" priority="222" operator="between">
      <formula>100.001%</formula>
      <formula>110%</formula>
    </cfRule>
    <cfRule type="cellIs" dxfId="2497" priority="223" operator="between">
      <formula>70.001%</formula>
      <formula>100%</formula>
    </cfRule>
    <cfRule type="cellIs" dxfId="2496" priority="224" operator="between">
      <formula>0.00001%</formula>
      <formula>70%</formula>
    </cfRule>
    <cfRule type="cellIs" dxfId="2495" priority="225" operator="equal">
      <formula>0</formula>
    </cfRule>
  </conditionalFormatting>
  <conditionalFormatting sqref="AC30">
    <cfRule type="cellIs" dxfId="2494" priority="216" operator="greaterThan">
      <formula>110%</formula>
    </cfRule>
    <cfRule type="cellIs" dxfId="2493" priority="217" operator="between">
      <formula>100.001%</formula>
      <formula>110%</formula>
    </cfRule>
    <cfRule type="cellIs" dxfId="2492" priority="218" operator="between">
      <formula>70.001%</formula>
      <formula>100%</formula>
    </cfRule>
    <cfRule type="cellIs" dxfId="2491" priority="219" operator="between">
      <formula>0.00001%</formula>
      <formula>70%</formula>
    </cfRule>
    <cfRule type="cellIs" dxfId="2490" priority="220" operator="equal">
      <formula>0</formula>
    </cfRule>
  </conditionalFormatting>
  <conditionalFormatting sqref="AE30">
    <cfRule type="cellIs" dxfId="2489" priority="211" operator="greaterThan">
      <formula>110%</formula>
    </cfRule>
    <cfRule type="cellIs" dxfId="2488" priority="212" operator="between">
      <formula>100.001%</formula>
      <formula>110%</formula>
    </cfRule>
    <cfRule type="cellIs" dxfId="2487" priority="213" operator="between">
      <formula>70.001%</formula>
      <formula>100%</formula>
    </cfRule>
    <cfRule type="cellIs" dxfId="2486" priority="214" operator="between">
      <formula>0.00001%</formula>
      <formula>70%</formula>
    </cfRule>
    <cfRule type="cellIs" dxfId="2485" priority="215" operator="equal">
      <formula>0</formula>
    </cfRule>
  </conditionalFormatting>
  <conditionalFormatting sqref="AH30">
    <cfRule type="cellIs" dxfId="2484" priority="206" operator="greaterThan">
      <formula>110%</formula>
    </cfRule>
    <cfRule type="cellIs" dxfId="2483" priority="207" operator="between">
      <formula>100.001%</formula>
      <formula>110%</formula>
    </cfRule>
    <cfRule type="cellIs" dxfId="2482" priority="208" operator="between">
      <formula>70.001%</formula>
      <formula>100%</formula>
    </cfRule>
    <cfRule type="cellIs" dxfId="2481" priority="209" operator="between">
      <formula>0.00001%</formula>
      <formula>70%</formula>
    </cfRule>
    <cfRule type="cellIs" dxfId="2480" priority="210" operator="equal">
      <formula>0</formula>
    </cfRule>
  </conditionalFormatting>
  <conditionalFormatting sqref="AK30">
    <cfRule type="cellIs" dxfId="2479" priority="201" operator="greaterThan">
      <formula>110%</formula>
    </cfRule>
    <cfRule type="cellIs" dxfId="2478" priority="202" operator="between">
      <formula>100.001%</formula>
      <formula>110%</formula>
    </cfRule>
    <cfRule type="cellIs" dxfId="2477" priority="203" operator="between">
      <formula>70.001%</formula>
      <formula>100%</formula>
    </cfRule>
    <cfRule type="cellIs" dxfId="2476" priority="204" operator="between">
      <formula>0.00001%</formula>
      <formula>70%</formula>
    </cfRule>
    <cfRule type="cellIs" dxfId="2475" priority="205" operator="equal">
      <formula>0</formula>
    </cfRule>
  </conditionalFormatting>
  <conditionalFormatting sqref="AN30">
    <cfRule type="cellIs" dxfId="2474" priority="196" operator="greaterThan">
      <formula>110%</formula>
    </cfRule>
    <cfRule type="cellIs" dxfId="2473" priority="197" operator="between">
      <formula>100.001%</formula>
      <formula>110%</formula>
    </cfRule>
    <cfRule type="cellIs" dxfId="2472" priority="198" operator="between">
      <formula>70.001%</formula>
      <formula>100%</formula>
    </cfRule>
    <cfRule type="cellIs" dxfId="2471" priority="199" operator="between">
      <formula>0.00001%</formula>
      <formula>70%</formula>
    </cfRule>
    <cfRule type="cellIs" dxfId="2470" priority="200" operator="equal">
      <formula>0</formula>
    </cfRule>
  </conditionalFormatting>
  <conditionalFormatting sqref="AQ30">
    <cfRule type="cellIs" dxfId="2469" priority="191" operator="greaterThan">
      <formula>110%</formula>
    </cfRule>
    <cfRule type="cellIs" dxfId="2468" priority="192" operator="between">
      <formula>100.001%</formula>
      <formula>110%</formula>
    </cfRule>
    <cfRule type="cellIs" dxfId="2467" priority="193" operator="between">
      <formula>70.001%</formula>
      <formula>100%</formula>
    </cfRule>
    <cfRule type="cellIs" dxfId="2466" priority="194" operator="between">
      <formula>0.00001%</formula>
      <formula>70%</formula>
    </cfRule>
    <cfRule type="cellIs" dxfId="2465" priority="195" operator="equal">
      <formula>0</formula>
    </cfRule>
  </conditionalFormatting>
  <conditionalFormatting sqref="AT30">
    <cfRule type="cellIs" dxfId="2464" priority="186" operator="greaterThan">
      <formula>110%</formula>
    </cfRule>
    <cfRule type="cellIs" dxfId="2463" priority="187" operator="between">
      <formula>100.001%</formula>
      <formula>110%</formula>
    </cfRule>
    <cfRule type="cellIs" dxfId="2462" priority="188" operator="between">
      <formula>70.001%</formula>
      <formula>100%</formula>
    </cfRule>
    <cfRule type="cellIs" dxfId="2461" priority="189" operator="between">
      <formula>0.00001%</formula>
      <formula>70%</formula>
    </cfRule>
    <cfRule type="cellIs" dxfId="2460" priority="190" operator="equal">
      <formula>0</formula>
    </cfRule>
  </conditionalFormatting>
  <conditionalFormatting sqref="Q9">
    <cfRule type="cellIs" dxfId="2459" priority="181" operator="greaterThan">
      <formula>110%</formula>
    </cfRule>
    <cfRule type="cellIs" dxfId="2458" priority="182" operator="between">
      <formula>100.001%</formula>
      <formula>110%</formula>
    </cfRule>
    <cfRule type="cellIs" dxfId="2457" priority="183" operator="between">
      <formula>70.001%</formula>
      <formula>100%</formula>
    </cfRule>
    <cfRule type="cellIs" dxfId="2456" priority="184" operator="between">
      <formula>0.00001%</formula>
      <formula>70%</formula>
    </cfRule>
    <cfRule type="cellIs" dxfId="2455" priority="185" operator="equal">
      <formula>0</formula>
    </cfRule>
  </conditionalFormatting>
  <conditionalFormatting sqref="N9">
    <cfRule type="cellIs" dxfId="2454" priority="176" operator="greaterThan">
      <formula>110%</formula>
    </cfRule>
    <cfRule type="cellIs" dxfId="2453" priority="177" operator="between">
      <formula>100.001%</formula>
      <formula>110%</formula>
    </cfRule>
    <cfRule type="cellIs" dxfId="2452" priority="178" operator="between">
      <formula>70.001%</formula>
      <formula>100%</formula>
    </cfRule>
    <cfRule type="cellIs" dxfId="2451" priority="179" operator="between">
      <formula>0.00001%</formula>
      <formula>70%</formula>
    </cfRule>
    <cfRule type="cellIs" dxfId="2450" priority="180" operator="equal">
      <formula>0</formula>
    </cfRule>
  </conditionalFormatting>
  <conditionalFormatting sqref="T9">
    <cfRule type="cellIs" dxfId="2449" priority="171" operator="greaterThan">
      <formula>110%</formula>
    </cfRule>
    <cfRule type="cellIs" dxfId="2448" priority="172" operator="between">
      <formula>100.001%</formula>
      <formula>110%</formula>
    </cfRule>
    <cfRule type="cellIs" dxfId="2447" priority="173" operator="between">
      <formula>70.001%</formula>
      <formula>100%</formula>
    </cfRule>
    <cfRule type="cellIs" dxfId="2446" priority="174" operator="between">
      <formula>0.00001%</formula>
      <formula>70%</formula>
    </cfRule>
    <cfRule type="cellIs" dxfId="2445" priority="175" operator="equal">
      <formula>0</formula>
    </cfRule>
  </conditionalFormatting>
  <conditionalFormatting sqref="W9">
    <cfRule type="cellIs" dxfId="2444" priority="166" operator="greaterThan">
      <formula>110%</formula>
    </cfRule>
    <cfRule type="cellIs" dxfId="2443" priority="167" operator="between">
      <formula>100.001%</formula>
      <formula>110%</formula>
    </cfRule>
    <cfRule type="cellIs" dxfId="2442" priority="168" operator="between">
      <formula>70.001%</formula>
      <formula>100%</formula>
    </cfRule>
    <cfRule type="cellIs" dxfId="2441" priority="169" operator="between">
      <formula>0.00001%</formula>
      <formula>70%</formula>
    </cfRule>
    <cfRule type="cellIs" dxfId="2440" priority="170" operator="equal">
      <formula>0</formula>
    </cfRule>
  </conditionalFormatting>
  <conditionalFormatting sqref="Z9">
    <cfRule type="cellIs" dxfId="2439" priority="161" operator="greaterThan">
      <formula>110%</formula>
    </cfRule>
    <cfRule type="cellIs" dxfId="2438" priority="162" operator="between">
      <formula>100.001%</formula>
      <formula>110%</formula>
    </cfRule>
    <cfRule type="cellIs" dxfId="2437" priority="163" operator="between">
      <formula>70.001%</formula>
      <formula>100%</formula>
    </cfRule>
    <cfRule type="cellIs" dxfId="2436" priority="164" operator="between">
      <formula>0.00001%</formula>
      <formula>70%</formula>
    </cfRule>
    <cfRule type="cellIs" dxfId="2435" priority="165" operator="equal">
      <formula>0</formula>
    </cfRule>
  </conditionalFormatting>
  <conditionalFormatting sqref="AC9">
    <cfRule type="cellIs" dxfId="2434" priority="156" operator="greaterThan">
      <formula>110%</formula>
    </cfRule>
    <cfRule type="cellIs" dxfId="2433" priority="157" operator="between">
      <formula>100.001%</formula>
      <formula>110%</formula>
    </cfRule>
    <cfRule type="cellIs" dxfId="2432" priority="158" operator="between">
      <formula>70.001%</formula>
      <formula>100%</formula>
    </cfRule>
    <cfRule type="cellIs" dxfId="2431" priority="159" operator="between">
      <formula>0.00001%</formula>
      <formula>70%</formula>
    </cfRule>
    <cfRule type="cellIs" dxfId="2430" priority="160" operator="equal">
      <formula>0</formula>
    </cfRule>
  </conditionalFormatting>
  <conditionalFormatting sqref="AE9">
    <cfRule type="cellIs" dxfId="2429" priority="151" operator="greaterThan">
      <formula>110%</formula>
    </cfRule>
    <cfRule type="cellIs" dxfId="2428" priority="152" operator="between">
      <formula>100.001%</formula>
      <formula>110%</formula>
    </cfRule>
    <cfRule type="cellIs" dxfId="2427" priority="153" operator="between">
      <formula>70.001%</formula>
      <formula>100%</formula>
    </cfRule>
    <cfRule type="cellIs" dxfId="2426" priority="154" operator="between">
      <formula>0.00001%</formula>
      <formula>70%</formula>
    </cfRule>
    <cfRule type="cellIs" dxfId="2425" priority="155" operator="equal">
      <formula>0</formula>
    </cfRule>
  </conditionalFormatting>
  <conditionalFormatting sqref="AH9">
    <cfRule type="cellIs" dxfId="2424" priority="146" operator="greaterThan">
      <formula>110%</formula>
    </cfRule>
    <cfRule type="cellIs" dxfId="2423" priority="147" operator="between">
      <formula>100.001%</formula>
      <formula>110%</formula>
    </cfRule>
    <cfRule type="cellIs" dxfId="2422" priority="148" operator="between">
      <formula>70.001%</formula>
      <formula>100%</formula>
    </cfRule>
    <cfRule type="cellIs" dxfId="2421" priority="149" operator="between">
      <formula>0.00001%</formula>
      <formula>70%</formula>
    </cfRule>
    <cfRule type="cellIs" dxfId="2420" priority="150" operator="equal">
      <formula>0</formula>
    </cfRule>
  </conditionalFormatting>
  <conditionalFormatting sqref="AK9">
    <cfRule type="cellIs" dxfId="2419" priority="141" operator="greaterThan">
      <formula>110%</formula>
    </cfRule>
    <cfRule type="cellIs" dxfId="2418" priority="142" operator="between">
      <formula>100.001%</formula>
      <formula>110%</formula>
    </cfRule>
    <cfRule type="cellIs" dxfId="2417" priority="143" operator="between">
      <formula>70.001%</formula>
      <formula>100%</formula>
    </cfRule>
    <cfRule type="cellIs" dxfId="2416" priority="144" operator="between">
      <formula>0.00001%</formula>
      <formula>70%</formula>
    </cfRule>
    <cfRule type="cellIs" dxfId="2415" priority="145" operator="equal">
      <formula>0</formula>
    </cfRule>
  </conditionalFormatting>
  <conditionalFormatting sqref="AN9">
    <cfRule type="cellIs" dxfId="2414" priority="136" operator="greaterThan">
      <formula>110%</formula>
    </cfRule>
    <cfRule type="cellIs" dxfId="2413" priority="137" operator="between">
      <formula>100.001%</formula>
      <formula>110%</formula>
    </cfRule>
    <cfRule type="cellIs" dxfId="2412" priority="138" operator="between">
      <formula>70.001%</formula>
      <formula>100%</formula>
    </cfRule>
    <cfRule type="cellIs" dxfId="2411" priority="139" operator="between">
      <formula>0.00001%</formula>
      <formula>70%</formula>
    </cfRule>
    <cfRule type="cellIs" dxfId="2410" priority="140" operator="equal">
      <formula>0</formula>
    </cfRule>
  </conditionalFormatting>
  <conditionalFormatting sqref="AQ9">
    <cfRule type="cellIs" dxfId="2409" priority="131" operator="greaterThan">
      <formula>110%</formula>
    </cfRule>
    <cfRule type="cellIs" dxfId="2408" priority="132" operator="between">
      <formula>100.001%</formula>
      <formula>110%</formula>
    </cfRule>
    <cfRule type="cellIs" dxfId="2407" priority="133" operator="between">
      <formula>70.001%</formula>
      <formula>100%</formula>
    </cfRule>
    <cfRule type="cellIs" dxfId="2406" priority="134" operator="between">
      <formula>0.00001%</formula>
      <formula>70%</formula>
    </cfRule>
    <cfRule type="cellIs" dxfId="2405" priority="135" operator="equal">
      <formula>0</formula>
    </cfRule>
  </conditionalFormatting>
  <conditionalFormatting sqref="N20:N26">
    <cfRule type="cellIs" dxfId="2404" priority="126" operator="greaterThan">
      <formula>110%</formula>
    </cfRule>
    <cfRule type="cellIs" dxfId="2403" priority="127" operator="between">
      <formula>100.001%</formula>
      <formula>110%</formula>
    </cfRule>
    <cfRule type="cellIs" dxfId="2402" priority="128" operator="between">
      <formula>70.001%</formula>
      <formula>100%</formula>
    </cfRule>
    <cfRule type="cellIs" dxfId="2401" priority="129" operator="between">
      <formula>0.00001%</formula>
      <formula>70%</formula>
    </cfRule>
    <cfRule type="cellIs" dxfId="2400" priority="130" operator="equal">
      <formula>0</formula>
    </cfRule>
  </conditionalFormatting>
  <conditionalFormatting sqref="Q20:Q26">
    <cfRule type="cellIs" dxfId="2399" priority="121" operator="greaterThan">
      <formula>110%</formula>
    </cfRule>
    <cfRule type="cellIs" dxfId="2398" priority="122" operator="between">
      <formula>100.001%</formula>
      <formula>110%</formula>
    </cfRule>
    <cfRule type="cellIs" dxfId="2397" priority="123" operator="between">
      <formula>70.001%</formula>
      <formula>100%</formula>
    </cfRule>
    <cfRule type="cellIs" dxfId="2396" priority="124" operator="between">
      <formula>0.00001%</formula>
      <formula>70%</formula>
    </cfRule>
    <cfRule type="cellIs" dxfId="2395" priority="125" operator="equal">
      <formula>0</formula>
    </cfRule>
  </conditionalFormatting>
  <conditionalFormatting sqref="T20:T26">
    <cfRule type="cellIs" dxfId="2394" priority="116" operator="greaterThan">
      <formula>110%</formula>
    </cfRule>
    <cfRule type="cellIs" dxfId="2393" priority="117" operator="between">
      <formula>100.001%</formula>
      <formula>110%</formula>
    </cfRule>
    <cfRule type="cellIs" dxfId="2392" priority="118" operator="between">
      <formula>70.001%</formula>
      <formula>100%</formula>
    </cfRule>
    <cfRule type="cellIs" dxfId="2391" priority="119" operator="between">
      <formula>0.00001%</formula>
      <formula>70%</formula>
    </cfRule>
    <cfRule type="cellIs" dxfId="2390" priority="120" operator="equal">
      <formula>0</formula>
    </cfRule>
  </conditionalFormatting>
  <conditionalFormatting sqref="W20:W26">
    <cfRule type="cellIs" dxfId="2389" priority="111" operator="greaterThan">
      <formula>110%</formula>
    </cfRule>
    <cfRule type="cellIs" dxfId="2388" priority="112" operator="between">
      <formula>100.001%</formula>
      <formula>110%</formula>
    </cfRule>
    <cfRule type="cellIs" dxfId="2387" priority="113" operator="between">
      <formula>70.001%</formula>
      <formula>100%</formula>
    </cfRule>
    <cfRule type="cellIs" dxfId="2386" priority="114" operator="between">
      <formula>0.00001%</formula>
      <formula>70%</formula>
    </cfRule>
    <cfRule type="cellIs" dxfId="2385" priority="115" operator="equal">
      <formula>0</formula>
    </cfRule>
  </conditionalFormatting>
  <conditionalFormatting sqref="Z20:Z26">
    <cfRule type="cellIs" dxfId="2384" priority="106" operator="greaterThan">
      <formula>110%</formula>
    </cfRule>
    <cfRule type="cellIs" dxfId="2383" priority="107" operator="between">
      <formula>100.001%</formula>
      <formula>110%</formula>
    </cfRule>
    <cfRule type="cellIs" dxfId="2382" priority="108" operator="between">
      <formula>70.001%</formula>
      <formula>100%</formula>
    </cfRule>
    <cfRule type="cellIs" dxfId="2381" priority="109" operator="between">
      <formula>0.00001%</formula>
      <formula>70%</formula>
    </cfRule>
    <cfRule type="cellIs" dxfId="2380" priority="110" operator="equal">
      <formula>0</formula>
    </cfRule>
  </conditionalFormatting>
  <conditionalFormatting sqref="AC20:AC26">
    <cfRule type="cellIs" dxfId="2379" priority="101" operator="greaterThan">
      <formula>110%</formula>
    </cfRule>
    <cfRule type="cellIs" dxfId="2378" priority="102" operator="between">
      <formula>100.001%</formula>
      <formula>110%</formula>
    </cfRule>
    <cfRule type="cellIs" dxfId="2377" priority="103" operator="between">
      <formula>70.001%</formula>
      <formula>100%</formula>
    </cfRule>
    <cfRule type="cellIs" dxfId="2376" priority="104" operator="between">
      <formula>0.00001%</formula>
      <formula>70%</formula>
    </cfRule>
    <cfRule type="cellIs" dxfId="2375" priority="105" operator="equal">
      <formula>0</formula>
    </cfRule>
  </conditionalFormatting>
  <conditionalFormatting sqref="AE20:AE26">
    <cfRule type="cellIs" dxfId="2374" priority="96" operator="greaterThan">
      <formula>110%</formula>
    </cfRule>
    <cfRule type="cellIs" dxfId="2373" priority="97" operator="between">
      <formula>100.001%</formula>
      <formula>110%</formula>
    </cfRule>
    <cfRule type="cellIs" dxfId="2372" priority="98" operator="between">
      <formula>70.001%</formula>
      <formula>100%</formula>
    </cfRule>
    <cfRule type="cellIs" dxfId="2371" priority="99" operator="between">
      <formula>0.00001%</formula>
      <formula>70%</formula>
    </cfRule>
    <cfRule type="cellIs" dxfId="2370" priority="100" operator="equal">
      <formula>0</formula>
    </cfRule>
  </conditionalFormatting>
  <conditionalFormatting sqref="AH20:AH26">
    <cfRule type="cellIs" dxfId="2369" priority="91" operator="greaterThan">
      <formula>110%</formula>
    </cfRule>
    <cfRule type="cellIs" dxfId="2368" priority="92" operator="between">
      <formula>100.001%</formula>
      <formula>110%</formula>
    </cfRule>
    <cfRule type="cellIs" dxfId="2367" priority="93" operator="between">
      <formula>70.001%</formula>
      <formula>100%</formula>
    </cfRule>
    <cfRule type="cellIs" dxfId="2366" priority="94" operator="between">
      <formula>0.00001%</formula>
      <formula>70%</formula>
    </cfRule>
    <cfRule type="cellIs" dxfId="2365" priority="95" operator="equal">
      <formula>0</formula>
    </cfRule>
  </conditionalFormatting>
  <conditionalFormatting sqref="AK20:AK26">
    <cfRule type="cellIs" dxfId="2364" priority="86" operator="greaterThan">
      <formula>110%</formula>
    </cfRule>
    <cfRule type="cellIs" dxfId="2363" priority="87" operator="between">
      <formula>100.001%</formula>
      <formula>110%</formula>
    </cfRule>
    <cfRule type="cellIs" dxfId="2362" priority="88" operator="between">
      <formula>70.001%</formula>
      <formula>100%</formula>
    </cfRule>
    <cfRule type="cellIs" dxfId="2361" priority="89" operator="between">
      <formula>0.00001%</formula>
      <formula>70%</formula>
    </cfRule>
    <cfRule type="cellIs" dxfId="2360" priority="90" operator="equal">
      <formula>0</formula>
    </cfRule>
  </conditionalFormatting>
  <conditionalFormatting sqref="AN20:AN26">
    <cfRule type="cellIs" dxfId="2359" priority="81" operator="greaterThan">
      <formula>110%</formula>
    </cfRule>
    <cfRule type="cellIs" dxfId="2358" priority="82" operator="between">
      <formula>100.001%</formula>
      <formula>110%</formula>
    </cfRule>
    <cfRule type="cellIs" dxfId="2357" priority="83" operator="between">
      <formula>70.001%</formula>
      <formula>100%</formula>
    </cfRule>
    <cfRule type="cellIs" dxfId="2356" priority="84" operator="between">
      <formula>0.00001%</formula>
      <formula>70%</formula>
    </cfRule>
    <cfRule type="cellIs" dxfId="2355" priority="85" operator="equal">
      <formula>0</formula>
    </cfRule>
  </conditionalFormatting>
  <conditionalFormatting sqref="AQ20:AQ26">
    <cfRule type="cellIs" dxfId="2354" priority="76" operator="greaterThan">
      <formula>110%</formula>
    </cfRule>
    <cfRule type="cellIs" dxfId="2353" priority="77" operator="between">
      <formula>100.001%</formula>
      <formula>110%</formula>
    </cfRule>
    <cfRule type="cellIs" dxfId="2352" priority="78" operator="between">
      <formula>70.001%</formula>
      <formula>100%</formula>
    </cfRule>
    <cfRule type="cellIs" dxfId="2351" priority="79" operator="between">
      <formula>0.00001%</formula>
      <formula>70%</formula>
    </cfRule>
    <cfRule type="cellIs" dxfId="2350" priority="80" operator="equal">
      <formula>0</formula>
    </cfRule>
  </conditionalFormatting>
  <conditionalFormatting sqref="AT20:AT26">
    <cfRule type="cellIs" dxfId="2349" priority="71" operator="greaterThan">
      <formula>110%</formula>
    </cfRule>
    <cfRule type="cellIs" dxfId="2348" priority="72" operator="between">
      <formula>100.001%</formula>
      <formula>110%</formula>
    </cfRule>
    <cfRule type="cellIs" dxfId="2347" priority="73" operator="between">
      <formula>70.001%</formula>
      <formula>100%</formula>
    </cfRule>
    <cfRule type="cellIs" dxfId="2346" priority="74" operator="between">
      <formula>0.00001%</formula>
      <formula>70%</formula>
    </cfRule>
    <cfRule type="cellIs" dxfId="2345" priority="75" operator="equal">
      <formula>0</formula>
    </cfRule>
  </conditionalFormatting>
  <conditionalFormatting sqref="AW31">
    <cfRule type="cellIs" dxfId="2344" priority="66" operator="greaterThan">
      <formula>110%</formula>
    </cfRule>
    <cfRule type="cellIs" dxfId="2343" priority="67" operator="between">
      <formula>100.001%</formula>
      <formula>110%</formula>
    </cfRule>
    <cfRule type="cellIs" dxfId="2342" priority="68" operator="between">
      <formula>70.001%</formula>
      <formula>100%</formula>
    </cfRule>
    <cfRule type="cellIs" dxfId="2341" priority="69" operator="between">
      <formula>0.00001%</formula>
      <formula>70%</formula>
    </cfRule>
    <cfRule type="cellIs" dxfId="2340" priority="70" operator="equal">
      <formula>0</formula>
    </cfRule>
  </conditionalFormatting>
  <conditionalFormatting sqref="AY31">
    <cfRule type="cellIs" dxfId="2339" priority="61" operator="greaterThan">
      <formula>110%</formula>
    </cfRule>
    <cfRule type="cellIs" dxfId="2338" priority="62" operator="between">
      <formula>100.001%</formula>
      <formula>110%</formula>
    </cfRule>
    <cfRule type="cellIs" dxfId="2337" priority="63" operator="between">
      <formula>70.001%</formula>
      <formula>100%</formula>
    </cfRule>
    <cfRule type="cellIs" dxfId="2336" priority="64" operator="between">
      <formula>0.00001%</formula>
      <formula>70%</formula>
    </cfRule>
    <cfRule type="cellIs" dxfId="2335" priority="65" operator="equal">
      <formula>0</formula>
    </cfRule>
  </conditionalFormatting>
  <conditionalFormatting sqref="N31">
    <cfRule type="cellIs" dxfId="2334" priority="56" operator="greaterThan">
      <formula>110%</formula>
    </cfRule>
    <cfRule type="cellIs" dxfId="2333" priority="57" operator="between">
      <formula>100.001%</formula>
      <formula>110%</formula>
    </cfRule>
    <cfRule type="cellIs" dxfId="2332" priority="58" operator="between">
      <formula>70.001%</formula>
      <formula>100%</formula>
    </cfRule>
    <cfRule type="cellIs" dxfId="2331" priority="59" operator="between">
      <formula>0.00001%</formula>
      <formula>70%</formula>
    </cfRule>
    <cfRule type="cellIs" dxfId="2330" priority="60" operator="equal">
      <formula>0</formula>
    </cfRule>
  </conditionalFormatting>
  <conditionalFormatting sqref="Q31">
    <cfRule type="cellIs" dxfId="2329" priority="51" operator="greaterThan">
      <formula>110%</formula>
    </cfRule>
    <cfRule type="cellIs" dxfId="2328" priority="52" operator="between">
      <formula>100.001%</formula>
      <formula>110%</formula>
    </cfRule>
    <cfRule type="cellIs" dxfId="2327" priority="53" operator="between">
      <formula>70.001%</formula>
      <formula>100%</formula>
    </cfRule>
    <cfRule type="cellIs" dxfId="2326" priority="54" operator="between">
      <formula>0.00001%</formula>
      <formula>70%</formula>
    </cfRule>
    <cfRule type="cellIs" dxfId="2325" priority="55" operator="equal">
      <formula>0</formula>
    </cfRule>
  </conditionalFormatting>
  <conditionalFormatting sqref="T31">
    <cfRule type="cellIs" dxfId="2324" priority="46" operator="greaterThan">
      <formula>110%</formula>
    </cfRule>
    <cfRule type="cellIs" dxfId="2323" priority="47" operator="between">
      <formula>100.001%</formula>
      <formula>110%</formula>
    </cfRule>
    <cfRule type="cellIs" dxfId="2322" priority="48" operator="between">
      <formula>70.001%</formula>
      <formula>100%</formula>
    </cfRule>
    <cfRule type="cellIs" dxfId="2321" priority="49" operator="between">
      <formula>0.00001%</formula>
      <formula>70%</formula>
    </cfRule>
    <cfRule type="cellIs" dxfId="2320" priority="50" operator="equal">
      <formula>0</formula>
    </cfRule>
  </conditionalFormatting>
  <conditionalFormatting sqref="W31">
    <cfRule type="cellIs" dxfId="2319" priority="41" operator="greaterThan">
      <formula>110%</formula>
    </cfRule>
    <cfRule type="cellIs" dxfId="2318" priority="42" operator="between">
      <formula>100.001%</formula>
      <formula>110%</formula>
    </cfRule>
    <cfRule type="cellIs" dxfId="2317" priority="43" operator="between">
      <formula>70.001%</formula>
      <formula>100%</formula>
    </cfRule>
    <cfRule type="cellIs" dxfId="2316" priority="44" operator="between">
      <formula>0.00001%</formula>
      <formula>70%</formula>
    </cfRule>
    <cfRule type="cellIs" dxfId="2315" priority="45" operator="equal">
      <formula>0</formula>
    </cfRule>
  </conditionalFormatting>
  <conditionalFormatting sqref="Z31">
    <cfRule type="cellIs" dxfId="2314" priority="36" operator="greaterThan">
      <formula>110%</formula>
    </cfRule>
    <cfRule type="cellIs" dxfId="2313" priority="37" operator="between">
      <formula>100.001%</formula>
      <formula>110%</formula>
    </cfRule>
    <cfRule type="cellIs" dxfId="2312" priority="38" operator="between">
      <formula>70.001%</formula>
      <formula>100%</formula>
    </cfRule>
    <cfRule type="cellIs" dxfId="2311" priority="39" operator="between">
      <formula>0.00001%</formula>
      <formula>70%</formula>
    </cfRule>
    <cfRule type="cellIs" dxfId="2310" priority="40" operator="equal">
      <formula>0</formula>
    </cfRule>
  </conditionalFormatting>
  <conditionalFormatting sqref="AC31">
    <cfRule type="cellIs" dxfId="2309" priority="31" operator="greaterThan">
      <formula>110%</formula>
    </cfRule>
    <cfRule type="cellIs" dxfId="2308" priority="32" operator="between">
      <formula>100.001%</formula>
      <formula>110%</formula>
    </cfRule>
    <cfRule type="cellIs" dxfId="2307" priority="33" operator="between">
      <formula>70.001%</formula>
      <formula>100%</formula>
    </cfRule>
    <cfRule type="cellIs" dxfId="2306" priority="34" operator="between">
      <formula>0.00001%</formula>
      <formula>70%</formula>
    </cfRule>
    <cfRule type="cellIs" dxfId="2305" priority="35" operator="equal">
      <formula>0</formula>
    </cfRule>
  </conditionalFormatting>
  <conditionalFormatting sqref="AE31">
    <cfRule type="cellIs" dxfId="2304" priority="26" operator="greaterThan">
      <formula>110%</formula>
    </cfRule>
    <cfRule type="cellIs" dxfId="2303" priority="27" operator="between">
      <formula>100.001%</formula>
      <formula>110%</formula>
    </cfRule>
    <cfRule type="cellIs" dxfId="2302" priority="28" operator="between">
      <formula>70.001%</formula>
      <formula>100%</formula>
    </cfRule>
    <cfRule type="cellIs" dxfId="2301" priority="29" operator="between">
      <formula>0.00001%</formula>
      <formula>70%</formula>
    </cfRule>
    <cfRule type="cellIs" dxfId="2300" priority="30" operator="equal">
      <formula>0</formula>
    </cfRule>
  </conditionalFormatting>
  <conditionalFormatting sqref="AH31">
    <cfRule type="cellIs" dxfId="2299" priority="21" operator="greaterThan">
      <formula>110%</formula>
    </cfRule>
    <cfRule type="cellIs" dxfId="2298" priority="22" operator="between">
      <formula>100.001%</formula>
      <formula>110%</formula>
    </cfRule>
    <cfRule type="cellIs" dxfId="2297" priority="23" operator="between">
      <formula>70.001%</formula>
      <formula>100%</formula>
    </cfRule>
    <cfRule type="cellIs" dxfId="2296" priority="24" operator="between">
      <formula>0.00001%</formula>
      <formula>70%</formula>
    </cfRule>
    <cfRule type="cellIs" dxfId="2295" priority="25" operator="equal">
      <formula>0</formula>
    </cfRule>
  </conditionalFormatting>
  <conditionalFormatting sqref="AK31">
    <cfRule type="cellIs" dxfId="2294" priority="16" operator="greaterThan">
      <formula>110%</formula>
    </cfRule>
    <cfRule type="cellIs" dxfId="2293" priority="17" operator="between">
      <formula>100.001%</formula>
      <formula>110%</formula>
    </cfRule>
    <cfRule type="cellIs" dxfId="2292" priority="18" operator="between">
      <formula>70.001%</formula>
      <formula>100%</formula>
    </cfRule>
    <cfRule type="cellIs" dxfId="2291" priority="19" operator="between">
      <formula>0.00001%</formula>
      <formula>70%</formula>
    </cfRule>
    <cfRule type="cellIs" dxfId="2290" priority="20" operator="equal">
      <formula>0</formula>
    </cfRule>
  </conditionalFormatting>
  <conditionalFormatting sqref="AN31">
    <cfRule type="cellIs" dxfId="2289" priority="11" operator="greaterThan">
      <formula>110%</formula>
    </cfRule>
    <cfRule type="cellIs" dxfId="2288" priority="12" operator="between">
      <formula>100.001%</formula>
      <formula>110%</formula>
    </cfRule>
    <cfRule type="cellIs" dxfId="2287" priority="13" operator="between">
      <formula>70.001%</formula>
      <formula>100%</formula>
    </cfRule>
    <cfRule type="cellIs" dxfId="2286" priority="14" operator="between">
      <formula>0.00001%</formula>
      <formula>70%</formula>
    </cfRule>
    <cfRule type="cellIs" dxfId="2285" priority="15" operator="equal">
      <formula>0</formula>
    </cfRule>
  </conditionalFormatting>
  <conditionalFormatting sqref="AQ31">
    <cfRule type="cellIs" dxfId="2284" priority="6" operator="greaterThan">
      <formula>110%</formula>
    </cfRule>
    <cfRule type="cellIs" dxfId="2283" priority="7" operator="between">
      <formula>100.001%</formula>
      <formula>110%</formula>
    </cfRule>
    <cfRule type="cellIs" dxfId="2282" priority="8" operator="between">
      <formula>70.001%</formula>
      <formula>100%</formula>
    </cfRule>
    <cfRule type="cellIs" dxfId="2281" priority="9" operator="between">
      <formula>0.00001%</formula>
      <formula>70%</formula>
    </cfRule>
    <cfRule type="cellIs" dxfId="2280" priority="10" operator="equal">
      <formula>0</formula>
    </cfRule>
  </conditionalFormatting>
  <conditionalFormatting sqref="AT31">
    <cfRule type="cellIs" dxfId="2279" priority="1" operator="greaterThan">
      <formula>110%</formula>
    </cfRule>
    <cfRule type="cellIs" dxfId="2278" priority="2" operator="between">
      <formula>100.001%</formula>
      <formula>110%</formula>
    </cfRule>
    <cfRule type="cellIs" dxfId="2277" priority="3" operator="between">
      <formula>70.001%</formula>
      <formula>100%</formula>
    </cfRule>
    <cfRule type="cellIs" dxfId="2276" priority="4" operator="between">
      <formula>0.00001%</formula>
      <formula>70%</formula>
    </cfRule>
    <cfRule type="cellIs" dxfId="2275" priority="5" operator="equal">
      <formula>0</formula>
    </cfRule>
  </conditionalFormatting>
  <hyperlinks>
    <hyperlink ref="D11" location="'IN1-3'!A1" display="IN1-3 Recaudo Bruto" xr:uid="{00000000-0004-0000-2500-000000000000}"/>
    <hyperlink ref="D12" location="'FIS-4'!A1" display="FIS-4 Gestión efectiva en fiscalización tributaria" xr:uid="{00000000-0004-0000-2500-000001000000}"/>
    <hyperlink ref="D13" location="'FIS-10'!A1" display="FIS-10 Gestión aceptada en fiscalización tributaria" xr:uid="{00000000-0004-0000-2500-000002000000}"/>
    <hyperlink ref="D14" location="'FIS-27'!A1" display="FIS-27 Reclasificación de no responsables a responsables" xr:uid="{00000000-0004-0000-2500-000003000000}"/>
    <hyperlink ref="D15" location="'FIS-17'!A1" display="FIS-17 Evacuación de expedientes en fiscalización tributaria" xr:uid="{00000000-0004-0000-2500-000004000000}"/>
    <hyperlink ref="D16" location="'IN1-4'!A1" display="IN1-4 Recaudo por gestión de cartera" xr:uid="{00000000-0004-0000-2500-000005000000}"/>
    <hyperlink ref="D17" location="'IN1-5'!A1" display="IN1-5 Inscritos en el Régimen Simple de Tributación - RST" xr:uid="{00000000-0004-0000-2500-000006000000}"/>
    <hyperlink ref="D18" location="'IN1-6.1'!A1" display="IN1-6.1 Grado de cumplimiento del cronograma de campañas del RST" xr:uid="{00000000-0004-0000-2500-000007000000}"/>
    <hyperlink ref="D19" location="'IN1-8'!A1" display="IN1-8 Contribuyentes habilitados como facturadores electrónicos" xr:uid="{00000000-0004-0000-2500-000008000000}"/>
    <hyperlink ref="D20" location="'JUR-3.1'!A1" display="JUR-3.1 Porcentaje de éxito de litigiosidad" xr:uid="{00000000-0004-0000-2500-000009000000}"/>
    <hyperlink ref="D21" location="'JUR-3.2'!A1" display="JUR-3.2 Porcentaje  procesos judiciales revisados con mayor riesgo en Ekogui" xr:uid="{00000000-0004-0000-2500-00000A000000}"/>
    <hyperlink ref="D22" location="'JUR-3.3'!A1" display="JUR-3.3 Porcentaje de análisis de jurisprudencia remitidos junto con la copia de la sentencia " xr:uid="{00000000-0004-0000-2500-00000B000000}"/>
    <hyperlink ref="D23" location="'JUR-3.4'!Área_de_impresión" display="JUR-3.4 Porcentaje  de procesos revisados con VoBo del Jefe " xr:uid="{00000000-0004-0000-2500-00000C000000}"/>
    <hyperlink ref="D24" location="'JUR-3.5'!A1" display="JUR-3.5 Porcentaje de requerimientos atendidos en oportunidad" xr:uid="{00000000-0004-0000-2500-00000D000000}"/>
    <hyperlink ref="D25" location="'JUR-3.6'!A1" display="JUR-3.6 Porcentaje funcionarios capacitaciones en cursos virtuales de la ANDJE" xr:uid="{00000000-0004-0000-2500-00000E000000}"/>
    <hyperlink ref="D26" location="'JUR-4'!A1" display="JUR-4 Porcentaje funcionarios que participaron en el concurso de escritura jurídica" xr:uid="{00000000-0004-0000-2500-00000F000000}"/>
    <hyperlink ref="D27" location="'FIS-24'!A1" display="FIS-24 Valor Decomisos de mercancías en firme" xr:uid="{00000000-0004-0000-2500-000010000000}"/>
    <hyperlink ref="D29" location="'IN1-11'!A1" display="IN1-11  Nivel de cobertura de personas sensibilizadas por el plan de cultura. ACTUALMENTE. Cumplimiento al Plan de Acción de Cultura de la Contribución" xr:uid="{00000000-0004-0000-2500-000011000000}"/>
    <hyperlink ref="D30" location="'IN1-15'!A1" display="IN1-15 Días en devoluciones ordinarias" xr:uid="{00000000-0004-0000-2500-000012000000}"/>
    <hyperlink ref="D31" location="'JUR-7'!A1" display="JUR-7  Oportunidad en las decisiones de los recursos Tributarios hasta su remisión a notificaciones" xr:uid="{00000000-0004-0000-2500-000013000000}"/>
    <hyperlink ref="D9" location="'DGRAE-1'!Área_de_impresión" display="DGRAE-1 Nivel de Ejecución del presupuesto " xr:uid="{00000000-0004-0000-2500-000014000000}"/>
    <hyperlink ref="D33" location="'DGRAE-25'!Área_de_impresión" display="DGRAE-25 Actividades que componen el  PIC para la Dirección de Gestión" xr:uid="{00000000-0004-0000-2500-000015000000}"/>
    <hyperlink ref="D10" location="'DGRAE-2'!A1" display="DGRAE-2 Nivel de ejecución del PAA de la Dirección" xr:uid="{00000000-0004-0000-2500-000016000000}"/>
    <hyperlink ref="AY2" location="'Consolidado '!A1" display="VOLVER" xr:uid="{00000000-0004-0000-2500-000017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Z38"/>
  <sheetViews>
    <sheetView topLeftCell="E1" zoomScale="60" zoomScaleNormal="60" workbookViewId="0">
      <selection activeCell="AZ4" sqref="AZ4"/>
    </sheetView>
  </sheetViews>
  <sheetFormatPr baseColWidth="10" defaultColWidth="11.42578125" defaultRowHeight="16.5"/>
  <cols>
    <col min="1" max="1" width="23.85546875" style="8" customWidth="1"/>
    <col min="2" max="2" width="37" style="8" customWidth="1"/>
    <col min="3" max="3" width="59.28515625" style="63" bestFit="1" customWidth="1"/>
    <col min="4" max="4" width="25.85546875" style="63" bestFit="1" customWidth="1"/>
    <col min="5" max="5" width="71.42578125" style="8" bestFit="1" customWidth="1"/>
    <col min="6" max="6" width="23.85546875" style="8" bestFit="1" customWidth="1"/>
    <col min="7" max="7" width="22.28515625" style="8" customWidth="1"/>
    <col min="8" max="10" width="10.7109375" style="8" hidden="1" customWidth="1"/>
    <col min="11" max="11" width="30.42578125" style="8" customWidth="1"/>
    <col min="12" max="12" width="22.7109375" style="1173" hidden="1" customWidth="1"/>
    <col min="13" max="13" width="22.7109375" style="8" hidden="1" customWidth="1"/>
    <col min="14" max="14" width="22.7109375" style="444" hidden="1" customWidth="1"/>
    <col min="15" max="16" width="22.7109375" style="8" hidden="1" customWidth="1"/>
    <col min="17" max="17" width="22.7109375" style="444" hidden="1" customWidth="1"/>
    <col min="18" max="19" width="22.7109375" style="8" hidden="1" customWidth="1"/>
    <col min="20" max="20" width="22.7109375" style="444" hidden="1" customWidth="1"/>
    <col min="21" max="22" width="22.7109375" style="8" hidden="1" customWidth="1"/>
    <col min="23" max="23" width="22.7109375" style="444" hidden="1" customWidth="1"/>
    <col min="24" max="25" width="22.7109375" style="8" hidden="1" customWidth="1"/>
    <col min="26" max="26" width="22.7109375" style="444" hidden="1" customWidth="1"/>
    <col min="27" max="28" width="22.7109375" style="8" hidden="1" customWidth="1"/>
    <col min="29" max="29" width="22.7109375" style="444" hidden="1" customWidth="1"/>
    <col min="30" max="30" width="22.7109375" style="8" hidden="1" customWidth="1"/>
    <col min="31" max="31" width="22.7109375" style="444" hidden="1" customWidth="1"/>
    <col min="32" max="33" width="22.7109375" style="8" hidden="1" customWidth="1"/>
    <col min="34" max="34" width="22.7109375" style="444" hidden="1" customWidth="1"/>
    <col min="35" max="36" width="22.7109375" style="8" hidden="1" customWidth="1"/>
    <col min="37" max="37" width="22.7109375" style="444" hidden="1" customWidth="1"/>
    <col min="38" max="39" width="22.7109375" style="8" hidden="1" customWidth="1"/>
    <col min="40" max="40" width="22.7109375" style="444" hidden="1" customWidth="1"/>
    <col min="41" max="42" width="22.7109375" style="8" hidden="1" customWidth="1"/>
    <col min="43" max="43" width="22.7109375" style="444" hidden="1" customWidth="1"/>
    <col min="44" max="45" width="22.7109375" style="8" hidden="1" customWidth="1"/>
    <col min="46" max="46" width="22.7109375" style="444" hidden="1" customWidth="1"/>
    <col min="47" max="48" width="22.7109375" style="210" hidden="1" customWidth="1"/>
    <col min="49" max="49" width="22.7109375" style="444" hidden="1" customWidth="1"/>
    <col min="50" max="50" width="22.7109375" style="8" customWidth="1"/>
    <col min="51" max="51" width="22.7109375" style="444" customWidth="1"/>
    <col min="52" max="16384" width="11.42578125" style="8"/>
  </cols>
  <sheetData>
    <row r="1" spans="1:52" ht="29.25" customHeight="1">
      <c r="A1" s="101"/>
      <c r="B1" s="101"/>
      <c r="C1" s="2885" t="s">
        <v>1026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545" t="s">
        <v>185</v>
      </c>
    </row>
    <row r="3" spans="1:52">
      <c r="A3" s="107"/>
      <c r="B3" s="108"/>
      <c r="C3" s="2866" t="s">
        <v>1027</v>
      </c>
      <c r="D3" s="2867"/>
      <c r="E3" s="2867"/>
      <c r="F3" s="2867"/>
      <c r="G3" s="2867"/>
      <c r="H3" s="2867"/>
      <c r="I3" s="2867"/>
      <c r="J3" s="2867"/>
      <c r="K3" s="2867"/>
      <c r="AZ3" s="444">
        <f>+(AY9+AY10+AY11+AY12+AY13+AY14+AY15+AY16+AY17+AY18+AY19+AY21+AY23+AY25+AY26+AY27+AY29+AY30+AY31+AY33)/20</f>
        <v>1.2625969289855765</v>
      </c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3227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.75" customHeight="1" thickTop="1" thickBot="1">
      <c r="A6" s="2823"/>
      <c r="B6" s="2823"/>
      <c r="C6" s="2823"/>
      <c r="D6" s="2823"/>
      <c r="E6" s="2823"/>
      <c r="F6" s="2823"/>
      <c r="G6" s="3228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3229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6" t="s">
        <v>84</v>
      </c>
      <c r="S8" s="16" t="s">
        <v>85</v>
      </c>
      <c r="T8" s="446" t="s">
        <v>86</v>
      </c>
      <c r="U8" s="16" t="s">
        <v>84</v>
      </c>
      <c r="V8" s="16" t="s">
        <v>85</v>
      </c>
      <c r="W8" s="446" t="s">
        <v>86</v>
      </c>
      <c r="X8" s="16" t="s">
        <v>84</v>
      </c>
      <c r="Y8" s="16" t="s">
        <v>85</v>
      </c>
      <c r="Z8" s="446" t="s">
        <v>86</v>
      </c>
      <c r="AA8" s="16" t="s">
        <v>84</v>
      </c>
      <c r="AB8" s="16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6" t="s">
        <v>84</v>
      </c>
      <c r="AJ8" s="13" t="s">
        <v>85</v>
      </c>
      <c r="AK8" s="446" t="s">
        <v>86</v>
      </c>
      <c r="AL8" s="14" t="s">
        <v>84</v>
      </c>
      <c r="AM8" s="16" t="s">
        <v>85</v>
      </c>
      <c r="AN8" s="446" t="s">
        <v>86</v>
      </c>
      <c r="AO8" s="16" t="s">
        <v>84</v>
      </c>
      <c r="AP8" s="16" t="s">
        <v>85</v>
      </c>
      <c r="AQ8" s="446" t="s">
        <v>86</v>
      </c>
      <c r="AR8" s="16" t="s">
        <v>84</v>
      </c>
      <c r="AS8" s="13" t="s">
        <v>85</v>
      </c>
      <c r="AT8" s="446" t="s">
        <v>86</v>
      </c>
      <c r="AU8" s="2062" t="s">
        <v>84</v>
      </c>
      <c r="AV8" s="2063" t="s">
        <v>85</v>
      </c>
      <c r="AW8" s="446" t="s">
        <v>86</v>
      </c>
      <c r="AX8" s="2065" t="s">
        <v>87</v>
      </c>
      <c r="AY8" s="110" t="s">
        <v>6</v>
      </c>
    </row>
    <row r="9" spans="1:52" s="22" customFormat="1" ht="75" customHeight="1" thickTop="1" thickBot="1">
      <c r="A9" s="2943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2071">
        <v>229</v>
      </c>
      <c r="H9" s="72"/>
      <c r="I9" s="72"/>
      <c r="J9" s="72"/>
      <c r="K9" s="72" t="s">
        <v>25</v>
      </c>
      <c r="L9" s="2426">
        <v>23.138999999999999</v>
      </c>
      <c r="M9" s="2427">
        <v>31</v>
      </c>
      <c r="N9" s="73">
        <f>+M9/L9</f>
        <v>1.3397294610830202</v>
      </c>
      <c r="O9" s="2426">
        <v>51.43</v>
      </c>
      <c r="P9" s="2427">
        <v>29</v>
      </c>
      <c r="Q9" s="73">
        <f>+P9/O9</f>
        <v>0.56387322574372933</v>
      </c>
      <c r="R9" s="2426">
        <v>8.7799999999999994</v>
      </c>
      <c r="S9" s="2427">
        <v>11</v>
      </c>
      <c r="T9" s="73">
        <f t="shared" ref="T9:T10" si="0">+S9/R9</f>
        <v>1.2528473804100229</v>
      </c>
      <c r="U9" s="2426">
        <v>9.643751</v>
      </c>
      <c r="V9" s="2427">
        <v>10</v>
      </c>
      <c r="W9" s="73">
        <f>+V9/U9</f>
        <v>1.0369409164546035</v>
      </c>
      <c r="X9" s="2426">
        <v>8.9</v>
      </c>
      <c r="Y9" s="2427">
        <v>3</v>
      </c>
      <c r="Z9" s="73">
        <f>+Y9/X9</f>
        <v>0.33707865168539325</v>
      </c>
      <c r="AA9" s="2426">
        <v>8.9</v>
      </c>
      <c r="AB9" s="2427">
        <v>12</v>
      </c>
      <c r="AC9" s="73">
        <f>+AB9/AA9</f>
        <v>1.348314606741573</v>
      </c>
      <c r="AD9" s="2428">
        <f t="shared" ref="AD9:AD10" si="1">+M9+P9+S9+V9+Y9+AB9</f>
        <v>96</v>
      </c>
      <c r="AE9" s="73">
        <f t="shared" ref="AE9:AE10" si="2">AD9/G9</f>
        <v>0.41921397379912662</v>
      </c>
      <c r="AF9" s="2426">
        <v>9</v>
      </c>
      <c r="AG9" s="2427">
        <v>5</v>
      </c>
      <c r="AH9" s="73">
        <f t="shared" ref="AH9:AH10" si="3">+AG9/AF9</f>
        <v>0.55555555555555558</v>
      </c>
      <c r="AI9" s="2426">
        <v>8.8000000000000007</v>
      </c>
      <c r="AJ9" s="2427">
        <v>6</v>
      </c>
      <c r="AK9" s="73">
        <f>+AJ9/AI9</f>
        <v>0.68181818181818177</v>
      </c>
      <c r="AL9" s="2426">
        <v>8.68</v>
      </c>
      <c r="AM9" s="2427">
        <v>20</v>
      </c>
      <c r="AN9" s="73">
        <f>+AM9/AL9</f>
        <v>2.3041474654377883</v>
      </c>
      <c r="AO9" s="2426">
        <v>8.7799999999999994</v>
      </c>
      <c r="AP9" s="2427">
        <v>63</v>
      </c>
      <c r="AQ9" s="73">
        <f>+AP9/AO9</f>
        <v>7.1753986332574033</v>
      </c>
      <c r="AR9" s="2426">
        <v>26.255258000000001</v>
      </c>
      <c r="AS9" s="2427">
        <v>30</v>
      </c>
      <c r="AT9" s="73">
        <f>+AS9/AR9</f>
        <v>1.1426282689737803</v>
      </c>
      <c r="AU9" s="2429">
        <v>8.9109999999999996</v>
      </c>
      <c r="AV9" s="2430">
        <v>8</v>
      </c>
      <c r="AW9" s="73">
        <f>+AV9/AU9</f>
        <v>0.89776680507238249</v>
      </c>
      <c r="AX9" s="2431">
        <f>+M9+P9+S9+V9+Y9+AB9+AG9+AJ9+AM9+AP9+AS9+AV9</f>
        <v>228</v>
      </c>
      <c r="AY9" s="73">
        <f>+AX9/G9</f>
        <v>0.99563318777292575</v>
      </c>
    </row>
    <row r="10" spans="1:52" s="1489" customFormat="1" ht="75" customHeight="1" thickTop="1" thickBot="1">
      <c r="A10" s="2944"/>
      <c r="B10" s="2947"/>
      <c r="C10" s="74" t="s">
        <v>169</v>
      </c>
      <c r="D10" s="2320" t="s">
        <v>92</v>
      </c>
      <c r="E10" s="2321" t="s">
        <v>1028</v>
      </c>
      <c r="F10" s="2321" t="s">
        <v>17</v>
      </c>
      <c r="G10" s="2432">
        <v>7</v>
      </c>
      <c r="H10" s="2321" t="s">
        <v>26</v>
      </c>
      <c r="I10" s="2130"/>
      <c r="J10" s="2130"/>
      <c r="K10" s="2129" t="s">
        <v>26</v>
      </c>
      <c r="L10" s="461">
        <v>1</v>
      </c>
      <c r="M10" s="462">
        <v>1</v>
      </c>
      <c r="N10" s="73">
        <f t="shared" ref="N10:N33" si="4">+M10/L10</f>
        <v>1</v>
      </c>
      <c r="O10" s="461">
        <v>2</v>
      </c>
      <c r="P10" s="462">
        <v>2</v>
      </c>
      <c r="Q10" s="73">
        <f t="shared" ref="Q10:Q33" si="5">+P10/O10</f>
        <v>1</v>
      </c>
      <c r="R10" s="461">
        <v>0</v>
      </c>
      <c r="S10" s="461">
        <v>0</v>
      </c>
      <c r="T10" s="73" t="e">
        <f t="shared" si="0"/>
        <v>#DIV/0!</v>
      </c>
      <c r="U10" s="461">
        <v>0</v>
      </c>
      <c r="V10" s="461">
        <v>0</v>
      </c>
      <c r="W10" s="73" t="e">
        <f t="shared" ref="W10:W33" si="6">+V10/U10</f>
        <v>#DIV/0!</v>
      </c>
      <c r="X10" s="461">
        <v>0</v>
      </c>
      <c r="Y10" s="461">
        <v>0</v>
      </c>
      <c r="Z10" s="73" t="e">
        <f t="shared" ref="Z10:Z33" si="7">+Y10/X10</f>
        <v>#DIV/0!</v>
      </c>
      <c r="AA10" s="461">
        <v>1</v>
      </c>
      <c r="AB10" s="462">
        <v>1</v>
      </c>
      <c r="AC10" s="73">
        <f t="shared" ref="AC10:AC33" si="8">+AB10/AA10</f>
        <v>1</v>
      </c>
      <c r="AD10" s="462">
        <f t="shared" si="1"/>
        <v>4</v>
      </c>
      <c r="AE10" s="73">
        <f t="shared" si="2"/>
        <v>0.5714285714285714</v>
      </c>
      <c r="AF10" s="461">
        <v>0</v>
      </c>
      <c r="AG10" s="461">
        <v>0</v>
      </c>
      <c r="AH10" s="73" t="e">
        <f t="shared" si="3"/>
        <v>#DIV/0!</v>
      </c>
      <c r="AI10" s="461">
        <v>0</v>
      </c>
      <c r="AJ10" s="461">
        <v>0</v>
      </c>
      <c r="AK10" s="73" t="e">
        <f t="shared" ref="AK10:AK33" si="9">+AJ10/AI10</f>
        <v>#DIV/0!</v>
      </c>
      <c r="AL10" s="461">
        <v>1</v>
      </c>
      <c r="AM10" s="462">
        <v>1</v>
      </c>
      <c r="AN10" s="73">
        <f t="shared" ref="AN10:AN33" si="10">+AM10/AL10</f>
        <v>1</v>
      </c>
      <c r="AO10" s="461">
        <v>1</v>
      </c>
      <c r="AP10" s="462">
        <v>1</v>
      </c>
      <c r="AQ10" s="73">
        <f t="shared" ref="AQ10:AQ33" si="11">+AP10/AO10</f>
        <v>1</v>
      </c>
      <c r="AR10" s="461">
        <v>1</v>
      </c>
      <c r="AS10" s="462">
        <v>1</v>
      </c>
      <c r="AT10" s="73">
        <f t="shared" ref="AT10:AT33" si="12">+AS10/AR10</f>
        <v>1</v>
      </c>
      <c r="AU10" s="1461">
        <v>0</v>
      </c>
      <c r="AV10" s="1461">
        <v>0</v>
      </c>
      <c r="AW10" s="73" t="e">
        <f t="shared" ref="AW10" si="13">+AV10/AU10</f>
        <v>#DIV/0!</v>
      </c>
      <c r="AX10" s="2433">
        <f t="shared" ref="AX10" si="14">+M10+P10+S10+V10+Y10+AB10+AG10+AJ10+AM10+AP10+AS10+AV10</f>
        <v>7</v>
      </c>
      <c r="AY10" s="73">
        <f>+AX10/G10</f>
        <v>1</v>
      </c>
    </row>
    <row r="11" spans="1:52" s="22" customFormat="1" ht="75" customHeight="1" thickTop="1" thickBot="1">
      <c r="A11" s="2944"/>
      <c r="B11" s="2991" t="s">
        <v>94</v>
      </c>
      <c r="C11" s="878" t="s">
        <v>991</v>
      </c>
      <c r="D11" s="627" t="s">
        <v>96</v>
      </c>
      <c r="E11" s="25" t="s">
        <v>97</v>
      </c>
      <c r="F11" s="25" t="s">
        <v>168</v>
      </c>
      <c r="G11" s="2434">
        <v>319715</v>
      </c>
      <c r="H11" s="25"/>
      <c r="I11" s="25"/>
      <c r="J11" s="25"/>
      <c r="K11" s="25" t="s">
        <v>20</v>
      </c>
      <c r="L11" s="2426">
        <v>41325</v>
      </c>
      <c r="M11" s="2427">
        <v>41325</v>
      </c>
      <c r="N11" s="73">
        <f>+M11/L11</f>
        <v>1</v>
      </c>
      <c r="O11" s="2426">
        <v>16168</v>
      </c>
      <c r="P11" s="2427">
        <v>16168</v>
      </c>
      <c r="Q11" s="73">
        <f>+P11/O11</f>
        <v>1</v>
      </c>
      <c r="R11" s="2426">
        <v>27844</v>
      </c>
      <c r="S11" s="2427">
        <v>27844</v>
      </c>
      <c r="T11" s="73">
        <f>+S11/R11</f>
        <v>1</v>
      </c>
      <c r="U11" s="2426">
        <v>18407</v>
      </c>
      <c r="V11" s="2427">
        <v>18407</v>
      </c>
      <c r="W11" s="73">
        <f>+V11/U11</f>
        <v>1</v>
      </c>
      <c r="X11" s="2426">
        <v>33597</v>
      </c>
      <c r="Y11" s="2427">
        <v>33597</v>
      </c>
      <c r="Z11" s="73">
        <f>+Y11/X11</f>
        <v>1</v>
      </c>
      <c r="AA11" s="2426">
        <v>20092</v>
      </c>
      <c r="AB11" s="2427">
        <v>20092</v>
      </c>
      <c r="AC11" s="73">
        <f>+AB11/AA11</f>
        <v>1</v>
      </c>
      <c r="AD11" s="2427">
        <f>+M11+P11+S11+V11+Y11+AB11</f>
        <v>157433</v>
      </c>
      <c r="AE11" s="73">
        <f>AD11/G11</f>
        <v>0.49241668360883911</v>
      </c>
      <c r="AF11" s="2426">
        <v>20182</v>
      </c>
      <c r="AG11" s="2427">
        <v>20182</v>
      </c>
      <c r="AH11" s="73">
        <f>+AG11/AF11</f>
        <v>1</v>
      </c>
      <c r="AI11" s="2426">
        <v>21726</v>
      </c>
      <c r="AJ11" s="2427">
        <v>21726</v>
      </c>
      <c r="AK11" s="73">
        <f>+AJ11/AI11</f>
        <v>1</v>
      </c>
      <c r="AL11" s="2426">
        <v>44244</v>
      </c>
      <c r="AM11" s="2427">
        <v>44244</v>
      </c>
      <c r="AN11" s="73">
        <f>+AM11/AL11</f>
        <v>1</v>
      </c>
      <c r="AO11" s="2426">
        <v>23472</v>
      </c>
      <c r="AP11" s="2427">
        <v>23472</v>
      </c>
      <c r="AQ11" s="73">
        <f>+AP11/AO11</f>
        <v>1</v>
      </c>
      <c r="AR11" s="2426">
        <v>34926</v>
      </c>
      <c r="AS11" s="2427">
        <v>34926</v>
      </c>
      <c r="AT11" s="73">
        <f>+AS11/AR11</f>
        <v>1</v>
      </c>
      <c r="AU11" s="2429">
        <v>17732</v>
      </c>
      <c r="AV11" s="2430">
        <v>17732</v>
      </c>
      <c r="AW11" s="73">
        <f>+AV11/AU11</f>
        <v>1</v>
      </c>
      <c r="AX11" s="2431">
        <f>+M11+P11+S11+V11+Y11+AB11+AG11+AJ11+AM11+AP11+AS11+AV11</f>
        <v>319715</v>
      </c>
      <c r="AY11" s="73">
        <f>+AX11/G11</f>
        <v>1</v>
      </c>
    </row>
    <row r="12" spans="1:52" s="22" customFormat="1" ht="75" customHeight="1" thickTop="1" thickBot="1">
      <c r="A12" s="2944"/>
      <c r="B12" s="2992"/>
      <c r="C12" s="3230" t="s">
        <v>1029</v>
      </c>
      <c r="D12" s="623" t="s">
        <v>99</v>
      </c>
      <c r="E12" s="561" t="s">
        <v>100</v>
      </c>
      <c r="F12" s="561" t="s">
        <v>101</v>
      </c>
      <c r="G12" s="2435">
        <v>24500000000</v>
      </c>
      <c r="H12" s="96"/>
      <c r="I12" s="2081"/>
      <c r="J12" s="96"/>
      <c r="K12" s="561" t="s">
        <v>172</v>
      </c>
      <c r="L12" s="2436">
        <v>1960000000</v>
      </c>
      <c r="M12" s="2428">
        <v>256731000</v>
      </c>
      <c r="N12" s="73">
        <f t="shared" si="4"/>
        <v>0.13098520408163267</v>
      </c>
      <c r="O12" s="2436">
        <v>1960000000</v>
      </c>
      <c r="P12" s="2428">
        <v>2394475250</v>
      </c>
      <c r="Q12" s="73">
        <f t="shared" si="5"/>
        <v>1.2216710459183673</v>
      </c>
      <c r="R12" s="2436">
        <v>1960000000</v>
      </c>
      <c r="S12" s="2428">
        <v>303344250</v>
      </c>
      <c r="T12" s="73">
        <f t="shared" ref="T12:T33" si="15">+S12/R12</f>
        <v>0.15476747448979591</v>
      </c>
      <c r="U12" s="2436">
        <v>2205000000</v>
      </c>
      <c r="V12" s="2428">
        <v>58957000</v>
      </c>
      <c r="W12" s="73">
        <f t="shared" si="6"/>
        <v>2.6737868480725624E-2</v>
      </c>
      <c r="X12" s="2436">
        <v>2450000000</v>
      </c>
      <c r="Y12" s="2428">
        <v>306574000</v>
      </c>
      <c r="Z12" s="73">
        <f t="shared" si="7"/>
        <v>0.12513224489795918</v>
      </c>
      <c r="AA12" s="2436">
        <v>2450000000</v>
      </c>
      <c r="AB12" s="2428">
        <v>2518593000</v>
      </c>
      <c r="AC12" s="73">
        <f t="shared" si="8"/>
        <v>1.0279971428571428</v>
      </c>
      <c r="AD12" s="2428">
        <f t="shared" ref="AD12:AD31" si="16">+M12+P12+S12+V12+Y12+AB12</f>
        <v>5838674500</v>
      </c>
      <c r="AE12" s="73">
        <f t="shared" ref="AE12:AE33" si="17">AD12/G12</f>
        <v>0.23831324489795919</v>
      </c>
      <c r="AF12" s="2436">
        <v>2450000000</v>
      </c>
      <c r="AG12" s="2428">
        <v>7297804540</v>
      </c>
      <c r="AH12" s="73">
        <f t="shared" ref="AH12:AH33" si="18">+AG12/AF12</f>
        <v>2.978695730612245</v>
      </c>
      <c r="AI12" s="2436">
        <v>2450000000</v>
      </c>
      <c r="AJ12" s="2428">
        <v>14031163000</v>
      </c>
      <c r="AK12" s="73">
        <f t="shared" si="9"/>
        <v>5.7270053061224493</v>
      </c>
      <c r="AL12" s="2436">
        <v>2450000000</v>
      </c>
      <c r="AM12" s="2428">
        <v>441984000</v>
      </c>
      <c r="AN12" s="73">
        <f t="shared" si="10"/>
        <v>0.18040163265306122</v>
      </c>
      <c r="AO12" s="2436">
        <v>2450000000</v>
      </c>
      <c r="AP12" s="2428">
        <v>816175000</v>
      </c>
      <c r="AQ12" s="73">
        <f t="shared" si="11"/>
        <v>0.33313265306122447</v>
      </c>
      <c r="AR12" s="2436">
        <v>980000000</v>
      </c>
      <c r="AS12" s="2428">
        <v>59240964000</v>
      </c>
      <c r="AT12" s="73">
        <f t="shared" si="12"/>
        <v>60.449963265306124</v>
      </c>
      <c r="AU12" s="2437">
        <v>735000000</v>
      </c>
      <c r="AV12" s="2438">
        <v>3507691047</v>
      </c>
      <c r="AW12" s="73">
        <f t="shared" ref="AW12:AW33" si="19">+AV12/AU12</f>
        <v>4.7723687714285719</v>
      </c>
      <c r="AX12" s="2433">
        <f t="shared" ref="AX12:AX29" si="20">+M12+P12+S12+V12+Y12+AB12+AG12+AJ12+AM12+AP12+AS12+AV12</f>
        <v>91174456087</v>
      </c>
      <c r="AY12" s="73">
        <f t="shared" ref="AY12:AY29" si="21">+AX12/G12</f>
        <v>3.721406370897959</v>
      </c>
    </row>
    <row r="13" spans="1:52" s="22" customFormat="1" ht="75" customHeight="1" thickTop="1" thickBot="1">
      <c r="A13" s="2944"/>
      <c r="B13" s="2992"/>
      <c r="C13" s="3231"/>
      <c r="D13" s="627" t="s">
        <v>102</v>
      </c>
      <c r="E13" s="25" t="s">
        <v>527</v>
      </c>
      <c r="F13" s="25" t="s">
        <v>101</v>
      </c>
      <c r="G13" s="2439">
        <v>18400000000</v>
      </c>
      <c r="H13" s="386"/>
      <c r="I13" s="2440"/>
      <c r="J13" s="386"/>
      <c r="K13" s="561" t="s">
        <v>172</v>
      </c>
      <c r="L13" s="2426">
        <v>1472000000</v>
      </c>
      <c r="M13" s="2427">
        <v>952923000</v>
      </c>
      <c r="N13" s="73">
        <f t="shared" si="4"/>
        <v>0.64736616847826089</v>
      </c>
      <c r="O13" s="2426">
        <v>1472000000</v>
      </c>
      <c r="P13" s="2427">
        <v>274853000</v>
      </c>
      <c r="Q13" s="73">
        <f t="shared" si="5"/>
        <v>0.18672078804347825</v>
      </c>
      <c r="R13" s="2426">
        <v>1472000000</v>
      </c>
      <c r="S13" s="2427">
        <v>433290000</v>
      </c>
      <c r="T13" s="73">
        <f t="shared" si="15"/>
        <v>0.29435461956521741</v>
      </c>
      <c r="U13" s="2426">
        <v>1656000000</v>
      </c>
      <c r="V13" s="2427">
        <v>58957000</v>
      </c>
      <c r="W13" s="73">
        <f t="shared" si="6"/>
        <v>3.5602053140096616E-2</v>
      </c>
      <c r="X13" s="2426">
        <v>1840000000</v>
      </c>
      <c r="Y13" s="2427">
        <v>306574000</v>
      </c>
      <c r="Z13" s="73">
        <f t="shared" si="7"/>
        <v>0.16661630434782609</v>
      </c>
      <c r="AA13" s="2426">
        <v>1840000000</v>
      </c>
      <c r="AB13" s="2427">
        <v>471165000</v>
      </c>
      <c r="AC13" s="73">
        <f t="shared" si="8"/>
        <v>0.2560679347826087</v>
      </c>
      <c r="AD13" s="2427">
        <f t="shared" si="16"/>
        <v>2497762000</v>
      </c>
      <c r="AE13" s="73">
        <f t="shared" si="17"/>
        <v>0.13574793478260869</v>
      </c>
      <c r="AF13" s="2426">
        <v>1840000000</v>
      </c>
      <c r="AG13" s="2427">
        <v>2102707000</v>
      </c>
      <c r="AH13" s="73">
        <f t="shared" si="18"/>
        <v>1.1427755434782609</v>
      </c>
      <c r="AI13" s="2426">
        <v>1840000000</v>
      </c>
      <c r="AJ13" s="2427">
        <v>1762350000</v>
      </c>
      <c r="AK13" s="73">
        <f t="shared" si="9"/>
        <v>0.95779891304347831</v>
      </c>
      <c r="AL13" s="2426">
        <v>1840000000</v>
      </c>
      <c r="AM13" s="2427">
        <v>737846000</v>
      </c>
      <c r="AN13" s="73">
        <f t="shared" si="10"/>
        <v>0.40100326086956523</v>
      </c>
      <c r="AO13" s="2426">
        <v>1840000000</v>
      </c>
      <c r="AP13" s="2427">
        <v>522180000</v>
      </c>
      <c r="AQ13" s="73">
        <f t="shared" si="11"/>
        <v>0.28379347826086959</v>
      </c>
      <c r="AR13" s="2426">
        <v>736000000</v>
      </c>
      <c r="AS13" s="2427">
        <v>59499369000</v>
      </c>
      <c r="AT13" s="73">
        <f t="shared" si="12"/>
        <v>80.8415339673913</v>
      </c>
      <c r="AU13" s="2429">
        <v>552000000</v>
      </c>
      <c r="AV13" s="2430">
        <v>2889060047</v>
      </c>
      <c r="AW13" s="73">
        <f t="shared" si="19"/>
        <v>5.2338044329710147</v>
      </c>
      <c r="AX13" s="2431">
        <f t="shared" si="20"/>
        <v>70011274047</v>
      </c>
      <c r="AY13" s="73">
        <f t="shared" si="21"/>
        <v>3.8049605460326088</v>
      </c>
    </row>
    <row r="14" spans="1:52" s="22" customFormat="1" ht="75" customHeight="1" thickTop="1" thickBot="1">
      <c r="A14" s="2944"/>
      <c r="B14" s="2992"/>
      <c r="C14" s="3231"/>
      <c r="D14" s="627" t="s">
        <v>104</v>
      </c>
      <c r="E14" s="25" t="s">
        <v>105</v>
      </c>
      <c r="F14" s="25" t="s">
        <v>24</v>
      </c>
      <c r="G14" s="407">
        <v>60</v>
      </c>
      <c r="H14" s="25"/>
      <c r="I14" s="25"/>
      <c r="J14" s="25"/>
      <c r="K14" s="25" t="s">
        <v>172</v>
      </c>
      <c r="L14" s="2441">
        <v>0</v>
      </c>
      <c r="M14" s="2441">
        <v>0</v>
      </c>
      <c r="N14" s="73" t="e">
        <f t="shared" si="4"/>
        <v>#DIV/0!</v>
      </c>
      <c r="O14" s="2441">
        <v>0</v>
      </c>
      <c r="P14" s="2441">
        <v>0</v>
      </c>
      <c r="Q14" s="73" t="e">
        <f t="shared" si="5"/>
        <v>#DIV/0!</v>
      </c>
      <c r="R14" s="2441">
        <v>15</v>
      </c>
      <c r="S14" s="2410">
        <v>2</v>
      </c>
      <c r="T14" s="73">
        <f t="shared" si="15"/>
        <v>0.13333333333333333</v>
      </c>
      <c r="U14" s="2441">
        <v>0</v>
      </c>
      <c r="V14" s="2441">
        <v>0</v>
      </c>
      <c r="W14" s="73" t="e">
        <f t="shared" si="6"/>
        <v>#DIV/0!</v>
      </c>
      <c r="X14" s="2441">
        <v>0</v>
      </c>
      <c r="Y14" s="2441">
        <v>0</v>
      </c>
      <c r="Z14" s="73" t="e">
        <f t="shared" si="7"/>
        <v>#DIV/0!</v>
      </c>
      <c r="AA14" s="2441">
        <v>15</v>
      </c>
      <c r="AB14" s="2410">
        <v>0</v>
      </c>
      <c r="AC14" s="73">
        <f t="shared" si="8"/>
        <v>0</v>
      </c>
      <c r="AD14" s="2442">
        <f>+AB14+S14</f>
        <v>2</v>
      </c>
      <c r="AE14" s="73">
        <f t="shared" si="17"/>
        <v>3.3333333333333333E-2</v>
      </c>
      <c r="AF14" s="2441">
        <v>0</v>
      </c>
      <c r="AG14" s="2441">
        <v>0</v>
      </c>
      <c r="AH14" s="73" t="e">
        <f t="shared" si="18"/>
        <v>#DIV/0!</v>
      </c>
      <c r="AI14" s="2441">
        <v>0</v>
      </c>
      <c r="AJ14" s="2441">
        <v>0</v>
      </c>
      <c r="AK14" s="73" t="e">
        <f t="shared" si="9"/>
        <v>#DIV/0!</v>
      </c>
      <c r="AL14" s="2441">
        <v>15</v>
      </c>
      <c r="AM14" s="2441">
        <v>0</v>
      </c>
      <c r="AN14" s="73">
        <f t="shared" si="10"/>
        <v>0</v>
      </c>
      <c r="AO14" s="2441">
        <v>0</v>
      </c>
      <c r="AP14" s="2441">
        <v>0</v>
      </c>
      <c r="AQ14" s="73" t="e">
        <f t="shared" si="11"/>
        <v>#DIV/0!</v>
      </c>
      <c r="AR14" s="2441">
        <v>0</v>
      </c>
      <c r="AS14" s="2441">
        <v>0</v>
      </c>
      <c r="AT14" s="73" t="e">
        <f t="shared" si="12"/>
        <v>#DIV/0!</v>
      </c>
      <c r="AU14" s="2409">
        <v>15</v>
      </c>
      <c r="AV14" s="2443">
        <v>14</v>
      </c>
      <c r="AW14" s="73">
        <f t="shared" si="19"/>
        <v>0.93333333333333335</v>
      </c>
      <c r="AX14" s="2444">
        <f>+AV14+AM14+AB14+S14</f>
        <v>16</v>
      </c>
      <c r="AY14" s="73">
        <f t="shared" si="21"/>
        <v>0.26666666666666666</v>
      </c>
    </row>
    <row r="15" spans="1:52" s="22" customFormat="1" ht="75" customHeight="1" thickTop="1" thickBot="1">
      <c r="A15" s="2944"/>
      <c r="B15" s="2992"/>
      <c r="C15" s="3232"/>
      <c r="D15" s="623" t="s">
        <v>106</v>
      </c>
      <c r="E15" s="561" t="s">
        <v>173</v>
      </c>
      <c r="F15" s="561" t="s">
        <v>24</v>
      </c>
      <c r="G15" s="2445">
        <v>76</v>
      </c>
      <c r="H15" s="561"/>
      <c r="I15" s="561"/>
      <c r="J15" s="561"/>
      <c r="K15" s="25" t="s">
        <v>172</v>
      </c>
      <c r="L15" s="2441">
        <v>0</v>
      </c>
      <c r="M15" s="2441">
        <v>0</v>
      </c>
      <c r="N15" s="73" t="e">
        <f t="shared" si="4"/>
        <v>#DIV/0!</v>
      </c>
      <c r="O15" s="2441">
        <v>0</v>
      </c>
      <c r="P15" s="2441">
        <v>0</v>
      </c>
      <c r="Q15" s="73" t="e">
        <f t="shared" si="5"/>
        <v>#DIV/0!</v>
      </c>
      <c r="R15" s="2441">
        <v>0</v>
      </c>
      <c r="S15" s="2441">
        <v>0</v>
      </c>
      <c r="T15" s="73" t="e">
        <f t="shared" si="15"/>
        <v>#DIV/0!</v>
      </c>
      <c r="U15" s="2441">
        <v>0</v>
      </c>
      <c r="V15" s="2441">
        <v>0</v>
      </c>
      <c r="W15" s="73" t="e">
        <f t="shared" si="6"/>
        <v>#DIV/0!</v>
      </c>
      <c r="X15" s="2441">
        <v>0</v>
      </c>
      <c r="Y15" s="2441">
        <v>0</v>
      </c>
      <c r="Z15" s="73" t="e">
        <f t="shared" si="7"/>
        <v>#DIV/0!</v>
      </c>
      <c r="AA15" s="2441">
        <v>0</v>
      </c>
      <c r="AB15" s="2441">
        <v>0</v>
      </c>
      <c r="AC15" s="73" t="e">
        <f t="shared" si="8"/>
        <v>#DIV/0!</v>
      </c>
      <c r="AD15" s="2442">
        <f t="shared" si="16"/>
        <v>0</v>
      </c>
      <c r="AE15" s="73">
        <f t="shared" si="17"/>
        <v>0</v>
      </c>
      <c r="AF15" s="2441">
        <v>38</v>
      </c>
      <c r="AG15" s="2410">
        <v>28</v>
      </c>
      <c r="AH15" s="73">
        <f t="shared" si="18"/>
        <v>0.73684210526315785</v>
      </c>
      <c r="AI15" s="2441">
        <v>0</v>
      </c>
      <c r="AJ15" s="2441">
        <v>0</v>
      </c>
      <c r="AK15" s="73" t="e">
        <f t="shared" si="9"/>
        <v>#DIV/0!</v>
      </c>
      <c r="AL15" s="2441">
        <v>0</v>
      </c>
      <c r="AM15" s="2441">
        <v>0</v>
      </c>
      <c r="AN15" s="73" t="e">
        <f t="shared" si="10"/>
        <v>#DIV/0!</v>
      </c>
      <c r="AO15" s="2441">
        <v>0</v>
      </c>
      <c r="AP15" s="2441">
        <v>0</v>
      </c>
      <c r="AQ15" s="73" t="e">
        <f t="shared" si="11"/>
        <v>#DIV/0!</v>
      </c>
      <c r="AR15" s="2441">
        <v>0</v>
      </c>
      <c r="AS15" s="2441">
        <v>0</v>
      </c>
      <c r="AT15" s="73" t="e">
        <f t="shared" si="12"/>
        <v>#DIV/0!</v>
      </c>
      <c r="AU15" s="2409">
        <v>38</v>
      </c>
      <c r="AV15" s="2443">
        <v>24</v>
      </c>
      <c r="AW15" s="73">
        <f t="shared" si="19"/>
        <v>0.63157894736842102</v>
      </c>
      <c r="AX15" s="2444">
        <f>+AV15+AG15</f>
        <v>52</v>
      </c>
      <c r="AY15" s="73">
        <f>+AX15/G15</f>
        <v>0.68421052631578949</v>
      </c>
    </row>
    <row r="16" spans="1:52" s="22" customFormat="1" ht="75" customHeight="1" thickTop="1" thickBot="1">
      <c r="A16" s="2944"/>
      <c r="B16" s="2992"/>
      <c r="C16" s="561" t="s">
        <v>640</v>
      </c>
      <c r="D16" s="623" t="s">
        <v>109</v>
      </c>
      <c r="E16" s="561" t="s">
        <v>1030</v>
      </c>
      <c r="F16" s="561" t="s">
        <v>168</v>
      </c>
      <c r="G16" s="2435">
        <v>53956</v>
      </c>
      <c r="H16" s="85"/>
      <c r="I16" s="2091"/>
      <c r="J16" s="85"/>
      <c r="K16" s="561" t="s">
        <v>21</v>
      </c>
      <c r="L16" s="2446">
        <v>0</v>
      </c>
      <c r="M16" s="2446">
        <v>0</v>
      </c>
      <c r="N16" s="73" t="e">
        <f t="shared" si="4"/>
        <v>#DIV/0!</v>
      </c>
      <c r="O16" s="2446">
        <v>0</v>
      </c>
      <c r="P16" s="2446">
        <v>0</v>
      </c>
      <c r="Q16" s="73" t="e">
        <f t="shared" si="5"/>
        <v>#DIV/0!</v>
      </c>
      <c r="R16" s="2446">
        <v>12815.425397682953</v>
      </c>
      <c r="S16" s="2447">
        <v>12101.2</v>
      </c>
      <c r="T16" s="73">
        <f t="shared" si="15"/>
        <v>0.9442683035857643</v>
      </c>
      <c r="U16" s="2446">
        <v>3388.6067391740316</v>
      </c>
      <c r="V16" s="2447">
        <v>1651.8</v>
      </c>
      <c r="W16" s="73">
        <f t="shared" si="6"/>
        <v>0.48745697779100328</v>
      </c>
      <c r="X16" s="2446">
        <v>5219.1790732448026</v>
      </c>
      <c r="Y16" s="2447">
        <v>3456.3</v>
      </c>
      <c r="Z16" s="73">
        <f t="shared" si="7"/>
        <v>0.66223058291257153</v>
      </c>
      <c r="AA16" s="2446">
        <v>3349.8997461663034</v>
      </c>
      <c r="AB16" s="2447">
        <v>3954.1</v>
      </c>
      <c r="AC16" s="73">
        <f t="shared" si="8"/>
        <v>1.1803636823833776</v>
      </c>
      <c r="AD16" s="2447">
        <f t="shared" si="16"/>
        <v>21163.399999999998</v>
      </c>
      <c r="AE16" s="73">
        <f t="shared" si="17"/>
        <v>0.39223441322559116</v>
      </c>
      <c r="AF16" s="2446">
        <v>3550.512942906671</v>
      </c>
      <c r="AG16" s="2447">
        <v>2923.4</v>
      </c>
      <c r="AH16" s="73">
        <f t="shared" si="18"/>
        <v>0.82337398764887271</v>
      </c>
      <c r="AI16" s="2446">
        <v>3659.3800333628978</v>
      </c>
      <c r="AJ16" s="2447">
        <v>3104.3</v>
      </c>
      <c r="AK16" s="73">
        <f t="shared" si="9"/>
        <v>0.84831309448535464</v>
      </c>
      <c r="AL16" s="2446">
        <v>5627.2857646596531</v>
      </c>
      <c r="AM16" s="2447">
        <v>4671.6000000000004</v>
      </c>
      <c r="AN16" s="73">
        <f t="shared" si="10"/>
        <v>0.83016932058763959</v>
      </c>
      <c r="AO16" s="2446">
        <v>6359.7802897172787</v>
      </c>
      <c r="AP16" s="2447">
        <v>4066.3</v>
      </c>
      <c r="AQ16" s="73">
        <f t="shared" si="11"/>
        <v>0.63937743361583421</v>
      </c>
      <c r="AR16" s="2446">
        <v>6220.6137427970425</v>
      </c>
      <c r="AS16" s="2447">
        <v>3770</v>
      </c>
      <c r="AT16" s="73">
        <f t="shared" si="12"/>
        <v>0.60604952435205428</v>
      </c>
      <c r="AU16" s="2448">
        <v>3764.8963685305403</v>
      </c>
      <c r="AV16" s="2449">
        <v>4080</v>
      </c>
      <c r="AW16" s="73">
        <f t="shared" si="19"/>
        <v>1.0836951673101287</v>
      </c>
      <c r="AX16" s="2450">
        <f t="shared" si="20"/>
        <v>43779</v>
      </c>
      <c r="AY16" s="73">
        <f t="shared" si="21"/>
        <v>0.81138334939580403</v>
      </c>
    </row>
    <row r="17" spans="1:51" s="22" customFormat="1" ht="75" customHeight="1" thickTop="1" thickBot="1">
      <c r="A17" s="2944"/>
      <c r="B17" s="2992"/>
      <c r="C17" s="1477" t="s">
        <v>1031</v>
      </c>
      <c r="D17" s="623" t="s">
        <v>111</v>
      </c>
      <c r="E17" s="561" t="s">
        <v>112</v>
      </c>
      <c r="F17" s="561" t="s">
        <v>17</v>
      </c>
      <c r="G17" s="2445">
        <v>201</v>
      </c>
      <c r="H17" s="561"/>
      <c r="I17" s="561"/>
      <c r="J17" s="561"/>
      <c r="K17" s="561" t="s">
        <v>20</v>
      </c>
      <c r="L17" s="1182">
        <v>0</v>
      </c>
      <c r="M17" s="1182">
        <v>0</v>
      </c>
      <c r="N17" s="73" t="e">
        <f t="shared" si="4"/>
        <v>#DIV/0!</v>
      </c>
      <c r="O17" s="1182">
        <v>0</v>
      </c>
      <c r="P17" s="1182">
        <v>0</v>
      </c>
      <c r="Q17" s="73" t="e">
        <f t="shared" si="5"/>
        <v>#DIV/0!</v>
      </c>
      <c r="R17" s="1182">
        <v>0</v>
      </c>
      <c r="S17" s="1182">
        <v>0</v>
      </c>
      <c r="T17" s="73" t="e">
        <f t="shared" si="15"/>
        <v>#DIV/0!</v>
      </c>
      <c r="U17" s="1182">
        <v>0</v>
      </c>
      <c r="V17" s="1182">
        <v>0</v>
      </c>
      <c r="W17" s="73" t="e">
        <f t="shared" si="6"/>
        <v>#DIV/0!</v>
      </c>
      <c r="X17" s="1182">
        <v>0</v>
      </c>
      <c r="Y17" s="1182">
        <v>0</v>
      </c>
      <c r="Z17" s="73" t="e">
        <f t="shared" si="7"/>
        <v>#DIV/0!</v>
      </c>
      <c r="AA17" s="1182">
        <v>0</v>
      </c>
      <c r="AB17" s="1182">
        <v>0</v>
      </c>
      <c r="AC17" s="73" t="e">
        <f t="shared" si="8"/>
        <v>#DIV/0!</v>
      </c>
      <c r="AD17" s="248">
        <f t="shared" si="16"/>
        <v>0</v>
      </c>
      <c r="AE17" s="73">
        <f t="shared" si="17"/>
        <v>0</v>
      </c>
      <c r="AF17" s="1182">
        <v>0</v>
      </c>
      <c r="AG17" s="1182">
        <v>0</v>
      </c>
      <c r="AH17" s="73" t="e">
        <f t="shared" si="18"/>
        <v>#DIV/0!</v>
      </c>
      <c r="AI17" s="1182">
        <v>0</v>
      </c>
      <c r="AJ17" s="1182">
        <v>0</v>
      </c>
      <c r="AK17" s="73" t="e">
        <f t="shared" si="9"/>
        <v>#DIV/0!</v>
      </c>
      <c r="AL17" s="1182">
        <v>0</v>
      </c>
      <c r="AM17" s="1182">
        <v>0</v>
      </c>
      <c r="AN17" s="73" t="e">
        <f t="shared" si="10"/>
        <v>#DIV/0!</v>
      </c>
      <c r="AO17" s="1182">
        <v>196</v>
      </c>
      <c r="AP17" s="2451">
        <v>159</v>
      </c>
      <c r="AQ17" s="73">
        <f t="shared" si="11"/>
        <v>0.81122448979591832</v>
      </c>
      <c r="AR17" s="1182">
        <v>0</v>
      </c>
      <c r="AS17" s="1182">
        <v>0</v>
      </c>
      <c r="AT17" s="73" t="e">
        <f t="shared" si="12"/>
        <v>#DIV/0!</v>
      </c>
      <c r="AU17" s="861">
        <v>5</v>
      </c>
      <c r="AV17" s="2452">
        <v>8</v>
      </c>
      <c r="AW17" s="73">
        <f t="shared" si="19"/>
        <v>1.6</v>
      </c>
      <c r="AX17" s="2453">
        <f t="shared" si="20"/>
        <v>167</v>
      </c>
      <c r="AY17" s="73">
        <f t="shared" si="21"/>
        <v>0.8308457711442786</v>
      </c>
    </row>
    <row r="18" spans="1:51" s="22" customFormat="1" ht="75" customHeight="1" thickTop="1" thickBot="1">
      <c r="A18" s="2944"/>
      <c r="B18" s="2992"/>
      <c r="C18" s="25" t="s">
        <v>946</v>
      </c>
      <c r="D18" s="627" t="s">
        <v>114</v>
      </c>
      <c r="E18" s="25" t="s">
        <v>115</v>
      </c>
      <c r="F18" s="25" t="s">
        <v>10</v>
      </c>
      <c r="G18" s="2454">
        <v>1</v>
      </c>
      <c r="H18" s="98"/>
      <c r="I18" s="1479"/>
      <c r="J18" s="98"/>
      <c r="K18" s="25" t="s">
        <v>20</v>
      </c>
      <c r="L18" s="529">
        <v>0</v>
      </c>
      <c r="M18" s="529">
        <v>0</v>
      </c>
      <c r="N18" s="73" t="e">
        <f t="shared" si="4"/>
        <v>#DIV/0!</v>
      </c>
      <c r="O18" s="529">
        <v>0</v>
      </c>
      <c r="P18" s="529">
        <v>0</v>
      </c>
      <c r="Q18" s="73" t="e">
        <f t="shared" si="5"/>
        <v>#DIV/0!</v>
      </c>
      <c r="R18" s="529">
        <v>0.25</v>
      </c>
      <c r="S18" s="527">
        <v>0.25</v>
      </c>
      <c r="T18" s="73">
        <f t="shared" si="15"/>
        <v>1</v>
      </c>
      <c r="U18" s="529">
        <v>0</v>
      </c>
      <c r="V18" s="529">
        <v>0</v>
      </c>
      <c r="W18" s="73" t="e">
        <f t="shared" si="6"/>
        <v>#DIV/0!</v>
      </c>
      <c r="X18" s="529">
        <v>0</v>
      </c>
      <c r="Y18" s="529">
        <v>0</v>
      </c>
      <c r="Z18" s="73" t="e">
        <f t="shared" si="7"/>
        <v>#DIV/0!</v>
      </c>
      <c r="AA18" s="529">
        <v>0.25</v>
      </c>
      <c r="AB18" s="527">
        <v>0.25</v>
      </c>
      <c r="AC18" s="73">
        <f t="shared" si="8"/>
        <v>1</v>
      </c>
      <c r="AD18" s="528">
        <f t="shared" si="16"/>
        <v>0.5</v>
      </c>
      <c r="AE18" s="73">
        <f t="shared" si="17"/>
        <v>0.5</v>
      </c>
      <c r="AF18" s="529">
        <v>0</v>
      </c>
      <c r="AG18" s="529">
        <v>0</v>
      </c>
      <c r="AH18" s="73" t="e">
        <f t="shared" si="18"/>
        <v>#DIV/0!</v>
      </c>
      <c r="AI18" s="529">
        <v>0</v>
      </c>
      <c r="AJ18" s="529">
        <v>0</v>
      </c>
      <c r="AK18" s="73" t="e">
        <f t="shared" si="9"/>
        <v>#DIV/0!</v>
      </c>
      <c r="AL18" s="529">
        <v>0.25</v>
      </c>
      <c r="AM18" s="527">
        <v>0.25</v>
      </c>
      <c r="AN18" s="73">
        <f t="shared" si="10"/>
        <v>1</v>
      </c>
      <c r="AO18" s="529">
        <v>0</v>
      </c>
      <c r="AP18" s="529">
        <v>0</v>
      </c>
      <c r="AQ18" s="73" t="e">
        <f t="shared" si="11"/>
        <v>#DIV/0!</v>
      </c>
      <c r="AR18" s="529">
        <v>0</v>
      </c>
      <c r="AS18" s="529">
        <v>0</v>
      </c>
      <c r="AT18" s="73" t="e">
        <f t="shared" si="12"/>
        <v>#DIV/0!</v>
      </c>
      <c r="AU18" s="869">
        <v>0.25</v>
      </c>
      <c r="AV18" s="978">
        <v>0.25</v>
      </c>
      <c r="AW18" s="73">
        <f t="shared" si="19"/>
        <v>1</v>
      </c>
      <c r="AX18" s="2455">
        <f t="shared" si="20"/>
        <v>1</v>
      </c>
      <c r="AY18" s="73">
        <f t="shared" si="21"/>
        <v>1</v>
      </c>
    </row>
    <row r="19" spans="1:51" s="22" customFormat="1" ht="75" customHeight="1" thickTop="1" thickBot="1">
      <c r="A19" s="2944"/>
      <c r="B19" s="2992"/>
      <c r="C19" s="1477" t="s">
        <v>641</v>
      </c>
      <c r="D19" s="623" t="s">
        <v>116</v>
      </c>
      <c r="E19" s="561" t="s">
        <v>117</v>
      </c>
      <c r="F19" s="561" t="s">
        <v>17</v>
      </c>
      <c r="G19" s="2445">
        <v>3548</v>
      </c>
      <c r="H19" s="561"/>
      <c r="I19" s="561"/>
      <c r="J19" s="561"/>
      <c r="K19" s="561" t="s">
        <v>118</v>
      </c>
      <c r="L19" s="1182">
        <v>0</v>
      </c>
      <c r="M19" s="1182">
        <v>0</v>
      </c>
      <c r="N19" s="73" t="e">
        <f t="shared" si="4"/>
        <v>#DIV/0!</v>
      </c>
      <c r="O19" s="1182">
        <v>0</v>
      </c>
      <c r="P19" s="1182">
        <v>0</v>
      </c>
      <c r="Q19" s="73" t="e">
        <f t="shared" si="5"/>
        <v>#DIV/0!</v>
      </c>
      <c r="R19" s="1182">
        <v>674</v>
      </c>
      <c r="S19" s="2451">
        <v>648</v>
      </c>
      <c r="T19" s="73">
        <f t="shared" si="15"/>
        <v>0.96142433234421365</v>
      </c>
      <c r="U19" s="1182">
        <v>0</v>
      </c>
      <c r="V19" s="1182">
        <v>0</v>
      </c>
      <c r="W19" s="73" t="e">
        <f t="shared" si="6"/>
        <v>#DIV/0!</v>
      </c>
      <c r="X19" s="1182">
        <v>159</v>
      </c>
      <c r="Y19" s="2451">
        <v>107</v>
      </c>
      <c r="Z19" s="73">
        <f t="shared" si="7"/>
        <v>0.67295597484276726</v>
      </c>
      <c r="AA19" s="1182">
        <v>179</v>
      </c>
      <c r="AB19" s="2451">
        <v>138</v>
      </c>
      <c r="AC19" s="73">
        <f t="shared" si="8"/>
        <v>0.77094972067039103</v>
      </c>
      <c r="AD19" s="248">
        <f t="shared" si="16"/>
        <v>893</v>
      </c>
      <c r="AE19" s="73">
        <f t="shared" si="17"/>
        <v>0.25169109357384439</v>
      </c>
      <c r="AF19" s="1182">
        <v>330</v>
      </c>
      <c r="AG19" s="2451">
        <v>101</v>
      </c>
      <c r="AH19" s="73">
        <f t="shared" si="18"/>
        <v>0.30606060606060603</v>
      </c>
      <c r="AI19" s="1182">
        <v>504</v>
      </c>
      <c r="AJ19" s="2451">
        <v>120</v>
      </c>
      <c r="AK19" s="73">
        <f t="shared" si="9"/>
        <v>0.23809523809523808</v>
      </c>
      <c r="AL19" s="1182">
        <v>684</v>
      </c>
      <c r="AM19" s="2451">
        <v>405</v>
      </c>
      <c r="AN19" s="73">
        <f t="shared" si="10"/>
        <v>0.59210526315789469</v>
      </c>
      <c r="AO19" s="1182">
        <v>267</v>
      </c>
      <c r="AP19" s="2451">
        <v>319</v>
      </c>
      <c r="AQ19" s="73">
        <f t="shared" si="11"/>
        <v>1.1947565543071161</v>
      </c>
      <c r="AR19" s="1182">
        <v>184</v>
      </c>
      <c r="AS19" s="2451">
        <v>1950</v>
      </c>
      <c r="AT19" s="73">
        <f t="shared" si="12"/>
        <v>10.597826086956522</v>
      </c>
      <c r="AU19" s="861">
        <v>20</v>
      </c>
      <c r="AV19" s="2456">
        <v>1187</v>
      </c>
      <c r="AW19" s="73">
        <f t="shared" si="19"/>
        <v>59.35</v>
      </c>
      <c r="AX19" s="2453">
        <f t="shared" si="20"/>
        <v>4975</v>
      </c>
      <c r="AY19" s="73">
        <f t="shared" si="21"/>
        <v>1.4021984216459977</v>
      </c>
    </row>
    <row r="20" spans="1:51" s="22" customFormat="1" ht="75" customHeight="1" thickTop="1" thickBot="1">
      <c r="A20" s="2944"/>
      <c r="B20" s="2992"/>
      <c r="C20" s="2854" t="s">
        <v>642</v>
      </c>
      <c r="D20" s="731" t="s">
        <v>120</v>
      </c>
      <c r="E20" s="671" t="s">
        <v>121</v>
      </c>
      <c r="F20" s="25" t="s">
        <v>10</v>
      </c>
      <c r="G20" s="2457">
        <v>0.64100000000000001</v>
      </c>
      <c r="H20" s="98"/>
      <c r="I20" s="1479"/>
      <c r="J20" s="98"/>
      <c r="K20" s="25" t="s">
        <v>7</v>
      </c>
      <c r="L20" s="529">
        <v>0</v>
      </c>
      <c r="M20" s="527"/>
      <c r="N20" s="73" t="e">
        <f t="shared" si="4"/>
        <v>#DIV/0!</v>
      </c>
      <c r="O20" s="529">
        <v>0</v>
      </c>
      <c r="P20" s="527"/>
      <c r="Q20" s="73" t="e">
        <f t="shared" si="5"/>
        <v>#DIV/0!</v>
      </c>
      <c r="R20" s="529">
        <v>0</v>
      </c>
      <c r="S20" s="527"/>
      <c r="T20" s="73" t="e">
        <f t="shared" si="15"/>
        <v>#DIV/0!</v>
      </c>
      <c r="U20" s="529">
        <v>0</v>
      </c>
      <c r="V20" s="527"/>
      <c r="W20" s="73" t="e">
        <f t="shared" si="6"/>
        <v>#DIV/0!</v>
      </c>
      <c r="X20" s="529">
        <v>0</v>
      </c>
      <c r="Y20" s="527"/>
      <c r="Z20" s="73" t="e">
        <f t="shared" si="7"/>
        <v>#DIV/0!</v>
      </c>
      <c r="AA20" s="529">
        <v>0</v>
      </c>
      <c r="AB20" s="527"/>
      <c r="AC20" s="73" t="e">
        <f t="shared" si="8"/>
        <v>#DIV/0!</v>
      </c>
      <c r="AD20" s="528">
        <f t="shared" si="16"/>
        <v>0</v>
      </c>
      <c r="AE20" s="73">
        <f t="shared" si="17"/>
        <v>0</v>
      </c>
      <c r="AF20" s="529">
        <v>0</v>
      </c>
      <c r="AG20" s="527"/>
      <c r="AH20" s="73" t="e">
        <f t="shared" si="18"/>
        <v>#DIV/0!</v>
      </c>
      <c r="AI20" s="529">
        <v>0</v>
      </c>
      <c r="AJ20" s="527"/>
      <c r="AK20" s="73" t="e">
        <f t="shared" si="9"/>
        <v>#DIV/0!</v>
      </c>
      <c r="AL20" s="529">
        <v>0</v>
      </c>
      <c r="AM20" s="527"/>
      <c r="AN20" s="73" t="e">
        <f t="shared" si="10"/>
        <v>#DIV/0!</v>
      </c>
      <c r="AO20" s="529">
        <v>0</v>
      </c>
      <c r="AP20" s="527"/>
      <c r="AQ20" s="73" t="e">
        <f t="shared" si="11"/>
        <v>#DIV/0!</v>
      </c>
      <c r="AR20" s="529">
        <v>0</v>
      </c>
      <c r="AS20" s="529"/>
      <c r="AT20" s="73" t="e">
        <f t="shared" si="12"/>
        <v>#DIV/0!</v>
      </c>
      <c r="AU20" s="869">
        <v>0.64100000000000001</v>
      </c>
      <c r="AV20" s="978" t="s">
        <v>323</v>
      </c>
      <c r="AW20" s="73" t="e">
        <f t="shared" si="19"/>
        <v>#VALUE!</v>
      </c>
      <c r="AX20" s="2455" t="str">
        <f>+AV20</f>
        <v>-</v>
      </c>
      <c r="AY20" s="73"/>
    </row>
    <row r="21" spans="1:51" s="22" customFormat="1" ht="75" customHeight="1" thickTop="1" thickBot="1">
      <c r="A21" s="2944"/>
      <c r="B21" s="2992"/>
      <c r="C21" s="2855"/>
      <c r="D21" s="728" t="s">
        <v>175</v>
      </c>
      <c r="E21" s="674" t="s">
        <v>123</v>
      </c>
      <c r="F21" s="561" t="s">
        <v>10</v>
      </c>
      <c r="G21" s="2458">
        <v>1</v>
      </c>
      <c r="H21" s="85"/>
      <c r="I21" s="1481"/>
      <c r="J21" s="85"/>
      <c r="K21" s="561" t="s">
        <v>7</v>
      </c>
      <c r="L21" s="144">
        <v>0</v>
      </c>
      <c r="M21" s="145"/>
      <c r="N21" s="73" t="e">
        <f t="shared" si="4"/>
        <v>#DIV/0!</v>
      </c>
      <c r="O21" s="144">
        <v>0</v>
      </c>
      <c r="P21" s="145"/>
      <c r="Q21" s="73" t="e">
        <f t="shared" si="5"/>
        <v>#DIV/0!</v>
      </c>
      <c r="R21" s="144">
        <v>0</v>
      </c>
      <c r="S21" s="145"/>
      <c r="T21" s="73" t="e">
        <f t="shared" si="15"/>
        <v>#DIV/0!</v>
      </c>
      <c r="U21" s="144">
        <v>1</v>
      </c>
      <c r="V21" s="145">
        <v>1</v>
      </c>
      <c r="W21" s="73">
        <f t="shared" si="6"/>
        <v>1</v>
      </c>
      <c r="X21" s="144">
        <v>0</v>
      </c>
      <c r="Y21" s="145"/>
      <c r="Z21" s="73" t="e">
        <f t="shared" si="7"/>
        <v>#DIV/0!</v>
      </c>
      <c r="AA21" s="144">
        <v>0</v>
      </c>
      <c r="AB21" s="145"/>
      <c r="AC21" s="73" t="e">
        <f t="shared" si="8"/>
        <v>#DIV/0!</v>
      </c>
      <c r="AD21" s="2459">
        <f t="shared" si="16"/>
        <v>1</v>
      </c>
      <c r="AE21" s="73">
        <f t="shared" si="17"/>
        <v>1</v>
      </c>
      <c r="AF21" s="144">
        <v>0</v>
      </c>
      <c r="AG21" s="145"/>
      <c r="AH21" s="73" t="e">
        <f t="shared" si="18"/>
        <v>#DIV/0!</v>
      </c>
      <c r="AI21" s="144">
        <v>0</v>
      </c>
      <c r="AJ21" s="145"/>
      <c r="AK21" s="73" t="e">
        <f t="shared" si="9"/>
        <v>#DIV/0!</v>
      </c>
      <c r="AL21" s="144">
        <v>0</v>
      </c>
      <c r="AM21" s="145"/>
      <c r="AN21" s="73" t="e">
        <f t="shared" si="10"/>
        <v>#DIV/0!</v>
      </c>
      <c r="AO21" s="144">
        <v>1</v>
      </c>
      <c r="AP21" s="145">
        <v>1</v>
      </c>
      <c r="AQ21" s="73">
        <f t="shared" si="11"/>
        <v>1</v>
      </c>
      <c r="AR21" s="144">
        <v>0</v>
      </c>
      <c r="AS21" s="145"/>
      <c r="AT21" s="73" t="e">
        <f t="shared" si="12"/>
        <v>#DIV/0!</v>
      </c>
      <c r="AU21" s="871">
        <v>0</v>
      </c>
      <c r="AV21" s="974"/>
      <c r="AW21" s="73" t="e">
        <f t="shared" si="19"/>
        <v>#DIV/0!</v>
      </c>
      <c r="AX21" s="2460">
        <f>(+M21+P21+S21+V21+Y21+AB21+AG21+AJ21+AM21+AP21+AS21+AV21)/2</f>
        <v>1</v>
      </c>
      <c r="AY21" s="73">
        <f t="shared" si="21"/>
        <v>1</v>
      </c>
    </row>
    <row r="22" spans="1:51" s="22" customFormat="1" ht="75" customHeight="1" thickTop="1" thickBot="1">
      <c r="A22" s="2944"/>
      <c r="B22" s="2992"/>
      <c r="C22" s="2855"/>
      <c r="D22" s="731" t="s">
        <v>124</v>
      </c>
      <c r="E22" s="671" t="s">
        <v>176</v>
      </c>
      <c r="F22" s="25" t="s">
        <v>10</v>
      </c>
      <c r="G22" s="2454">
        <v>1</v>
      </c>
      <c r="H22" s="98"/>
      <c r="I22" s="1479"/>
      <c r="J22" s="98"/>
      <c r="K22" s="561" t="s">
        <v>7</v>
      </c>
      <c r="L22" s="529">
        <v>0</v>
      </c>
      <c r="M22" s="527"/>
      <c r="N22" s="73" t="e">
        <f t="shared" si="4"/>
        <v>#DIV/0!</v>
      </c>
      <c r="O22" s="529">
        <v>0</v>
      </c>
      <c r="P22" s="527"/>
      <c r="Q22" s="73" t="e">
        <f t="shared" si="5"/>
        <v>#DIV/0!</v>
      </c>
      <c r="R22" s="529">
        <v>1</v>
      </c>
      <c r="S22" s="527" t="s">
        <v>323</v>
      </c>
      <c r="T22" s="73" t="e">
        <f t="shared" si="15"/>
        <v>#VALUE!</v>
      </c>
      <c r="U22" s="529">
        <v>0</v>
      </c>
      <c r="V22" s="527"/>
      <c r="W22" s="73" t="e">
        <f t="shared" si="6"/>
        <v>#DIV/0!</v>
      </c>
      <c r="X22" s="529">
        <v>0</v>
      </c>
      <c r="Y22" s="527"/>
      <c r="Z22" s="73" t="e">
        <f t="shared" si="7"/>
        <v>#DIV/0!</v>
      </c>
      <c r="AA22" s="529">
        <v>1</v>
      </c>
      <c r="AB22" s="145" t="s">
        <v>323</v>
      </c>
      <c r="AC22" s="73" t="e">
        <f t="shared" si="8"/>
        <v>#VALUE!</v>
      </c>
      <c r="AD22" s="528" t="e">
        <f>+S22/2</f>
        <v>#VALUE!</v>
      </c>
      <c r="AE22" s="73" t="e">
        <f t="shared" si="17"/>
        <v>#VALUE!</v>
      </c>
      <c r="AF22" s="529">
        <v>0</v>
      </c>
      <c r="AG22" s="527"/>
      <c r="AH22" s="73" t="e">
        <f t="shared" si="18"/>
        <v>#DIV/0!</v>
      </c>
      <c r="AI22" s="529">
        <v>0</v>
      </c>
      <c r="AJ22" s="527"/>
      <c r="AK22" s="73" t="e">
        <f t="shared" si="9"/>
        <v>#DIV/0!</v>
      </c>
      <c r="AL22" s="529">
        <v>1</v>
      </c>
      <c r="AM22" s="527" t="s">
        <v>323</v>
      </c>
      <c r="AN22" s="73" t="e">
        <f t="shared" si="10"/>
        <v>#VALUE!</v>
      </c>
      <c r="AO22" s="529">
        <v>0</v>
      </c>
      <c r="AP22" s="527"/>
      <c r="AQ22" s="73" t="e">
        <f t="shared" si="11"/>
        <v>#DIV/0!</v>
      </c>
      <c r="AR22" s="529">
        <v>0</v>
      </c>
      <c r="AS22" s="527"/>
      <c r="AT22" s="73" t="e">
        <f t="shared" si="12"/>
        <v>#DIV/0!</v>
      </c>
      <c r="AU22" s="869">
        <v>1</v>
      </c>
      <c r="AV22" s="978" t="s">
        <v>323</v>
      </c>
      <c r="AW22" s="73" t="e">
        <f t="shared" si="19"/>
        <v>#VALUE!</v>
      </c>
      <c r="AX22" s="2455"/>
      <c r="AY22" s="73"/>
    </row>
    <row r="23" spans="1:51" s="22" customFormat="1" ht="75" customHeight="1" thickTop="1" thickBot="1">
      <c r="A23" s="2944"/>
      <c r="B23" s="2992"/>
      <c r="C23" s="2855"/>
      <c r="D23" s="728" t="s">
        <v>177</v>
      </c>
      <c r="E23" s="674" t="s">
        <v>127</v>
      </c>
      <c r="F23" s="561" t="s">
        <v>10</v>
      </c>
      <c r="G23" s="2458">
        <v>1</v>
      </c>
      <c r="H23" s="85"/>
      <c r="I23" s="1481"/>
      <c r="J23" s="85"/>
      <c r="K23" s="561" t="s">
        <v>7</v>
      </c>
      <c r="L23" s="144">
        <v>1</v>
      </c>
      <c r="M23" s="145" t="s">
        <v>323</v>
      </c>
      <c r="N23" s="73" t="e">
        <f t="shared" si="4"/>
        <v>#VALUE!</v>
      </c>
      <c r="O23" s="144">
        <v>1</v>
      </c>
      <c r="P23" s="145" t="s">
        <v>323</v>
      </c>
      <c r="Q23" s="73" t="e">
        <f t="shared" si="5"/>
        <v>#VALUE!</v>
      </c>
      <c r="R23" s="144">
        <v>1</v>
      </c>
      <c r="S23" s="145" t="s">
        <v>323</v>
      </c>
      <c r="T23" s="73" t="e">
        <f t="shared" si="15"/>
        <v>#VALUE!</v>
      </c>
      <c r="U23" s="144">
        <v>1</v>
      </c>
      <c r="V23" s="145" t="s">
        <v>323</v>
      </c>
      <c r="W23" s="73" t="e">
        <f t="shared" si="6"/>
        <v>#VALUE!</v>
      </c>
      <c r="X23" s="144">
        <v>1</v>
      </c>
      <c r="Y23" s="145" t="s">
        <v>323</v>
      </c>
      <c r="Z23" s="73" t="e">
        <f t="shared" si="7"/>
        <v>#VALUE!</v>
      </c>
      <c r="AA23" s="144">
        <v>1</v>
      </c>
      <c r="AB23" s="145" t="s">
        <v>323</v>
      </c>
      <c r="AC23" s="73" t="e">
        <f t="shared" si="8"/>
        <v>#VALUE!</v>
      </c>
      <c r="AD23" s="2459" t="e">
        <f>(+M23+P23+S23+V23+Y23+AB23)/6</f>
        <v>#VALUE!</v>
      </c>
      <c r="AE23" s="73" t="e">
        <f t="shared" si="17"/>
        <v>#VALUE!</v>
      </c>
      <c r="AF23" s="144">
        <v>1</v>
      </c>
      <c r="AG23" s="145" t="s">
        <v>323</v>
      </c>
      <c r="AH23" s="73" t="e">
        <f t="shared" si="18"/>
        <v>#VALUE!</v>
      </c>
      <c r="AI23" s="144">
        <v>1</v>
      </c>
      <c r="AJ23" s="145">
        <v>1</v>
      </c>
      <c r="AK23" s="73">
        <f t="shared" si="9"/>
        <v>1</v>
      </c>
      <c r="AL23" s="144">
        <v>1</v>
      </c>
      <c r="AM23" s="145" t="s">
        <v>323</v>
      </c>
      <c r="AN23" s="73" t="e">
        <f t="shared" si="10"/>
        <v>#VALUE!</v>
      </c>
      <c r="AO23" s="144">
        <v>1</v>
      </c>
      <c r="AP23" s="145">
        <v>1</v>
      </c>
      <c r="AQ23" s="73">
        <f t="shared" si="11"/>
        <v>1</v>
      </c>
      <c r="AR23" s="144">
        <v>1</v>
      </c>
      <c r="AS23" s="145" t="s">
        <v>323</v>
      </c>
      <c r="AT23" s="73" t="e">
        <f t="shared" si="12"/>
        <v>#VALUE!</v>
      </c>
      <c r="AU23" s="871">
        <v>1</v>
      </c>
      <c r="AV23" s="974" t="s">
        <v>323</v>
      </c>
      <c r="AW23" s="73" t="e">
        <f t="shared" si="19"/>
        <v>#VALUE!</v>
      </c>
      <c r="AX23" s="2460">
        <f>(+AJ23++AP23)/2</f>
        <v>1</v>
      </c>
      <c r="AY23" s="73">
        <f t="shared" si="21"/>
        <v>1</v>
      </c>
    </row>
    <row r="24" spans="1:51" s="22" customFormat="1" ht="75" customHeight="1" thickTop="1" thickBot="1">
      <c r="A24" s="2944"/>
      <c r="B24" s="2992"/>
      <c r="C24" s="2855"/>
      <c r="D24" s="731" t="s">
        <v>128</v>
      </c>
      <c r="E24" s="671" t="s">
        <v>1032</v>
      </c>
      <c r="F24" s="25" t="s">
        <v>10</v>
      </c>
      <c r="G24" s="2454">
        <v>1</v>
      </c>
      <c r="H24" s="98"/>
      <c r="I24" s="1479"/>
      <c r="J24" s="98"/>
      <c r="K24" s="561" t="s">
        <v>7</v>
      </c>
      <c r="L24" s="529">
        <v>1</v>
      </c>
      <c r="M24" s="527" t="s">
        <v>323</v>
      </c>
      <c r="N24" s="73" t="e">
        <f t="shared" si="4"/>
        <v>#VALUE!</v>
      </c>
      <c r="O24" s="529">
        <v>1</v>
      </c>
      <c r="P24" s="527" t="s">
        <v>323</v>
      </c>
      <c r="Q24" s="73" t="e">
        <f t="shared" si="5"/>
        <v>#VALUE!</v>
      </c>
      <c r="R24" s="529">
        <v>1</v>
      </c>
      <c r="S24" s="527" t="s">
        <v>323</v>
      </c>
      <c r="T24" s="73" t="e">
        <f t="shared" si="15"/>
        <v>#VALUE!</v>
      </c>
      <c r="U24" s="529">
        <v>1</v>
      </c>
      <c r="V24" s="527" t="s">
        <v>323</v>
      </c>
      <c r="W24" s="73" t="e">
        <f t="shared" si="6"/>
        <v>#VALUE!</v>
      </c>
      <c r="X24" s="529">
        <v>1</v>
      </c>
      <c r="Y24" s="527" t="s">
        <v>323</v>
      </c>
      <c r="Z24" s="73" t="e">
        <f t="shared" si="7"/>
        <v>#VALUE!</v>
      </c>
      <c r="AA24" s="529">
        <v>1</v>
      </c>
      <c r="AB24" s="527" t="s">
        <v>323</v>
      </c>
      <c r="AC24" s="73" t="e">
        <f t="shared" si="8"/>
        <v>#VALUE!</v>
      </c>
      <c r="AD24" s="528" t="e">
        <f>(+M24+P24+S24+V24+Y24+AB24)/6</f>
        <v>#VALUE!</v>
      </c>
      <c r="AE24" s="73" t="e">
        <f t="shared" si="17"/>
        <v>#VALUE!</v>
      </c>
      <c r="AF24" s="529">
        <v>1</v>
      </c>
      <c r="AG24" s="527" t="s">
        <v>323</v>
      </c>
      <c r="AH24" s="73" t="e">
        <f t="shared" si="18"/>
        <v>#VALUE!</v>
      </c>
      <c r="AI24" s="529">
        <v>1</v>
      </c>
      <c r="AJ24" s="527" t="s">
        <v>323</v>
      </c>
      <c r="AK24" s="73" t="e">
        <f t="shared" si="9"/>
        <v>#VALUE!</v>
      </c>
      <c r="AL24" s="529">
        <v>1</v>
      </c>
      <c r="AM24" s="527" t="s">
        <v>323</v>
      </c>
      <c r="AN24" s="73" t="e">
        <f t="shared" si="10"/>
        <v>#VALUE!</v>
      </c>
      <c r="AO24" s="529">
        <v>1</v>
      </c>
      <c r="AP24" s="527" t="s">
        <v>323</v>
      </c>
      <c r="AQ24" s="73" t="e">
        <f t="shared" si="11"/>
        <v>#VALUE!</v>
      </c>
      <c r="AR24" s="529">
        <v>1</v>
      </c>
      <c r="AS24" s="527" t="s">
        <v>323</v>
      </c>
      <c r="AT24" s="73" t="e">
        <f t="shared" si="12"/>
        <v>#VALUE!</v>
      </c>
      <c r="AU24" s="869">
        <v>1</v>
      </c>
      <c r="AV24" s="978" t="s">
        <v>323</v>
      </c>
      <c r="AW24" s="73" t="e">
        <f t="shared" si="19"/>
        <v>#VALUE!</v>
      </c>
      <c r="AX24" s="2455" t="e">
        <f>(+M24+P24+S24+V24+Y24+AB24+AG24+AJ24+AM24+AP24+AS24+AV24)/12</f>
        <v>#VALUE!</v>
      </c>
      <c r="AY24" s="73"/>
    </row>
    <row r="25" spans="1:51" s="22" customFormat="1" ht="75" customHeight="1" thickTop="1" thickBot="1">
      <c r="A25" s="2944"/>
      <c r="B25" s="2992"/>
      <c r="C25" s="2855"/>
      <c r="D25" s="728" t="s">
        <v>179</v>
      </c>
      <c r="E25" s="674" t="s">
        <v>131</v>
      </c>
      <c r="F25" s="561" t="s">
        <v>10</v>
      </c>
      <c r="G25" s="2458">
        <v>1</v>
      </c>
      <c r="H25" s="85"/>
      <c r="I25" s="1481"/>
      <c r="J25" s="85"/>
      <c r="K25" s="561" t="s">
        <v>7</v>
      </c>
      <c r="L25" s="144">
        <v>1</v>
      </c>
      <c r="M25" s="145" t="s">
        <v>323</v>
      </c>
      <c r="N25" s="73" t="e">
        <f t="shared" si="4"/>
        <v>#VALUE!</v>
      </c>
      <c r="O25" s="144">
        <v>1</v>
      </c>
      <c r="P25" s="145" t="s">
        <v>323</v>
      </c>
      <c r="Q25" s="73" t="e">
        <f t="shared" si="5"/>
        <v>#VALUE!</v>
      </c>
      <c r="R25" s="144">
        <v>1</v>
      </c>
      <c r="S25" s="145" t="s">
        <v>323</v>
      </c>
      <c r="T25" s="73" t="e">
        <f t="shared" si="15"/>
        <v>#VALUE!</v>
      </c>
      <c r="U25" s="144">
        <v>1</v>
      </c>
      <c r="V25" s="145">
        <v>0.2</v>
      </c>
      <c r="W25" s="73">
        <f t="shared" si="6"/>
        <v>0.2</v>
      </c>
      <c r="X25" s="144">
        <v>1</v>
      </c>
      <c r="Y25" s="145">
        <v>0.4</v>
      </c>
      <c r="Z25" s="73">
        <f t="shared" si="7"/>
        <v>0.4</v>
      </c>
      <c r="AA25" s="144">
        <v>1</v>
      </c>
      <c r="AB25" s="145">
        <v>0.4</v>
      </c>
      <c r="AC25" s="73">
        <f t="shared" si="8"/>
        <v>0.4</v>
      </c>
      <c r="AD25" s="2459" t="e">
        <f>(+M25+P25+S25+V25+Y25+AB25)/6</f>
        <v>#VALUE!</v>
      </c>
      <c r="AE25" s="73" t="e">
        <f t="shared" si="17"/>
        <v>#VALUE!</v>
      </c>
      <c r="AF25" s="144">
        <v>1</v>
      </c>
      <c r="AG25" s="145">
        <v>0.05</v>
      </c>
      <c r="AH25" s="73">
        <f t="shared" si="18"/>
        <v>0.05</v>
      </c>
      <c r="AI25" s="144">
        <v>1</v>
      </c>
      <c r="AJ25" s="145">
        <v>0.6</v>
      </c>
      <c r="AK25" s="73">
        <f t="shared" si="9"/>
        <v>0.6</v>
      </c>
      <c r="AL25" s="144">
        <v>1</v>
      </c>
      <c r="AM25" s="145">
        <v>0.7</v>
      </c>
      <c r="AN25" s="73">
        <f t="shared" si="10"/>
        <v>0.7</v>
      </c>
      <c r="AO25" s="144">
        <v>1</v>
      </c>
      <c r="AP25" s="145">
        <v>0.8</v>
      </c>
      <c r="AQ25" s="73">
        <f t="shared" si="11"/>
        <v>0.8</v>
      </c>
      <c r="AR25" s="144">
        <v>1</v>
      </c>
      <c r="AS25" s="145">
        <v>0.85</v>
      </c>
      <c r="AT25" s="73">
        <f t="shared" si="12"/>
        <v>0.85</v>
      </c>
      <c r="AU25" s="871">
        <v>1</v>
      </c>
      <c r="AV25" s="974">
        <v>0.95</v>
      </c>
      <c r="AW25" s="73">
        <f t="shared" si="19"/>
        <v>0.95</v>
      </c>
      <c r="AX25" s="2460">
        <f>(+AV25)</f>
        <v>0.95</v>
      </c>
      <c r="AY25" s="73">
        <f>+AX25/G25</f>
        <v>0.95</v>
      </c>
    </row>
    <row r="26" spans="1:51" s="22" customFormat="1" ht="75" customHeight="1" thickTop="1" thickBot="1">
      <c r="A26" s="2944"/>
      <c r="B26" s="3051"/>
      <c r="C26" s="2856"/>
      <c r="D26" s="731" t="s">
        <v>132</v>
      </c>
      <c r="E26" s="671" t="s">
        <v>133</v>
      </c>
      <c r="F26" s="25" t="s">
        <v>10</v>
      </c>
      <c r="G26" s="2454">
        <v>1</v>
      </c>
      <c r="H26" s="25"/>
      <c r="I26" s="1479"/>
      <c r="J26" s="25"/>
      <c r="K26" s="561" t="s">
        <v>7</v>
      </c>
      <c r="L26" s="529">
        <v>0</v>
      </c>
      <c r="M26" s="527"/>
      <c r="N26" s="73" t="e">
        <f t="shared" si="4"/>
        <v>#DIV/0!</v>
      </c>
      <c r="O26" s="529">
        <v>0</v>
      </c>
      <c r="P26" s="527"/>
      <c r="Q26" s="73" t="e">
        <f t="shared" si="5"/>
        <v>#DIV/0!</v>
      </c>
      <c r="R26" s="529">
        <v>0</v>
      </c>
      <c r="S26" s="527"/>
      <c r="T26" s="73" t="e">
        <f t="shared" si="15"/>
        <v>#DIV/0!</v>
      </c>
      <c r="U26" s="529">
        <v>0</v>
      </c>
      <c r="V26" s="527"/>
      <c r="W26" s="73" t="e">
        <f t="shared" si="6"/>
        <v>#DIV/0!</v>
      </c>
      <c r="X26" s="529">
        <v>0</v>
      </c>
      <c r="Y26" s="527"/>
      <c r="Z26" s="73" t="e">
        <f t="shared" si="7"/>
        <v>#DIV/0!</v>
      </c>
      <c r="AA26" s="526">
        <v>0</v>
      </c>
      <c r="AB26" s="528"/>
      <c r="AC26" s="73" t="e">
        <f t="shared" si="8"/>
        <v>#DIV/0!</v>
      </c>
      <c r="AD26" s="528">
        <f t="shared" si="16"/>
        <v>0</v>
      </c>
      <c r="AE26" s="73">
        <f t="shared" si="17"/>
        <v>0</v>
      </c>
      <c r="AF26" s="529">
        <v>0</v>
      </c>
      <c r="AG26" s="527"/>
      <c r="AH26" s="73" t="e">
        <f t="shared" si="18"/>
        <v>#DIV/0!</v>
      </c>
      <c r="AI26" s="529">
        <v>1</v>
      </c>
      <c r="AJ26" s="527">
        <v>1</v>
      </c>
      <c r="AK26" s="73">
        <f t="shared" si="9"/>
        <v>1</v>
      </c>
      <c r="AL26" s="529">
        <v>0</v>
      </c>
      <c r="AM26" s="527"/>
      <c r="AN26" s="73" t="e">
        <f t="shared" si="10"/>
        <v>#DIV/0!</v>
      </c>
      <c r="AO26" s="529">
        <v>0</v>
      </c>
      <c r="AP26" s="527"/>
      <c r="AQ26" s="73" t="e">
        <f t="shared" si="11"/>
        <v>#DIV/0!</v>
      </c>
      <c r="AR26" s="529">
        <v>0</v>
      </c>
      <c r="AS26" s="527"/>
      <c r="AT26" s="73" t="e">
        <f t="shared" si="12"/>
        <v>#DIV/0!</v>
      </c>
      <c r="AU26" s="869">
        <v>0</v>
      </c>
      <c r="AV26" s="978"/>
      <c r="AW26" s="73" t="e">
        <f t="shared" si="19"/>
        <v>#DIV/0!</v>
      </c>
      <c r="AX26" s="2455">
        <f>+AJ26</f>
        <v>1</v>
      </c>
      <c r="AY26" s="73">
        <f t="shared" si="21"/>
        <v>1</v>
      </c>
    </row>
    <row r="27" spans="1:51" s="22" customFormat="1" ht="135.75" customHeight="1" thickTop="1" thickBot="1">
      <c r="A27" s="2945"/>
      <c r="B27" s="1049" t="s">
        <v>418</v>
      </c>
      <c r="C27" s="550" t="s">
        <v>948</v>
      </c>
      <c r="D27" s="627" t="s">
        <v>467</v>
      </c>
      <c r="E27" s="25" t="s">
        <v>139</v>
      </c>
      <c r="F27" s="25" t="s">
        <v>101</v>
      </c>
      <c r="G27" s="2439">
        <f>+'[4]FIS-24'!$BL$16</f>
        <v>50000000.000000007</v>
      </c>
      <c r="H27" s="98"/>
      <c r="I27" s="2109"/>
      <c r="J27" s="98"/>
      <c r="K27" s="25" t="s">
        <v>140</v>
      </c>
      <c r="L27" s="2461">
        <v>3333333.3333333335</v>
      </c>
      <c r="M27" s="2462">
        <v>989628</v>
      </c>
      <c r="N27" s="73">
        <f t="shared" si="4"/>
        <v>0.2968884</v>
      </c>
      <c r="O27" s="2461">
        <v>3333333.3333333335</v>
      </c>
      <c r="P27" s="2462">
        <v>3575730</v>
      </c>
      <c r="Q27" s="73">
        <f t="shared" si="5"/>
        <v>1.072719</v>
      </c>
      <c r="R27" s="2461">
        <v>3333333.3333333335</v>
      </c>
      <c r="S27" s="2462"/>
      <c r="T27" s="73">
        <f t="shared" si="15"/>
        <v>0</v>
      </c>
      <c r="U27" s="2461">
        <v>6611111</v>
      </c>
      <c r="V27" s="2462"/>
      <c r="W27" s="73">
        <f t="shared" si="6"/>
        <v>0</v>
      </c>
      <c r="X27" s="2461">
        <v>6611111</v>
      </c>
      <c r="Y27" s="2462"/>
      <c r="Z27" s="73">
        <f t="shared" si="7"/>
        <v>0</v>
      </c>
      <c r="AA27" s="2461">
        <v>6611111</v>
      </c>
      <c r="AB27" s="2462">
        <v>245083</v>
      </c>
      <c r="AC27" s="73">
        <f t="shared" si="8"/>
        <v>3.707137877430889E-2</v>
      </c>
      <c r="AD27" s="2462">
        <f t="shared" si="16"/>
        <v>4810441</v>
      </c>
      <c r="AE27" s="73">
        <f t="shared" si="17"/>
        <v>9.6208819999999987E-2</v>
      </c>
      <c r="AF27" s="2461">
        <v>6611111</v>
      </c>
      <c r="AG27" s="2462">
        <v>1900500</v>
      </c>
      <c r="AH27" s="73">
        <f t="shared" si="18"/>
        <v>0.28747059306673267</v>
      </c>
      <c r="AI27" s="2461">
        <v>3117777.8800000018</v>
      </c>
      <c r="AJ27" s="2462">
        <v>1088760</v>
      </c>
      <c r="AK27" s="73">
        <f t="shared" si="9"/>
        <v>0.34921025227108204</v>
      </c>
      <c r="AL27" s="2461">
        <v>3117777.8800000018</v>
      </c>
      <c r="AM27" s="2462">
        <v>0</v>
      </c>
      <c r="AN27" s="73">
        <f t="shared" si="10"/>
        <v>0</v>
      </c>
      <c r="AO27" s="2461">
        <v>3117777.8800000018</v>
      </c>
      <c r="AP27" s="2462">
        <v>0</v>
      </c>
      <c r="AQ27" s="73">
        <f t="shared" si="11"/>
        <v>0</v>
      </c>
      <c r="AR27" s="2461">
        <v>2101111.1800000011</v>
      </c>
      <c r="AS27" s="2462">
        <v>0</v>
      </c>
      <c r="AT27" s="73">
        <f t="shared" si="12"/>
        <v>0</v>
      </c>
      <c r="AU27" s="2463">
        <v>2101111.1800000011</v>
      </c>
      <c r="AV27" s="2464">
        <v>3856833</v>
      </c>
      <c r="AW27" s="73">
        <f t="shared" si="19"/>
        <v>1.8356158573198387</v>
      </c>
      <c r="AX27" s="2465">
        <f t="shared" si="20"/>
        <v>11656534</v>
      </c>
      <c r="AY27" s="73">
        <f t="shared" si="21"/>
        <v>0.23313067999999998</v>
      </c>
    </row>
    <row r="28" spans="1:51" s="22" customFormat="1" ht="22.7" customHeight="1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93"/>
      <c r="M28" s="896"/>
      <c r="N28" s="1191"/>
      <c r="O28" s="896"/>
      <c r="P28" s="896"/>
      <c r="Q28" s="1191"/>
      <c r="R28" s="896"/>
      <c r="S28" s="896"/>
      <c r="T28" s="1191"/>
      <c r="U28" s="896"/>
      <c r="V28" s="896"/>
      <c r="W28" s="1191"/>
      <c r="X28" s="896"/>
      <c r="Y28" s="896"/>
      <c r="Z28" s="1191"/>
      <c r="AA28" s="896"/>
      <c r="AB28" s="896"/>
      <c r="AC28" s="1191"/>
      <c r="AD28" s="896"/>
      <c r="AE28" s="1191"/>
      <c r="AF28" s="896"/>
      <c r="AG28" s="896"/>
      <c r="AH28" s="1191"/>
      <c r="AI28" s="896"/>
      <c r="AJ28" s="896"/>
      <c r="AK28" s="1191"/>
      <c r="AL28" s="896"/>
      <c r="AM28" s="896"/>
      <c r="AN28" s="1191"/>
      <c r="AO28" s="896"/>
      <c r="AP28" s="896"/>
      <c r="AQ28" s="1191"/>
      <c r="AR28" s="896"/>
      <c r="AS28" s="896"/>
      <c r="AT28" s="1191"/>
      <c r="AU28" s="2116"/>
      <c r="AV28" s="2116"/>
      <c r="AW28" s="1191"/>
      <c r="AX28" s="896"/>
      <c r="AY28" s="897"/>
    </row>
    <row r="29" spans="1:51" s="22" customFormat="1" ht="135" customHeight="1" thickTop="1" thickBot="1">
      <c r="A29" s="2939" t="s">
        <v>181</v>
      </c>
      <c r="B29" s="2991" t="s">
        <v>314</v>
      </c>
      <c r="C29" s="674" t="s">
        <v>564</v>
      </c>
      <c r="D29" s="1038" t="s">
        <v>144</v>
      </c>
      <c r="E29" s="674" t="s">
        <v>145</v>
      </c>
      <c r="F29" s="674" t="s">
        <v>17</v>
      </c>
      <c r="G29" s="2466">
        <v>210</v>
      </c>
      <c r="H29" s="674"/>
      <c r="I29" s="674"/>
      <c r="J29" s="674"/>
      <c r="K29" s="674" t="s">
        <v>146</v>
      </c>
      <c r="L29" s="119">
        <v>0</v>
      </c>
      <c r="M29" s="119">
        <v>0</v>
      </c>
      <c r="N29" s="73" t="e">
        <f t="shared" si="4"/>
        <v>#DIV/0!</v>
      </c>
      <c r="O29" s="119">
        <v>0</v>
      </c>
      <c r="P29" s="119">
        <v>0</v>
      </c>
      <c r="Q29" s="73" t="e">
        <f t="shared" si="5"/>
        <v>#DIV/0!</v>
      </c>
      <c r="R29" s="119">
        <v>0</v>
      </c>
      <c r="S29" s="119">
        <v>0</v>
      </c>
      <c r="T29" s="73" t="e">
        <f t="shared" si="15"/>
        <v>#DIV/0!</v>
      </c>
      <c r="U29" s="119">
        <v>42</v>
      </c>
      <c r="V29" s="120">
        <v>43</v>
      </c>
      <c r="W29" s="73">
        <f t="shared" si="6"/>
        <v>1.0238095238095237</v>
      </c>
      <c r="X29" s="119">
        <v>0</v>
      </c>
      <c r="Y29" s="119">
        <v>0</v>
      </c>
      <c r="Z29" s="73" t="e">
        <f t="shared" si="7"/>
        <v>#DIV/0!</v>
      </c>
      <c r="AA29" s="119">
        <v>0</v>
      </c>
      <c r="AB29" s="119">
        <v>0</v>
      </c>
      <c r="AC29" s="73" t="e">
        <f t="shared" si="8"/>
        <v>#DIV/0!</v>
      </c>
      <c r="AD29" s="1012">
        <f t="shared" si="16"/>
        <v>43</v>
      </c>
      <c r="AE29" s="73">
        <f t="shared" si="17"/>
        <v>0.20476190476190476</v>
      </c>
      <c r="AF29" s="119">
        <v>0</v>
      </c>
      <c r="AG29" s="119">
        <v>0</v>
      </c>
      <c r="AH29" s="73" t="e">
        <f t="shared" si="18"/>
        <v>#DIV/0!</v>
      </c>
      <c r="AI29" s="119">
        <v>63</v>
      </c>
      <c r="AJ29" s="120">
        <v>114</v>
      </c>
      <c r="AK29" s="73">
        <f t="shared" si="9"/>
        <v>1.8095238095238095</v>
      </c>
      <c r="AL29" s="119">
        <v>0</v>
      </c>
      <c r="AM29" s="119">
        <v>0</v>
      </c>
      <c r="AN29" s="73" t="e">
        <f t="shared" si="10"/>
        <v>#DIV/0!</v>
      </c>
      <c r="AO29" s="119">
        <v>0</v>
      </c>
      <c r="AP29" s="119">
        <v>0</v>
      </c>
      <c r="AQ29" s="73" t="e">
        <f t="shared" si="11"/>
        <v>#DIV/0!</v>
      </c>
      <c r="AR29" s="119">
        <v>0</v>
      </c>
      <c r="AS29" s="119">
        <v>0</v>
      </c>
      <c r="AT29" s="73" t="e">
        <f t="shared" si="12"/>
        <v>#DIV/0!</v>
      </c>
      <c r="AU29" s="123">
        <v>105</v>
      </c>
      <c r="AV29" s="1036">
        <v>168</v>
      </c>
      <c r="AW29" s="73">
        <f t="shared" si="19"/>
        <v>1.6</v>
      </c>
      <c r="AX29" s="2076">
        <f t="shared" si="20"/>
        <v>325</v>
      </c>
      <c r="AY29" s="73">
        <f t="shared" si="21"/>
        <v>1.5476190476190477</v>
      </c>
    </row>
    <row r="30" spans="1:51" s="22" customFormat="1" ht="100.5" customHeight="1" thickTop="1" thickBot="1">
      <c r="A30" s="2940"/>
      <c r="B30" s="3051"/>
      <c r="C30" s="25" t="s">
        <v>317</v>
      </c>
      <c r="D30" s="627" t="s">
        <v>182</v>
      </c>
      <c r="E30" s="25" t="s">
        <v>1033</v>
      </c>
      <c r="F30" s="25" t="s">
        <v>8</v>
      </c>
      <c r="G30" s="407">
        <v>10.199999999999999</v>
      </c>
      <c r="H30" s="25"/>
      <c r="I30" s="25"/>
      <c r="J30" s="25"/>
      <c r="K30" s="25" t="s">
        <v>9</v>
      </c>
      <c r="L30" s="514">
        <v>10.199999999999999</v>
      </c>
      <c r="M30" s="496"/>
      <c r="N30" s="73" t="e">
        <f>+L30/M30</f>
        <v>#DIV/0!</v>
      </c>
      <c r="O30" s="514">
        <v>10.199999999999999</v>
      </c>
      <c r="P30" s="496">
        <v>5.1100000000000003</v>
      </c>
      <c r="Q30" s="73">
        <f>+O30/P30</f>
        <v>1.9960861056751464</v>
      </c>
      <c r="R30" s="514">
        <v>10.199999999999999</v>
      </c>
      <c r="S30" s="496"/>
      <c r="T30" s="73" t="e">
        <f>+R30/S30</f>
        <v>#DIV/0!</v>
      </c>
      <c r="U30" s="514">
        <v>10.199999999999999</v>
      </c>
      <c r="V30" s="496"/>
      <c r="W30" s="73" t="e">
        <f>+U30/V30</f>
        <v>#DIV/0!</v>
      </c>
      <c r="X30" s="514">
        <v>10.199999999999999</v>
      </c>
      <c r="Y30" s="496"/>
      <c r="Z30" s="73" t="e">
        <f>+X30/Y30</f>
        <v>#DIV/0!</v>
      </c>
      <c r="AA30" s="514">
        <v>10.199999999999999</v>
      </c>
      <c r="AB30" s="496">
        <v>6.48</v>
      </c>
      <c r="AC30" s="73">
        <f>+AA30/AB30</f>
        <v>1.574074074074074</v>
      </c>
      <c r="AD30" s="2467">
        <f>(+M30+P30+S30+V30+Y30+AB30)/6</f>
        <v>1.9316666666666666</v>
      </c>
      <c r="AE30" s="73">
        <f>G30/AD30</f>
        <v>5.2804141501294213</v>
      </c>
      <c r="AF30" s="514">
        <v>10.199999999999999</v>
      </c>
      <c r="AG30" s="496"/>
      <c r="AH30" s="73" t="e">
        <f>+AF30/AG30</f>
        <v>#DIV/0!</v>
      </c>
      <c r="AI30" s="514">
        <v>10.199999999999999</v>
      </c>
      <c r="AJ30" s="496">
        <v>9.1999999999999993</v>
      </c>
      <c r="AK30" s="73">
        <f>+AI30/AJ30</f>
        <v>1.1086956521739131</v>
      </c>
      <c r="AL30" s="514">
        <v>10.199999999999999</v>
      </c>
      <c r="AM30" s="496">
        <v>2.2000000000000002</v>
      </c>
      <c r="AN30" s="73">
        <f>+AL30/AM30</f>
        <v>4.6363636363636358</v>
      </c>
      <c r="AO30" s="514">
        <v>10.199999999999999</v>
      </c>
      <c r="AP30" s="496"/>
      <c r="AQ30" s="73" t="e">
        <f>+AO30/AP30</f>
        <v>#DIV/0!</v>
      </c>
      <c r="AR30" s="514">
        <v>10.199999999999999</v>
      </c>
      <c r="AS30" s="496"/>
      <c r="AT30" s="73" t="e">
        <f>+AR30/AS30</f>
        <v>#DIV/0!</v>
      </c>
      <c r="AU30" s="857">
        <v>10.199999999999999</v>
      </c>
      <c r="AV30" s="1025">
        <v>6.1</v>
      </c>
      <c r="AW30" s="73">
        <f>+AU30/AV30</f>
        <v>1.6721311475409837</v>
      </c>
      <c r="AX30" s="2468">
        <f>(+P30+AB30+AJ30+AM30+AV30)/5</f>
        <v>5.8179999999999996</v>
      </c>
      <c r="AY30" s="73">
        <f>+G30/AX30</f>
        <v>1.7531797868683396</v>
      </c>
    </row>
    <row r="31" spans="1:51" s="22" customFormat="1" ht="100.5" customHeight="1" thickTop="1" thickBot="1">
      <c r="A31" s="2941"/>
      <c r="B31" s="1054" t="s">
        <v>150</v>
      </c>
      <c r="C31" s="674" t="s">
        <v>1034</v>
      </c>
      <c r="D31" s="728" t="s">
        <v>319</v>
      </c>
      <c r="E31" s="674" t="s">
        <v>183</v>
      </c>
      <c r="F31" s="674" t="s">
        <v>17</v>
      </c>
      <c r="G31" s="2469">
        <v>37</v>
      </c>
      <c r="H31" s="674"/>
      <c r="I31" s="47"/>
      <c r="J31" s="674"/>
      <c r="K31" s="561" t="s">
        <v>21</v>
      </c>
      <c r="L31" s="119">
        <v>37</v>
      </c>
      <c r="M31" s="120">
        <v>37</v>
      </c>
      <c r="N31" s="73">
        <f>+L31/M31</f>
        <v>1</v>
      </c>
      <c r="O31" s="119">
        <v>37</v>
      </c>
      <c r="P31" s="120">
        <v>35</v>
      </c>
      <c r="Q31" s="73">
        <f>+O31/P31</f>
        <v>1.0571428571428572</v>
      </c>
      <c r="R31" s="119">
        <v>37</v>
      </c>
      <c r="S31" s="120">
        <v>32</v>
      </c>
      <c r="T31" s="73">
        <f>+R31/S31</f>
        <v>1.15625</v>
      </c>
      <c r="U31" s="119">
        <v>37</v>
      </c>
      <c r="V31" s="120">
        <v>31</v>
      </c>
      <c r="W31" s="73">
        <f>+U31/V31</f>
        <v>1.1935483870967742</v>
      </c>
      <c r="X31" s="119">
        <v>37</v>
      </c>
      <c r="Y31" s="120">
        <v>17</v>
      </c>
      <c r="Z31" s="73">
        <f>+X31/Y31</f>
        <v>2.1764705882352939</v>
      </c>
      <c r="AA31" s="119">
        <v>37</v>
      </c>
      <c r="AB31" s="120">
        <v>16</v>
      </c>
      <c r="AC31" s="73">
        <f>+AA31/AB31</f>
        <v>2.3125</v>
      </c>
      <c r="AD31" s="1012">
        <f t="shared" si="16"/>
        <v>168</v>
      </c>
      <c r="AE31" s="73">
        <f>G31/AD31</f>
        <v>0.22023809523809523</v>
      </c>
      <c r="AF31" s="119">
        <v>37</v>
      </c>
      <c r="AG31" s="120">
        <v>15</v>
      </c>
      <c r="AH31" s="73">
        <f>+AF31/AG31</f>
        <v>2.4666666666666668</v>
      </c>
      <c r="AI31" s="119">
        <v>37</v>
      </c>
      <c r="AJ31" s="120">
        <v>35</v>
      </c>
      <c r="AK31" s="73">
        <f>+AI31/AJ31</f>
        <v>1.0571428571428572</v>
      </c>
      <c r="AL31" s="119">
        <v>37</v>
      </c>
      <c r="AM31" s="120">
        <v>37</v>
      </c>
      <c r="AN31" s="73">
        <f>+AL31/AM31</f>
        <v>1</v>
      </c>
      <c r="AO31" s="119">
        <v>37</v>
      </c>
      <c r="AP31" s="120">
        <v>37</v>
      </c>
      <c r="AQ31" s="73">
        <f>+AO31/AP31</f>
        <v>1</v>
      </c>
      <c r="AR31" s="119">
        <v>37</v>
      </c>
      <c r="AS31" s="120">
        <v>35</v>
      </c>
      <c r="AT31" s="73">
        <f>+AR31/AS31</f>
        <v>1.0571428571428572</v>
      </c>
      <c r="AU31" s="123">
        <v>37</v>
      </c>
      <c r="AV31" s="1036">
        <v>28</v>
      </c>
      <c r="AW31" s="73">
        <f>+AU31/AV31</f>
        <v>1.3214285714285714</v>
      </c>
      <c r="AX31" s="2076">
        <f>+(M31+P31+S31+V31+Y31+AB31+AG31+AJ31+AM31+AP31+AS31+AV31)/12</f>
        <v>29.583333333333332</v>
      </c>
      <c r="AY31" s="73">
        <f>+G31/AX31</f>
        <v>1.2507042253521128</v>
      </c>
    </row>
    <row r="32" spans="1:51" s="22" customFormat="1" ht="22.7" customHeight="1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2470"/>
      <c r="O32" s="2471"/>
      <c r="P32" s="2471"/>
      <c r="Q32" s="2470"/>
      <c r="R32" s="2471"/>
      <c r="S32" s="2471"/>
      <c r="T32" s="2470"/>
      <c r="U32" s="2471"/>
      <c r="V32" s="2471"/>
      <c r="W32" s="2470"/>
      <c r="X32" s="2471"/>
      <c r="Y32" s="2471"/>
      <c r="Z32" s="2470"/>
      <c r="AA32" s="2471"/>
      <c r="AB32" s="2471"/>
      <c r="AC32" s="2470"/>
      <c r="AD32" s="2471"/>
      <c r="AE32" s="2470"/>
      <c r="AF32" s="2471"/>
      <c r="AG32" s="2471"/>
      <c r="AH32" s="2470"/>
      <c r="AI32" s="2471"/>
      <c r="AJ32" s="2471"/>
      <c r="AK32" s="2470"/>
      <c r="AL32" s="2471"/>
      <c r="AM32" s="2471"/>
      <c r="AN32" s="2470"/>
      <c r="AO32" s="2471"/>
      <c r="AP32" s="2471"/>
      <c r="AQ32" s="2470"/>
      <c r="AR32" s="2471"/>
      <c r="AS32" s="2471"/>
      <c r="AT32" s="2470"/>
      <c r="AU32" s="2472"/>
      <c r="AV32" s="2472"/>
      <c r="AW32" s="2470"/>
      <c r="AX32" s="2471"/>
      <c r="AY32" s="2471"/>
    </row>
    <row r="33" spans="1:51" s="22" customFormat="1" ht="100.5" customHeight="1" thickTop="1" thickBot="1">
      <c r="A33" s="100" t="s">
        <v>155</v>
      </c>
      <c r="B33" s="1101" t="s">
        <v>156</v>
      </c>
      <c r="C33" s="1106" t="s">
        <v>184</v>
      </c>
      <c r="D33" s="1107" t="s">
        <v>158</v>
      </c>
      <c r="E33" s="1106" t="s">
        <v>159</v>
      </c>
      <c r="F33" s="1106" t="s">
        <v>17</v>
      </c>
      <c r="G33" s="2473">
        <v>10</v>
      </c>
      <c r="H33" s="1106"/>
      <c r="I33" s="1108"/>
      <c r="J33" s="1106"/>
      <c r="K33" s="72" t="s">
        <v>27</v>
      </c>
      <c r="L33" s="119">
        <v>0</v>
      </c>
      <c r="M33" s="119">
        <v>0</v>
      </c>
      <c r="N33" s="73" t="e">
        <f t="shared" si="4"/>
        <v>#DIV/0!</v>
      </c>
      <c r="O33" s="119">
        <v>0</v>
      </c>
      <c r="P33" s="119">
        <v>0</v>
      </c>
      <c r="Q33" s="73" t="e">
        <f t="shared" si="5"/>
        <v>#DIV/0!</v>
      </c>
      <c r="R33" s="119">
        <v>0</v>
      </c>
      <c r="S33" s="119">
        <v>0</v>
      </c>
      <c r="T33" s="73" t="e">
        <f t="shared" si="15"/>
        <v>#DIV/0!</v>
      </c>
      <c r="U33" s="119">
        <v>0</v>
      </c>
      <c r="V33" s="119">
        <v>0</v>
      </c>
      <c r="W33" s="73" t="e">
        <f t="shared" si="6"/>
        <v>#DIV/0!</v>
      </c>
      <c r="X33" s="119">
        <v>2</v>
      </c>
      <c r="Y33" s="120">
        <v>2</v>
      </c>
      <c r="Z33" s="73">
        <f t="shared" si="7"/>
        <v>1</v>
      </c>
      <c r="AA33" s="119">
        <v>0</v>
      </c>
      <c r="AB33" s="119">
        <v>0</v>
      </c>
      <c r="AC33" s="73" t="e">
        <f t="shared" si="8"/>
        <v>#DIV/0!</v>
      </c>
      <c r="AD33" s="1012">
        <f>+Y33</f>
        <v>2</v>
      </c>
      <c r="AE33" s="73">
        <f t="shared" si="17"/>
        <v>0.2</v>
      </c>
      <c r="AF33" s="119">
        <v>1</v>
      </c>
      <c r="AG33" s="120">
        <v>1</v>
      </c>
      <c r="AH33" s="73">
        <f t="shared" si="18"/>
        <v>1</v>
      </c>
      <c r="AI33" s="119">
        <v>3</v>
      </c>
      <c r="AJ33" s="120">
        <v>3</v>
      </c>
      <c r="AK33" s="73">
        <f t="shared" si="9"/>
        <v>1</v>
      </c>
      <c r="AL33" s="119">
        <v>1</v>
      </c>
      <c r="AM33" s="120">
        <v>1</v>
      </c>
      <c r="AN33" s="73">
        <f t="shared" si="10"/>
        <v>1</v>
      </c>
      <c r="AO33" s="119">
        <v>3</v>
      </c>
      <c r="AP33" s="120">
        <v>3</v>
      </c>
      <c r="AQ33" s="73">
        <f t="shared" si="11"/>
        <v>1</v>
      </c>
      <c r="AR33" s="119">
        <v>0</v>
      </c>
      <c r="AS33" s="119">
        <v>0</v>
      </c>
      <c r="AT33" s="73" t="e">
        <f t="shared" si="12"/>
        <v>#DIV/0!</v>
      </c>
      <c r="AU33" s="123">
        <v>0</v>
      </c>
      <c r="AV33" s="123">
        <v>0</v>
      </c>
      <c r="AW33" s="73" t="e">
        <f t="shared" si="19"/>
        <v>#DIV/0!</v>
      </c>
      <c r="AX33" s="2076">
        <f>+AP33+AM33+AJ33+AG33+Y33</f>
        <v>10</v>
      </c>
      <c r="AY33" s="73">
        <f t="shared" ref="AY33" si="22">+AX33/G33</f>
        <v>1</v>
      </c>
    </row>
    <row r="34" spans="1:51" ht="17.25" thickTop="1"/>
    <row r="38" spans="1:51">
      <c r="C38" s="64"/>
    </row>
  </sheetData>
  <sheetProtection algorithmName="SHA-512" hashValue="9pCQG2YY3qwnD7Kq9sJ8ZG6acC8awcPwXkVh3n/X682FGtaFLJQAFfEDAJQf62dwry8oF42uzhqvRPpWUT9hUg==" saltValue="D3zusfq6C07Ln8MuoVSO5g==" spinCount="100000" sheet="1" objects="1" scenarios="1"/>
  <mergeCells count="37">
    <mergeCell ref="A29:A31"/>
    <mergeCell ref="B29:B30"/>
    <mergeCell ref="A32:K32"/>
    <mergeCell ref="A9:A27"/>
    <mergeCell ref="B9:B10"/>
    <mergeCell ref="B11:B26"/>
    <mergeCell ref="C12:C15"/>
    <mergeCell ref="C20:C26"/>
    <mergeCell ref="A28:K28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N33 N9:N27 N29:N31">
    <cfRule type="cellIs" dxfId="2274" priority="66" operator="greaterThan">
      <formula>110%</formula>
    </cfRule>
    <cfRule type="cellIs" dxfId="2273" priority="67" operator="between">
      <formula>100.001%</formula>
      <formula>110%</formula>
    </cfRule>
    <cfRule type="cellIs" dxfId="2272" priority="68" operator="between">
      <formula>70.001%</formula>
      <formula>100%</formula>
    </cfRule>
    <cfRule type="cellIs" dxfId="2271" priority="69" operator="between">
      <formula>0.00001%</formula>
      <formula>70%</formula>
    </cfRule>
    <cfRule type="cellIs" dxfId="2270" priority="70" operator="equal">
      <formula>0</formula>
    </cfRule>
  </conditionalFormatting>
  <conditionalFormatting sqref="Q33 Q9:Q27 Q29:Q31">
    <cfRule type="cellIs" dxfId="2269" priority="61" operator="greaterThan">
      <formula>110%</formula>
    </cfRule>
    <cfRule type="cellIs" dxfId="2268" priority="62" operator="between">
      <formula>100.001%</formula>
      <formula>110%</formula>
    </cfRule>
    <cfRule type="cellIs" dxfId="2267" priority="63" operator="between">
      <formula>70.001%</formula>
      <formula>100%</formula>
    </cfRule>
    <cfRule type="cellIs" dxfId="2266" priority="64" operator="between">
      <formula>0.00001%</formula>
      <formula>70%</formula>
    </cfRule>
    <cfRule type="cellIs" dxfId="2265" priority="65" operator="equal">
      <formula>0</formula>
    </cfRule>
  </conditionalFormatting>
  <conditionalFormatting sqref="T33 T9:T27 T29:T31">
    <cfRule type="cellIs" dxfId="2264" priority="56" operator="greaterThan">
      <formula>110%</formula>
    </cfRule>
    <cfRule type="cellIs" dxfId="2263" priority="57" operator="between">
      <formula>100.001%</formula>
      <formula>110%</formula>
    </cfRule>
    <cfRule type="cellIs" dxfId="2262" priority="58" operator="between">
      <formula>70.001%</formula>
      <formula>100%</formula>
    </cfRule>
    <cfRule type="cellIs" dxfId="2261" priority="59" operator="between">
      <formula>0.00001%</formula>
      <formula>70%</formula>
    </cfRule>
    <cfRule type="cellIs" dxfId="2260" priority="60" operator="equal">
      <formula>0</formula>
    </cfRule>
  </conditionalFormatting>
  <conditionalFormatting sqref="W33 W9:W27 W29:W31">
    <cfRule type="cellIs" dxfId="2259" priority="51" operator="greaterThan">
      <formula>110%</formula>
    </cfRule>
    <cfRule type="cellIs" dxfId="2258" priority="52" operator="between">
      <formula>100.001%</formula>
      <formula>110%</formula>
    </cfRule>
    <cfRule type="cellIs" dxfId="2257" priority="53" operator="between">
      <formula>70.001%</formula>
      <formula>100%</formula>
    </cfRule>
    <cfRule type="cellIs" dxfId="2256" priority="54" operator="between">
      <formula>0.00001%</formula>
      <formula>70%</formula>
    </cfRule>
    <cfRule type="cellIs" dxfId="2255" priority="55" operator="equal">
      <formula>0</formula>
    </cfRule>
  </conditionalFormatting>
  <conditionalFormatting sqref="Z33 Z9:Z27 Z29:Z31">
    <cfRule type="cellIs" dxfId="2254" priority="46" operator="greaterThan">
      <formula>110%</formula>
    </cfRule>
    <cfRule type="cellIs" dxfId="2253" priority="47" operator="between">
      <formula>100.001%</formula>
      <formula>110%</formula>
    </cfRule>
    <cfRule type="cellIs" dxfId="2252" priority="48" operator="between">
      <formula>70.001%</formula>
      <formula>100%</formula>
    </cfRule>
    <cfRule type="cellIs" dxfId="2251" priority="49" operator="between">
      <formula>0.00001%</formula>
      <formula>70%</formula>
    </cfRule>
    <cfRule type="cellIs" dxfId="2250" priority="50" operator="equal">
      <formula>0</formula>
    </cfRule>
  </conditionalFormatting>
  <conditionalFormatting sqref="AC33 AC9:AC27 AC29:AC31">
    <cfRule type="cellIs" dxfId="2249" priority="41" operator="greaterThan">
      <formula>110%</formula>
    </cfRule>
    <cfRule type="cellIs" dxfId="2248" priority="42" operator="between">
      <formula>100.001%</formula>
      <formula>110%</formula>
    </cfRule>
    <cfRule type="cellIs" dxfId="2247" priority="43" operator="between">
      <formula>70.001%</formula>
      <formula>100%</formula>
    </cfRule>
    <cfRule type="cellIs" dxfId="2246" priority="44" operator="between">
      <formula>0.00001%</formula>
      <formula>70%</formula>
    </cfRule>
    <cfRule type="cellIs" dxfId="2245" priority="45" operator="equal">
      <formula>0</formula>
    </cfRule>
  </conditionalFormatting>
  <conditionalFormatting sqref="AH33 AH9:AH27 AH29:AH31">
    <cfRule type="cellIs" dxfId="2244" priority="36" operator="greaterThan">
      <formula>110%</formula>
    </cfRule>
    <cfRule type="cellIs" dxfId="2243" priority="37" operator="between">
      <formula>100.001%</formula>
      <formula>110%</formula>
    </cfRule>
    <cfRule type="cellIs" dxfId="2242" priority="38" operator="between">
      <formula>70.001%</formula>
      <formula>100%</formula>
    </cfRule>
    <cfRule type="cellIs" dxfId="2241" priority="39" operator="between">
      <formula>0.00001%</formula>
      <formula>70%</formula>
    </cfRule>
    <cfRule type="cellIs" dxfId="2240" priority="40" operator="equal">
      <formula>0</formula>
    </cfRule>
  </conditionalFormatting>
  <conditionalFormatting sqref="AK33 AK9:AK27 AK29:AK31">
    <cfRule type="cellIs" dxfId="2239" priority="31" operator="greaterThan">
      <formula>110%</formula>
    </cfRule>
    <cfRule type="cellIs" dxfId="2238" priority="32" operator="between">
      <formula>100.001%</formula>
      <formula>110%</formula>
    </cfRule>
    <cfRule type="cellIs" dxfId="2237" priority="33" operator="between">
      <formula>70.001%</formula>
      <formula>100%</formula>
    </cfRule>
    <cfRule type="cellIs" dxfId="2236" priority="34" operator="between">
      <formula>0.00001%</formula>
      <formula>70%</formula>
    </cfRule>
    <cfRule type="cellIs" dxfId="2235" priority="35" operator="equal">
      <formula>0</formula>
    </cfRule>
  </conditionalFormatting>
  <conditionalFormatting sqref="AN33 AN9:AN27 AN29:AN31">
    <cfRule type="cellIs" dxfId="2234" priority="26" operator="greaterThan">
      <formula>110%</formula>
    </cfRule>
    <cfRule type="cellIs" dxfId="2233" priority="27" operator="between">
      <formula>100.001%</formula>
      <formula>110%</formula>
    </cfRule>
    <cfRule type="cellIs" dxfId="2232" priority="28" operator="between">
      <formula>70.001%</formula>
      <formula>100%</formula>
    </cfRule>
    <cfRule type="cellIs" dxfId="2231" priority="29" operator="between">
      <formula>0.00001%</formula>
      <formula>70%</formula>
    </cfRule>
    <cfRule type="cellIs" dxfId="2230" priority="30" operator="equal">
      <formula>0</formula>
    </cfRule>
  </conditionalFormatting>
  <conditionalFormatting sqref="AQ33 AQ9:AQ27 AQ29:AQ31">
    <cfRule type="cellIs" dxfId="2229" priority="21" operator="greaterThan">
      <formula>110%</formula>
    </cfRule>
    <cfRule type="cellIs" dxfId="2228" priority="22" operator="between">
      <formula>100.001%</formula>
      <formula>110%</formula>
    </cfRule>
    <cfRule type="cellIs" dxfId="2227" priority="23" operator="between">
      <formula>70.001%</formula>
      <formula>100%</formula>
    </cfRule>
    <cfRule type="cellIs" dxfId="2226" priority="24" operator="between">
      <formula>0.00001%</formula>
      <formula>70%</formula>
    </cfRule>
    <cfRule type="cellIs" dxfId="2225" priority="25" operator="equal">
      <formula>0</formula>
    </cfRule>
  </conditionalFormatting>
  <conditionalFormatting sqref="AT33 AT9:AT27 AT29:AT31">
    <cfRule type="cellIs" dxfId="2224" priority="16" operator="greaterThan">
      <formula>110%</formula>
    </cfRule>
    <cfRule type="cellIs" dxfId="2223" priority="17" operator="between">
      <formula>100.001%</formula>
      <formula>110%</formula>
    </cfRule>
    <cfRule type="cellIs" dxfId="2222" priority="18" operator="between">
      <formula>70.001%</formula>
      <formula>100%</formula>
    </cfRule>
    <cfRule type="cellIs" dxfId="2221" priority="19" operator="between">
      <formula>0.00001%</formula>
      <formula>70%</formula>
    </cfRule>
    <cfRule type="cellIs" dxfId="2220" priority="20" operator="equal">
      <formula>0</formula>
    </cfRule>
  </conditionalFormatting>
  <conditionalFormatting sqref="AW9:AW27 AW33 AW29:AW31">
    <cfRule type="cellIs" dxfId="2219" priority="11" operator="greaterThan">
      <formula>110%</formula>
    </cfRule>
    <cfRule type="cellIs" dxfId="2218" priority="12" operator="between">
      <formula>100.001%</formula>
      <formula>110%</formula>
    </cfRule>
    <cfRule type="cellIs" dxfId="2217" priority="13" operator="between">
      <formula>70.001%</formula>
      <formula>100%</formula>
    </cfRule>
    <cfRule type="cellIs" dxfId="2216" priority="14" operator="between">
      <formula>0.00001%</formula>
      <formula>70%</formula>
    </cfRule>
    <cfRule type="cellIs" dxfId="2215" priority="15" operator="equal">
      <formula>0</formula>
    </cfRule>
  </conditionalFormatting>
  <conditionalFormatting sqref="AY9:AY27 AY33 AY29:AY31">
    <cfRule type="cellIs" dxfId="2214" priority="6" operator="greaterThan">
      <formula>110%</formula>
    </cfRule>
    <cfRule type="cellIs" dxfId="2213" priority="7" operator="between">
      <formula>100.001%</formula>
      <formula>110%</formula>
    </cfRule>
    <cfRule type="cellIs" dxfId="2212" priority="8" operator="between">
      <formula>70.001%</formula>
      <formula>100%</formula>
    </cfRule>
    <cfRule type="cellIs" dxfId="2211" priority="9" operator="between">
      <formula>0.00001%</formula>
      <formula>70%</formula>
    </cfRule>
    <cfRule type="cellIs" dxfId="2210" priority="10" operator="equal">
      <formula>0</formula>
    </cfRule>
  </conditionalFormatting>
  <conditionalFormatting sqref="AE33 AE9:AE27 AE29:AE31">
    <cfRule type="cellIs" dxfId="2209" priority="1" operator="greaterThan">
      <formula>110%</formula>
    </cfRule>
    <cfRule type="cellIs" dxfId="2208" priority="2" operator="between">
      <formula>100.001%</formula>
      <formula>110%</formula>
    </cfRule>
    <cfRule type="cellIs" dxfId="2207" priority="3" operator="between">
      <formula>70.001%</formula>
      <formula>100%</formula>
    </cfRule>
    <cfRule type="cellIs" dxfId="2206" priority="4" operator="between">
      <formula>0.00001%</formula>
      <formula>70%</formula>
    </cfRule>
    <cfRule type="cellIs" dxfId="2205" priority="5" operator="equal">
      <formula>0</formula>
    </cfRule>
  </conditionalFormatting>
  <hyperlinks>
    <hyperlink ref="D29" location="'IN1-11'!Área_de_impresión" display="IN1-11  Nivel de cobertura de personas sensibilizadas por el plan de cultura. ACTUALMENTE. Cumplimiento al Plan de Acción de Cultura de la Contribución" xr:uid="{00000000-0004-0000-2600-000000000000}"/>
    <hyperlink ref="D30" location="'JUR-7'!Área_de_impresión" display="JUR-7  Oportunidad en las decisiones de los recursos Tributarios hasta su remisión a notificaciones" xr:uid="{00000000-0004-0000-2600-000001000000}"/>
    <hyperlink ref="D31" location="'IN1-15'!Área_de_impresión" display="IN1-15 Días en devoluciones ordinarias" xr:uid="{00000000-0004-0000-2600-000002000000}"/>
    <hyperlink ref="D27" location="'FIS-24'!Área_de_impresión" display="FIS-24 Valor decomisos de mercancías en firme" xr:uid="{00000000-0004-0000-2600-000003000000}"/>
    <hyperlink ref="D26" location="'JUR-4'!Área_de_impresión" display="JUR-4 Porcentaje funcionarios que participaron en el concurso de escritura jurídica" xr:uid="{00000000-0004-0000-2600-000004000000}"/>
    <hyperlink ref="D25" location="'JUR-3.6'!Área_de_impresión" display="JUR-3.6 Porcentaje funcionarios capacitaciones en cursos virtuales de la ANDJE" xr:uid="{00000000-0004-0000-2600-000005000000}"/>
    <hyperlink ref="D24" location="'JUR-3.5'!Área_de_impresión" display="JUR-3.5 Porcentaje de requerimientos atendidos en oportunidad" xr:uid="{00000000-0004-0000-2600-000006000000}"/>
    <hyperlink ref="D23" location="'JUR-3.4'!Área_de_impresión" display="JUR-3.4 Porcentaje  de procesos revisados con VoBo del Jefe " xr:uid="{00000000-0004-0000-2600-000007000000}"/>
    <hyperlink ref="D22" location="'JUR-3.3'!Área_de_impresión" display="JUR-3.3 Porcentaje de análisis de jurisprudencia remitidos junto con la copia de la sentencia " xr:uid="{00000000-0004-0000-2600-000008000000}"/>
    <hyperlink ref="D21" location="'JUR-3.2'!Área_de_impresión" display="JUR-3.2 Porcentaje  procesos judiciales revisados con mayor riesgo en Ekogui" xr:uid="{00000000-0004-0000-2600-000009000000}"/>
    <hyperlink ref="D20" location="'JUR-3.1'!Área_de_impresión" display="JUR-3.1 Porcentaje de éxito de litigiosidad" xr:uid="{00000000-0004-0000-2600-00000A000000}"/>
    <hyperlink ref="D19" location="'IN1-8'!Área_de_impresión" display="IN1-8 Contribuyentes habilitados como facturadores electrónicos" xr:uid="{00000000-0004-0000-2600-00000B000000}"/>
    <hyperlink ref="D18" location="'IN1-6.1'!Área_de_impresión" display="IN1-6.1 Grado de cumplimiento del cronograma de campañas del RST" xr:uid="{00000000-0004-0000-2600-00000C000000}"/>
    <hyperlink ref="D17" location="'IN1-5'!Área_de_impresión" display="IN1-5 Inscritos en el Régimen Simple de Tributación - RST" xr:uid="{00000000-0004-0000-2600-00000D000000}"/>
    <hyperlink ref="D16" location="'IN1-4'!Área_de_impresión" display="IN1-4 Recaudo por gestión de cartera" xr:uid="{00000000-0004-0000-2600-00000E000000}"/>
    <hyperlink ref="D15" location="'FIS-17'!Área_de_impresión" display="FIS-17 Evacuación de expedientes en fiscalización tributaria" xr:uid="{00000000-0004-0000-2600-00000F000000}"/>
    <hyperlink ref="D14" location="'FIS-27'!Área_de_impresión" display="FIS-27 Reclasificación de no responsables a responsables" xr:uid="{00000000-0004-0000-2600-000010000000}"/>
    <hyperlink ref="D13" location="'FIS-10'!Área_de_impresión" display="FIS-10 Gestión aceptada en fiscalización tributaria" xr:uid="{00000000-0004-0000-2600-000011000000}"/>
    <hyperlink ref="D12" location="'FIS-4'!Área_de_impresión" display="FIS-4 Gestión efectiva en fiscalización tributaria" xr:uid="{00000000-0004-0000-2600-000012000000}"/>
    <hyperlink ref="D11" location="'IN1-3'!Área_de_impresión" display="IN1-3 Recaudo Bruto" xr:uid="{00000000-0004-0000-2600-000013000000}"/>
    <hyperlink ref="D9" location="'DGRAE-1'!Área_de_impresión" display="DGRAE-1 Nivel de Ejecución del presupuesto " xr:uid="{00000000-0004-0000-2600-000014000000}"/>
    <hyperlink ref="D33" location="'DGRAE-25'!Área_de_impresión" display="DGRAE-25 Actividades que componen el  PIC para la Dirección de Gestión" xr:uid="{00000000-0004-0000-2600-000015000000}"/>
    <hyperlink ref="D10" location="'DGRAE-2'!A1" display="DGRAE-2 Nivel de ejecución del PAA de la Dirección" xr:uid="{00000000-0004-0000-2600-000016000000}"/>
    <hyperlink ref="AY2" location="'Consolidado '!A1" display="VOLVER" xr:uid="{00000000-0004-0000-2600-000017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G37"/>
  <sheetViews>
    <sheetView topLeftCell="E1" zoomScale="70" zoomScaleNormal="70" workbookViewId="0">
      <selection activeCell="BG2" sqref="BG2"/>
    </sheetView>
  </sheetViews>
  <sheetFormatPr baseColWidth="10" defaultColWidth="11.42578125" defaultRowHeight="16.5"/>
  <cols>
    <col min="1" max="1" width="23.14062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80.28515625" style="8" bestFit="1" customWidth="1"/>
    <col min="6" max="6" width="22.42578125" style="8" bestFit="1" customWidth="1"/>
    <col min="7" max="7" width="18.28515625" style="8" bestFit="1" customWidth="1"/>
    <col min="8" max="8" width="11.2851562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26" width="21.7109375" style="8" hidden="1" customWidth="1"/>
    <col min="27" max="27" width="23" style="8" hidden="1" customWidth="1"/>
    <col min="28" max="30" width="21.7109375" style="8" hidden="1" customWidth="1"/>
    <col min="31" max="31" width="21.7109375" style="69" hidden="1" customWidth="1"/>
    <col min="32" max="47" width="21.7109375" style="8" hidden="1" customWidth="1"/>
    <col min="48" max="48" width="23.5703125" style="8" hidden="1" customWidth="1"/>
    <col min="49" max="49" width="21.7109375" style="8" hidden="1" customWidth="1"/>
    <col min="50" max="52" width="21.7109375" style="8" customWidth="1"/>
    <col min="53" max="53" width="23.28515625" style="69" customWidth="1"/>
    <col min="54" max="54" width="41" hidden="1" customWidth="1"/>
    <col min="55" max="58" width="11.42578125" hidden="1" customWidth="1"/>
  </cols>
  <sheetData>
    <row r="1" spans="1:59" ht="29.25" customHeight="1">
      <c r="A1" s="101"/>
      <c r="B1" s="101"/>
      <c r="C1" s="2885" t="s">
        <v>340</v>
      </c>
      <c r="D1" s="2885"/>
      <c r="E1" s="2885"/>
      <c r="F1" s="2885"/>
      <c r="G1" s="2885"/>
      <c r="H1" s="2885"/>
      <c r="I1" s="2885"/>
      <c r="J1" s="2885"/>
      <c r="K1" s="2885"/>
    </row>
    <row r="2" spans="1:59" ht="18.75" customHeight="1">
      <c r="A2" s="105"/>
      <c r="B2" s="105"/>
      <c r="C2" s="2886" t="s">
        <v>341</v>
      </c>
      <c r="D2" s="2886"/>
      <c r="E2" s="2886"/>
      <c r="F2" s="2886"/>
      <c r="G2" s="2886"/>
      <c r="H2" s="2886"/>
      <c r="I2" s="2886"/>
      <c r="J2" s="2886"/>
      <c r="K2" s="2886"/>
      <c r="BG2" s="670" t="s">
        <v>185</v>
      </c>
    </row>
    <row r="3" spans="1:59" ht="18" customHeight="1">
      <c r="A3" s="546"/>
      <c r="B3" s="547"/>
      <c r="C3" s="2887" t="s">
        <v>342</v>
      </c>
      <c r="D3" s="2888"/>
      <c r="E3" s="2888"/>
      <c r="F3" s="2888"/>
      <c r="G3" s="2888"/>
      <c r="H3" s="2888"/>
      <c r="I3" s="2888"/>
      <c r="J3" s="2888"/>
      <c r="K3" s="2889"/>
    </row>
    <row r="4" spans="1:59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BG4" s="370">
        <f>+(BA9+BA10+BA11+BA12+BA13+BA14+BA15+BA16+BA17+BA18+BA19+BA20+BA21+BA22+BA23+BA24+BA25+BA27+BA28+BA29+BA31)/21</f>
        <v>1.1978292728002997</v>
      </c>
    </row>
    <row r="5" spans="1:59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3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91" t="s">
        <v>188</v>
      </c>
      <c r="AE5" s="2892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97" t="s">
        <v>343</v>
      </c>
      <c r="AY5" s="2898"/>
      <c r="AZ5" s="2899"/>
      <c r="BA5" s="2831" t="s">
        <v>344</v>
      </c>
    </row>
    <row r="6" spans="1:59" ht="18.75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40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93"/>
      <c r="AE6" s="289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97"/>
      <c r="AY6" s="2898"/>
      <c r="AZ6" s="2899"/>
      <c r="BA6" s="2831"/>
    </row>
    <row r="7" spans="1:59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6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95"/>
      <c r="AE7" s="2896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900"/>
      <c r="AY7" s="2901"/>
      <c r="AZ7" s="2902"/>
      <c r="BA7" s="2832"/>
    </row>
    <row r="8" spans="1:59" ht="43.5" customHeight="1" thickTop="1" thickBot="1">
      <c r="A8" s="2839" t="s">
        <v>83</v>
      </c>
      <c r="B8" s="2839"/>
      <c r="C8" s="2907"/>
      <c r="D8" s="2907"/>
      <c r="E8" s="2907"/>
      <c r="F8" s="2907"/>
      <c r="G8" s="2907"/>
      <c r="H8" s="2907"/>
      <c r="I8" s="2907"/>
      <c r="J8" s="2907"/>
      <c r="K8" s="2907"/>
      <c r="L8" s="13" t="s">
        <v>84</v>
      </c>
      <c r="M8" s="14" t="s">
        <v>85</v>
      </c>
      <c r="N8" s="13" t="s">
        <v>86</v>
      </c>
      <c r="O8" s="13" t="s">
        <v>84</v>
      </c>
      <c r="P8" s="14" t="s">
        <v>85</v>
      </c>
      <c r="Q8" s="13" t="s">
        <v>86</v>
      </c>
      <c r="R8" s="16" t="s">
        <v>84</v>
      </c>
      <c r="S8" s="16" t="s">
        <v>85</v>
      </c>
      <c r="T8" s="13" t="s">
        <v>86</v>
      </c>
      <c r="U8" s="16" t="s">
        <v>84</v>
      </c>
      <c r="V8" s="16" t="s">
        <v>85</v>
      </c>
      <c r="W8" s="13" t="s">
        <v>86</v>
      </c>
      <c r="X8" s="16" t="s">
        <v>84</v>
      </c>
      <c r="Y8" s="16" t="s">
        <v>85</v>
      </c>
      <c r="Z8" s="13" t="s">
        <v>86</v>
      </c>
      <c r="AA8" s="16" t="s">
        <v>84</v>
      </c>
      <c r="AB8" s="16" t="s">
        <v>85</v>
      </c>
      <c r="AC8" s="13" t="s">
        <v>86</v>
      </c>
      <c r="AD8" s="13" t="s">
        <v>85</v>
      </c>
      <c r="AE8" s="15" t="s">
        <v>345</v>
      </c>
      <c r="AF8" s="13" t="s">
        <v>84</v>
      </c>
      <c r="AG8" s="14" t="s">
        <v>85</v>
      </c>
      <c r="AH8" s="13" t="s">
        <v>86</v>
      </c>
      <c r="AI8" s="16" t="s">
        <v>84</v>
      </c>
      <c r="AJ8" s="13" t="s">
        <v>85</v>
      </c>
      <c r="AK8" s="13" t="s">
        <v>86</v>
      </c>
      <c r="AL8" s="14" t="s">
        <v>84</v>
      </c>
      <c r="AM8" s="16" t="s">
        <v>85</v>
      </c>
      <c r="AN8" s="13" t="s">
        <v>86</v>
      </c>
      <c r="AO8" s="16" t="s">
        <v>84</v>
      </c>
      <c r="AP8" s="16" t="s">
        <v>85</v>
      </c>
      <c r="AQ8" s="13" t="s">
        <v>86</v>
      </c>
      <c r="AR8" s="16" t="s">
        <v>84</v>
      </c>
      <c r="AS8" s="13" t="s">
        <v>85</v>
      </c>
      <c r="AT8" s="13" t="s">
        <v>86</v>
      </c>
      <c r="AU8" s="13" t="s">
        <v>84</v>
      </c>
      <c r="AV8" s="14" t="s">
        <v>85</v>
      </c>
      <c r="AW8" s="13" t="s">
        <v>86</v>
      </c>
      <c r="AX8" s="548" t="s">
        <v>84</v>
      </c>
      <c r="AY8" s="548" t="s">
        <v>85</v>
      </c>
      <c r="AZ8" s="549" t="s">
        <v>346</v>
      </c>
      <c r="BA8" s="15" t="s">
        <v>347</v>
      </c>
    </row>
    <row r="9" spans="1:59" ht="98.25" customHeight="1" thickTop="1" thickBot="1">
      <c r="A9" s="2846">
        <v>0</v>
      </c>
      <c r="B9" s="2908" t="s">
        <v>94</v>
      </c>
      <c r="C9" s="550" t="s">
        <v>95</v>
      </c>
      <c r="D9" s="551" t="s">
        <v>96</v>
      </c>
      <c r="E9" s="552" t="s">
        <v>97</v>
      </c>
      <c r="F9" s="2791" t="s">
        <v>300</v>
      </c>
      <c r="G9" s="553">
        <f>+AY9</f>
        <v>7.4215470000000003</v>
      </c>
      <c r="H9" s="554"/>
      <c r="I9" s="555"/>
      <c r="J9" s="554"/>
      <c r="K9" s="550" t="s">
        <v>20</v>
      </c>
      <c r="L9" s="556">
        <f>+M9</f>
        <v>1.0777099999999999</v>
      </c>
      <c r="M9" s="557">
        <v>1.0777099999999999</v>
      </c>
      <c r="N9" s="558">
        <f>+M9/L9</f>
        <v>1</v>
      </c>
      <c r="O9" s="556">
        <f>+P9</f>
        <v>0.41355599999999998</v>
      </c>
      <c r="P9" s="557">
        <v>0.41355599999999998</v>
      </c>
      <c r="Q9" s="558">
        <f>+P9/O9</f>
        <v>1</v>
      </c>
      <c r="R9" s="556">
        <f>+S9</f>
        <v>0.68693300000000002</v>
      </c>
      <c r="S9" s="557">
        <v>0.68693300000000002</v>
      </c>
      <c r="T9" s="558">
        <f>+S9/R9</f>
        <v>1</v>
      </c>
      <c r="U9" s="556">
        <f>+V9</f>
        <v>0.48868299999999998</v>
      </c>
      <c r="V9" s="557">
        <v>0.48868299999999998</v>
      </c>
      <c r="W9" s="558">
        <f>+V9/U9</f>
        <v>1</v>
      </c>
      <c r="X9" s="556">
        <f>+Y9</f>
        <v>0.65226700000000004</v>
      </c>
      <c r="Y9" s="557">
        <v>0.65226700000000004</v>
      </c>
      <c r="Z9" s="558">
        <f>+Y9/X9</f>
        <v>1</v>
      </c>
      <c r="AA9" s="556">
        <f>+AB9</f>
        <v>0.50644500000000003</v>
      </c>
      <c r="AB9" s="557">
        <v>0.50644500000000003</v>
      </c>
      <c r="AC9" s="558">
        <f>+AB9/AA9</f>
        <v>1</v>
      </c>
      <c r="AD9" s="496">
        <f t="shared" ref="AD9:AD31" si="0">+M9+P9+S9+V9+Y9+AB9</f>
        <v>3.8255940000000006</v>
      </c>
      <c r="AE9" s="15">
        <v>1</v>
      </c>
      <c r="AF9" s="556">
        <f>+AG9</f>
        <v>0.61217600000000005</v>
      </c>
      <c r="AG9" s="557">
        <v>0.61217600000000005</v>
      </c>
      <c r="AH9" s="558">
        <f>+AG9/AF9</f>
        <v>1</v>
      </c>
      <c r="AI9" s="556">
        <f>+AJ9</f>
        <v>0.402221</v>
      </c>
      <c r="AJ9" s="557">
        <v>0.402221</v>
      </c>
      <c r="AK9" s="558">
        <f>+AJ9/AI9</f>
        <v>1</v>
      </c>
      <c r="AL9" s="556">
        <f>+AM9</f>
        <v>0.91975600000000002</v>
      </c>
      <c r="AM9" s="557">
        <v>0.91975600000000002</v>
      </c>
      <c r="AN9" s="558">
        <f>+AM9/AL9</f>
        <v>1</v>
      </c>
      <c r="AO9" s="556">
        <f>+AP9</f>
        <v>0.45893600000000001</v>
      </c>
      <c r="AP9" s="557">
        <v>0.45893600000000001</v>
      </c>
      <c r="AQ9" s="558">
        <f>+AP9/AO9</f>
        <v>1</v>
      </c>
      <c r="AR9" s="556">
        <f>+AS9</f>
        <v>0.78658099999999997</v>
      </c>
      <c r="AS9" s="557">
        <v>0.78658099999999997</v>
      </c>
      <c r="AT9" s="558">
        <f>+AS9/AR9</f>
        <v>1</v>
      </c>
      <c r="AU9" s="556">
        <f>+AV9</f>
        <v>0.41628300000000001</v>
      </c>
      <c r="AV9" s="557">
        <v>0.41628300000000001</v>
      </c>
      <c r="AW9" s="558">
        <f>+AV9/AU9</f>
        <v>1</v>
      </c>
      <c r="AX9" s="559">
        <f>+G9</f>
        <v>7.4215470000000003</v>
      </c>
      <c r="AY9" s="496">
        <f t="shared" ref="AY9:AY14" si="1">+M9+P9+S9+V9+Y9+AB9+AG9+AJ9+AM9+AP9+AS9+AV9</f>
        <v>7.4215470000000003</v>
      </c>
      <c r="AZ9" s="560">
        <f t="shared" ref="AZ9:AZ13" si="2">+AY9/AX9</f>
        <v>1</v>
      </c>
      <c r="BA9" s="19">
        <f t="shared" ref="BA9:BA31" si="3">+AY9/G9</f>
        <v>1</v>
      </c>
    </row>
    <row r="10" spans="1:59" ht="91.5" customHeight="1" thickTop="1" thickBot="1">
      <c r="A10" s="2846"/>
      <c r="B10" s="2909"/>
      <c r="C10" s="2910" t="s">
        <v>301</v>
      </c>
      <c r="D10" s="17" t="s">
        <v>99</v>
      </c>
      <c r="E10" s="561" t="s">
        <v>100</v>
      </c>
      <c r="F10" s="85" t="s">
        <v>101</v>
      </c>
      <c r="G10" s="562">
        <v>282240000000</v>
      </c>
      <c r="H10" s="96"/>
      <c r="I10" s="33"/>
      <c r="J10" s="96"/>
      <c r="K10" s="561" t="s">
        <v>172</v>
      </c>
      <c r="L10" s="563">
        <v>22579200000</v>
      </c>
      <c r="M10" s="564">
        <v>18778498000</v>
      </c>
      <c r="N10" s="558">
        <f>+M10/L10</f>
        <v>0.83167242417800458</v>
      </c>
      <c r="O10" s="563">
        <v>22579200000</v>
      </c>
      <c r="P10" s="564">
        <v>8488528420</v>
      </c>
      <c r="Q10" s="558">
        <f>+P10/O10</f>
        <v>0.37594460476899094</v>
      </c>
      <c r="R10" s="563">
        <v>22579200000</v>
      </c>
      <c r="S10" s="564">
        <v>39163910000</v>
      </c>
      <c r="T10" s="558">
        <f>+S10/R10</f>
        <v>1.7345127373866214</v>
      </c>
      <c r="U10" s="563">
        <v>25401600000</v>
      </c>
      <c r="V10" s="564">
        <v>3949702000</v>
      </c>
      <c r="W10" s="558">
        <f>+V10/U10</f>
        <v>0.1554902840765936</v>
      </c>
      <c r="X10" s="563">
        <v>28224000000</v>
      </c>
      <c r="Y10" s="564">
        <v>3513306000</v>
      </c>
      <c r="Z10" s="558">
        <f>+Y10/X10</f>
        <v>0.12447937925170068</v>
      </c>
      <c r="AA10" s="563">
        <v>28224000000</v>
      </c>
      <c r="AB10" s="564">
        <v>11903195000</v>
      </c>
      <c r="AC10" s="558">
        <f>+AB10/AA10</f>
        <v>0.42174018565759636</v>
      </c>
      <c r="AD10" s="496">
        <f t="shared" si="0"/>
        <v>85797139420</v>
      </c>
      <c r="AE10" s="15">
        <f t="shared" ref="AE10:AE20" si="4">+AD10/(SUM(L10+O10+R10+U10+X10+AA10))</f>
        <v>0.57355936483870273</v>
      </c>
      <c r="AF10" s="563">
        <v>28224000000</v>
      </c>
      <c r="AG10" s="564">
        <v>48640470000</v>
      </c>
      <c r="AH10" s="558">
        <f>+AG10/AF10</f>
        <v>1.7233726615646259</v>
      </c>
      <c r="AI10" s="563">
        <v>28224000000</v>
      </c>
      <c r="AJ10" s="564">
        <v>10049206460</v>
      </c>
      <c r="AK10" s="558">
        <f>+AJ10/AI10</f>
        <v>0.35605181618480725</v>
      </c>
      <c r="AL10" s="563">
        <v>28224000000</v>
      </c>
      <c r="AM10" s="564">
        <v>105404054010</v>
      </c>
      <c r="AN10" s="558">
        <f>+AM10/AL10</f>
        <v>3.7345540678146261</v>
      </c>
      <c r="AO10" s="563">
        <v>28224000000</v>
      </c>
      <c r="AP10" s="564">
        <v>64580676210</v>
      </c>
      <c r="AQ10" s="558">
        <f>+AP10/AO10</f>
        <v>2.2881475414540815</v>
      </c>
      <c r="AR10" s="563">
        <v>11289600000</v>
      </c>
      <c r="AS10" s="563">
        <v>47730719000</v>
      </c>
      <c r="AT10" s="558">
        <f>+AS10/AR10</f>
        <v>4.2278485508786847</v>
      </c>
      <c r="AU10" s="563">
        <v>8467200000</v>
      </c>
      <c r="AV10" s="563">
        <v>39493276000</v>
      </c>
      <c r="AW10" s="558">
        <f>+AV10/AU10</f>
        <v>4.6642663454270599</v>
      </c>
      <c r="AX10" s="462">
        <f t="shared" ref="AX10:AX15" si="5">+L10+O10+R10+U10+X10+AA10+AF10+AI10+AL10+AO10+AR10+AU10</f>
        <v>282240000000</v>
      </c>
      <c r="AY10" s="462">
        <f t="shared" si="1"/>
        <v>401695541100</v>
      </c>
      <c r="AZ10" s="560">
        <f t="shared" si="2"/>
        <v>1.4232410044642858</v>
      </c>
      <c r="BA10" s="19">
        <f t="shared" si="3"/>
        <v>1.4232410044642858</v>
      </c>
    </row>
    <row r="11" spans="1:59" ht="61.5" customHeight="1" thickTop="1" thickBot="1">
      <c r="A11" s="2846"/>
      <c r="B11" s="2909"/>
      <c r="C11" s="2910"/>
      <c r="D11" s="24" t="s">
        <v>303</v>
      </c>
      <c r="E11" s="25" t="s">
        <v>348</v>
      </c>
      <c r="F11" s="98" t="s">
        <v>18</v>
      </c>
      <c r="G11" s="565">
        <v>28000</v>
      </c>
      <c r="H11" s="98"/>
      <c r="I11" s="26"/>
      <c r="J11" s="98"/>
      <c r="K11" s="25" t="s">
        <v>304</v>
      </c>
      <c r="L11" s="566">
        <v>1400</v>
      </c>
      <c r="M11" s="567"/>
      <c r="N11" s="558">
        <f t="shared" ref="N11" si="6">+M11/L11</f>
        <v>0</v>
      </c>
      <c r="O11" s="566">
        <v>1400</v>
      </c>
      <c r="P11" s="568"/>
      <c r="Q11" s="558">
        <f t="shared" ref="Q11:Q18" si="7">+P11/O11</f>
        <v>0</v>
      </c>
      <c r="R11" s="566">
        <v>1680</v>
      </c>
      <c r="S11" s="567">
        <f>+[3]Hoja1!$D$18/1000000</f>
        <v>151.50299999999999</v>
      </c>
      <c r="T11" s="558">
        <f t="shared" ref="T11:T18" si="8">+S11/R11</f>
        <v>9.0180357142857132E-2</v>
      </c>
      <c r="U11" s="566">
        <v>2800</v>
      </c>
      <c r="V11" s="567">
        <f>+[3]Hoja1!$E$18/1000000</f>
        <v>0</v>
      </c>
      <c r="W11" s="558">
        <f t="shared" ref="W11:W18" si="9">+V11/U11</f>
        <v>0</v>
      </c>
      <c r="X11" s="566">
        <v>2800</v>
      </c>
      <c r="Y11" s="567">
        <f>+[3]Hoja1!$F$18/1000000</f>
        <v>0</v>
      </c>
      <c r="Z11" s="558">
        <f t="shared" ref="Z11:Z18" si="10">+Y11/X11</f>
        <v>0</v>
      </c>
      <c r="AA11" s="566">
        <v>2800</v>
      </c>
      <c r="AB11" s="567">
        <f>+[3]Hoja1!$G$18/1000000</f>
        <v>2.2919999999999998</v>
      </c>
      <c r="AC11" s="558">
        <f t="shared" ref="AC11:AC18" si="11">+AB11/AA11</f>
        <v>8.1857142857142849E-4</v>
      </c>
      <c r="AD11" s="496">
        <f t="shared" si="0"/>
        <v>153.79499999999999</v>
      </c>
      <c r="AE11" s="15">
        <f t="shared" si="4"/>
        <v>1.194060559006211E-2</v>
      </c>
      <c r="AF11" s="566">
        <v>2800</v>
      </c>
      <c r="AG11" s="567">
        <f>+[3]Hoja1!$H$18/1000000</f>
        <v>30.243510000000001</v>
      </c>
      <c r="AH11" s="558">
        <f t="shared" ref="AH11:AH18" si="12">+AG11/AF11</f>
        <v>1.0801253571428571E-2</v>
      </c>
      <c r="AI11" s="566">
        <v>2800</v>
      </c>
      <c r="AJ11" s="567">
        <f>2699486000/1000000</f>
        <v>2699.4859999999999</v>
      </c>
      <c r="AK11" s="558">
        <f t="shared" ref="AK11:AK18" si="13">+AJ11/AI11</f>
        <v>0.9641021428571428</v>
      </c>
      <c r="AL11" s="566">
        <v>2800</v>
      </c>
      <c r="AM11" s="569">
        <f>(4499144000+90851390)/1000000</f>
        <v>4589.99539</v>
      </c>
      <c r="AN11" s="558">
        <f t="shared" ref="AN11:AN20" si="14">+AM11/AL11</f>
        <v>1.639284067857143</v>
      </c>
      <c r="AO11" s="566">
        <v>2800</v>
      </c>
      <c r="AP11" s="570">
        <f>(68540000+47556000+105528000+89018000)/1000000</f>
        <v>310.642</v>
      </c>
      <c r="AQ11" s="558">
        <f t="shared" ref="AQ11:AQ18" si="15">+AP11/AO11</f>
        <v>0.11094357142857143</v>
      </c>
      <c r="AR11" s="566">
        <v>2800</v>
      </c>
      <c r="AS11" s="566"/>
      <c r="AT11" s="558">
        <f t="shared" ref="AT11:AT18" si="16">+AS11/AR11</f>
        <v>0</v>
      </c>
      <c r="AU11" s="566">
        <v>1120</v>
      </c>
      <c r="AV11" s="566">
        <v>36100</v>
      </c>
      <c r="AW11" s="558">
        <f t="shared" ref="AW11:AW25" si="17">+AV11/AU11</f>
        <v>32.232142857142854</v>
      </c>
      <c r="AX11" s="462">
        <f t="shared" si="5"/>
        <v>28000</v>
      </c>
      <c r="AY11" s="462">
        <f t="shared" si="1"/>
        <v>43884.161899999999</v>
      </c>
      <c r="AZ11" s="560">
        <f t="shared" si="2"/>
        <v>1.5672914964285714</v>
      </c>
      <c r="BA11" s="19">
        <f t="shared" si="3"/>
        <v>1.5672914964285714</v>
      </c>
    </row>
    <row r="12" spans="1:59" ht="101.25" customHeight="1" thickTop="1" thickBot="1">
      <c r="A12" s="2846"/>
      <c r="B12" s="2909"/>
      <c r="C12" s="2910"/>
      <c r="D12" s="17" t="s">
        <v>102</v>
      </c>
      <c r="E12" s="561" t="s">
        <v>103</v>
      </c>
      <c r="F12" s="85" t="s">
        <v>101</v>
      </c>
      <c r="G12" s="562">
        <v>213200000000</v>
      </c>
      <c r="H12" s="85"/>
      <c r="I12" s="18"/>
      <c r="J12" s="85"/>
      <c r="K12" s="561" t="s">
        <v>172</v>
      </c>
      <c r="L12" s="571">
        <v>17056000000</v>
      </c>
      <c r="M12" s="572">
        <v>13143782000</v>
      </c>
      <c r="N12" s="558">
        <f>+M12/L12</f>
        <v>0.77062511726078797</v>
      </c>
      <c r="O12" s="573">
        <v>17056000000</v>
      </c>
      <c r="P12" s="572">
        <v>8619056000</v>
      </c>
      <c r="Q12" s="558">
        <f>+P12/O12</f>
        <v>0.50533864915572235</v>
      </c>
      <c r="R12" s="574">
        <v>17056000000</v>
      </c>
      <c r="S12" s="572">
        <v>15250197000</v>
      </c>
      <c r="T12" s="558">
        <f>+S12/R12</f>
        <v>0.89412505863039404</v>
      </c>
      <c r="U12" s="575">
        <v>19188000000</v>
      </c>
      <c r="V12" s="572">
        <v>3958925000</v>
      </c>
      <c r="W12" s="558">
        <f>+V12/U12</f>
        <v>0.20632296226808422</v>
      </c>
      <c r="X12" s="573">
        <v>21320000000</v>
      </c>
      <c r="Y12" s="572">
        <v>3535269000</v>
      </c>
      <c r="Z12" s="558">
        <f>+Y12/X12</f>
        <v>0.16581937148217635</v>
      </c>
      <c r="AA12" s="573">
        <v>21320000000</v>
      </c>
      <c r="AB12" s="572">
        <v>5471350000</v>
      </c>
      <c r="AC12" s="558">
        <f>+AB12/AA12</f>
        <v>0.25662992495309567</v>
      </c>
      <c r="AD12" s="496">
        <f t="shared" si="0"/>
        <v>49978579000</v>
      </c>
      <c r="AE12" s="15">
        <f t="shared" si="4"/>
        <v>0.44230396651208892</v>
      </c>
      <c r="AF12" s="573">
        <v>21320000000</v>
      </c>
      <c r="AG12" s="572">
        <v>15710347000</v>
      </c>
      <c r="AH12" s="558">
        <f>+AG12/AF12</f>
        <v>0.73688306754221389</v>
      </c>
      <c r="AI12" s="573">
        <v>21320000000</v>
      </c>
      <c r="AJ12" s="572">
        <v>8609950000</v>
      </c>
      <c r="AK12" s="558">
        <f>+AJ12/AI12</f>
        <v>0.40384380863039399</v>
      </c>
      <c r="AL12" s="573">
        <v>21320000000</v>
      </c>
      <c r="AM12" s="572">
        <v>48974791460</v>
      </c>
      <c r="AN12" s="558">
        <f>+AM12/AL12</f>
        <v>2.2971290553470918</v>
      </c>
      <c r="AO12" s="573">
        <v>21320000000</v>
      </c>
      <c r="AP12" s="572">
        <v>32314741090</v>
      </c>
      <c r="AQ12" s="558">
        <f t="shared" si="15"/>
        <v>1.5157008015947466</v>
      </c>
      <c r="AR12" s="573">
        <v>8528000000</v>
      </c>
      <c r="AS12" s="573">
        <v>9210054000</v>
      </c>
      <c r="AT12" s="558">
        <f t="shared" si="16"/>
        <v>1.0799781894934335</v>
      </c>
      <c r="AU12" s="573">
        <v>6396000000</v>
      </c>
      <c r="AV12" s="573">
        <v>27997039000</v>
      </c>
      <c r="AW12" s="558">
        <f t="shared" si="17"/>
        <v>4.3772731394621642</v>
      </c>
      <c r="AX12" s="462">
        <f t="shared" si="5"/>
        <v>213200000000</v>
      </c>
      <c r="AY12" s="462">
        <f t="shared" si="1"/>
        <v>192795501550</v>
      </c>
      <c r="AZ12" s="560">
        <f t="shared" si="2"/>
        <v>0.90429409732645405</v>
      </c>
      <c r="BA12" s="19">
        <f t="shared" si="3"/>
        <v>0.90429409732645405</v>
      </c>
    </row>
    <row r="13" spans="1:59" ht="95.25" customHeight="1" thickTop="1" thickBot="1">
      <c r="A13" s="2846"/>
      <c r="B13" s="2909"/>
      <c r="C13" s="2910"/>
      <c r="D13" s="24" t="s">
        <v>104</v>
      </c>
      <c r="E13" s="25" t="s">
        <v>105</v>
      </c>
      <c r="F13" s="98" t="s">
        <v>24</v>
      </c>
      <c r="G13" s="576">
        <v>160</v>
      </c>
      <c r="H13" s="98"/>
      <c r="I13" s="26"/>
      <c r="J13" s="98"/>
      <c r="K13" s="397" t="s">
        <v>172</v>
      </c>
      <c r="L13" s="577"/>
      <c r="M13" s="578"/>
      <c r="N13" s="558" t="e">
        <f t="shared" ref="N13:N18" si="18">+M13/L13</f>
        <v>#DIV/0!</v>
      </c>
      <c r="O13" s="577"/>
      <c r="P13" s="578"/>
      <c r="Q13" s="558" t="e">
        <f t="shared" si="7"/>
        <v>#DIV/0!</v>
      </c>
      <c r="R13" s="577">
        <v>40</v>
      </c>
      <c r="S13" s="578">
        <v>15</v>
      </c>
      <c r="T13" s="558">
        <f t="shared" si="8"/>
        <v>0.375</v>
      </c>
      <c r="U13" s="577"/>
      <c r="V13" s="578"/>
      <c r="W13" s="558" t="e">
        <f t="shared" si="9"/>
        <v>#DIV/0!</v>
      </c>
      <c r="X13" s="577">
        <v>0</v>
      </c>
      <c r="Y13" s="578"/>
      <c r="Z13" s="558" t="e">
        <f t="shared" si="10"/>
        <v>#DIV/0!</v>
      </c>
      <c r="AA13" s="577">
        <v>40</v>
      </c>
      <c r="AB13" s="578">
        <v>38</v>
      </c>
      <c r="AC13" s="558">
        <f t="shared" si="11"/>
        <v>0.95</v>
      </c>
      <c r="AD13" s="496">
        <f t="shared" si="0"/>
        <v>53</v>
      </c>
      <c r="AE13" s="15">
        <f t="shared" si="4"/>
        <v>0.66249999999999998</v>
      </c>
      <c r="AF13" s="577">
        <v>0</v>
      </c>
      <c r="AG13" s="578"/>
      <c r="AH13" s="558" t="e">
        <f t="shared" si="12"/>
        <v>#DIV/0!</v>
      </c>
      <c r="AI13" s="577"/>
      <c r="AJ13" s="578"/>
      <c r="AK13" s="558" t="e">
        <f t="shared" si="13"/>
        <v>#DIV/0!</v>
      </c>
      <c r="AL13" s="577">
        <v>40</v>
      </c>
      <c r="AM13" s="578">
        <v>12</v>
      </c>
      <c r="AN13" s="558">
        <f t="shared" si="14"/>
        <v>0.3</v>
      </c>
      <c r="AO13" s="577">
        <v>0</v>
      </c>
      <c r="AP13" s="577">
        <v>0</v>
      </c>
      <c r="AQ13" s="558" t="e">
        <f t="shared" si="15"/>
        <v>#DIV/0!</v>
      </c>
      <c r="AR13" s="577">
        <v>0</v>
      </c>
      <c r="AS13" s="577">
        <v>0</v>
      </c>
      <c r="AT13" s="558" t="e">
        <f t="shared" si="16"/>
        <v>#DIV/0!</v>
      </c>
      <c r="AU13" s="577">
        <v>40</v>
      </c>
      <c r="AV13" s="578">
        <v>107</v>
      </c>
      <c r="AW13" s="558">
        <f t="shared" si="17"/>
        <v>2.6749999999999998</v>
      </c>
      <c r="AX13" s="462">
        <f t="shared" si="5"/>
        <v>160</v>
      </c>
      <c r="AY13" s="462">
        <f t="shared" si="1"/>
        <v>172</v>
      </c>
      <c r="AZ13" s="560">
        <f t="shared" si="2"/>
        <v>1.075</v>
      </c>
      <c r="BA13" s="19">
        <f t="shared" si="3"/>
        <v>1.075</v>
      </c>
    </row>
    <row r="14" spans="1:59" ht="101.25" customHeight="1" thickTop="1" thickBot="1">
      <c r="A14" s="2846"/>
      <c r="B14" s="2909"/>
      <c r="C14" s="2910"/>
      <c r="D14" s="17" t="s">
        <v>106</v>
      </c>
      <c r="E14" s="561" t="s">
        <v>173</v>
      </c>
      <c r="F14" s="85" t="s">
        <v>24</v>
      </c>
      <c r="G14" s="47">
        <v>138</v>
      </c>
      <c r="H14" s="85"/>
      <c r="I14" s="18"/>
      <c r="J14" s="85"/>
      <c r="K14" s="402" t="s">
        <v>172</v>
      </c>
      <c r="L14" s="41"/>
      <c r="M14" s="42"/>
      <c r="N14" s="558" t="e">
        <f t="shared" si="18"/>
        <v>#DIV/0!</v>
      </c>
      <c r="O14" s="41">
        <v>0</v>
      </c>
      <c r="P14" s="42"/>
      <c r="Q14" s="558" t="e">
        <f t="shared" si="7"/>
        <v>#DIV/0!</v>
      </c>
      <c r="R14" s="41">
        <v>0</v>
      </c>
      <c r="S14" s="42"/>
      <c r="T14" s="558" t="e">
        <f t="shared" si="8"/>
        <v>#DIV/0!</v>
      </c>
      <c r="U14" s="41">
        <v>0</v>
      </c>
      <c r="V14" s="42"/>
      <c r="W14" s="558" t="e">
        <f t="shared" si="9"/>
        <v>#DIV/0!</v>
      </c>
      <c r="X14" s="41">
        <v>0</v>
      </c>
      <c r="Y14" s="42"/>
      <c r="Z14" s="558" t="e">
        <f t="shared" si="10"/>
        <v>#DIV/0!</v>
      </c>
      <c r="AA14" s="41">
        <v>0</v>
      </c>
      <c r="AB14" s="42"/>
      <c r="AC14" s="558" t="e">
        <f t="shared" si="11"/>
        <v>#DIV/0!</v>
      </c>
      <c r="AD14" s="496">
        <f t="shared" si="0"/>
        <v>0</v>
      </c>
      <c r="AE14" s="15" t="e">
        <f t="shared" si="4"/>
        <v>#DIV/0!</v>
      </c>
      <c r="AF14" s="41">
        <v>69</v>
      </c>
      <c r="AG14" s="42">
        <v>70</v>
      </c>
      <c r="AH14" s="558">
        <f t="shared" si="12"/>
        <v>1.0144927536231885</v>
      </c>
      <c r="AI14" s="41">
        <v>0</v>
      </c>
      <c r="AJ14" s="42"/>
      <c r="AK14" s="558" t="e">
        <f t="shared" si="13"/>
        <v>#DIV/0!</v>
      </c>
      <c r="AL14" s="41"/>
      <c r="AM14" s="42"/>
      <c r="AN14" s="558" t="e">
        <f t="shared" si="14"/>
        <v>#DIV/0!</v>
      </c>
      <c r="AO14" s="41">
        <v>0</v>
      </c>
      <c r="AP14" s="42">
        <v>32</v>
      </c>
      <c r="AQ14" s="558" t="e">
        <f t="shared" si="15"/>
        <v>#DIV/0!</v>
      </c>
      <c r="AR14" s="41">
        <v>0</v>
      </c>
      <c r="AS14" s="41">
        <v>0</v>
      </c>
      <c r="AT14" s="558" t="e">
        <f t="shared" si="16"/>
        <v>#DIV/0!</v>
      </c>
      <c r="AU14" s="41">
        <v>69</v>
      </c>
      <c r="AV14" s="42">
        <v>38</v>
      </c>
      <c r="AW14" s="558">
        <f t="shared" si="17"/>
        <v>0.55072463768115942</v>
      </c>
      <c r="AX14" s="462">
        <f t="shared" si="5"/>
        <v>138</v>
      </c>
      <c r="AY14" s="462">
        <f t="shared" si="1"/>
        <v>140</v>
      </c>
      <c r="AZ14" s="560">
        <f>+AY14/AX14</f>
        <v>1.0144927536231885</v>
      </c>
      <c r="BA14" s="19">
        <f t="shared" si="3"/>
        <v>1.0144927536231885</v>
      </c>
    </row>
    <row r="15" spans="1:59" ht="65.25" customHeight="1" thickTop="1" thickBot="1">
      <c r="A15" s="2846"/>
      <c r="B15" s="2909"/>
      <c r="C15" s="579" t="s">
        <v>108</v>
      </c>
      <c r="D15" s="1970" t="s">
        <v>109</v>
      </c>
      <c r="E15" s="1998" t="s">
        <v>349</v>
      </c>
      <c r="F15" s="2792" t="s">
        <v>18</v>
      </c>
      <c r="G15" s="580">
        <v>872364</v>
      </c>
      <c r="H15" s="581"/>
      <c r="I15" s="582"/>
      <c r="J15" s="581"/>
      <c r="K15" s="418" t="s">
        <v>21</v>
      </c>
      <c r="L15" s="583">
        <v>71327</v>
      </c>
      <c r="M15" s="584">
        <v>100801.1</v>
      </c>
      <c r="N15" s="558">
        <f>+M15/L15</f>
        <v>1.413225005958473</v>
      </c>
      <c r="O15" s="583">
        <v>63810</v>
      </c>
      <c r="P15" s="584">
        <v>68165.7</v>
      </c>
      <c r="Q15" s="558">
        <f>+P15/O15</f>
        <v>1.0682604607428303</v>
      </c>
      <c r="R15" s="583">
        <v>69248</v>
      </c>
      <c r="S15" s="584">
        <v>58865</v>
      </c>
      <c r="T15" s="558">
        <f>+S15/R15</f>
        <v>0.85006065157116451</v>
      </c>
      <c r="U15" s="583">
        <v>61284.480000000003</v>
      </c>
      <c r="V15" s="584">
        <v>38429.1</v>
      </c>
      <c r="W15" s="558">
        <f>+V15/U15</f>
        <v>0.62706088066668753</v>
      </c>
      <c r="X15" s="583">
        <v>87068</v>
      </c>
      <c r="Y15" s="584">
        <v>64234.7</v>
      </c>
      <c r="Z15" s="558">
        <f>+Y15/X15</f>
        <v>0.73775325033307293</v>
      </c>
      <c r="AA15" s="583">
        <v>66494</v>
      </c>
      <c r="AB15" s="584">
        <v>54748.5</v>
      </c>
      <c r="AC15" s="558">
        <f>+AB15/AA15</f>
        <v>0.82336000240623219</v>
      </c>
      <c r="AD15" s="496">
        <f t="shared" si="0"/>
        <v>385244.1</v>
      </c>
      <c r="AE15" s="15">
        <f t="shared" si="4"/>
        <v>0.91892932276936834</v>
      </c>
      <c r="AF15" s="583">
        <v>73702.490000000005</v>
      </c>
      <c r="AG15" s="584">
        <v>62312.65</v>
      </c>
      <c r="AH15" s="558">
        <f>+AG15/AF15</f>
        <v>0.84546193758175603</v>
      </c>
      <c r="AI15" s="583">
        <v>65635</v>
      </c>
      <c r="AJ15" s="584">
        <v>51387.6</v>
      </c>
      <c r="AK15" s="558">
        <f>+AJ15/AI15</f>
        <v>0.78292983926258852</v>
      </c>
      <c r="AL15" s="583">
        <v>93426</v>
      </c>
      <c r="AM15" s="584">
        <v>79509.100000000006</v>
      </c>
      <c r="AN15" s="558">
        <f>+AM15/AL15</f>
        <v>0.85103825487551654</v>
      </c>
      <c r="AO15" s="583">
        <v>82268</v>
      </c>
      <c r="AP15" s="584">
        <v>68205.2</v>
      </c>
      <c r="AQ15" s="558">
        <f>+AP15/AO15</f>
        <v>0.82906111732386834</v>
      </c>
      <c r="AR15" s="583">
        <v>76986.460000000006</v>
      </c>
      <c r="AS15" s="584">
        <v>65599</v>
      </c>
      <c r="AT15" s="558">
        <f>+AS15/AR15</f>
        <v>0.85208489908485197</v>
      </c>
      <c r="AU15" s="583">
        <v>61114.062943783189</v>
      </c>
      <c r="AV15" s="584">
        <v>64882.671154000003</v>
      </c>
      <c r="AW15" s="558">
        <f>+AV15/AU15</f>
        <v>1.061665155754469</v>
      </c>
      <c r="AX15" s="496">
        <f t="shared" si="5"/>
        <v>872363.49294378317</v>
      </c>
      <c r="AY15" s="462">
        <f>+M15+P15+S15+V15+Y15+AB15+AG15+AJ15+AM15+AP15+AS15+AV15</f>
        <v>777140.32115399989</v>
      </c>
      <c r="AZ15" s="585">
        <f t="shared" ref="AZ15:AZ25" si="19">+AY15/AX15</f>
        <v>0.89084461630959189</v>
      </c>
      <c r="BA15" s="586">
        <f t="shared" si="3"/>
        <v>0.89084409851163038</v>
      </c>
    </row>
    <row r="16" spans="1:59" ht="67.5" customHeight="1" thickTop="1" thickBot="1">
      <c r="A16" s="2846"/>
      <c r="B16" s="2909"/>
      <c r="C16" s="561" t="s">
        <v>350</v>
      </c>
      <c r="D16" s="587" t="s">
        <v>111</v>
      </c>
      <c r="E16" s="371" t="s">
        <v>112</v>
      </c>
      <c r="F16" s="85" t="s">
        <v>17</v>
      </c>
      <c r="G16" s="29">
        <v>1261</v>
      </c>
      <c r="H16" s="85"/>
      <c r="I16" s="18"/>
      <c r="J16" s="85"/>
      <c r="K16" s="402" t="s">
        <v>20</v>
      </c>
      <c r="L16" s="41">
        <v>0</v>
      </c>
      <c r="M16" s="42"/>
      <c r="N16" s="558" t="e">
        <f t="shared" si="18"/>
        <v>#DIV/0!</v>
      </c>
      <c r="O16" s="41">
        <v>0</v>
      </c>
      <c r="P16" s="42"/>
      <c r="Q16" s="558" t="e">
        <f t="shared" si="7"/>
        <v>#DIV/0!</v>
      </c>
      <c r="R16" s="41"/>
      <c r="S16" s="42"/>
      <c r="T16" s="558" t="e">
        <f t="shared" si="8"/>
        <v>#DIV/0!</v>
      </c>
      <c r="U16" s="41"/>
      <c r="V16" s="42"/>
      <c r="W16" s="558" t="e">
        <f t="shared" si="9"/>
        <v>#DIV/0!</v>
      </c>
      <c r="X16" s="41"/>
      <c r="Y16" s="42"/>
      <c r="Z16" s="558" t="e">
        <f t="shared" si="10"/>
        <v>#DIV/0!</v>
      </c>
      <c r="AA16" s="41"/>
      <c r="AB16" s="42"/>
      <c r="AC16" s="558" t="e">
        <f t="shared" si="11"/>
        <v>#DIV/0!</v>
      </c>
      <c r="AD16" s="496">
        <f t="shared" si="0"/>
        <v>0</v>
      </c>
      <c r="AE16" s="15" t="e">
        <f t="shared" si="4"/>
        <v>#DIV/0!</v>
      </c>
      <c r="AF16" s="41"/>
      <c r="AG16" s="42"/>
      <c r="AH16" s="558" t="e">
        <f t="shared" si="12"/>
        <v>#DIV/0!</v>
      </c>
      <c r="AI16" s="41"/>
      <c r="AJ16" s="42"/>
      <c r="AK16" s="558" t="e">
        <f t="shared" si="13"/>
        <v>#DIV/0!</v>
      </c>
      <c r="AL16" s="41"/>
      <c r="AM16" s="42"/>
      <c r="AN16" s="558" t="e">
        <f t="shared" si="14"/>
        <v>#DIV/0!</v>
      </c>
      <c r="AO16" s="41">
        <v>1240</v>
      </c>
      <c r="AP16" s="42">
        <v>1217</v>
      </c>
      <c r="AQ16" s="558">
        <f t="shared" si="15"/>
        <v>0.9814516129032258</v>
      </c>
      <c r="AR16" s="588">
        <v>10</v>
      </c>
      <c r="AS16" s="589">
        <v>72</v>
      </c>
      <c r="AT16" s="558">
        <f t="shared" si="16"/>
        <v>7.2</v>
      </c>
      <c r="AU16" s="41">
        <v>11</v>
      </c>
      <c r="AV16" s="42">
        <v>51</v>
      </c>
      <c r="AW16" s="558">
        <f t="shared" si="17"/>
        <v>4.6363636363636367</v>
      </c>
      <c r="AX16" s="496">
        <f>1240+21</f>
        <v>1261</v>
      </c>
      <c r="AY16" s="496">
        <f>+M16+P16+S16+V16+Y16+AB16+AG16+AJ16+AM16+AP16+AS16+AV16</f>
        <v>1340</v>
      </c>
      <c r="AZ16" s="560">
        <f t="shared" si="19"/>
        <v>1.0626486915146709</v>
      </c>
      <c r="BA16" s="19">
        <f t="shared" si="3"/>
        <v>1.0626486915146709</v>
      </c>
    </row>
    <row r="17" spans="1:53" ht="79.5" customHeight="1" thickTop="1" thickBot="1">
      <c r="A17" s="2846"/>
      <c r="B17" s="2909"/>
      <c r="C17" s="25" t="s">
        <v>351</v>
      </c>
      <c r="D17" s="24" t="s">
        <v>114</v>
      </c>
      <c r="E17" s="25" t="s">
        <v>115</v>
      </c>
      <c r="F17" s="98" t="s">
        <v>10</v>
      </c>
      <c r="G17" s="590">
        <v>1</v>
      </c>
      <c r="H17" s="98"/>
      <c r="I17" s="26"/>
      <c r="J17" s="98"/>
      <c r="K17" s="25" t="s">
        <v>20</v>
      </c>
      <c r="L17" s="591">
        <v>0</v>
      </c>
      <c r="M17" s="592"/>
      <c r="N17" s="558" t="e">
        <f t="shared" si="18"/>
        <v>#DIV/0!</v>
      </c>
      <c r="O17" s="591">
        <v>0</v>
      </c>
      <c r="P17" s="592"/>
      <c r="Q17" s="558" t="e">
        <f t="shared" si="7"/>
        <v>#DIV/0!</v>
      </c>
      <c r="R17" s="591">
        <v>0.25</v>
      </c>
      <c r="S17" s="591">
        <v>0.25</v>
      </c>
      <c r="T17" s="558">
        <f t="shared" si="8"/>
        <v>1</v>
      </c>
      <c r="U17" s="591">
        <v>0</v>
      </c>
      <c r="V17" s="592"/>
      <c r="W17" s="558" t="e">
        <f t="shared" si="9"/>
        <v>#DIV/0!</v>
      </c>
      <c r="X17" s="591">
        <v>0</v>
      </c>
      <c r="Y17" s="592"/>
      <c r="Z17" s="558" t="e">
        <f t="shared" si="10"/>
        <v>#DIV/0!</v>
      </c>
      <c r="AA17" s="591">
        <v>0.25</v>
      </c>
      <c r="AB17" s="591">
        <v>0.25</v>
      </c>
      <c r="AC17" s="558">
        <f t="shared" si="11"/>
        <v>1</v>
      </c>
      <c r="AD17" s="528">
        <f t="shared" si="0"/>
        <v>0.5</v>
      </c>
      <c r="AE17" s="15">
        <f t="shared" si="4"/>
        <v>1</v>
      </c>
      <c r="AF17" s="591">
        <v>0</v>
      </c>
      <c r="AG17" s="592"/>
      <c r="AH17" s="558" t="e">
        <f t="shared" si="12"/>
        <v>#DIV/0!</v>
      </c>
      <c r="AI17" s="591">
        <v>0</v>
      </c>
      <c r="AJ17" s="592"/>
      <c r="AK17" s="558" t="e">
        <f t="shared" si="13"/>
        <v>#DIV/0!</v>
      </c>
      <c r="AL17" s="591">
        <v>0.25</v>
      </c>
      <c r="AM17" s="591">
        <v>0.25</v>
      </c>
      <c r="AN17" s="558">
        <f t="shared" si="14"/>
        <v>1</v>
      </c>
      <c r="AO17" s="591">
        <v>0</v>
      </c>
      <c r="AP17" s="592"/>
      <c r="AQ17" s="558" t="e">
        <f t="shared" si="15"/>
        <v>#DIV/0!</v>
      </c>
      <c r="AR17" s="591">
        <v>0</v>
      </c>
      <c r="AS17" s="591">
        <v>0</v>
      </c>
      <c r="AT17" s="558" t="e">
        <f t="shared" si="16"/>
        <v>#DIV/0!</v>
      </c>
      <c r="AU17" s="592">
        <v>0.25</v>
      </c>
      <c r="AV17" s="592">
        <v>0.25</v>
      </c>
      <c r="AW17" s="558">
        <f t="shared" si="17"/>
        <v>1</v>
      </c>
      <c r="AX17" s="528">
        <f>+L17+O17+R17+U17+X17+AA17+AF17+AI17+AL17+AO17+AU17+AR17</f>
        <v>1</v>
      </c>
      <c r="AY17" s="528">
        <f>+M17+P17+S17+V17+Y17+AB17+AG17+AJ17+AM17+AP17+AS17+AV17</f>
        <v>1</v>
      </c>
      <c r="AZ17" s="560">
        <f t="shared" si="19"/>
        <v>1</v>
      </c>
      <c r="BA17" s="19">
        <f t="shared" si="3"/>
        <v>1</v>
      </c>
    </row>
    <row r="18" spans="1:53" ht="73.5" customHeight="1" thickTop="1" thickBot="1">
      <c r="A18" s="2846"/>
      <c r="B18" s="2909"/>
      <c r="C18" s="561" t="s">
        <v>174</v>
      </c>
      <c r="D18" s="593" t="s">
        <v>116</v>
      </c>
      <c r="E18" s="594" t="s">
        <v>352</v>
      </c>
      <c r="F18" s="85" t="s">
        <v>17</v>
      </c>
      <c r="G18" s="40">
        <v>23058</v>
      </c>
      <c r="H18" s="85"/>
      <c r="I18" s="18"/>
      <c r="J18" s="85"/>
      <c r="K18" s="561" t="s">
        <v>118</v>
      </c>
      <c r="L18" s="41">
        <v>0</v>
      </c>
      <c r="M18" s="42"/>
      <c r="N18" s="558" t="e">
        <f t="shared" si="18"/>
        <v>#DIV/0!</v>
      </c>
      <c r="O18" s="41">
        <v>0</v>
      </c>
      <c r="P18" s="42"/>
      <c r="Q18" s="558" t="e">
        <f t="shared" si="7"/>
        <v>#DIV/0!</v>
      </c>
      <c r="R18" s="41">
        <v>4381</v>
      </c>
      <c r="S18" s="42"/>
      <c r="T18" s="558">
        <f t="shared" si="8"/>
        <v>0</v>
      </c>
      <c r="U18" s="41">
        <v>3558</v>
      </c>
      <c r="V18" s="42"/>
      <c r="W18" s="558">
        <f t="shared" si="9"/>
        <v>0</v>
      </c>
      <c r="X18" s="41">
        <v>1034</v>
      </c>
      <c r="Y18" s="42">
        <v>7264</v>
      </c>
      <c r="Z18" s="558">
        <f t="shared" si="10"/>
        <v>7.0251450676982587</v>
      </c>
      <c r="AA18" s="41">
        <v>1163</v>
      </c>
      <c r="AB18" s="42">
        <v>979</v>
      </c>
      <c r="AC18" s="558">
        <f t="shared" si="11"/>
        <v>0.84178847807394674</v>
      </c>
      <c r="AD18" s="462">
        <f t="shared" si="0"/>
        <v>8243</v>
      </c>
      <c r="AE18" s="15">
        <f t="shared" si="4"/>
        <v>0.81323993685872142</v>
      </c>
      <c r="AF18" s="41">
        <v>2144</v>
      </c>
      <c r="AG18" s="42">
        <v>2213</v>
      </c>
      <c r="AH18" s="558">
        <f t="shared" si="12"/>
        <v>1.0321828358208955</v>
      </c>
      <c r="AI18" s="41">
        <v>3274</v>
      </c>
      <c r="AJ18" s="42">
        <v>2614</v>
      </c>
      <c r="AK18" s="558">
        <f t="shared" si="13"/>
        <v>0.79841172877214417</v>
      </c>
      <c r="AL18" s="41">
        <v>4444</v>
      </c>
      <c r="AM18" s="42">
        <v>2292</v>
      </c>
      <c r="AN18" s="558">
        <f t="shared" si="14"/>
        <v>0.5157515751575158</v>
      </c>
      <c r="AO18" s="41">
        <v>1736</v>
      </c>
      <c r="AP18" s="42">
        <v>2989</v>
      </c>
      <c r="AQ18" s="558">
        <f t="shared" si="15"/>
        <v>1.721774193548387</v>
      </c>
      <c r="AR18" s="41">
        <v>1193</v>
      </c>
      <c r="AS18" s="589">
        <v>9793</v>
      </c>
      <c r="AT18" s="558">
        <f t="shared" si="16"/>
        <v>8.2087175188600163</v>
      </c>
      <c r="AU18" s="41">
        <v>131</v>
      </c>
      <c r="AV18" s="42">
        <v>2229</v>
      </c>
      <c r="AW18" s="558">
        <f t="shared" si="17"/>
        <v>17.015267175572518</v>
      </c>
      <c r="AX18" s="496">
        <f>+L18+O18+R18+U18+X18+AA18+AF18+AI18+AL18+AO18+AR18+AU18</f>
        <v>23058</v>
      </c>
      <c r="AY18" s="496">
        <f>+M18+P18+S18+V18+Y18+AB18+AG18+AJ18+AM18+AP18+AS18+AV18</f>
        <v>30373</v>
      </c>
      <c r="AZ18" s="560">
        <f t="shared" si="19"/>
        <v>1.3172434729811779</v>
      </c>
      <c r="BA18" s="19">
        <f t="shared" si="3"/>
        <v>1.3172434729811779</v>
      </c>
    </row>
    <row r="19" spans="1:53" ht="78" customHeight="1" thickTop="1" thickBot="1">
      <c r="A19" s="2846"/>
      <c r="B19" s="2909"/>
      <c r="C19" s="2911" t="s">
        <v>119</v>
      </c>
      <c r="D19" s="86" t="s">
        <v>120</v>
      </c>
      <c r="E19" s="87" t="s">
        <v>121</v>
      </c>
      <c r="F19" s="81" t="s">
        <v>10</v>
      </c>
      <c r="G19" s="595">
        <v>0.64100000000000001</v>
      </c>
      <c r="H19" s="82"/>
      <c r="I19" s="88"/>
      <c r="J19" s="82"/>
      <c r="K19" s="81" t="s">
        <v>7</v>
      </c>
      <c r="L19" s="596">
        <v>0</v>
      </c>
      <c r="M19" s="527">
        <v>0</v>
      </c>
      <c r="N19" s="558">
        <v>0</v>
      </c>
      <c r="O19" s="596">
        <v>0</v>
      </c>
      <c r="P19" s="527">
        <v>0</v>
      </c>
      <c r="Q19" s="558"/>
      <c r="R19" s="596">
        <v>0</v>
      </c>
      <c r="S19" s="527">
        <v>0</v>
      </c>
      <c r="T19" s="558"/>
      <c r="U19" s="596">
        <v>0</v>
      </c>
      <c r="V19" s="527">
        <v>0</v>
      </c>
      <c r="W19" s="558">
        <v>0</v>
      </c>
      <c r="X19" s="596">
        <v>0</v>
      </c>
      <c r="Y19" s="527">
        <v>0</v>
      </c>
      <c r="Z19" s="558">
        <v>0</v>
      </c>
      <c r="AA19" s="596">
        <v>0</v>
      </c>
      <c r="AB19" s="527">
        <v>0</v>
      </c>
      <c r="AC19" s="558">
        <v>0</v>
      </c>
      <c r="AD19" s="496">
        <f t="shared" si="0"/>
        <v>0</v>
      </c>
      <c r="AE19" s="15" t="e">
        <f t="shared" si="4"/>
        <v>#DIV/0!</v>
      </c>
      <c r="AF19" s="596">
        <v>0</v>
      </c>
      <c r="AG19" s="527">
        <v>0</v>
      </c>
      <c r="AH19" s="558"/>
      <c r="AI19" s="596">
        <v>0</v>
      </c>
      <c r="AJ19" s="527">
        <v>0</v>
      </c>
      <c r="AK19" s="558"/>
      <c r="AL19" s="596">
        <v>0</v>
      </c>
      <c r="AM19" s="527">
        <v>0</v>
      </c>
      <c r="AN19" s="558" t="e">
        <f t="shared" si="14"/>
        <v>#DIV/0!</v>
      </c>
      <c r="AO19" s="596">
        <v>0.64100000000000001</v>
      </c>
      <c r="AP19" s="527">
        <v>1</v>
      </c>
      <c r="AQ19" s="558">
        <v>1.5600624024960998</v>
      </c>
      <c r="AR19" s="596">
        <v>0.64100000000000001</v>
      </c>
      <c r="AS19" s="527">
        <v>1</v>
      </c>
      <c r="AT19" s="558">
        <v>1.5600624024960998</v>
      </c>
      <c r="AU19" s="596">
        <v>0.64100000000000001</v>
      </c>
      <c r="AV19" s="527">
        <v>1</v>
      </c>
      <c r="AW19" s="558">
        <f t="shared" si="17"/>
        <v>1.5600624024960998</v>
      </c>
      <c r="AX19" s="523">
        <v>0.64100000000000001</v>
      </c>
      <c r="AY19" s="528">
        <v>1</v>
      </c>
      <c r="AZ19" s="560">
        <f t="shared" si="19"/>
        <v>1.5600624024960998</v>
      </c>
      <c r="BA19" s="19">
        <f t="shared" si="3"/>
        <v>1.5600624024960998</v>
      </c>
    </row>
    <row r="20" spans="1:53" ht="69" customHeight="1" thickTop="1" thickBot="1">
      <c r="A20" s="2846"/>
      <c r="B20" s="2909"/>
      <c r="C20" s="2912"/>
      <c r="D20" s="89" t="s">
        <v>175</v>
      </c>
      <c r="E20" s="90" t="s">
        <v>123</v>
      </c>
      <c r="F20" s="76" t="s">
        <v>10</v>
      </c>
      <c r="G20" s="91">
        <v>1</v>
      </c>
      <c r="H20" s="78"/>
      <c r="I20" s="91"/>
      <c r="J20" s="78"/>
      <c r="K20" s="76" t="s">
        <v>7</v>
      </c>
      <c r="L20" s="597">
        <v>0</v>
      </c>
      <c r="M20" s="145">
        <v>0</v>
      </c>
      <c r="N20" s="558" t="e">
        <v>#DIV/0!</v>
      </c>
      <c r="O20" s="597">
        <v>0</v>
      </c>
      <c r="P20" s="145">
        <v>0</v>
      </c>
      <c r="Q20" s="558" t="e">
        <v>#DIV/0!</v>
      </c>
      <c r="R20" s="597">
        <v>0</v>
      </c>
      <c r="S20" s="145">
        <v>0</v>
      </c>
      <c r="T20" s="558" t="e">
        <v>#DIV/0!</v>
      </c>
      <c r="U20" s="597">
        <v>1</v>
      </c>
      <c r="V20" s="145">
        <v>1</v>
      </c>
      <c r="W20" s="558">
        <v>1</v>
      </c>
      <c r="X20" s="597">
        <v>0</v>
      </c>
      <c r="Y20" s="145">
        <v>0</v>
      </c>
      <c r="Z20" s="558" t="e">
        <v>#DIV/0!</v>
      </c>
      <c r="AA20" s="597">
        <v>0</v>
      </c>
      <c r="AB20" s="145">
        <v>0</v>
      </c>
      <c r="AC20" s="558" t="e">
        <v>#DIV/0!</v>
      </c>
      <c r="AD20" s="528">
        <f t="shared" si="0"/>
        <v>1</v>
      </c>
      <c r="AE20" s="15">
        <f t="shared" si="4"/>
        <v>1</v>
      </c>
      <c r="AF20" s="597">
        <v>0</v>
      </c>
      <c r="AG20" s="145">
        <v>0</v>
      </c>
      <c r="AH20" s="558" t="e">
        <v>#DIV/0!</v>
      </c>
      <c r="AI20" s="597">
        <v>0</v>
      </c>
      <c r="AJ20" s="145">
        <v>0</v>
      </c>
      <c r="AK20" s="558" t="e">
        <v>#DIV/0!</v>
      </c>
      <c r="AL20" s="597">
        <v>0</v>
      </c>
      <c r="AM20" s="145">
        <v>0</v>
      </c>
      <c r="AN20" s="558" t="e">
        <f t="shared" si="14"/>
        <v>#DIV/0!</v>
      </c>
      <c r="AO20" s="597">
        <v>1</v>
      </c>
      <c r="AP20" s="145">
        <v>1</v>
      </c>
      <c r="AQ20" s="558">
        <v>1</v>
      </c>
      <c r="AR20" s="597">
        <v>0</v>
      </c>
      <c r="AS20" s="568">
        <v>0</v>
      </c>
      <c r="AT20" s="558" t="e">
        <v>#DIV/0!</v>
      </c>
      <c r="AU20" s="597">
        <v>0</v>
      </c>
      <c r="AV20" s="145">
        <v>0</v>
      </c>
      <c r="AW20" s="558" t="e">
        <f t="shared" si="17"/>
        <v>#DIV/0!</v>
      </c>
      <c r="AX20" s="528">
        <v>1</v>
      </c>
      <c r="AY20" s="528">
        <v>1</v>
      </c>
      <c r="AZ20" s="560">
        <f t="shared" si="19"/>
        <v>1</v>
      </c>
      <c r="BA20" s="19">
        <f t="shared" si="3"/>
        <v>1</v>
      </c>
    </row>
    <row r="21" spans="1:53" ht="80.25" customHeight="1" thickTop="1" thickBot="1">
      <c r="A21" s="2846"/>
      <c r="B21" s="2909"/>
      <c r="C21" s="2912"/>
      <c r="D21" s="86" t="s">
        <v>124</v>
      </c>
      <c r="E21" s="87" t="s">
        <v>125</v>
      </c>
      <c r="F21" s="81" t="s">
        <v>10</v>
      </c>
      <c r="G21" s="88">
        <v>1</v>
      </c>
      <c r="H21" s="82"/>
      <c r="I21" s="88"/>
      <c r="J21" s="82"/>
      <c r="K21" s="81" t="s">
        <v>7</v>
      </c>
      <c r="L21" s="596">
        <v>0</v>
      </c>
      <c r="M21" s="527">
        <v>0</v>
      </c>
      <c r="N21" s="558" t="e">
        <v>#DIV/0!</v>
      </c>
      <c r="O21" s="596">
        <v>0</v>
      </c>
      <c r="P21" s="527">
        <v>0</v>
      </c>
      <c r="Q21" s="558" t="e">
        <v>#DIV/0!</v>
      </c>
      <c r="R21" s="596">
        <v>1</v>
      </c>
      <c r="S21" s="527">
        <v>1</v>
      </c>
      <c r="T21" s="558">
        <f>+S21/R21</f>
        <v>1</v>
      </c>
      <c r="U21" s="596">
        <v>0</v>
      </c>
      <c r="V21" s="527">
        <v>0</v>
      </c>
      <c r="W21" s="558" t="e">
        <f>+V21/U21</f>
        <v>#DIV/0!</v>
      </c>
      <c r="X21" s="596"/>
      <c r="Y21" s="527"/>
      <c r="Z21" s="558"/>
      <c r="AA21" s="596">
        <v>1</v>
      </c>
      <c r="AB21" s="527">
        <v>1</v>
      </c>
      <c r="AC21" s="558">
        <v>1</v>
      </c>
      <c r="AD21" s="528">
        <v>1</v>
      </c>
      <c r="AE21" s="15">
        <v>1</v>
      </c>
      <c r="AF21" s="596">
        <v>1</v>
      </c>
      <c r="AG21" s="527">
        <v>1</v>
      </c>
      <c r="AH21" s="558">
        <v>1</v>
      </c>
      <c r="AI21" s="596">
        <v>1</v>
      </c>
      <c r="AJ21" s="527">
        <v>1</v>
      </c>
      <c r="AK21" s="558">
        <v>1</v>
      </c>
      <c r="AL21" s="596">
        <v>0</v>
      </c>
      <c r="AM21" s="527">
        <v>0</v>
      </c>
      <c r="AN21" s="558"/>
      <c r="AO21" s="596">
        <v>1</v>
      </c>
      <c r="AP21" s="527">
        <v>1</v>
      </c>
      <c r="AQ21" s="558">
        <v>1</v>
      </c>
      <c r="AR21" s="596">
        <v>0</v>
      </c>
      <c r="AS21" s="596">
        <v>0</v>
      </c>
      <c r="AT21" s="558" t="e">
        <v>#DIV/0!</v>
      </c>
      <c r="AU21" s="596">
        <v>1</v>
      </c>
      <c r="AV21" s="596">
        <v>1</v>
      </c>
      <c r="AW21" s="558">
        <f t="shared" si="17"/>
        <v>1</v>
      </c>
      <c r="AX21" s="528">
        <v>1</v>
      </c>
      <c r="AY21" s="528">
        <v>1</v>
      </c>
      <c r="AZ21" s="560">
        <f t="shared" si="19"/>
        <v>1</v>
      </c>
      <c r="BA21" s="19">
        <f t="shared" si="3"/>
        <v>1</v>
      </c>
    </row>
    <row r="22" spans="1:53" ht="56.25" customHeight="1" thickTop="1" thickBot="1">
      <c r="A22" s="2846"/>
      <c r="B22" s="2909"/>
      <c r="C22" s="2912"/>
      <c r="D22" s="89" t="s">
        <v>177</v>
      </c>
      <c r="E22" s="90" t="s">
        <v>127</v>
      </c>
      <c r="F22" s="76" t="s">
        <v>10</v>
      </c>
      <c r="G22" s="91">
        <v>0.6</v>
      </c>
      <c r="H22" s="78"/>
      <c r="I22" s="91"/>
      <c r="J22" s="78"/>
      <c r="K22" s="76" t="s">
        <v>7</v>
      </c>
      <c r="L22" s="597">
        <v>0.6</v>
      </c>
      <c r="M22" s="145">
        <v>0</v>
      </c>
      <c r="N22" s="558">
        <v>0</v>
      </c>
      <c r="O22" s="597">
        <v>0.6</v>
      </c>
      <c r="P22" s="145">
        <v>0</v>
      </c>
      <c r="Q22" s="558">
        <v>0</v>
      </c>
      <c r="R22" s="597">
        <v>0.6</v>
      </c>
      <c r="S22" s="145">
        <v>1</v>
      </c>
      <c r="T22" s="558">
        <v>1.6666666666666667</v>
      </c>
      <c r="U22" s="597">
        <v>0.6</v>
      </c>
      <c r="V22" s="145">
        <v>0</v>
      </c>
      <c r="W22" s="558">
        <v>0</v>
      </c>
      <c r="X22" s="597">
        <v>0.6</v>
      </c>
      <c r="Y22" s="145">
        <v>0</v>
      </c>
      <c r="Z22" s="558">
        <v>0</v>
      </c>
      <c r="AA22" s="597">
        <v>0.6</v>
      </c>
      <c r="AB22" s="145">
        <v>0</v>
      </c>
      <c r="AC22" s="558">
        <v>0</v>
      </c>
      <c r="AD22" s="528">
        <v>1</v>
      </c>
      <c r="AE22" s="15">
        <f>+AD22/G22</f>
        <v>1.6666666666666667</v>
      </c>
      <c r="AF22" s="597">
        <v>0.6</v>
      </c>
      <c r="AG22" s="145">
        <v>1</v>
      </c>
      <c r="AH22" s="558">
        <v>1.6666666666666667</v>
      </c>
      <c r="AI22" s="597">
        <v>0.6</v>
      </c>
      <c r="AJ22" s="145">
        <v>1</v>
      </c>
      <c r="AK22" s="558">
        <v>1.6666666666666667</v>
      </c>
      <c r="AL22" s="597">
        <v>0.6</v>
      </c>
      <c r="AM22" s="145">
        <v>1</v>
      </c>
      <c r="AN22" s="558">
        <v>1.6666666666666667</v>
      </c>
      <c r="AO22" s="597">
        <v>0.6</v>
      </c>
      <c r="AP22" s="145">
        <v>1</v>
      </c>
      <c r="AQ22" s="558">
        <v>1.6666666666666667</v>
      </c>
      <c r="AR22" s="597">
        <v>0.6</v>
      </c>
      <c r="AS22" s="145">
        <v>1</v>
      </c>
      <c r="AT22" s="558">
        <v>1.6666666666666667</v>
      </c>
      <c r="AU22" s="597">
        <v>0.6</v>
      </c>
      <c r="AV22" s="145">
        <v>0</v>
      </c>
      <c r="AW22" s="558">
        <f t="shared" si="17"/>
        <v>0</v>
      </c>
      <c r="AX22" s="528">
        <v>0.6</v>
      </c>
      <c r="AY22" s="528">
        <v>1</v>
      </c>
      <c r="AZ22" s="560">
        <f t="shared" si="19"/>
        <v>1.6666666666666667</v>
      </c>
      <c r="BA22" s="19">
        <f t="shared" si="3"/>
        <v>1.6666666666666667</v>
      </c>
    </row>
    <row r="23" spans="1:53" ht="68.25" customHeight="1" thickTop="1" thickBot="1">
      <c r="A23" s="2846"/>
      <c r="B23" s="2909"/>
      <c r="C23" s="2912"/>
      <c r="D23" s="86" t="s">
        <v>128</v>
      </c>
      <c r="E23" s="87" t="s">
        <v>129</v>
      </c>
      <c r="F23" s="81" t="s">
        <v>10</v>
      </c>
      <c r="G23" s="88">
        <v>1</v>
      </c>
      <c r="H23" s="82"/>
      <c r="I23" s="88"/>
      <c r="J23" s="82"/>
      <c r="K23" s="81" t="s">
        <v>7</v>
      </c>
      <c r="L23" s="44">
        <v>1</v>
      </c>
      <c r="M23" s="45">
        <v>0</v>
      </c>
      <c r="N23" s="558">
        <v>0</v>
      </c>
      <c r="O23" s="44">
        <v>1</v>
      </c>
      <c r="P23" s="45">
        <v>0</v>
      </c>
      <c r="Q23" s="558">
        <v>0</v>
      </c>
      <c r="R23" s="44">
        <v>1</v>
      </c>
      <c r="S23" s="45">
        <v>0</v>
      </c>
      <c r="T23" s="558">
        <v>0</v>
      </c>
      <c r="U23" s="44">
        <v>1</v>
      </c>
      <c r="V23" s="45">
        <v>1</v>
      </c>
      <c r="W23" s="558">
        <v>1</v>
      </c>
      <c r="X23" s="44">
        <v>1</v>
      </c>
      <c r="Y23" s="45">
        <v>0</v>
      </c>
      <c r="Z23" s="558">
        <v>0</v>
      </c>
      <c r="AA23" s="44">
        <v>1</v>
      </c>
      <c r="AB23" s="45">
        <v>1</v>
      </c>
      <c r="AC23" s="558">
        <v>1</v>
      </c>
      <c r="AD23" s="528">
        <v>1</v>
      </c>
      <c r="AE23" s="15">
        <v>1</v>
      </c>
      <c r="AF23" s="44">
        <v>1</v>
      </c>
      <c r="AG23" s="45">
        <v>1</v>
      </c>
      <c r="AH23" s="558">
        <v>1</v>
      </c>
      <c r="AI23" s="44">
        <v>1</v>
      </c>
      <c r="AJ23" s="45">
        <v>1</v>
      </c>
      <c r="AK23" s="558">
        <v>1</v>
      </c>
      <c r="AL23" s="44">
        <v>1</v>
      </c>
      <c r="AM23" s="45">
        <v>0</v>
      </c>
      <c r="AN23" s="558">
        <v>0</v>
      </c>
      <c r="AO23" s="44">
        <v>1</v>
      </c>
      <c r="AP23" s="45">
        <v>1</v>
      </c>
      <c r="AQ23" s="558">
        <v>1</v>
      </c>
      <c r="AR23" s="44">
        <v>1</v>
      </c>
      <c r="AS23" s="45">
        <v>0</v>
      </c>
      <c r="AT23" s="558">
        <v>0</v>
      </c>
      <c r="AU23" s="44">
        <v>1</v>
      </c>
      <c r="AV23" s="45">
        <v>0</v>
      </c>
      <c r="AW23" s="558">
        <f t="shared" si="17"/>
        <v>0</v>
      </c>
      <c r="AX23" s="528">
        <v>1</v>
      </c>
      <c r="AY23" s="528">
        <v>1</v>
      </c>
      <c r="AZ23" s="560">
        <f t="shared" si="19"/>
        <v>1</v>
      </c>
      <c r="BA23" s="19">
        <f t="shared" si="3"/>
        <v>1</v>
      </c>
    </row>
    <row r="24" spans="1:53" ht="109.5" customHeight="1" thickTop="1" thickBot="1">
      <c r="A24" s="2846"/>
      <c r="B24" s="2909"/>
      <c r="C24" s="2912"/>
      <c r="D24" s="89" t="s">
        <v>179</v>
      </c>
      <c r="E24" s="90" t="s">
        <v>131</v>
      </c>
      <c r="F24" s="76" t="s">
        <v>10</v>
      </c>
      <c r="G24" s="75">
        <v>90</v>
      </c>
      <c r="H24" s="78"/>
      <c r="I24" s="91"/>
      <c r="J24" s="78"/>
      <c r="K24" s="76" t="s">
        <v>7</v>
      </c>
      <c r="L24" s="597"/>
      <c r="M24" s="145"/>
      <c r="N24" s="558" t="e">
        <f t="shared" ref="N24:N27" si="20">+M24/L24</f>
        <v>#DIV/0!</v>
      </c>
      <c r="O24" s="597"/>
      <c r="P24" s="145"/>
      <c r="Q24" s="558" t="e">
        <f t="shared" ref="Q24:Q25" si="21">+P24/O24</f>
        <v>#DIV/0!</v>
      </c>
      <c r="R24" s="597"/>
      <c r="S24" s="145"/>
      <c r="T24" s="558" t="e">
        <f t="shared" ref="T24:T25" si="22">+S24/R24</f>
        <v>#DIV/0!</v>
      </c>
      <c r="U24" s="597"/>
      <c r="V24" s="145">
        <v>0.1071</v>
      </c>
      <c r="W24" s="558">
        <v>0.1071</v>
      </c>
      <c r="X24" s="597"/>
      <c r="Y24" s="145">
        <v>0.26669999999999999</v>
      </c>
      <c r="Z24" s="558">
        <v>0.26669999999999999</v>
      </c>
      <c r="AA24" s="597"/>
      <c r="AB24" s="145">
        <v>0.36670000000000003</v>
      </c>
      <c r="AC24" s="558">
        <v>0.36670000000000003</v>
      </c>
      <c r="AD24" s="528">
        <v>0.36670000000000003</v>
      </c>
      <c r="AE24" s="598">
        <v>0.36670000000000003</v>
      </c>
      <c r="AF24" s="597"/>
      <c r="AG24" s="145">
        <v>0.4778</v>
      </c>
      <c r="AH24" s="558">
        <v>0.4778</v>
      </c>
      <c r="AI24" s="597"/>
      <c r="AJ24" s="145">
        <v>0.57779999999999998</v>
      </c>
      <c r="AK24" s="558">
        <v>0.57779999999999998</v>
      </c>
      <c r="AL24" s="597"/>
      <c r="AM24" s="145">
        <v>0.67779999999999996</v>
      </c>
      <c r="AN24" s="558">
        <f>+AM24</f>
        <v>0.67779999999999996</v>
      </c>
      <c r="AO24" s="597"/>
      <c r="AP24" s="145">
        <v>0.68889999999999996</v>
      </c>
      <c r="AQ24" s="558">
        <v>0.68889999999999996</v>
      </c>
      <c r="AR24" s="599"/>
      <c r="AS24" s="600">
        <v>102.22</v>
      </c>
      <c r="AT24" s="558">
        <v>1.0222</v>
      </c>
      <c r="AU24" s="599"/>
      <c r="AV24" s="600">
        <v>124.44</v>
      </c>
      <c r="AW24" s="558">
        <v>1.2444</v>
      </c>
      <c r="AX24" s="462"/>
      <c r="AY24" s="462">
        <v>124.44</v>
      </c>
      <c r="AZ24" s="560">
        <v>1.2444</v>
      </c>
      <c r="BA24" s="586">
        <v>1.2444</v>
      </c>
    </row>
    <row r="25" spans="1:53" ht="87.75" customHeight="1" thickTop="1" thickBot="1">
      <c r="A25" s="2846"/>
      <c r="B25" s="2909"/>
      <c r="C25" s="2913"/>
      <c r="D25" s="86" t="s">
        <v>132</v>
      </c>
      <c r="E25" s="87" t="s">
        <v>133</v>
      </c>
      <c r="F25" s="81" t="s">
        <v>10</v>
      </c>
      <c r="G25" s="88">
        <v>1</v>
      </c>
      <c r="H25" s="81"/>
      <c r="I25" s="88"/>
      <c r="J25" s="81"/>
      <c r="K25" s="81" t="s">
        <v>7</v>
      </c>
      <c r="L25" s="44">
        <v>0</v>
      </c>
      <c r="M25" s="45">
        <v>0</v>
      </c>
      <c r="N25" s="558" t="e">
        <f t="shared" si="20"/>
        <v>#DIV/0!</v>
      </c>
      <c r="O25" s="591">
        <v>0</v>
      </c>
      <c r="P25" s="592">
        <v>0</v>
      </c>
      <c r="Q25" s="558" t="e">
        <f t="shared" si="21"/>
        <v>#DIV/0!</v>
      </c>
      <c r="R25" s="591">
        <v>0</v>
      </c>
      <c r="S25" s="592">
        <v>0</v>
      </c>
      <c r="T25" s="558" t="e">
        <f t="shared" si="22"/>
        <v>#DIV/0!</v>
      </c>
      <c r="U25" s="591">
        <v>0</v>
      </c>
      <c r="V25" s="592">
        <v>0</v>
      </c>
      <c r="W25" s="558" t="e">
        <f t="shared" ref="W25" si="23">+V25/U25</f>
        <v>#DIV/0!</v>
      </c>
      <c r="X25" s="591">
        <v>0</v>
      </c>
      <c r="Y25" s="592">
        <v>0</v>
      </c>
      <c r="Z25" s="558" t="e">
        <f t="shared" ref="Z25" si="24">+Y25/X25</f>
        <v>#DIV/0!</v>
      </c>
      <c r="AA25" s="591">
        <v>1</v>
      </c>
      <c r="AB25" s="592">
        <v>1</v>
      </c>
      <c r="AC25" s="19">
        <v>1</v>
      </c>
      <c r="AD25" s="528">
        <v>1</v>
      </c>
      <c r="AE25" s="15">
        <f>+AD25/(SUM(L25+O25+R25+U25+X25+AA25))</f>
        <v>1</v>
      </c>
      <c r="AF25" s="591">
        <v>0</v>
      </c>
      <c r="AG25" s="592">
        <v>0</v>
      </c>
      <c r="AH25" s="558" t="e">
        <f t="shared" ref="AH25" si="25">+AG25/AF25</f>
        <v>#DIV/0!</v>
      </c>
      <c r="AI25" s="591">
        <v>0</v>
      </c>
      <c r="AJ25" s="592">
        <v>0</v>
      </c>
      <c r="AK25" s="558" t="e">
        <f t="shared" ref="AK25" si="26">+AJ25/AI25</f>
        <v>#DIV/0!</v>
      </c>
      <c r="AL25" s="591">
        <v>0</v>
      </c>
      <c r="AM25" s="592">
        <v>0</v>
      </c>
      <c r="AN25" s="558" t="e">
        <f t="shared" ref="AN25" si="27">+AM25/AL25</f>
        <v>#DIV/0!</v>
      </c>
      <c r="AO25" s="591">
        <v>0</v>
      </c>
      <c r="AP25" s="592">
        <v>0</v>
      </c>
      <c r="AQ25" s="558" t="e">
        <f t="shared" ref="AQ25" si="28">+AP25/AO25</f>
        <v>#DIV/0!</v>
      </c>
      <c r="AR25" s="591">
        <v>0</v>
      </c>
      <c r="AS25" s="592">
        <v>0</v>
      </c>
      <c r="AT25" s="558" t="e">
        <f t="shared" ref="AT25" si="29">+AS25/AR25</f>
        <v>#DIV/0!</v>
      </c>
      <c r="AU25" s="591">
        <v>0</v>
      </c>
      <c r="AV25" s="592">
        <v>0</v>
      </c>
      <c r="AW25" s="558" t="e">
        <f t="shared" si="17"/>
        <v>#DIV/0!</v>
      </c>
      <c r="AX25" s="528">
        <v>1</v>
      </c>
      <c r="AY25" s="528">
        <v>1</v>
      </c>
      <c r="AZ25" s="560">
        <f t="shared" si="19"/>
        <v>1</v>
      </c>
      <c r="BA25" s="19">
        <f t="shared" si="3"/>
        <v>1</v>
      </c>
    </row>
    <row r="26" spans="1:53" ht="22.5" customHeight="1" thickTop="1" thickBot="1">
      <c r="A26" s="2904" t="s">
        <v>141</v>
      </c>
      <c r="B26" s="2904"/>
      <c r="C26" s="2904"/>
      <c r="D26" s="2904"/>
      <c r="E26" s="2904"/>
      <c r="F26" s="2904"/>
      <c r="G26" s="2904"/>
      <c r="H26" s="2904"/>
      <c r="I26" s="2904"/>
      <c r="J26" s="2904"/>
      <c r="K26" s="2904"/>
      <c r="L26" s="55"/>
      <c r="M26" s="56"/>
      <c r="N26" s="601"/>
      <c r="O26" s="55"/>
      <c r="P26" s="56"/>
      <c r="Q26" s="601"/>
      <c r="R26" s="55"/>
      <c r="S26" s="56"/>
      <c r="T26" s="601"/>
      <c r="U26" s="55"/>
      <c r="V26" s="56"/>
      <c r="W26" s="601"/>
      <c r="X26" s="55"/>
      <c r="Y26" s="56"/>
      <c r="Z26" s="601"/>
      <c r="AA26" s="55"/>
      <c r="AB26" s="56"/>
      <c r="AC26" s="601"/>
      <c r="AD26" s="56"/>
      <c r="AE26" s="602"/>
      <c r="AF26" s="55"/>
      <c r="AG26" s="56"/>
      <c r="AH26" s="601"/>
      <c r="AI26" s="55"/>
      <c r="AJ26" s="56"/>
      <c r="AK26" s="601"/>
      <c r="AL26" s="55"/>
      <c r="AM26" s="56"/>
      <c r="AN26" s="601"/>
      <c r="AO26" s="55"/>
      <c r="AP26" s="56"/>
      <c r="AQ26" s="601"/>
      <c r="AR26" s="55"/>
      <c r="AS26" s="56"/>
      <c r="AT26" s="601"/>
      <c r="AU26" s="55"/>
      <c r="AV26" s="56"/>
      <c r="AW26" s="601"/>
      <c r="AX26" s="601"/>
      <c r="AY26" s="601"/>
      <c r="AZ26" s="601"/>
      <c r="BA26" s="601"/>
    </row>
    <row r="27" spans="1:53" ht="138.75" customHeight="1" thickTop="1" thickBot="1">
      <c r="A27" s="2905" t="s">
        <v>181</v>
      </c>
      <c r="B27" s="2863" t="s">
        <v>143</v>
      </c>
      <c r="C27" s="371" t="s">
        <v>353</v>
      </c>
      <c r="D27" s="17" t="s">
        <v>144</v>
      </c>
      <c r="E27" s="371" t="s">
        <v>145</v>
      </c>
      <c r="F27" s="57" t="s">
        <v>17</v>
      </c>
      <c r="G27" s="603">
        <v>1050</v>
      </c>
      <c r="H27" s="604"/>
      <c r="I27" s="604"/>
      <c r="J27" s="604"/>
      <c r="K27" s="371" t="s">
        <v>146</v>
      </c>
      <c r="L27" s="58">
        <v>0</v>
      </c>
      <c r="M27" s="59"/>
      <c r="N27" s="558" t="e">
        <f t="shared" si="20"/>
        <v>#DIV/0!</v>
      </c>
      <c r="O27" s="58"/>
      <c r="P27" s="59"/>
      <c r="Q27" s="558" t="e">
        <f t="shared" ref="Q27" si="30">+P27/O27</f>
        <v>#DIV/0!</v>
      </c>
      <c r="R27" s="58">
        <v>0</v>
      </c>
      <c r="S27" s="59"/>
      <c r="T27" s="558" t="e">
        <f t="shared" ref="T27" si="31">+S27/R27</f>
        <v>#DIV/0!</v>
      </c>
      <c r="U27" s="58">
        <v>130</v>
      </c>
      <c r="V27" s="59">
        <v>351</v>
      </c>
      <c r="W27" s="19">
        <f t="shared" ref="W27:W28" si="32">+V27/U27</f>
        <v>2.7</v>
      </c>
      <c r="X27" s="58"/>
      <c r="Y27" s="59"/>
      <c r="Z27" s="558" t="e">
        <f t="shared" ref="Z27:Z28" si="33">+Y27/X27</f>
        <v>#DIV/0!</v>
      </c>
      <c r="AA27" s="58"/>
      <c r="AB27" s="59"/>
      <c r="AC27" s="558" t="e">
        <f t="shared" ref="AC27" si="34">+AB27/AA27</f>
        <v>#DIV/0!</v>
      </c>
      <c r="AD27" s="496">
        <f t="shared" si="0"/>
        <v>351</v>
      </c>
      <c r="AE27" s="15">
        <f>+AD27/(SUM(L27+O27+R27+U27+X27+AA27))</f>
        <v>2.7</v>
      </c>
      <c r="AF27" s="58">
        <v>0</v>
      </c>
      <c r="AG27" s="59"/>
      <c r="AH27" s="558" t="e">
        <f t="shared" ref="AH27" si="35">+AG27/AF27</f>
        <v>#DIV/0!</v>
      </c>
      <c r="AI27" s="58">
        <v>345</v>
      </c>
      <c r="AJ27" s="59">
        <v>832</v>
      </c>
      <c r="AK27" s="19">
        <f t="shared" ref="AK27" si="36">+AJ27/AI27</f>
        <v>2.4115942028985509</v>
      </c>
      <c r="AL27" s="58">
        <v>0</v>
      </c>
      <c r="AM27" s="59"/>
      <c r="AN27" s="558" t="e">
        <f t="shared" ref="AN27" si="37">+AM27/AL27</f>
        <v>#DIV/0!</v>
      </c>
      <c r="AO27" s="58">
        <v>0</v>
      </c>
      <c r="AP27" s="59"/>
      <c r="AQ27" s="558" t="e">
        <f t="shared" ref="AQ27" si="38">+AP27/AO27</f>
        <v>#DIV/0!</v>
      </c>
      <c r="AR27" s="58"/>
      <c r="AS27" s="58"/>
      <c r="AT27" s="558" t="e">
        <f t="shared" ref="AT27" si="39">+AS27/AR27</f>
        <v>#DIV/0!</v>
      </c>
      <c r="AU27" s="58">
        <v>575</v>
      </c>
      <c r="AV27" s="58">
        <v>1091</v>
      </c>
      <c r="AW27" s="19">
        <f t="shared" ref="AW27" si="40">+AV27/AU27</f>
        <v>1.8973913043478261</v>
      </c>
      <c r="AX27" s="496">
        <f>+L27+O27+R27+U27+X27+AA27+AF27+AI27+AL27+AO27+AR27+AU27</f>
        <v>1050</v>
      </c>
      <c r="AY27" s="496">
        <f>+M27+P27+S27+V27+Y27+AB27+AG27+AJ27+AM27+AP27+AS27+AV27</f>
        <v>2274</v>
      </c>
      <c r="AZ27" s="560">
        <f t="shared" ref="AZ27" si="41">+AY27/AX27</f>
        <v>2.1657142857142859</v>
      </c>
      <c r="BA27" s="19">
        <f t="shared" si="3"/>
        <v>2.1657142857142859</v>
      </c>
    </row>
    <row r="28" spans="1:53" ht="84.75" customHeight="1" thickTop="1" thickBot="1">
      <c r="A28" s="2906"/>
      <c r="B28" s="2864"/>
      <c r="C28" s="211" t="s">
        <v>147</v>
      </c>
      <c r="D28" s="1961" t="s">
        <v>182</v>
      </c>
      <c r="E28" s="23" t="s">
        <v>149</v>
      </c>
      <c r="F28" s="98" t="s">
        <v>8</v>
      </c>
      <c r="G28" s="98">
        <v>10.199999999999999</v>
      </c>
      <c r="H28" s="386"/>
      <c r="I28" s="30"/>
      <c r="J28" s="386"/>
      <c r="K28" s="25" t="s">
        <v>9</v>
      </c>
      <c r="L28" s="605">
        <v>10.199999999999999</v>
      </c>
      <c r="M28" s="606">
        <v>9.6</v>
      </c>
      <c r="N28" s="19">
        <f>+L28/M28</f>
        <v>1.0625</v>
      </c>
      <c r="O28" s="607">
        <v>10.199999999999999</v>
      </c>
      <c r="P28" s="608">
        <v>9.3000000000000007</v>
      </c>
      <c r="Q28" s="19">
        <f>+O28/P28</f>
        <v>1.096774193548387</v>
      </c>
      <c r="R28" s="607">
        <v>10.199999999999999</v>
      </c>
      <c r="S28" s="608">
        <v>7.4</v>
      </c>
      <c r="T28" s="19">
        <f>+R28/S28</f>
        <v>1.3783783783783783</v>
      </c>
      <c r="U28" s="607">
        <v>10.199999999999999</v>
      </c>
      <c r="V28" s="608"/>
      <c r="W28" s="558">
        <f t="shared" si="32"/>
        <v>0</v>
      </c>
      <c r="X28" s="607">
        <v>10.199999999999999</v>
      </c>
      <c r="Y28" s="608"/>
      <c r="Z28" s="558">
        <f t="shared" si="33"/>
        <v>0</v>
      </c>
      <c r="AA28" s="607">
        <v>10.199999999999999</v>
      </c>
      <c r="AB28" s="608">
        <v>9.5</v>
      </c>
      <c r="AC28" s="19">
        <f>+AA28/AB28</f>
        <v>1.0736842105263158</v>
      </c>
      <c r="AD28" s="496">
        <f>+(M28+P28+S28+AB28)/4</f>
        <v>8.9499999999999993</v>
      </c>
      <c r="AE28" s="15">
        <f>(10.2)/AD28</f>
        <v>1.1396648044692737</v>
      </c>
      <c r="AF28" s="607">
        <v>10.199999999999999</v>
      </c>
      <c r="AG28" s="608">
        <v>8.3000000000000007</v>
      </c>
      <c r="AH28" s="19">
        <f>+AF28/AG28</f>
        <v>1.2289156626506021</v>
      </c>
      <c r="AI28" s="607">
        <v>10.199999999999999</v>
      </c>
      <c r="AJ28" s="608">
        <v>7.72</v>
      </c>
      <c r="AK28" s="19">
        <f>+AI28/AJ28</f>
        <v>1.3212435233160622</v>
      </c>
      <c r="AL28" s="607">
        <v>10.199999999999999</v>
      </c>
      <c r="AM28" s="608">
        <v>8.32</v>
      </c>
      <c r="AN28" s="19">
        <f>+AL28/AM28</f>
        <v>1.2259615384615383</v>
      </c>
      <c r="AO28" s="607">
        <v>10.199999999999999</v>
      </c>
      <c r="AP28" s="608">
        <v>8.16</v>
      </c>
      <c r="AQ28" s="19">
        <f>+AO28/AP28</f>
        <v>1.25</v>
      </c>
      <c r="AR28" s="607">
        <v>10.199999999999999</v>
      </c>
      <c r="AS28" s="608">
        <v>10.18</v>
      </c>
      <c r="AT28" s="19">
        <f>+AR28/AS28</f>
        <v>1.0019646365422397</v>
      </c>
      <c r="AU28" s="607">
        <v>10.199999999999999</v>
      </c>
      <c r="AV28" s="608">
        <v>9.6</v>
      </c>
      <c r="AW28" s="19">
        <f>+AU28/AV28</f>
        <v>1.0625</v>
      </c>
      <c r="AX28" s="496">
        <f>+(L28+O28+R28+U28+X28+AA28+AF28+AI28+AL28+AO28+AR28+AU28)/12</f>
        <v>10.200000000000001</v>
      </c>
      <c r="AY28" s="496">
        <f>+(M28+P28+S28+AB28+AG28+AJ28+AM28+AP28+AS28+AV28)/10</f>
        <v>8.8079999999999981</v>
      </c>
      <c r="AZ28" s="560">
        <f>+AX28/AY28</f>
        <v>1.1580381471389649</v>
      </c>
      <c r="BA28" s="19">
        <f>+G28/AY28</f>
        <v>1.1580381471389647</v>
      </c>
    </row>
    <row r="29" spans="1:53" ht="82.5" customHeight="1" thickTop="1" thickBot="1">
      <c r="A29" s="2906"/>
      <c r="B29" s="609" t="s">
        <v>150</v>
      </c>
      <c r="C29" s="610" t="s">
        <v>151</v>
      </c>
      <c r="D29" s="611" t="s">
        <v>152</v>
      </c>
      <c r="E29" s="610" t="s">
        <v>183</v>
      </c>
      <c r="F29" s="612" t="s">
        <v>17</v>
      </c>
      <c r="G29" s="613">
        <v>37</v>
      </c>
      <c r="H29" s="614"/>
      <c r="I29" s="614"/>
      <c r="J29" s="614"/>
      <c r="K29" s="610" t="s">
        <v>21</v>
      </c>
      <c r="L29" s="615">
        <v>45</v>
      </c>
      <c r="M29" s="616">
        <v>42</v>
      </c>
      <c r="N29" s="19">
        <f>+L29/M29</f>
        <v>1.0714285714285714</v>
      </c>
      <c r="O29" s="615">
        <v>45</v>
      </c>
      <c r="P29" s="616">
        <v>39</v>
      </c>
      <c r="Q29" s="19">
        <f>+O29/P29</f>
        <v>1.1538461538461537</v>
      </c>
      <c r="R29" s="615">
        <v>37</v>
      </c>
      <c r="S29" s="616">
        <v>32</v>
      </c>
      <c r="T29" s="19">
        <f>+R29/S29</f>
        <v>1.15625</v>
      </c>
      <c r="U29" s="615">
        <v>37</v>
      </c>
      <c r="V29" s="616">
        <v>38</v>
      </c>
      <c r="W29" s="19">
        <f>+U29/V29</f>
        <v>0.97368421052631582</v>
      </c>
      <c r="X29" s="615">
        <v>37</v>
      </c>
      <c r="Y29" s="616">
        <v>22</v>
      </c>
      <c r="Z29" s="19">
        <f>+X29/Y29</f>
        <v>1.6818181818181819</v>
      </c>
      <c r="AA29" s="615">
        <v>37</v>
      </c>
      <c r="AB29" s="616">
        <v>14</v>
      </c>
      <c r="AC29" s="19">
        <f>+AA29/AB29</f>
        <v>2.6428571428571428</v>
      </c>
      <c r="AD29" s="496">
        <f>+(M29+P29+S29+V29+Y29+AB29)/6</f>
        <v>31.166666666666668</v>
      </c>
      <c r="AE29" s="15">
        <f>(37)/AD29</f>
        <v>1.1871657754010694</v>
      </c>
      <c r="AF29" s="615">
        <v>37</v>
      </c>
      <c r="AG29" s="616">
        <v>14</v>
      </c>
      <c r="AH29" s="19">
        <f>+AF29/AG29</f>
        <v>2.6428571428571428</v>
      </c>
      <c r="AI29" s="615">
        <v>37</v>
      </c>
      <c r="AJ29" s="616">
        <v>34</v>
      </c>
      <c r="AK29" s="19">
        <f>+AI29/AJ29</f>
        <v>1.088235294117647</v>
      </c>
      <c r="AL29" s="615">
        <v>37</v>
      </c>
      <c r="AM29" s="616">
        <v>42</v>
      </c>
      <c r="AN29" s="19">
        <f>+AL29/AM29</f>
        <v>0.88095238095238093</v>
      </c>
      <c r="AO29" s="615">
        <v>37</v>
      </c>
      <c r="AP29" s="616">
        <v>44</v>
      </c>
      <c r="AQ29" s="19">
        <f>+AO29/AP29</f>
        <v>0.84090909090909094</v>
      </c>
      <c r="AR29" s="615">
        <v>37</v>
      </c>
      <c r="AS29" s="615">
        <v>40</v>
      </c>
      <c r="AT29" s="19">
        <f>+AR29/AS29</f>
        <v>0.92500000000000004</v>
      </c>
      <c r="AU29" s="615">
        <v>37</v>
      </c>
      <c r="AV29" s="616">
        <v>41</v>
      </c>
      <c r="AW29" s="19">
        <f>+AU29/AV29</f>
        <v>0.90243902439024393</v>
      </c>
      <c r="AX29" s="496">
        <f>+G29</f>
        <v>37</v>
      </c>
      <c r="AY29" s="496">
        <f>+(M29+P29+S29+V29+Y29+AB29+AG29+AJ29+AM29+AP29+AS29+AV29)/12</f>
        <v>33.5</v>
      </c>
      <c r="AZ29" s="560">
        <f>+AX29/AY29</f>
        <v>1.1044776119402986</v>
      </c>
      <c r="BA29" s="19">
        <f>+G29/AY29</f>
        <v>1.1044776119402986</v>
      </c>
    </row>
    <row r="30" spans="1:53" ht="22.5" customHeight="1" thickTop="1" thickBot="1">
      <c r="A30" s="2903" t="s">
        <v>154</v>
      </c>
      <c r="B30" s="2903"/>
      <c r="C30" s="2903"/>
      <c r="D30" s="2903"/>
      <c r="E30" s="2903"/>
      <c r="F30" s="2903"/>
      <c r="G30" s="2903"/>
      <c r="H30" s="2903"/>
      <c r="I30" s="2903"/>
      <c r="J30" s="2903"/>
      <c r="K30" s="2903"/>
      <c r="L30" s="61"/>
      <c r="M30" s="62"/>
      <c r="N30" s="617"/>
      <c r="O30" s="61"/>
      <c r="P30" s="62"/>
      <c r="Q30" s="617"/>
      <c r="R30" s="61"/>
      <c r="S30" s="62"/>
      <c r="T30" s="617"/>
      <c r="U30" s="61"/>
      <c r="V30" s="62"/>
      <c r="W30" s="617"/>
      <c r="X30" s="61"/>
      <c r="Y30" s="62"/>
      <c r="Z30" s="617"/>
      <c r="AA30" s="61"/>
      <c r="AB30" s="62"/>
      <c r="AC30" s="617"/>
      <c r="AD30" s="617"/>
      <c r="AE30" s="617"/>
      <c r="AF30" s="61"/>
      <c r="AG30" s="62"/>
      <c r="AH30" s="617"/>
      <c r="AI30" s="61"/>
      <c r="AJ30" s="62"/>
      <c r="AK30" s="617"/>
      <c r="AL30" s="61"/>
      <c r="AM30" s="62"/>
      <c r="AN30" s="617"/>
      <c r="AO30" s="61"/>
      <c r="AP30" s="62"/>
      <c r="AQ30" s="617"/>
      <c r="AR30" s="61"/>
      <c r="AS30" s="62"/>
      <c r="AT30" s="617"/>
      <c r="AU30" s="61"/>
      <c r="AV30" s="62"/>
      <c r="AW30" s="617"/>
      <c r="AX30" s="617"/>
      <c r="AY30" s="617"/>
      <c r="AZ30" s="617"/>
      <c r="BA30" s="617"/>
    </row>
    <row r="31" spans="1:53" ht="138.75" customHeight="1" thickTop="1" thickBot="1">
      <c r="A31" s="618" t="s">
        <v>155</v>
      </c>
      <c r="B31" s="2790" t="s">
        <v>156</v>
      </c>
      <c r="C31" s="418" t="s">
        <v>157</v>
      </c>
      <c r="D31" s="24" t="s">
        <v>158</v>
      </c>
      <c r="E31" s="418" t="s">
        <v>159</v>
      </c>
      <c r="F31" s="581" t="s">
        <v>17</v>
      </c>
      <c r="G31" s="619">
        <v>14</v>
      </c>
      <c r="H31" s="94"/>
      <c r="I31" s="94"/>
      <c r="J31" s="94"/>
      <c r="K31" s="418" t="s">
        <v>27</v>
      </c>
      <c r="L31" s="27">
        <v>0</v>
      </c>
      <c r="M31" s="28"/>
      <c r="N31" s="558" t="e">
        <f t="shared" ref="N31" si="42">+M31/L31</f>
        <v>#DIV/0!</v>
      </c>
      <c r="O31" s="27">
        <v>0</v>
      </c>
      <c r="P31" s="28"/>
      <c r="Q31" s="558" t="e">
        <f t="shared" ref="Q31" si="43">+P31/O31</f>
        <v>#DIV/0!</v>
      </c>
      <c r="R31" s="27">
        <v>0</v>
      </c>
      <c r="S31" s="28"/>
      <c r="T31" s="558" t="e">
        <f t="shared" ref="T31" si="44">+S31/R31</f>
        <v>#DIV/0!</v>
      </c>
      <c r="U31" s="27">
        <v>0</v>
      </c>
      <c r="V31" s="28"/>
      <c r="W31" s="558" t="e">
        <f t="shared" ref="W31" si="45">+V31/U31</f>
        <v>#DIV/0!</v>
      </c>
      <c r="X31" s="27">
        <v>2</v>
      </c>
      <c r="Y31" s="28">
        <v>2</v>
      </c>
      <c r="Z31" s="19">
        <f t="shared" ref="Z31" si="46">+Y31/X31</f>
        <v>1</v>
      </c>
      <c r="AA31" s="27">
        <v>0</v>
      </c>
      <c r="AB31" s="28"/>
      <c r="AC31" s="558" t="e">
        <f t="shared" ref="AC31" si="47">+AB31/AA31</f>
        <v>#DIV/0!</v>
      </c>
      <c r="AD31" s="496">
        <f t="shared" si="0"/>
        <v>2</v>
      </c>
      <c r="AE31" s="15">
        <f>+AD31/(SUM(L31+O31+R31+U31+X31+AA31))</f>
        <v>1</v>
      </c>
      <c r="AF31" s="27">
        <v>1</v>
      </c>
      <c r="AG31" s="28">
        <v>1</v>
      </c>
      <c r="AH31" s="19">
        <f t="shared" ref="AH31" si="48">+AG31/AF31</f>
        <v>1</v>
      </c>
      <c r="AI31" s="27">
        <v>4</v>
      </c>
      <c r="AJ31" s="28">
        <v>4</v>
      </c>
      <c r="AK31" s="19">
        <f t="shared" ref="AK31" si="49">+AJ31/AI31</f>
        <v>1</v>
      </c>
      <c r="AL31" s="27">
        <v>3</v>
      </c>
      <c r="AM31" s="28">
        <v>3</v>
      </c>
      <c r="AN31" s="19">
        <f t="shared" ref="AN31" si="50">+AM31/AL31</f>
        <v>1</v>
      </c>
      <c r="AO31" s="27">
        <v>4</v>
      </c>
      <c r="AP31" s="28">
        <v>4</v>
      </c>
      <c r="AQ31" s="19">
        <f t="shared" ref="AQ31" si="51">+AP31/AO31</f>
        <v>1</v>
      </c>
      <c r="AR31" s="27">
        <v>0</v>
      </c>
      <c r="AS31" s="27">
        <v>0</v>
      </c>
      <c r="AT31" s="558" t="e">
        <f t="shared" ref="AT31" si="52">+AS31/AR31</f>
        <v>#DIV/0!</v>
      </c>
      <c r="AU31" s="27">
        <v>0</v>
      </c>
      <c r="AV31" s="28"/>
      <c r="AW31" s="558" t="e">
        <f t="shared" ref="AW31" si="53">+AV31/AU31</f>
        <v>#DIV/0!</v>
      </c>
      <c r="AX31" s="496">
        <f>+L31+O31+R31+U31+X31+AA31+AF31+AI31+AL31+AO31</f>
        <v>14</v>
      </c>
      <c r="AY31" s="496">
        <f>+M31+P31+S31+V31+Y31+AB31+AG31+AJ31+AM31+AP31</f>
        <v>14</v>
      </c>
      <c r="AZ31" s="560">
        <f t="shared" ref="AZ31" si="54">+AY31/AX31</f>
        <v>1</v>
      </c>
      <c r="BA31" s="19">
        <f t="shared" si="3"/>
        <v>1</v>
      </c>
    </row>
    <row r="32" spans="1:53" ht="17.25" thickTop="1">
      <c r="AE32"/>
      <c r="BA32"/>
    </row>
    <row r="33" spans="31:53">
      <c r="AE33"/>
      <c r="BA33"/>
    </row>
    <row r="34" spans="31:53">
      <c r="AE34"/>
      <c r="BA34"/>
    </row>
    <row r="35" spans="31:53">
      <c r="AE35"/>
      <c r="BA35"/>
    </row>
    <row r="36" spans="31:53">
      <c r="AE36"/>
      <c r="BA36"/>
    </row>
    <row r="37" spans="31:53">
      <c r="AE37"/>
      <c r="BA37"/>
    </row>
  </sheetData>
  <sheetProtection algorithmName="SHA-512" hashValue="9TOQU2OTAKlOle+uRBcrZQqdr2/9MX+rjMIYbxqeaoX47TR8WApzieBGxBuh2vnj6ini8L9aVPzoAGaUS3CDlg==" saltValue="qN7pE3Sd6or5MRpxll2mMQ==" spinCount="100000" sheet="1" objects="1" scenarios="1"/>
  <mergeCells count="37">
    <mergeCell ref="A30:K30"/>
    <mergeCell ref="A26:K26"/>
    <mergeCell ref="A27:A29"/>
    <mergeCell ref="B27:B28"/>
    <mergeCell ref="A8:K8"/>
    <mergeCell ref="A9:A25"/>
    <mergeCell ref="B9:B25"/>
    <mergeCell ref="C10:C14"/>
    <mergeCell ref="C19:C25"/>
    <mergeCell ref="BA5:BA7"/>
    <mergeCell ref="U5:W7"/>
    <mergeCell ref="X5:Z7"/>
    <mergeCell ref="AA5:AC7"/>
    <mergeCell ref="AD5:AE7"/>
    <mergeCell ref="AF5:AH7"/>
    <mergeCell ref="AI5:AK7"/>
    <mergeCell ref="AL5:AN7"/>
    <mergeCell ref="AO5:AQ7"/>
    <mergeCell ref="AR5:AT7"/>
    <mergeCell ref="AU5:AW7"/>
    <mergeCell ref="AX5:AZ7"/>
    <mergeCell ref="R5:T7"/>
    <mergeCell ref="C1:K1"/>
    <mergeCell ref="C2:K2"/>
    <mergeCell ref="C3:K3"/>
    <mergeCell ref="C4:K4"/>
    <mergeCell ref="F5:F7"/>
    <mergeCell ref="G5:G7"/>
    <mergeCell ref="H5:J6"/>
    <mergeCell ref="K5:K7"/>
    <mergeCell ref="L5:N7"/>
    <mergeCell ref="O5:Q7"/>
    <mergeCell ref="A5:A7"/>
    <mergeCell ref="B5:B7"/>
    <mergeCell ref="C5:C7"/>
    <mergeCell ref="D5:D7"/>
    <mergeCell ref="E5:E7"/>
  </mergeCells>
  <conditionalFormatting sqref="AH31 AK31 AN31 AQ31 N28 Z31 BA31 Q28 T28 AC28 AH28 AK28 AN28 AQ28 AT28:AT29 AW28:AW29 BA9:BA18 N9:N18 Q9:Q18 T9:T15 W9:W15 Z9:Z15 AC9:AC15 AH9:AH15 AK9:AK15 AN9:AN15 AT9:AT15 AW9:AW15 AQ9:AQ15">
    <cfRule type="cellIs" dxfId="10764" priority="271" operator="greaterThan">
      <formula>110%</formula>
    </cfRule>
    <cfRule type="cellIs" dxfId="10763" priority="272" operator="between">
      <formula>100.001%</formula>
      <formula>110%</formula>
    </cfRule>
    <cfRule type="cellIs" dxfId="10762" priority="273" operator="between">
      <formula>70.001%</formula>
      <formula>100%</formula>
    </cfRule>
    <cfRule type="cellIs" dxfId="10761" priority="274" operator="between">
      <formula>0.00001%</formula>
      <formula>70%</formula>
    </cfRule>
    <cfRule type="cellIs" dxfId="10760" priority="275" operator="equal">
      <formula>0</formula>
    </cfRule>
  </conditionalFormatting>
  <conditionalFormatting sqref="AH16:AH18 AK16:AK18 AQ16:AQ18 AT16:AT18 T16:T18 W16:W18 Z16:Z18 AC16:AC18 AW16:AW21 AN16:AN20">
    <cfRule type="cellIs" dxfId="10759" priority="266" operator="greaterThan">
      <formula>110%</formula>
    </cfRule>
    <cfRule type="cellIs" dxfId="10758" priority="267" operator="between">
      <formula>100.001%</formula>
      <formula>110%</formula>
    </cfRule>
    <cfRule type="cellIs" dxfId="10757" priority="268" operator="between">
      <formula>70.001%</formula>
      <formula>100%</formula>
    </cfRule>
    <cfRule type="cellIs" dxfId="10756" priority="269" operator="between">
      <formula>0.00001%</formula>
      <formula>70%</formula>
    </cfRule>
    <cfRule type="cellIs" dxfId="10755" priority="270" operator="equal">
      <formula>0</formula>
    </cfRule>
  </conditionalFormatting>
  <conditionalFormatting sqref="W27 AK27">
    <cfRule type="cellIs" dxfId="10754" priority="261" operator="greaterThan">
      <formula>110%</formula>
    </cfRule>
    <cfRule type="cellIs" dxfId="10753" priority="262" operator="between">
      <formula>100.001%</formula>
      <formula>110%</formula>
    </cfRule>
    <cfRule type="cellIs" dxfId="10752" priority="263" operator="between">
      <formula>70.001%</formula>
      <formula>100%</formula>
    </cfRule>
    <cfRule type="cellIs" dxfId="10751" priority="264" operator="between">
      <formula>0.00001%</formula>
      <formula>70%</formula>
    </cfRule>
    <cfRule type="cellIs" dxfId="10750" priority="265" operator="equal">
      <formula>0</formula>
    </cfRule>
  </conditionalFormatting>
  <conditionalFormatting sqref="N29">
    <cfRule type="cellIs" dxfId="10749" priority="256" operator="greaterThan">
      <formula>110%</formula>
    </cfRule>
    <cfRule type="cellIs" dxfId="10748" priority="257" operator="between">
      <formula>100.001%</formula>
      <formula>110%</formula>
    </cfRule>
    <cfRule type="cellIs" dxfId="10747" priority="258" operator="between">
      <formula>70.001%</formula>
      <formula>100%</formula>
    </cfRule>
    <cfRule type="cellIs" dxfId="10746" priority="259" operator="between">
      <formula>0.00001%</formula>
      <formula>70%</formula>
    </cfRule>
    <cfRule type="cellIs" dxfId="10745" priority="260" operator="equal">
      <formula>0</formula>
    </cfRule>
  </conditionalFormatting>
  <conditionalFormatting sqref="Q29">
    <cfRule type="cellIs" dxfId="10744" priority="251" operator="greaterThan">
      <formula>110%</formula>
    </cfRule>
    <cfRule type="cellIs" dxfId="10743" priority="252" operator="between">
      <formula>100.001%</formula>
      <formula>110%</formula>
    </cfRule>
    <cfRule type="cellIs" dxfId="10742" priority="253" operator="between">
      <formula>70.001%</formula>
      <formula>100%</formula>
    </cfRule>
    <cfRule type="cellIs" dxfId="10741" priority="254" operator="between">
      <formula>0.00001%</formula>
      <formula>70%</formula>
    </cfRule>
    <cfRule type="cellIs" dxfId="10740" priority="255" operator="equal">
      <formula>0</formula>
    </cfRule>
  </conditionalFormatting>
  <conditionalFormatting sqref="T29">
    <cfRule type="cellIs" dxfId="10739" priority="246" operator="greaterThan">
      <formula>110%</formula>
    </cfRule>
    <cfRule type="cellIs" dxfId="10738" priority="247" operator="between">
      <formula>100.001%</formula>
      <formula>110%</formula>
    </cfRule>
    <cfRule type="cellIs" dxfId="10737" priority="248" operator="between">
      <formula>70.001%</formula>
      <formula>100%</formula>
    </cfRule>
    <cfRule type="cellIs" dxfId="10736" priority="249" operator="between">
      <formula>0.00001%</formula>
      <formula>70%</formula>
    </cfRule>
    <cfRule type="cellIs" dxfId="10735" priority="250" operator="equal">
      <formula>0</formula>
    </cfRule>
  </conditionalFormatting>
  <conditionalFormatting sqref="W29">
    <cfRule type="cellIs" dxfId="10734" priority="241" operator="greaterThan">
      <formula>110%</formula>
    </cfRule>
    <cfRule type="cellIs" dxfId="10733" priority="242" operator="between">
      <formula>100.001%</formula>
      <formula>110%</formula>
    </cfRule>
    <cfRule type="cellIs" dxfId="10732" priority="243" operator="between">
      <formula>70.001%</formula>
      <formula>100%</formula>
    </cfRule>
    <cfRule type="cellIs" dxfId="10731" priority="244" operator="between">
      <formula>0.00001%</formula>
      <formula>70%</formula>
    </cfRule>
    <cfRule type="cellIs" dxfId="10730" priority="245" operator="equal">
      <formula>0</formula>
    </cfRule>
  </conditionalFormatting>
  <conditionalFormatting sqref="Z29">
    <cfRule type="cellIs" dxfId="10729" priority="236" operator="greaterThan">
      <formula>110%</formula>
    </cfRule>
    <cfRule type="cellIs" dxfId="10728" priority="237" operator="between">
      <formula>100.001%</formula>
      <formula>110%</formula>
    </cfRule>
    <cfRule type="cellIs" dxfId="10727" priority="238" operator="between">
      <formula>70.001%</formula>
      <formula>100%</formula>
    </cfRule>
    <cfRule type="cellIs" dxfId="10726" priority="239" operator="between">
      <formula>0.00001%</formula>
      <formula>70%</formula>
    </cfRule>
    <cfRule type="cellIs" dxfId="10725" priority="240" operator="equal">
      <formula>0</formula>
    </cfRule>
  </conditionalFormatting>
  <conditionalFormatting sqref="AC29">
    <cfRule type="cellIs" dxfId="10724" priority="231" operator="greaterThan">
      <formula>110%</formula>
    </cfRule>
    <cfRule type="cellIs" dxfId="10723" priority="232" operator="between">
      <formula>100.001%</formula>
      <formula>110%</formula>
    </cfRule>
    <cfRule type="cellIs" dxfId="10722" priority="233" operator="between">
      <formula>70.001%</formula>
      <formula>100%</formula>
    </cfRule>
    <cfRule type="cellIs" dxfId="10721" priority="234" operator="between">
      <formula>0.00001%</formula>
      <formula>70%</formula>
    </cfRule>
    <cfRule type="cellIs" dxfId="10720" priority="235" operator="equal">
      <formula>0</formula>
    </cfRule>
  </conditionalFormatting>
  <conditionalFormatting sqref="AH29">
    <cfRule type="cellIs" dxfId="10719" priority="226" operator="greaterThan">
      <formula>110%</formula>
    </cfRule>
    <cfRule type="cellIs" dxfId="10718" priority="227" operator="between">
      <formula>100.001%</formula>
      <formula>110%</formula>
    </cfRule>
    <cfRule type="cellIs" dxfId="10717" priority="228" operator="between">
      <formula>70.001%</formula>
      <formula>100%</formula>
    </cfRule>
    <cfRule type="cellIs" dxfId="10716" priority="229" operator="between">
      <formula>0.00001%</formula>
      <formula>70%</formula>
    </cfRule>
    <cfRule type="cellIs" dxfId="10715" priority="230" operator="equal">
      <formula>0</formula>
    </cfRule>
  </conditionalFormatting>
  <conditionalFormatting sqref="AK29">
    <cfRule type="cellIs" dxfId="10714" priority="221" operator="greaterThan">
      <formula>110%</formula>
    </cfRule>
    <cfRule type="cellIs" dxfId="10713" priority="222" operator="between">
      <formula>100.001%</formula>
      <formula>110%</formula>
    </cfRule>
    <cfRule type="cellIs" dxfId="10712" priority="223" operator="between">
      <formula>70.001%</formula>
      <formula>100%</formula>
    </cfRule>
    <cfRule type="cellIs" dxfId="10711" priority="224" operator="between">
      <formula>0.00001%</formula>
      <formula>70%</formula>
    </cfRule>
    <cfRule type="cellIs" dxfId="10710" priority="225" operator="equal">
      <formula>0</formula>
    </cfRule>
  </conditionalFormatting>
  <conditionalFormatting sqref="AN29">
    <cfRule type="cellIs" dxfId="10709" priority="216" operator="greaterThan">
      <formula>110%</formula>
    </cfRule>
    <cfRule type="cellIs" dxfId="10708" priority="217" operator="between">
      <formula>100.001%</formula>
      <formula>110%</formula>
    </cfRule>
    <cfRule type="cellIs" dxfId="10707" priority="218" operator="between">
      <formula>70.001%</formula>
      <formula>100%</formula>
    </cfRule>
    <cfRule type="cellIs" dxfId="10706" priority="219" operator="between">
      <formula>0.00001%</formula>
      <formula>70%</formula>
    </cfRule>
    <cfRule type="cellIs" dxfId="10705" priority="220" operator="equal">
      <formula>0</formula>
    </cfRule>
  </conditionalFormatting>
  <conditionalFormatting sqref="AQ29">
    <cfRule type="cellIs" dxfId="10704" priority="211" operator="greaterThan">
      <formula>110%</formula>
    </cfRule>
    <cfRule type="cellIs" dxfId="10703" priority="212" operator="between">
      <formula>100.001%</formula>
      <formula>110%</formula>
    </cfRule>
    <cfRule type="cellIs" dxfId="10702" priority="213" operator="between">
      <formula>70.001%</formula>
      <formula>100%</formula>
    </cfRule>
    <cfRule type="cellIs" dxfId="10701" priority="214" operator="between">
      <formula>0.00001%</formula>
      <formula>70%</formula>
    </cfRule>
    <cfRule type="cellIs" dxfId="10700" priority="215" operator="equal">
      <formula>0</formula>
    </cfRule>
  </conditionalFormatting>
  <conditionalFormatting sqref="BA27:BA29">
    <cfRule type="cellIs" dxfId="10699" priority="206" operator="greaterThan">
      <formula>110%</formula>
    </cfRule>
    <cfRule type="cellIs" dxfId="10698" priority="207" operator="between">
      <formula>100.001%</formula>
      <formula>110%</formula>
    </cfRule>
    <cfRule type="cellIs" dxfId="10697" priority="208" operator="between">
      <formula>70.001%</formula>
      <formula>100%</formula>
    </cfRule>
    <cfRule type="cellIs" dxfId="10696" priority="209" operator="between">
      <formula>0.00001%</formula>
      <formula>70%</formula>
    </cfRule>
    <cfRule type="cellIs" dxfId="10695" priority="210" operator="equal">
      <formula>0</formula>
    </cfRule>
  </conditionalFormatting>
  <conditionalFormatting sqref="N19:N23 Q19:Q23 AC19:AC23 AQ19:AQ23 AH19:AH23 BA19:BA25 AN21:AN23 Z19:Z23 AK19:AK23 AT19:AT23 T19:T23 W19:W23 AC25">
    <cfRule type="cellIs" dxfId="10694" priority="201" operator="greaterThan">
      <formula>110%</formula>
    </cfRule>
    <cfRule type="cellIs" dxfId="10693" priority="202" operator="between">
      <formula>100.001%</formula>
      <formula>110%</formula>
    </cfRule>
    <cfRule type="cellIs" dxfId="10692" priority="203" operator="between">
      <formula>70.001%</formula>
      <formula>100%</formula>
    </cfRule>
    <cfRule type="cellIs" dxfId="10691" priority="204" operator="between">
      <formula>0.00001%</formula>
      <formula>70%</formula>
    </cfRule>
    <cfRule type="cellIs" dxfId="10690" priority="205" operator="equal">
      <formula>0</formula>
    </cfRule>
  </conditionalFormatting>
  <conditionalFormatting sqref="AW22:AW24">
    <cfRule type="cellIs" dxfId="10689" priority="196" operator="greaterThan">
      <formula>110%</formula>
    </cfRule>
    <cfRule type="cellIs" dxfId="10688" priority="197" operator="between">
      <formula>100.001%</formula>
      <formula>110%</formula>
    </cfRule>
    <cfRule type="cellIs" dxfId="10687" priority="198" operator="between">
      <formula>70.001%</formula>
      <formula>100%</formula>
    </cfRule>
    <cfRule type="cellIs" dxfId="10686" priority="199" operator="between">
      <formula>0.00001%</formula>
      <formula>70%</formula>
    </cfRule>
    <cfRule type="cellIs" dxfId="10685" priority="200" operator="equal">
      <formula>0</formula>
    </cfRule>
  </conditionalFormatting>
  <conditionalFormatting sqref="AW27">
    <cfRule type="cellIs" dxfId="10684" priority="191" operator="greaterThan">
      <formula>110%</formula>
    </cfRule>
    <cfRule type="cellIs" dxfId="10683" priority="192" operator="between">
      <formula>100.001%</formula>
      <formula>110%</formula>
    </cfRule>
    <cfRule type="cellIs" dxfId="10682" priority="193" operator="between">
      <formula>70.001%</formula>
      <formula>100%</formula>
    </cfRule>
    <cfRule type="cellIs" dxfId="10681" priority="194" operator="between">
      <formula>0.00001%</formula>
      <formula>70%</formula>
    </cfRule>
    <cfRule type="cellIs" dxfId="10680" priority="195" operator="equal">
      <formula>0</formula>
    </cfRule>
  </conditionalFormatting>
  <conditionalFormatting sqref="AW25">
    <cfRule type="cellIs" dxfId="10679" priority="186" operator="greaterThan">
      <formula>110%</formula>
    </cfRule>
    <cfRule type="cellIs" dxfId="10678" priority="187" operator="between">
      <formula>100.001%</formula>
      <formula>110%</formula>
    </cfRule>
    <cfRule type="cellIs" dxfId="10677" priority="188" operator="between">
      <formula>70.001%</formula>
      <formula>100%</formula>
    </cfRule>
    <cfRule type="cellIs" dxfId="10676" priority="189" operator="between">
      <formula>0.00001%</formula>
      <formula>70%</formula>
    </cfRule>
    <cfRule type="cellIs" dxfId="10675" priority="190" operator="equal">
      <formula>0</formula>
    </cfRule>
  </conditionalFormatting>
  <conditionalFormatting sqref="AT25">
    <cfRule type="cellIs" dxfId="10674" priority="181" operator="greaterThan">
      <formula>110%</formula>
    </cfRule>
    <cfRule type="cellIs" dxfId="10673" priority="182" operator="between">
      <formula>100.001%</formula>
      <formula>110%</formula>
    </cfRule>
    <cfRule type="cellIs" dxfId="10672" priority="183" operator="between">
      <formula>70.001%</formula>
      <formula>100%</formula>
    </cfRule>
    <cfRule type="cellIs" dxfId="10671" priority="184" operator="between">
      <formula>0.00001%</formula>
      <formula>70%</formula>
    </cfRule>
    <cfRule type="cellIs" dxfId="10670" priority="185" operator="equal">
      <formula>0</formula>
    </cfRule>
  </conditionalFormatting>
  <conditionalFormatting sqref="AQ25">
    <cfRule type="cellIs" dxfId="10669" priority="176" operator="greaterThan">
      <formula>110%</formula>
    </cfRule>
    <cfRule type="cellIs" dxfId="10668" priority="177" operator="between">
      <formula>100.001%</formula>
      <formula>110%</formula>
    </cfRule>
    <cfRule type="cellIs" dxfId="10667" priority="178" operator="between">
      <formula>70.001%</formula>
      <formula>100%</formula>
    </cfRule>
    <cfRule type="cellIs" dxfId="10666" priority="179" operator="between">
      <formula>0.00001%</formula>
      <formula>70%</formula>
    </cfRule>
    <cfRule type="cellIs" dxfId="10665" priority="180" operator="equal">
      <formula>0</formula>
    </cfRule>
  </conditionalFormatting>
  <conditionalFormatting sqref="AN25">
    <cfRule type="cellIs" dxfId="10664" priority="171" operator="greaterThan">
      <formula>110%</formula>
    </cfRule>
    <cfRule type="cellIs" dxfId="10663" priority="172" operator="between">
      <formula>100.001%</formula>
      <formula>110%</formula>
    </cfRule>
    <cfRule type="cellIs" dxfId="10662" priority="173" operator="between">
      <formula>70.001%</formula>
      <formula>100%</formula>
    </cfRule>
    <cfRule type="cellIs" dxfId="10661" priority="174" operator="between">
      <formula>0.00001%</formula>
      <formula>70%</formula>
    </cfRule>
    <cfRule type="cellIs" dxfId="10660" priority="175" operator="equal">
      <formula>0</formula>
    </cfRule>
  </conditionalFormatting>
  <conditionalFormatting sqref="AK25">
    <cfRule type="cellIs" dxfId="10659" priority="166" operator="greaterThan">
      <formula>110%</formula>
    </cfRule>
    <cfRule type="cellIs" dxfId="10658" priority="167" operator="between">
      <formula>100.001%</formula>
      <formula>110%</formula>
    </cfRule>
    <cfRule type="cellIs" dxfId="10657" priority="168" operator="between">
      <formula>70.001%</formula>
      <formula>100%</formula>
    </cfRule>
    <cfRule type="cellIs" dxfId="10656" priority="169" operator="between">
      <formula>0.00001%</formula>
      <formula>70%</formula>
    </cfRule>
    <cfRule type="cellIs" dxfId="10655" priority="170" operator="equal">
      <formula>0</formula>
    </cfRule>
  </conditionalFormatting>
  <conditionalFormatting sqref="AH25">
    <cfRule type="cellIs" dxfId="10654" priority="161" operator="greaterThan">
      <formula>110%</formula>
    </cfRule>
    <cfRule type="cellIs" dxfId="10653" priority="162" operator="between">
      <formula>100.001%</formula>
      <formula>110%</formula>
    </cfRule>
    <cfRule type="cellIs" dxfId="10652" priority="163" operator="between">
      <formula>70.001%</formula>
      <formula>100%</formula>
    </cfRule>
    <cfRule type="cellIs" dxfId="10651" priority="164" operator="between">
      <formula>0.00001%</formula>
      <formula>70%</formula>
    </cfRule>
    <cfRule type="cellIs" dxfId="10650" priority="165" operator="equal">
      <formula>0</formula>
    </cfRule>
  </conditionalFormatting>
  <conditionalFormatting sqref="Z25">
    <cfRule type="cellIs" dxfId="10649" priority="156" operator="greaterThan">
      <formula>110%</formula>
    </cfRule>
    <cfRule type="cellIs" dxfId="10648" priority="157" operator="between">
      <formula>100.001%</formula>
      <formula>110%</formula>
    </cfRule>
    <cfRule type="cellIs" dxfId="10647" priority="158" operator="between">
      <formula>70.001%</formula>
      <formula>100%</formula>
    </cfRule>
    <cfRule type="cellIs" dxfId="10646" priority="159" operator="between">
      <formula>0.00001%</formula>
      <formula>70%</formula>
    </cfRule>
    <cfRule type="cellIs" dxfId="10645" priority="160" operator="equal">
      <formula>0</formula>
    </cfRule>
  </conditionalFormatting>
  <conditionalFormatting sqref="W24:W25">
    <cfRule type="cellIs" dxfId="10644" priority="151" operator="greaterThan">
      <formula>110%</formula>
    </cfRule>
    <cfRule type="cellIs" dxfId="10643" priority="152" operator="between">
      <formula>100.001%</formula>
      <formula>110%</formula>
    </cfRule>
    <cfRule type="cellIs" dxfId="10642" priority="153" operator="between">
      <formula>70.001%</formula>
      <formula>100%</formula>
    </cfRule>
    <cfRule type="cellIs" dxfId="10641" priority="154" operator="between">
      <formula>0.00001%</formula>
      <formula>70%</formula>
    </cfRule>
    <cfRule type="cellIs" dxfId="10640" priority="155" operator="equal">
      <formula>0</formula>
    </cfRule>
  </conditionalFormatting>
  <conditionalFormatting sqref="T25">
    <cfRule type="cellIs" dxfId="10639" priority="146" operator="greaterThan">
      <formula>110%</formula>
    </cfRule>
    <cfRule type="cellIs" dxfId="10638" priority="147" operator="between">
      <formula>100.001%</formula>
      <formula>110%</formula>
    </cfRule>
    <cfRule type="cellIs" dxfId="10637" priority="148" operator="between">
      <formula>70.001%</formula>
      <formula>100%</formula>
    </cfRule>
    <cfRule type="cellIs" dxfId="10636" priority="149" operator="between">
      <formula>0.00001%</formula>
      <formula>70%</formula>
    </cfRule>
    <cfRule type="cellIs" dxfId="10635" priority="150" operator="equal">
      <formula>0</formula>
    </cfRule>
  </conditionalFormatting>
  <conditionalFormatting sqref="T24">
    <cfRule type="cellIs" dxfId="10634" priority="141" operator="greaterThan">
      <formula>110%</formula>
    </cfRule>
    <cfRule type="cellIs" dxfId="10633" priority="142" operator="between">
      <formula>100.001%</formula>
      <formula>110%</formula>
    </cfRule>
    <cfRule type="cellIs" dxfId="10632" priority="143" operator="between">
      <formula>70.001%</formula>
      <formula>100%</formula>
    </cfRule>
    <cfRule type="cellIs" dxfId="10631" priority="144" operator="between">
      <formula>0.00001%</formula>
      <formula>70%</formula>
    </cfRule>
    <cfRule type="cellIs" dxfId="10630" priority="145" operator="equal">
      <formula>0</formula>
    </cfRule>
  </conditionalFormatting>
  <conditionalFormatting sqref="Q24">
    <cfRule type="cellIs" dxfId="10629" priority="136" operator="greaterThan">
      <formula>110%</formula>
    </cfRule>
    <cfRule type="cellIs" dxfId="10628" priority="137" operator="between">
      <formula>100.001%</formula>
      <formula>110%</formula>
    </cfRule>
    <cfRule type="cellIs" dxfId="10627" priority="138" operator="between">
      <formula>70.001%</formula>
      <formula>100%</formula>
    </cfRule>
    <cfRule type="cellIs" dxfId="10626" priority="139" operator="between">
      <formula>0.00001%</formula>
      <formula>70%</formula>
    </cfRule>
    <cfRule type="cellIs" dxfId="10625" priority="140" operator="equal">
      <formula>0</formula>
    </cfRule>
  </conditionalFormatting>
  <conditionalFormatting sqref="Q25">
    <cfRule type="cellIs" dxfId="10624" priority="131" operator="greaterThan">
      <formula>110%</formula>
    </cfRule>
    <cfRule type="cellIs" dxfId="10623" priority="132" operator="between">
      <formula>100.001%</formula>
      <formula>110%</formula>
    </cfRule>
    <cfRule type="cellIs" dxfId="10622" priority="133" operator="between">
      <formula>70.001%</formula>
      <formula>100%</formula>
    </cfRule>
    <cfRule type="cellIs" dxfId="10621" priority="134" operator="between">
      <formula>0.00001%</formula>
      <formula>70%</formula>
    </cfRule>
    <cfRule type="cellIs" dxfId="10620" priority="135" operator="equal">
      <formula>0</formula>
    </cfRule>
  </conditionalFormatting>
  <conditionalFormatting sqref="N24">
    <cfRule type="cellIs" dxfId="10619" priority="126" operator="greaterThan">
      <formula>110%</formula>
    </cfRule>
    <cfRule type="cellIs" dxfId="10618" priority="127" operator="between">
      <formula>100.001%</formula>
      <formula>110%</formula>
    </cfRule>
    <cfRule type="cellIs" dxfId="10617" priority="128" operator="between">
      <formula>70.001%</formula>
      <formula>100%</formula>
    </cfRule>
    <cfRule type="cellIs" dxfId="10616" priority="129" operator="between">
      <formula>0.00001%</formula>
      <formula>70%</formula>
    </cfRule>
    <cfRule type="cellIs" dxfId="10615" priority="130" operator="equal">
      <formula>0</formula>
    </cfRule>
  </conditionalFormatting>
  <conditionalFormatting sqref="N25">
    <cfRule type="cellIs" dxfId="10614" priority="121" operator="greaterThan">
      <formula>110%</formula>
    </cfRule>
    <cfRule type="cellIs" dxfId="10613" priority="122" operator="between">
      <formula>100.001%</formula>
      <formula>110%</formula>
    </cfRule>
    <cfRule type="cellIs" dxfId="10612" priority="123" operator="between">
      <formula>70.001%</formula>
      <formula>100%</formula>
    </cfRule>
    <cfRule type="cellIs" dxfId="10611" priority="124" operator="between">
      <formula>0.00001%</formula>
      <formula>70%</formula>
    </cfRule>
    <cfRule type="cellIs" dxfId="10610" priority="125" operator="equal">
      <formula>0</formula>
    </cfRule>
  </conditionalFormatting>
  <conditionalFormatting sqref="N27">
    <cfRule type="cellIs" dxfId="10609" priority="116" operator="greaterThan">
      <formula>110%</formula>
    </cfRule>
    <cfRule type="cellIs" dxfId="10608" priority="117" operator="between">
      <formula>100.001%</formula>
      <formula>110%</formula>
    </cfRule>
    <cfRule type="cellIs" dxfId="10607" priority="118" operator="between">
      <formula>70.001%</formula>
      <formula>100%</formula>
    </cfRule>
    <cfRule type="cellIs" dxfId="10606" priority="119" operator="between">
      <formula>0.00001%</formula>
      <formula>70%</formula>
    </cfRule>
    <cfRule type="cellIs" dxfId="10605" priority="120" operator="equal">
      <formula>0</formula>
    </cfRule>
  </conditionalFormatting>
  <conditionalFormatting sqref="Q27">
    <cfRule type="cellIs" dxfId="10604" priority="111" operator="greaterThan">
      <formula>110%</formula>
    </cfRule>
    <cfRule type="cellIs" dxfId="10603" priority="112" operator="between">
      <formula>100.001%</formula>
      <formula>110%</formula>
    </cfRule>
    <cfRule type="cellIs" dxfId="10602" priority="113" operator="between">
      <formula>70.001%</formula>
      <formula>100%</formula>
    </cfRule>
    <cfRule type="cellIs" dxfId="10601" priority="114" operator="between">
      <formula>0.00001%</formula>
      <formula>70%</formula>
    </cfRule>
    <cfRule type="cellIs" dxfId="10600" priority="115" operator="equal">
      <formula>0</formula>
    </cfRule>
  </conditionalFormatting>
  <conditionalFormatting sqref="T27">
    <cfRule type="cellIs" dxfId="10599" priority="106" operator="greaterThan">
      <formula>110%</formula>
    </cfRule>
    <cfRule type="cellIs" dxfId="10598" priority="107" operator="between">
      <formula>100.001%</formula>
      <formula>110%</formula>
    </cfRule>
    <cfRule type="cellIs" dxfId="10597" priority="108" operator="between">
      <formula>70.001%</formula>
      <formula>100%</formula>
    </cfRule>
    <cfRule type="cellIs" dxfId="10596" priority="109" operator="between">
      <formula>0.00001%</formula>
      <formula>70%</formula>
    </cfRule>
    <cfRule type="cellIs" dxfId="10595" priority="110" operator="equal">
      <formula>0</formula>
    </cfRule>
  </conditionalFormatting>
  <conditionalFormatting sqref="Z27:Z28">
    <cfRule type="cellIs" dxfId="10594" priority="101" operator="greaterThan">
      <formula>110%</formula>
    </cfRule>
    <cfRule type="cellIs" dxfId="10593" priority="102" operator="between">
      <formula>100.001%</formula>
      <formula>110%</formula>
    </cfRule>
    <cfRule type="cellIs" dxfId="10592" priority="103" operator="between">
      <formula>70.001%</formula>
      <formula>100%</formula>
    </cfRule>
    <cfRule type="cellIs" dxfId="10591" priority="104" operator="between">
      <formula>0.00001%</formula>
      <formula>70%</formula>
    </cfRule>
    <cfRule type="cellIs" dxfId="10590" priority="105" operator="equal">
      <formula>0</formula>
    </cfRule>
  </conditionalFormatting>
  <conditionalFormatting sqref="AC27">
    <cfRule type="cellIs" dxfId="10589" priority="96" operator="greaterThan">
      <formula>110%</formula>
    </cfRule>
    <cfRule type="cellIs" dxfId="10588" priority="97" operator="between">
      <formula>100.001%</formula>
      <formula>110%</formula>
    </cfRule>
    <cfRule type="cellIs" dxfId="10587" priority="98" operator="between">
      <formula>70.001%</formula>
      <formula>100%</formula>
    </cfRule>
    <cfRule type="cellIs" dxfId="10586" priority="99" operator="between">
      <formula>0.00001%</formula>
      <formula>70%</formula>
    </cfRule>
    <cfRule type="cellIs" dxfId="10585" priority="100" operator="equal">
      <formula>0</formula>
    </cfRule>
  </conditionalFormatting>
  <conditionalFormatting sqref="AH27">
    <cfRule type="cellIs" dxfId="10584" priority="91" operator="greaterThan">
      <formula>110%</formula>
    </cfRule>
    <cfRule type="cellIs" dxfId="10583" priority="92" operator="between">
      <formula>100.001%</formula>
      <formula>110%</formula>
    </cfRule>
    <cfRule type="cellIs" dxfId="10582" priority="93" operator="between">
      <formula>70.001%</formula>
      <formula>100%</formula>
    </cfRule>
    <cfRule type="cellIs" dxfId="10581" priority="94" operator="between">
      <formula>0.00001%</formula>
      <formula>70%</formula>
    </cfRule>
    <cfRule type="cellIs" dxfId="10580" priority="95" operator="equal">
      <formula>0</formula>
    </cfRule>
  </conditionalFormatting>
  <conditionalFormatting sqref="AN27">
    <cfRule type="cellIs" dxfId="10579" priority="86" operator="greaterThan">
      <formula>110%</formula>
    </cfRule>
    <cfRule type="cellIs" dxfId="10578" priority="87" operator="between">
      <formula>100.001%</formula>
      <formula>110%</formula>
    </cfRule>
    <cfRule type="cellIs" dxfId="10577" priority="88" operator="between">
      <formula>70.001%</formula>
      <formula>100%</formula>
    </cfRule>
    <cfRule type="cellIs" dxfId="10576" priority="89" operator="between">
      <formula>0.00001%</formula>
      <formula>70%</formula>
    </cfRule>
    <cfRule type="cellIs" dxfId="10575" priority="90" operator="equal">
      <formula>0</formula>
    </cfRule>
  </conditionalFormatting>
  <conditionalFormatting sqref="AQ27">
    <cfRule type="cellIs" dxfId="10574" priority="81" operator="greaterThan">
      <formula>110%</formula>
    </cfRule>
    <cfRule type="cellIs" dxfId="10573" priority="82" operator="between">
      <formula>100.001%</formula>
      <formula>110%</formula>
    </cfRule>
    <cfRule type="cellIs" dxfId="10572" priority="83" operator="between">
      <formula>70.001%</formula>
      <formula>100%</formula>
    </cfRule>
    <cfRule type="cellIs" dxfId="10571" priority="84" operator="between">
      <formula>0.00001%</formula>
      <formula>70%</formula>
    </cfRule>
    <cfRule type="cellIs" dxfId="10570" priority="85" operator="equal">
      <formula>0</formula>
    </cfRule>
  </conditionalFormatting>
  <conditionalFormatting sqref="AT27">
    <cfRule type="cellIs" dxfId="10569" priority="76" operator="greaterThan">
      <formula>110%</formula>
    </cfRule>
    <cfRule type="cellIs" dxfId="10568" priority="77" operator="between">
      <formula>100.001%</formula>
      <formula>110%</formula>
    </cfRule>
    <cfRule type="cellIs" dxfId="10567" priority="78" operator="between">
      <formula>70.001%</formula>
      <formula>100%</formula>
    </cfRule>
    <cfRule type="cellIs" dxfId="10566" priority="79" operator="between">
      <formula>0.00001%</formula>
      <formula>70%</formula>
    </cfRule>
    <cfRule type="cellIs" dxfId="10565" priority="80" operator="equal">
      <formula>0</formula>
    </cfRule>
  </conditionalFormatting>
  <conditionalFormatting sqref="W28">
    <cfRule type="cellIs" dxfId="10564" priority="71" operator="greaterThan">
      <formula>110%</formula>
    </cfRule>
    <cfRule type="cellIs" dxfId="10563" priority="72" operator="between">
      <formula>100.001%</formula>
      <formula>110%</formula>
    </cfRule>
    <cfRule type="cellIs" dxfId="10562" priority="73" operator="between">
      <formula>70.001%</formula>
      <formula>100%</formula>
    </cfRule>
    <cfRule type="cellIs" dxfId="10561" priority="74" operator="between">
      <formula>0.00001%</formula>
      <formula>70%</formula>
    </cfRule>
    <cfRule type="cellIs" dxfId="10560" priority="75" operator="equal">
      <formula>0</formula>
    </cfRule>
  </conditionalFormatting>
  <conditionalFormatting sqref="AT31">
    <cfRule type="cellIs" dxfId="10559" priority="66" operator="greaterThan">
      <formula>110%</formula>
    </cfRule>
    <cfRule type="cellIs" dxfId="10558" priority="67" operator="between">
      <formula>100.001%</formula>
      <formula>110%</formula>
    </cfRule>
    <cfRule type="cellIs" dxfId="10557" priority="68" operator="between">
      <formula>70.001%</formula>
      <formula>100%</formula>
    </cfRule>
    <cfRule type="cellIs" dxfId="10556" priority="69" operator="between">
      <formula>0.00001%</formula>
      <formula>70%</formula>
    </cfRule>
    <cfRule type="cellIs" dxfId="10555" priority="70" operator="equal">
      <formula>0</formula>
    </cfRule>
  </conditionalFormatting>
  <conditionalFormatting sqref="AW31">
    <cfRule type="cellIs" dxfId="10554" priority="61" operator="greaterThan">
      <formula>110%</formula>
    </cfRule>
    <cfRule type="cellIs" dxfId="10553" priority="62" operator="between">
      <formula>100.001%</formula>
      <formula>110%</formula>
    </cfRule>
    <cfRule type="cellIs" dxfId="10552" priority="63" operator="between">
      <formula>70.001%</formula>
      <formula>100%</formula>
    </cfRule>
    <cfRule type="cellIs" dxfId="10551" priority="64" operator="between">
      <formula>0.00001%</formula>
      <formula>70%</formula>
    </cfRule>
    <cfRule type="cellIs" dxfId="10550" priority="65" operator="equal">
      <formula>0</formula>
    </cfRule>
  </conditionalFormatting>
  <conditionalFormatting sqref="AC31">
    <cfRule type="cellIs" dxfId="10549" priority="56" operator="greaterThan">
      <formula>110%</formula>
    </cfRule>
    <cfRule type="cellIs" dxfId="10548" priority="57" operator="between">
      <formula>100.001%</formula>
      <formula>110%</formula>
    </cfRule>
    <cfRule type="cellIs" dxfId="10547" priority="58" operator="between">
      <formula>70.001%</formula>
      <formula>100%</formula>
    </cfRule>
    <cfRule type="cellIs" dxfId="10546" priority="59" operator="between">
      <formula>0.00001%</formula>
      <formula>70%</formula>
    </cfRule>
    <cfRule type="cellIs" dxfId="10545" priority="60" operator="equal">
      <formula>0</formula>
    </cfRule>
  </conditionalFormatting>
  <conditionalFormatting sqref="W31">
    <cfRule type="cellIs" dxfId="10544" priority="51" operator="greaterThan">
      <formula>110%</formula>
    </cfRule>
    <cfRule type="cellIs" dxfId="10543" priority="52" operator="between">
      <formula>100.001%</formula>
      <formula>110%</formula>
    </cfRule>
    <cfRule type="cellIs" dxfId="10542" priority="53" operator="between">
      <formula>70.001%</formula>
      <formula>100%</formula>
    </cfRule>
    <cfRule type="cellIs" dxfId="10541" priority="54" operator="between">
      <formula>0.00001%</formula>
      <formula>70%</formula>
    </cfRule>
    <cfRule type="cellIs" dxfId="10540" priority="55" operator="equal">
      <formula>0</formula>
    </cfRule>
  </conditionalFormatting>
  <conditionalFormatting sqref="T31">
    <cfRule type="cellIs" dxfId="10539" priority="46" operator="greaterThan">
      <formula>110%</formula>
    </cfRule>
    <cfRule type="cellIs" dxfId="10538" priority="47" operator="between">
      <formula>100.001%</formula>
      <formula>110%</formula>
    </cfRule>
    <cfRule type="cellIs" dxfId="10537" priority="48" operator="between">
      <formula>70.001%</formula>
      <formula>100%</formula>
    </cfRule>
    <cfRule type="cellIs" dxfId="10536" priority="49" operator="between">
      <formula>0.00001%</formula>
      <formula>70%</formula>
    </cfRule>
    <cfRule type="cellIs" dxfId="10535" priority="50" operator="equal">
      <formula>0</formula>
    </cfRule>
  </conditionalFormatting>
  <conditionalFormatting sqref="Q31">
    <cfRule type="cellIs" dxfId="10534" priority="41" operator="greaterThan">
      <formula>110%</formula>
    </cfRule>
    <cfRule type="cellIs" dxfId="10533" priority="42" operator="between">
      <formula>100.001%</formula>
      <formula>110%</formula>
    </cfRule>
    <cfRule type="cellIs" dxfId="10532" priority="43" operator="between">
      <formula>70.001%</formula>
      <formula>100%</formula>
    </cfRule>
    <cfRule type="cellIs" dxfId="10531" priority="44" operator="between">
      <formula>0.00001%</formula>
      <formula>70%</formula>
    </cfRule>
    <cfRule type="cellIs" dxfId="10530" priority="45" operator="equal">
      <formula>0</formula>
    </cfRule>
  </conditionalFormatting>
  <conditionalFormatting sqref="N31">
    <cfRule type="cellIs" dxfId="10529" priority="36" operator="greaterThan">
      <formula>110%</formula>
    </cfRule>
    <cfRule type="cellIs" dxfId="10528" priority="37" operator="between">
      <formula>100.001%</formula>
      <formula>110%</formula>
    </cfRule>
    <cfRule type="cellIs" dxfId="10527" priority="38" operator="between">
      <formula>70.001%</formula>
      <formula>100%</formula>
    </cfRule>
    <cfRule type="cellIs" dxfId="10526" priority="39" operator="between">
      <formula>0.00001%</formula>
      <formula>70%</formula>
    </cfRule>
    <cfRule type="cellIs" dxfId="10525" priority="40" operator="equal">
      <formula>0</formula>
    </cfRule>
  </conditionalFormatting>
  <conditionalFormatting sqref="Z24">
    <cfRule type="cellIs" dxfId="10524" priority="31" operator="greaterThan">
      <formula>110%</formula>
    </cfRule>
    <cfRule type="cellIs" dxfId="10523" priority="32" operator="between">
      <formula>100.001%</formula>
      <formula>110%</formula>
    </cfRule>
    <cfRule type="cellIs" dxfId="10522" priority="33" operator="between">
      <formula>70.001%</formula>
      <formula>100%</formula>
    </cfRule>
    <cfRule type="cellIs" dxfId="10521" priority="34" operator="between">
      <formula>0.00001%</formula>
      <formula>70%</formula>
    </cfRule>
    <cfRule type="cellIs" dxfId="10520" priority="35" operator="equal">
      <formula>0</formula>
    </cfRule>
  </conditionalFormatting>
  <conditionalFormatting sqref="AC24">
    <cfRule type="cellIs" dxfId="10519" priority="26" operator="greaterThan">
      <formula>110%</formula>
    </cfRule>
    <cfRule type="cellIs" dxfId="10518" priority="27" operator="between">
      <formula>100.001%</formula>
      <formula>110%</formula>
    </cfRule>
    <cfRule type="cellIs" dxfId="10517" priority="28" operator="between">
      <formula>70.001%</formula>
      <formula>100%</formula>
    </cfRule>
    <cfRule type="cellIs" dxfId="10516" priority="29" operator="between">
      <formula>0.00001%</formula>
      <formula>70%</formula>
    </cfRule>
    <cfRule type="cellIs" dxfId="10515" priority="30" operator="equal">
      <formula>0</formula>
    </cfRule>
  </conditionalFormatting>
  <conditionalFormatting sqref="AH24">
    <cfRule type="cellIs" dxfId="10514" priority="21" operator="greaterThan">
      <formula>110%</formula>
    </cfRule>
    <cfRule type="cellIs" dxfId="10513" priority="22" operator="between">
      <formula>100.001%</formula>
      <formula>110%</formula>
    </cfRule>
    <cfRule type="cellIs" dxfId="10512" priority="23" operator="between">
      <formula>70.001%</formula>
      <formula>100%</formula>
    </cfRule>
    <cfRule type="cellIs" dxfId="10511" priority="24" operator="between">
      <formula>0.00001%</formula>
      <formula>70%</formula>
    </cfRule>
    <cfRule type="cellIs" dxfId="10510" priority="25" operator="equal">
      <formula>0</formula>
    </cfRule>
  </conditionalFormatting>
  <conditionalFormatting sqref="AK24">
    <cfRule type="cellIs" dxfId="10509" priority="16" operator="greaterThan">
      <formula>110%</formula>
    </cfRule>
    <cfRule type="cellIs" dxfId="10508" priority="17" operator="between">
      <formula>100.001%</formula>
      <formula>110%</formula>
    </cfRule>
    <cfRule type="cellIs" dxfId="10507" priority="18" operator="between">
      <formula>70.001%</formula>
      <formula>100%</formula>
    </cfRule>
    <cfRule type="cellIs" dxfId="10506" priority="19" operator="between">
      <formula>0.00001%</formula>
      <formula>70%</formula>
    </cfRule>
    <cfRule type="cellIs" dxfId="10505" priority="20" operator="equal">
      <formula>0</formula>
    </cfRule>
  </conditionalFormatting>
  <conditionalFormatting sqref="AN24">
    <cfRule type="cellIs" dxfId="10504" priority="11" operator="greaterThan">
      <formula>110%</formula>
    </cfRule>
    <cfRule type="cellIs" dxfId="10503" priority="12" operator="between">
      <formula>100.001%</formula>
      <formula>110%</formula>
    </cfRule>
    <cfRule type="cellIs" dxfId="10502" priority="13" operator="between">
      <formula>70.001%</formula>
      <formula>100%</formula>
    </cfRule>
    <cfRule type="cellIs" dxfId="10501" priority="14" operator="between">
      <formula>0.00001%</formula>
      <formula>70%</formula>
    </cfRule>
    <cfRule type="cellIs" dxfId="10500" priority="15" operator="equal">
      <formula>0</formula>
    </cfRule>
  </conditionalFormatting>
  <conditionalFormatting sqref="AT24">
    <cfRule type="cellIs" dxfId="10499" priority="6" operator="greaterThan">
      <formula>110%</formula>
    </cfRule>
    <cfRule type="cellIs" dxfId="10498" priority="7" operator="between">
      <formula>100.001%</formula>
      <formula>110%</formula>
    </cfRule>
    <cfRule type="cellIs" dxfId="10497" priority="8" operator="between">
      <formula>70.001%</formula>
      <formula>100%</formula>
    </cfRule>
    <cfRule type="cellIs" dxfId="10496" priority="9" operator="between">
      <formula>0.00001%</formula>
      <formula>70%</formula>
    </cfRule>
    <cfRule type="cellIs" dxfId="10495" priority="10" operator="equal">
      <formula>0</formula>
    </cfRule>
  </conditionalFormatting>
  <conditionalFormatting sqref="AQ24">
    <cfRule type="cellIs" dxfId="10494" priority="1" operator="greaterThan">
      <formula>110%</formula>
    </cfRule>
    <cfRule type="cellIs" dxfId="10493" priority="2" operator="between">
      <formula>100.001%</formula>
      <formula>110%</formula>
    </cfRule>
    <cfRule type="cellIs" dxfId="10492" priority="3" operator="between">
      <formula>70.001%</formula>
      <formula>100%</formula>
    </cfRule>
    <cfRule type="cellIs" dxfId="10491" priority="4" operator="between">
      <formula>0.00001%</formula>
      <formula>70%</formula>
    </cfRule>
    <cfRule type="cellIs" dxfId="10490" priority="5" operator="equal">
      <formula>0</formula>
    </cfRule>
  </conditionalFormatting>
  <hyperlinks>
    <hyperlink ref="D9" location="'IN1-3'!A1" display="IN1-3 Recaudo Bruto" xr:uid="{00000000-0004-0000-0300-000000000000}"/>
    <hyperlink ref="D10" location="'FIS-4'!A1" display="FIS-4 Gestión efectiva en fiscalización tributaria" xr:uid="{00000000-0004-0000-0300-000001000000}"/>
    <hyperlink ref="D11" location="'FIS-6'!A1" display="FIS-6 Gestión efectiva de Fiscalización Internacional" xr:uid="{00000000-0004-0000-0300-000002000000}"/>
    <hyperlink ref="D12" location="'FIS-10'!A1" display="FIS-10 Gestión aceptada en fiscalización tributaria" xr:uid="{00000000-0004-0000-0300-000003000000}"/>
    <hyperlink ref="D13" location="'FIS-27'!A1" display="FIS-27 Reclasificación de no responsables a responsables" xr:uid="{00000000-0004-0000-0300-000004000000}"/>
    <hyperlink ref="D14" location="'FIS-17'!A1" display="FIS-17 Evacuación de expedientes en fiscalización tributaria" xr:uid="{00000000-0004-0000-0300-000005000000}"/>
    <hyperlink ref="D15" location="'IN1-4'!A1" display="IN1-4 Recaudo por gestión de cartera" xr:uid="{00000000-0004-0000-0300-000006000000}"/>
    <hyperlink ref="D16" location="'IN1-5'!A1" display="IN1-5 Inscritos en el Régimen Simple de Tributación - RST" xr:uid="{00000000-0004-0000-0300-000007000000}"/>
    <hyperlink ref="D17" location="'IN1-6.1'!A1" display="IN1-6.1 Grado de cumplimiento del cronograma de campañas del RST" xr:uid="{00000000-0004-0000-0300-000008000000}"/>
    <hyperlink ref="D18" location="'IN1-8'!A1" display="IN1-8 Contribuyentes habilitados como facturadores electrónicos" xr:uid="{00000000-0004-0000-0300-000009000000}"/>
    <hyperlink ref="D19" location="'JUR-3.1'!A1" display="JUR-3.1 Porcentaje de éxito de litigiosidad" xr:uid="{00000000-0004-0000-0300-00000A000000}"/>
    <hyperlink ref="D20" location="'JUR-3.2'!A1" display="JUR-3.2 Porcentaje  procesos judiciales revisados con mayor riesgo en Ekogui" xr:uid="{00000000-0004-0000-0300-00000B000000}"/>
    <hyperlink ref="D21" location="'JUR-3.3'!A1" display="JUR-3.3 Porcentaje de análisis de jurisprudencia remitidos junto con la copia de la sentencia " xr:uid="{00000000-0004-0000-0300-00000C000000}"/>
    <hyperlink ref="D22" location="'JUR-3.4'!A1" display="JUR-3.4 Porcentaje  de procesos revisados con VoBo del Jefe " xr:uid="{00000000-0004-0000-0300-00000D000000}"/>
    <hyperlink ref="D23" location="'JUR-3.5'!A1" display="JUR-3.5 Porcentaje de requerimientos atendidos en oportunidad" xr:uid="{00000000-0004-0000-0300-00000E000000}"/>
    <hyperlink ref="D24" location="'JUR-3.6'!A1" display="JUR-3.6 Porcentaje funcionarios capacitaciones en cursos virtuales de la ANDJE" xr:uid="{00000000-0004-0000-0300-00000F000000}"/>
    <hyperlink ref="D25" location="'JUR-4'!A1" display="JUR-4 Porcentaje funcionarios que participaron en el concurso de escritura jurídica" xr:uid="{00000000-0004-0000-0300-000010000000}"/>
    <hyperlink ref="D27" location="'IN1-11'!A1" display="IN1-11  Nivel de cobertura de personas sensibilizadas por el plan de cultura. ACTUALMENTE. Cumplimiento al Plan de Acción de Cultura de la Contribución" xr:uid="{00000000-0004-0000-0300-000011000000}"/>
    <hyperlink ref="D28" location="'JUR-7'!A1" display="JUR-7  Oportunidad en las decisiones de los recursos Tributarios hasta su remisión a notificaciones" xr:uid="{00000000-0004-0000-0300-000012000000}"/>
    <hyperlink ref="D29" location="'IN1-15'!A1" display="'IN1-15'!A1" xr:uid="{00000000-0004-0000-0300-000013000000}"/>
    <hyperlink ref="D31" location="'DGRAE-25'!A1" display="DGRAE-25 Actividades que componen el  PIC para la Dirección de Gestión" xr:uid="{00000000-0004-0000-0300-000014000000}"/>
    <hyperlink ref="BG2" location="'Consolidado '!A1" display="VOLVER" xr:uid="{00000000-0004-0000-0300-000015000000}"/>
  </hyperlinks>
  <pageMargins left="0.7" right="0.7" top="0.75" bottom="0.75" header="0.3" footer="0.3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Z34"/>
  <sheetViews>
    <sheetView topLeftCell="F1" zoomScale="80" zoomScaleNormal="80" workbookViewId="0">
      <selection activeCell="AZ5" sqref="AZ5"/>
    </sheetView>
  </sheetViews>
  <sheetFormatPr baseColWidth="10" defaultColWidth="11.42578125" defaultRowHeight="16.5"/>
  <cols>
    <col min="1" max="1" width="22" style="8" customWidth="1"/>
    <col min="2" max="2" width="37" style="63" hidden="1" customWidth="1"/>
    <col min="3" max="3" width="59.28515625" style="63" hidden="1" customWidth="1"/>
    <col min="4" max="4" width="25.85546875" style="63" bestFit="1" customWidth="1"/>
    <col min="5" max="5" width="71.42578125" style="63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9" style="8" customWidth="1"/>
    <col min="12" max="12" width="21.7109375" style="1173" hidden="1" customWidth="1"/>
    <col min="13" max="13" width="21.7109375" style="8" hidden="1" customWidth="1"/>
    <col min="14" max="14" width="21.7109375" style="444" hidden="1" customWidth="1"/>
    <col min="15" max="16" width="21.7109375" style="8" hidden="1" customWidth="1"/>
    <col min="17" max="17" width="21.7109375" style="444" hidden="1" customWidth="1"/>
    <col min="18" max="19" width="21.7109375" style="8" hidden="1" customWidth="1"/>
    <col min="20" max="20" width="21.7109375" style="444" hidden="1" customWidth="1"/>
    <col min="21" max="22" width="21.7109375" style="8" hidden="1" customWidth="1"/>
    <col min="23" max="23" width="21.7109375" style="444" hidden="1" customWidth="1"/>
    <col min="24" max="25" width="21.7109375" style="8" hidden="1" customWidth="1"/>
    <col min="26" max="26" width="21.7109375" style="444" hidden="1" customWidth="1"/>
    <col min="27" max="28" width="21.7109375" style="8" hidden="1" customWidth="1"/>
    <col min="29" max="29" width="21.7109375" style="444" hidden="1" customWidth="1"/>
    <col min="30" max="30" width="21.7109375" style="8" hidden="1" customWidth="1"/>
    <col min="31" max="31" width="21.7109375" style="444" hidden="1" customWidth="1"/>
    <col min="32" max="33" width="21.7109375" style="8" hidden="1" customWidth="1"/>
    <col min="34" max="34" width="21.7109375" style="444" hidden="1" customWidth="1"/>
    <col min="35" max="36" width="21.7109375" style="8" hidden="1" customWidth="1"/>
    <col min="37" max="37" width="21.7109375" style="444" hidden="1" customWidth="1"/>
    <col min="38" max="39" width="21.7109375" style="8" hidden="1" customWidth="1"/>
    <col min="40" max="40" width="21.7109375" style="444" hidden="1" customWidth="1"/>
    <col min="41" max="42" width="21.7109375" style="8" hidden="1" customWidth="1"/>
    <col min="43" max="43" width="21.7109375" style="444" hidden="1" customWidth="1"/>
    <col min="44" max="45" width="21.7109375" style="8" hidden="1" customWidth="1"/>
    <col min="46" max="46" width="21.7109375" style="444" hidden="1" customWidth="1"/>
    <col min="47" max="48" width="21.7109375" style="8" hidden="1" customWidth="1"/>
    <col min="49" max="49" width="21.7109375" style="444" hidden="1" customWidth="1"/>
    <col min="50" max="50" width="21.7109375" style="8" customWidth="1"/>
    <col min="51" max="51" width="11.42578125" style="621"/>
    <col min="52" max="16384" width="11.42578125" style="8"/>
  </cols>
  <sheetData>
    <row r="1" spans="1:52" ht="26.25">
      <c r="A1" s="2474"/>
      <c r="B1" s="102"/>
      <c r="C1" s="2885" t="s">
        <v>1035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AY2" s="2364" t="s">
        <v>185</v>
      </c>
    </row>
    <row r="3" spans="1:52">
      <c r="A3" s="2866" t="s">
        <v>1036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  <c r="AZ4" s="444">
        <f>+(AY9+AY10+AY11+AY12+AY13+AY14+AY15+AY16+AY17+AY18+AY19+AY20+AY21+AY22+AY23+AY24+AY25+AY26+AY27+AY29+AY30+AY31+AY33)/23</f>
        <v>1.4923109963328502</v>
      </c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</row>
    <row r="9" spans="1:52" s="22" customFormat="1" ht="31.5" thickTop="1" thickBot="1">
      <c r="A9" s="2943" t="s">
        <v>88</v>
      </c>
      <c r="B9" s="2946" t="s">
        <v>166</v>
      </c>
      <c r="C9" s="72" t="s">
        <v>167</v>
      </c>
      <c r="D9" s="2475" t="s">
        <v>90</v>
      </c>
      <c r="E9" s="72" t="s">
        <v>91</v>
      </c>
      <c r="F9" s="72" t="s">
        <v>168</v>
      </c>
      <c r="G9" s="1005">
        <f>213886143.5/1000000</f>
        <v>213.8861435</v>
      </c>
      <c r="H9" s="72"/>
      <c r="I9" s="72"/>
      <c r="J9" s="72"/>
      <c r="K9" s="72" t="s">
        <v>25</v>
      </c>
      <c r="L9" s="1692">
        <v>63.864699999999999</v>
      </c>
      <c r="M9" s="1693">
        <v>14</v>
      </c>
      <c r="N9" s="73">
        <f>+M9/L9</f>
        <v>0.21921343089374881</v>
      </c>
      <c r="O9" s="1692">
        <v>11.064730000000001</v>
      </c>
      <c r="P9" s="1693">
        <v>16</v>
      </c>
      <c r="Q9" s="73">
        <f>+P9/O9</f>
        <v>1.4460361888631714</v>
      </c>
      <c r="R9" s="1692">
        <v>19.811288000000001</v>
      </c>
      <c r="S9" s="1693">
        <v>15</v>
      </c>
      <c r="T9" s="73">
        <f>+S9/R9</f>
        <v>0.75714410895445061</v>
      </c>
      <c r="U9" s="1692">
        <v>11.064730000000001</v>
      </c>
      <c r="V9" s="1693">
        <v>4</v>
      </c>
      <c r="W9" s="73">
        <f t="shared" ref="W9:W33" si="0">+V9/U9</f>
        <v>0.36150904721579286</v>
      </c>
      <c r="X9" s="1692">
        <v>17.26773</v>
      </c>
      <c r="Y9" s="1693">
        <v>9</v>
      </c>
      <c r="Z9" s="73">
        <f>+Y9/X9</f>
        <v>0.52120342395902641</v>
      </c>
      <c r="AA9" s="1692">
        <v>13.564730000000001</v>
      </c>
      <c r="AB9" s="1693">
        <v>110</v>
      </c>
      <c r="AC9" s="73">
        <f>+AB9/AA9</f>
        <v>8.1092657207331058</v>
      </c>
      <c r="AD9" s="1719">
        <f>+M9+P9+S9+V9+Y9+AB9</f>
        <v>168</v>
      </c>
      <c r="AE9" s="73">
        <f>+AD9/G9</f>
        <v>0.78546462735207523</v>
      </c>
      <c r="AF9" s="1692">
        <v>11.064730000000001</v>
      </c>
      <c r="AG9" s="1693">
        <v>9</v>
      </c>
      <c r="AH9" s="73">
        <f>+AG9/AF9</f>
        <v>0.81339535623553394</v>
      </c>
      <c r="AI9" s="1692">
        <v>11.064730000000001</v>
      </c>
      <c r="AJ9" s="1693">
        <v>6</v>
      </c>
      <c r="AK9" s="73">
        <f>+AJ9/AI9</f>
        <v>0.54226357082368926</v>
      </c>
      <c r="AL9" s="1692">
        <v>15.064730000000001</v>
      </c>
      <c r="AM9" s="1693">
        <v>8</v>
      </c>
      <c r="AN9" s="73">
        <f>+AM9/AL9</f>
        <v>0.53104171133501887</v>
      </c>
      <c r="AO9" s="1692">
        <v>11.064730000000001</v>
      </c>
      <c r="AP9" s="1693">
        <v>4</v>
      </c>
      <c r="AQ9" s="73">
        <f>+AP9/AO9</f>
        <v>0.36150904721579286</v>
      </c>
      <c r="AR9" s="1692">
        <v>13.464729999999999</v>
      </c>
      <c r="AS9" s="1693">
        <v>7.3</v>
      </c>
      <c r="AT9" s="73">
        <f>+AS9/AR9</f>
        <v>0.54215717656425344</v>
      </c>
      <c r="AU9" s="1692">
        <v>3</v>
      </c>
      <c r="AV9" s="1693">
        <v>26.7</v>
      </c>
      <c r="AW9" s="73">
        <f>+AV9/AU9</f>
        <v>8.9</v>
      </c>
      <c r="AX9" s="1718">
        <f>208070706.5/1000000</f>
        <v>208.0707065</v>
      </c>
      <c r="AY9" s="73">
        <f>+AX9/G9</f>
        <v>0.97281059490419952</v>
      </c>
    </row>
    <row r="10" spans="1:52" s="1489" customFormat="1" ht="106.5" thickTop="1" thickBot="1">
      <c r="A10" s="2944"/>
      <c r="B10" s="2947"/>
      <c r="C10" s="74" t="s">
        <v>169</v>
      </c>
      <c r="D10" s="2476" t="s">
        <v>92</v>
      </c>
      <c r="E10" s="2321" t="s">
        <v>170</v>
      </c>
      <c r="F10" s="2321" t="s">
        <v>17</v>
      </c>
      <c r="G10" s="2321">
        <v>5</v>
      </c>
      <c r="H10" s="2321" t="s">
        <v>26</v>
      </c>
      <c r="I10" s="2130"/>
      <c r="J10" s="2130"/>
      <c r="K10" s="2129" t="s">
        <v>26</v>
      </c>
      <c r="L10" s="638">
        <v>0</v>
      </c>
      <c r="M10" s="719"/>
      <c r="N10" s="73" t="e">
        <f t="shared" ref="N10:N33" si="1">+M10/L10</f>
        <v>#DIV/0!</v>
      </c>
      <c r="O10" s="638">
        <v>0</v>
      </c>
      <c r="P10" s="719">
        <v>1</v>
      </c>
      <c r="Q10" s="73" t="e">
        <f t="shared" ref="Q10:Q33" si="2">+P10/O10</f>
        <v>#DIV/0!</v>
      </c>
      <c r="R10" s="638">
        <v>0</v>
      </c>
      <c r="S10" s="719">
        <v>1</v>
      </c>
      <c r="T10" s="73" t="e">
        <f t="shared" ref="T10:T33" si="3">+S10/R10</f>
        <v>#DIV/0!</v>
      </c>
      <c r="U10" s="638">
        <v>0</v>
      </c>
      <c r="V10" s="719"/>
      <c r="W10" s="73" t="e">
        <f t="shared" si="0"/>
        <v>#DIV/0!</v>
      </c>
      <c r="X10" s="638">
        <v>0</v>
      </c>
      <c r="Y10" s="719">
        <v>1</v>
      </c>
      <c r="Z10" s="73" t="e">
        <f t="shared" ref="Z10:Z33" si="4">+Y10/X10</f>
        <v>#DIV/0!</v>
      </c>
      <c r="AA10" s="638">
        <v>0</v>
      </c>
      <c r="AB10" s="719">
        <v>1</v>
      </c>
      <c r="AC10" s="73" t="e">
        <f t="shared" ref="AC10:AC29" si="5">+AB10/AA10</f>
        <v>#DIV/0!</v>
      </c>
      <c r="AD10" s="736">
        <f t="shared" ref="AD10" si="6">+M10+P10+S10+V10+Y10+AB10</f>
        <v>4</v>
      </c>
      <c r="AE10" s="73">
        <f t="shared" ref="AE10" si="7">+AD10/G10</f>
        <v>0.8</v>
      </c>
      <c r="AF10" s="638">
        <v>0</v>
      </c>
      <c r="AG10" s="719">
        <v>1</v>
      </c>
      <c r="AH10" s="73" t="e">
        <f t="shared" ref="AH10:AH33" si="8">+AG10/AF10</f>
        <v>#DIV/0!</v>
      </c>
      <c r="AI10" s="638">
        <v>0</v>
      </c>
      <c r="AJ10" s="719"/>
      <c r="AK10" s="73" t="e">
        <f t="shared" ref="AK10:AK33" si="9">+AJ10/AI10</f>
        <v>#DIV/0!</v>
      </c>
      <c r="AL10" s="638">
        <v>0</v>
      </c>
      <c r="AM10" s="719"/>
      <c r="AN10" s="73" t="e">
        <f t="shared" ref="AN10:AN33" si="10">+AM10/AL10</f>
        <v>#DIV/0!</v>
      </c>
      <c r="AO10" s="638">
        <v>0</v>
      </c>
      <c r="AP10" s="719"/>
      <c r="AQ10" s="73" t="e">
        <f t="shared" ref="AQ10:AQ33" si="11">+AP10/AO10</f>
        <v>#DIV/0!</v>
      </c>
      <c r="AR10" s="638">
        <v>0</v>
      </c>
      <c r="AS10" s="719"/>
      <c r="AT10" s="73" t="e">
        <f t="shared" ref="AT10:AT33" si="12">+AS10/AR10</f>
        <v>#DIV/0!</v>
      </c>
      <c r="AU10" s="638">
        <v>0</v>
      </c>
      <c r="AV10" s="719"/>
      <c r="AW10" s="73" t="e">
        <f t="shared" ref="AW10" si="13">+AV10/AU10</f>
        <v>#DIV/0!</v>
      </c>
      <c r="AX10" s="2477">
        <f t="shared" ref="AX10" si="14">+M10+P10+S10+V10+Y10+AB10+AG10+AJ10+AM10+AP10+AS10+AV10</f>
        <v>5</v>
      </c>
      <c r="AY10" s="73">
        <f t="shared" ref="AY10" si="15">+AX10/G10</f>
        <v>1</v>
      </c>
    </row>
    <row r="11" spans="1:52" s="22" customFormat="1" ht="31.5" thickTop="1" thickBot="1">
      <c r="A11" s="2944"/>
      <c r="B11" s="2981" t="s">
        <v>94</v>
      </c>
      <c r="C11" s="25" t="s">
        <v>95</v>
      </c>
      <c r="D11" s="2478" t="s">
        <v>96</v>
      </c>
      <c r="E11" s="25" t="s">
        <v>1037</v>
      </c>
      <c r="F11" s="25" t="s">
        <v>168</v>
      </c>
      <c r="G11" s="2479">
        <v>464141</v>
      </c>
      <c r="H11" s="98"/>
      <c r="I11" s="671" t="s">
        <v>98</v>
      </c>
      <c r="J11" s="98"/>
      <c r="K11" s="25" t="s">
        <v>20</v>
      </c>
      <c r="L11" s="2480">
        <f>67955/1000000</f>
        <v>6.7955000000000002E-2</v>
      </c>
      <c r="M11" s="2480">
        <f>67955/1000000</f>
        <v>6.7955000000000002E-2</v>
      </c>
      <c r="N11" s="73">
        <f>+M11/L11</f>
        <v>1</v>
      </c>
      <c r="O11" s="2480">
        <f>20216/1000000</f>
        <v>2.0216000000000001E-2</v>
      </c>
      <c r="P11" s="2480">
        <f>20216/1000000</f>
        <v>2.0216000000000001E-2</v>
      </c>
      <c r="Q11" s="73">
        <f>+P11/O11</f>
        <v>1</v>
      </c>
      <c r="R11" s="2480">
        <f>22651/1000000</f>
        <v>2.2651000000000001E-2</v>
      </c>
      <c r="S11" s="2480">
        <f>22651/1000000</f>
        <v>2.2651000000000001E-2</v>
      </c>
      <c r="T11" s="73">
        <f>+S11/R11</f>
        <v>1</v>
      </c>
      <c r="U11" s="2480">
        <f>39823/1000000</f>
        <v>3.9822999999999997E-2</v>
      </c>
      <c r="V11" s="2480">
        <f>39823/1000000</f>
        <v>3.9822999999999997E-2</v>
      </c>
      <c r="W11" s="73">
        <f>+V11/U11</f>
        <v>1</v>
      </c>
      <c r="X11" s="2480">
        <f>34325/1000000</f>
        <v>3.4325000000000001E-2</v>
      </c>
      <c r="Y11" s="2480">
        <f>34325/1000000</f>
        <v>3.4325000000000001E-2</v>
      </c>
      <c r="Z11" s="73">
        <f>+Y11/X11</f>
        <v>1</v>
      </c>
      <c r="AA11" s="2480">
        <f>45486/1000000</f>
        <v>4.5485999999999999E-2</v>
      </c>
      <c r="AB11" s="2480">
        <f>45486/1000000</f>
        <v>4.5485999999999999E-2</v>
      </c>
      <c r="AC11" s="73">
        <f>+AB11/AA11</f>
        <v>1</v>
      </c>
      <c r="AD11" s="2481">
        <f>+M11+P11+S11+V11+Y11+AB11</f>
        <v>0.23045599999999999</v>
      </c>
      <c r="AE11" s="73">
        <f>+AD11/G11</f>
        <v>4.9652153117263929E-7</v>
      </c>
      <c r="AF11" s="2482">
        <f>37318/1000000</f>
        <v>3.7317999999999997E-2</v>
      </c>
      <c r="AG11" s="2482">
        <f>37318/1000000</f>
        <v>3.7317999999999997E-2</v>
      </c>
      <c r="AH11" s="73">
        <f>+AG11/AF11</f>
        <v>1</v>
      </c>
      <c r="AI11" s="2480">
        <f>24304/1000000</f>
        <v>2.4303999999999999E-2</v>
      </c>
      <c r="AJ11" s="2480">
        <f>24304/1000000</f>
        <v>2.4303999999999999E-2</v>
      </c>
      <c r="AK11" s="73">
        <f>+AJ11/AI11</f>
        <v>1</v>
      </c>
      <c r="AL11" s="2480">
        <f>56959/1000000</f>
        <v>5.6959000000000003E-2</v>
      </c>
      <c r="AM11" s="2480">
        <f>56959/1000000</f>
        <v>5.6959000000000003E-2</v>
      </c>
      <c r="AN11" s="73">
        <f>+AM11/AL11</f>
        <v>1</v>
      </c>
      <c r="AO11" s="2480">
        <f>25028/1000000</f>
        <v>2.5028000000000002E-2</v>
      </c>
      <c r="AP11" s="2480">
        <f>25028/1000000</f>
        <v>2.5028000000000002E-2</v>
      </c>
      <c r="AQ11" s="73">
        <f>+AP11/AO11</f>
        <v>1</v>
      </c>
      <c r="AR11" s="2480">
        <f>13537/1000000</f>
        <v>1.3537E-2</v>
      </c>
      <c r="AS11" s="2480">
        <f>13537/1000000</f>
        <v>1.3537E-2</v>
      </c>
      <c r="AT11" s="73">
        <f>+AS11/AR11</f>
        <v>1</v>
      </c>
      <c r="AU11" s="2480">
        <f>76539/1000000</f>
        <v>7.6538999999999996E-2</v>
      </c>
      <c r="AV11" s="2480">
        <f>76539/1000000</f>
        <v>7.6538999999999996E-2</v>
      </c>
      <c r="AW11" s="73">
        <f>+AV11/AU11</f>
        <v>1</v>
      </c>
      <c r="AX11" s="2483">
        <v>464141</v>
      </c>
      <c r="AY11" s="73">
        <f>+AX11/G11</f>
        <v>1</v>
      </c>
    </row>
    <row r="12" spans="1:52" s="22" customFormat="1" ht="76.5" thickTop="1" thickBot="1">
      <c r="A12" s="2944"/>
      <c r="B12" s="2982"/>
      <c r="C12" s="2925" t="s">
        <v>1038</v>
      </c>
      <c r="D12" s="2125" t="s">
        <v>99</v>
      </c>
      <c r="E12" s="561" t="s">
        <v>100</v>
      </c>
      <c r="F12" s="561" t="s">
        <v>101</v>
      </c>
      <c r="G12" s="2081">
        <v>46550000000</v>
      </c>
      <c r="H12" s="96"/>
      <c r="I12" s="33"/>
      <c r="J12" s="96"/>
      <c r="K12" s="561" t="s">
        <v>172</v>
      </c>
      <c r="L12" s="1692">
        <v>3724000000</v>
      </c>
      <c r="M12" s="1693">
        <v>1037245059</v>
      </c>
      <c r="N12" s="73">
        <f t="shared" si="1"/>
        <v>0.27852982250268526</v>
      </c>
      <c r="O12" s="1692">
        <v>3724000000</v>
      </c>
      <c r="P12" s="1693">
        <v>1035162000</v>
      </c>
      <c r="Q12" s="73">
        <f t="shared" si="2"/>
        <v>0.27797046186895813</v>
      </c>
      <c r="R12" s="1692">
        <v>3724000000</v>
      </c>
      <c r="S12" s="1693">
        <v>266630000</v>
      </c>
      <c r="T12" s="73">
        <f t="shared" si="3"/>
        <v>7.1597744360902257E-2</v>
      </c>
      <c r="U12" s="1692">
        <v>4189500000</v>
      </c>
      <c r="V12" s="1693">
        <v>176589000</v>
      </c>
      <c r="W12" s="73">
        <f t="shared" si="0"/>
        <v>4.2150375939849626E-2</v>
      </c>
      <c r="X12" s="1692">
        <v>4655000000</v>
      </c>
      <c r="Y12" s="1693">
        <v>71622000</v>
      </c>
      <c r="Z12" s="73">
        <f t="shared" si="4"/>
        <v>1.5386036519871107E-2</v>
      </c>
      <c r="AA12" s="1692">
        <v>4655000000</v>
      </c>
      <c r="AB12" s="1693">
        <v>225896000</v>
      </c>
      <c r="AC12" s="73">
        <f t="shared" si="5"/>
        <v>4.8527604726100966E-2</v>
      </c>
      <c r="AD12" s="1719">
        <f t="shared" ref="AD12:AD29" si="16">+M12+P12+S12+V12+Y12+AB12</f>
        <v>2813144059</v>
      </c>
      <c r="AE12" s="73">
        <f t="shared" ref="AE12:AE33" si="17">+AD12/G12</f>
        <v>6.0432740257787325E-2</v>
      </c>
      <c r="AF12" s="1692">
        <v>4655000000</v>
      </c>
      <c r="AG12" s="1693">
        <v>450039000</v>
      </c>
      <c r="AH12" s="73">
        <f t="shared" si="8"/>
        <v>9.6678625134264229E-2</v>
      </c>
      <c r="AI12" s="1692">
        <v>4655000000</v>
      </c>
      <c r="AJ12" s="1693">
        <v>1098114750</v>
      </c>
      <c r="AK12" s="73">
        <f t="shared" si="9"/>
        <v>0.23590005370569281</v>
      </c>
      <c r="AL12" s="1692">
        <v>4655000000</v>
      </c>
      <c r="AM12" s="1693">
        <v>2197360000</v>
      </c>
      <c r="AN12" s="73">
        <f t="shared" si="10"/>
        <v>0.47204296455424277</v>
      </c>
      <c r="AO12" s="1692">
        <v>4655000000</v>
      </c>
      <c r="AP12" s="1693">
        <v>1430396000</v>
      </c>
      <c r="AQ12" s="73">
        <f t="shared" si="11"/>
        <v>0.30728163265306124</v>
      </c>
      <c r="AR12" s="1692">
        <v>1862000000</v>
      </c>
      <c r="AS12" s="1693">
        <v>5082320311</v>
      </c>
      <c r="AT12" s="73">
        <f t="shared" si="12"/>
        <v>2.7294953335123524</v>
      </c>
      <c r="AU12" s="1692">
        <v>1396500000</v>
      </c>
      <c r="AV12" s="1693">
        <v>24284294689</v>
      </c>
      <c r="AW12" s="73">
        <f t="shared" ref="AW12:AW29" si="18">+AV12/AU12</f>
        <v>17.389398273540994</v>
      </c>
      <c r="AX12" s="1692">
        <f t="shared" ref="AX12:AX29" si="19">+M12+P12+S12+V12+Y12+AB12+AG12+AJ12+AM12+AP12+AS12+AV12</f>
        <v>37355668809</v>
      </c>
      <c r="AY12" s="73">
        <f t="shared" ref="AY12:AY29" si="20">+AX12/G12</f>
        <v>0.80248482940923738</v>
      </c>
    </row>
    <row r="13" spans="1:52" s="22" customFormat="1" ht="76.5" thickTop="1" thickBot="1">
      <c r="A13" s="2944"/>
      <c r="B13" s="2982"/>
      <c r="C13" s="2926"/>
      <c r="D13" s="2478" t="s">
        <v>102</v>
      </c>
      <c r="E13" s="25" t="s">
        <v>103</v>
      </c>
      <c r="F13" s="25" t="s">
        <v>101</v>
      </c>
      <c r="G13" s="2484">
        <v>35000000000</v>
      </c>
      <c r="H13" s="98"/>
      <c r="I13" s="671"/>
      <c r="J13" s="98"/>
      <c r="K13" s="25" t="s">
        <v>172</v>
      </c>
      <c r="L13" s="1718">
        <v>2800000000</v>
      </c>
      <c r="M13" s="1719">
        <v>295628969</v>
      </c>
      <c r="N13" s="73">
        <f t="shared" si="1"/>
        <v>0.10558177464285715</v>
      </c>
      <c r="O13" s="1718">
        <v>2800000000</v>
      </c>
      <c r="P13" s="1719">
        <v>404691000</v>
      </c>
      <c r="Q13" s="73">
        <f t="shared" si="2"/>
        <v>0.14453250000000001</v>
      </c>
      <c r="R13" s="1718">
        <v>2800000000</v>
      </c>
      <c r="S13" s="1719">
        <v>325956000</v>
      </c>
      <c r="T13" s="73">
        <f t="shared" si="3"/>
        <v>0.11641285714285714</v>
      </c>
      <c r="U13" s="1718">
        <v>3150000000</v>
      </c>
      <c r="V13" s="1719">
        <v>1447457000</v>
      </c>
      <c r="W13" s="73">
        <f t="shared" si="0"/>
        <v>0.45951015873015871</v>
      </c>
      <c r="X13" s="1718">
        <v>3500000000</v>
      </c>
      <c r="Y13" s="1719">
        <v>92089000</v>
      </c>
      <c r="Z13" s="73">
        <f t="shared" si="4"/>
        <v>2.6311142857142856E-2</v>
      </c>
      <c r="AA13" s="1718">
        <v>3500000000</v>
      </c>
      <c r="AB13" s="1719">
        <v>198987000</v>
      </c>
      <c r="AC13" s="73">
        <f t="shared" si="5"/>
        <v>5.6853428571428569E-2</v>
      </c>
      <c r="AD13" s="1719">
        <f t="shared" si="16"/>
        <v>2764808969</v>
      </c>
      <c r="AE13" s="73">
        <f t="shared" si="17"/>
        <v>7.8994541971428578E-2</v>
      </c>
      <c r="AF13" s="1718">
        <v>3500000000</v>
      </c>
      <c r="AG13" s="1719">
        <v>392702000</v>
      </c>
      <c r="AH13" s="73">
        <f t="shared" si="8"/>
        <v>0.11220057142857143</v>
      </c>
      <c r="AI13" s="1718">
        <v>3500000000</v>
      </c>
      <c r="AJ13" s="1719">
        <v>872041000</v>
      </c>
      <c r="AK13" s="73">
        <f t="shared" si="9"/>
        <v>0.24915457142857142</v>
      </c>
      <c r="AL13" s="1718">
        <v>3500000000</v>
      </c>
      <c r="AM13" s="1719">
        <v>368200000</v>
      </c>
      <c r="AN13" s="73">
        <f t="shared" si="10"/>
        <v>0.1052</v>
      </c>
      <c r="AO13" s="1718">
        <v>3500000000</v>
      </c>
      <c r="AP13" s="1719">
        <v>441692000</v>
      </c>
      <c r="AQ13" s="73">
        <f t="shared" si="11"/>
        <v>0.12619771428571427</v>
      </c>
      <c r="AR13" s="1718">
        <v>1400000000</v>
      </c>
      <c r="AS13" s="1719">
        <v>3366607311</v>
      </c>
      <c r="AT13" s="73">
        <f t="shared" si="12"/>
        <v>2.4047195078571431</v>
      </c>
      <c r="AU13" s="1718">
        <v>1050000000</v>
      </c>
      <c r="AV13" s="1719">
        <v>14528995689</v>
      </c>
      <c r="AW13" s="73">
        <f t="shared" si="18"/>
        <v>13.837138751428572</v>
      </c>
      <c r="AX13" s="1718">
        <f t="shared" si="19"/>
        <v>22735046969</v>
      </c>
      <c r="AY13" s="73">
        <f t="shared" si="20"/>
        <v>0.64957277054285711</v>
      </c>
    </row>
    <row r="14" spans="1:52" s="22" customFormat="1" ht="76.5" thickTop="1" thickBot="1">
      <c r="A14" s="2944"/>
      <c r="B14" s="2982"/>
      <c r="C14" s="2926"/>
      <c r="D14" s="2125" t="s">
        <v>104</v>
      </c>
      <c r="E14" s="561" t="s">
        <v>105</v>
      </c>
      <c r="F14" s="561" t="s">
        <v>24</v>
      </c>
      <c r="G14" s="1493">
        <v>60</v>
      </c>
      <c r="H14" s="96"/>
      <c r="I14" s="33"/>
      <c r="J14" s="96"/>
      <c r="K14" s="561" t="s">
        <v>172</v>
      </c>
      <c r="L14" s="675">
        <v>0</v>
      </c>
      <c r="M14" s="36"/>
      <c r="N14" s="73" t="e">
        <f t="shared" si="1"/>
        <v>#DIV/0!</v>
      </c>
      <c r="O14" s="675">
        <v>0</v>
      </c>
      <c r="P14" s="36"/>
      <c r="Q14" s="73" t="e">
        <f t="shared" si="2"/>
        <v>#DIV/0!</v>
      </c>
      <c r="R14" s="675">
        <v>15</v>
      </c>
      <c r="S14" s="36">
        <v>14</v>
      </c>
      <c r="T14" s="73">
        <f t="shared" si="3"/>
        <v>0.93333333333333335</v>
      </c>
      <c r="U14" s="675">
        <v>0</v>
      </c>
      <c r="V14" s="36"/>
      <c r="W14" s="73" t="e">
        <f t="shared" si="0"/>
        <v>#DIV/0!</v>
      </c>
      <c r="X14" s="675">
        <v>0</v>
      </c>
      <c r="Y14" s="36"/>
      <c r="Z14" s="73" t="e">
        <f t="shared" si="4"/>
        <v>#DIV/0!</v>
      </c>
      <c r="AA14" s="675">
        <v>15</v>
      </c>
      <c r="AB14" s="36"/>
      <c r="AC14" s="73">
        <f t="shared" si="5"/>
        <v>0</v>
      </c>
      <c r="AD14" s="28">
        <f>+AB14+S14</f>
        <v>14</v>
      </c>
      <c r="AE14" s="73">
        <f t="shared" si="17"/>
        <v>0.23333333333333334</v>
      </c>
      <c r="AF14" s="675">
        <v>0</v>
      </c>
      <c r="AG14" s="36"/>
      <c r="AH14" s="73" t="e">
        <f t="shared" si="8"/>
        <v>#DIV/0!</v>
      </c>
      <c r="AI14" s="675">
        <v>0</v>
      </c>
      <c r="AJ14" s="36"/>
      <c r="AK14" s="73" t="e">
        <f t="shared" si="9"/>
        <v>#DIV/0!</v>
      </c>
      <c r="AL14" s="675">
        <v>15</v>
      </c>
      <c r="AM14" s="36">
        <v>2</v>
      </c>
      <c r="AN14" s="73">
        <f t="shared" si="10"/>
        <v>0.13333333333333333</v>
      </c>
      <c r="AO14" s="675">
        <v>0</v>
      </c>
      <c r="AP14" s="36"/>
      <c r="AQ14" s="73" t="e">
        <f t="shared" si="11"/>
        <v>#DIV/0!</v>
      </c>
      <c r="AR14" s="675">
        <v>0</v>
      </c>
      <c r="AS14" s="36"/>
      <c r="AT14" s="73" t="e">
        <f t="shared" si="12"/>
        <v>#DIV/0!</v>
      </c>
      <c r="AU14" s="675">
        <v>15</v>
      </c>
      <c r="AV14" s="36">
        <v>24</v>
      </c>
      <c r="AW14" s="73">
        <f t="shared" si="18"/>
        <v>1.6</v>
      </c>
      <c r="AX14" s="675">
        <f>+AV14+AM14+AB14+S14</f>
        <v>40</v>
      </c>
      <c r="AY14" s="73">
        <f t="shared" si="20"/>
        <v>0.66666666666666663</v>
      </c>
    </row>
    <row r="15" spans="1:52" s="22" customFormat="1" ht="76.5" thickTop="1" thickBot="1">
      <c r="A15" s="2944"/>
      <c r="B15" s="2982"/>
      <c r="C15" s="2927"/>
      <c r="D15" s="2478" t="s">
        <v>106</v>
      </c>
      <c r="E15" s="25" t="s">
        <v>107</v>
      </c>
      <c r="F15" s="25" t="s">
        <v>24</v>
      </c>
      <c r="G15" s="26">
        <v>75</v>
      </c>
      <c r="H15" s="98"/>
      <c r="I15" s="671"/>
      <c r="J15" s="98"/>
      <c r="K15" s="25" t="s">
        <v>172</v>
      </c>
      <c r="L15" s="676">
        <v>0</v>
      </c>
      <c r="M15" s="34"/>
      <c r="N15" s="73" t="e">
        <f t="shared" si="1"/>
        <v>#DIV/0!</v>
      </c>
      <c r="O15" s="676">
        <v>0</v>
      </c>
      <c r="P15" s="34"/>
      <c r="Q15" s="73" t="e">
        <f t="shared" si="2"/>
        <v>#DIV/0!</v>
      </c>
      <c r="R15" s="676">
        <v>0</v>
      </c>
      <c r="S15" s="34"/>
      <c r="T15" s="73" t="e">
        <f t="shared" si="3"/>
        <v>#DIV/0!</v>
      </c>
      <c r="U15" s="676">
        <v>0</v>
      </c>
      <c r="V15" s="34"/>
      <c r="W15" s="73" t="e">
        <f t="shared" si="0"/>
        <v>#DIV/0!</v>
      </c>
      <c r="X15" s="676">
        <v>0</v>
      </c>
      <c r="Y15" s="34"/>
      <c r="Z15" s="73" t="e">
        <f t="shared" si="4"/>
        <v>#DIV/0!</v>
      </c>
      <c r="AA15" s="676">
        <v>0</v>
      </c>
      <c r="AB15" s="34"/>
      <c r="AC15" s="73" t="e">
        <f t="shared" si="5"/>
        <v>#DIV/0!</v>
      </c>
      <c r="AD15" s="28">
        <f t="shared" si="16"/>
        <v>0</v>
      </c>
      <c r="AE15" s="73">
        <f t="shared" si="17"/>
        <v>0</v>
      </c>
      <c r="AF15" s="676">
        <v>38</v>
      </c>
      <c r="AG15" s="34">
        <v>62</v>
      </c>
      <c r="AH15" s="73">
        <f t="shared" si="8"/>
        <v>1.631578947368421</v>
      </c>
      <c r="AI15" s="676">
        <v>0</v>
      </c>
      <c r="AJ15" s="34"/>
      <c r="AK15" s="73" t="e">
        <f t="shared" si="9"/>
        <v>#DIV/0!</v>
      </c>
      <c r="AL15" s="676">
        <v>0</v>
      </c>
      <c r="AM15" s="34"/>
      <c r="AN15" s="73" t="e">
        <f t="shared" si="10"/>
        <v>#DIV/0!</v>
      </c>
      <c r="AO15" s="676">
        <v>0</v>
      </c>
      <c r="AP15" s="34"/>
      <c r="AQ15" s="73" t="e">
        <f t="shared" si="11"/>
        <v>#DIV/0!</v>
      </c>
      <c r="AR15" s="676">
        <v>0</v>
      </c>
      <c r="AS15" s="34"/>
      <c r="AT15" s="73" t="e">
        <f t="shared" si="12"/>
        <v>#DIV/0!</v>
      </c>
      <c r="AU15" s="676">
        <v>37</v>
      </c>
      <c r="AV15" s="34">
        <v>20</v>
      </c>
      <c r="AW15" s="73">
        <f t="shared" si="18"/>
        <v>0.54054054054054057</v>
      </c>
      <c r="AX15" s="676">
        <f>+AV15+AG15</f>
        <v>82</v>
      </c>
      <c r="AY15" s="73">
        <f t="shared" si="20"/>
        <v>1.0933333333333333</v>
      </c>
    </row>
    <row r="16" spans="1:52" s="22" customFormat="1" ht="46.5" thickTop="1" thickBot="1">
      <c r="A16" s="2944"/>
      <c r="B16" s="2982"/>
      <c r="C16" s="677" t="s">
        <v>108</v>
      </c>
      <c r="D16" s="2125" t="s">
        <v>109</v>
      </c>
      <c r="E16" s="561" t="s">
        <v>110</v>
      </c>
      <c r="F16" s="561" t="s">
        <v>18</v>
      </c>
      <c r="G16" s="2081">
        <v>55042</v>
      </c>
      <c r="H16" s="96"/>
      <c r="I16" s="33"/>
      <c r="J16" s="96"/>
      <c r="K16" s="561" t="s">
        <v>21</v>
      </c>
      <c r="L16" s="2485">
        <v>0</v>
      </c>
      <c r="M16" s="2093"/>
      <c r="N16" s="73" t="e">
        <f t="shared" si="1"/>
        <v>#DIV/0!</v>
      </c>
      <c r="O16" s="2485">
        <v>0</v>
      </c>
      <c r="P16" s="2093"/>
      <c r="Q16" s="73" t="e">
        <f t="shared" si="2"/>
        <v>#DIV/0!</v>
      </c>
      <c r="R16" s="2485">
        <v>14546.889537763003</v>
      </c>
      <c r="S16" s="2093">
        <v>13914</v>
      </c>
      <c r="T16" s="73">
        <f t="shared" si="3"/>
        <v>0.95649313647979151</v>
      </c>
      <c r="U16" s="2485">
        <v>3516.3677204271812</v>
      </c>
      <c r="V16" s="2093">
        <v>1418.9</v>
      </c>
      <c r="W16" s="73">
        <f t="shared" si="0"/>
        <v>0.40351297498193017</v>
      </c>
      <c r="X16" s="2485">
        <v>5401.4376249526413</v>
      </c>
      <c r="Y16" s="2093">
        <v>8126.6</v>
      </c>
      <c r="Z16" s="73">
        <f t="shared" si="4"/>
        <v>1.5045253808834371</v>
      </c>
      <c r="AA16" s="2485">
        <v>3642.3385980545304</v>
      </c>
      <c r="AB16" s="2093">
        <v>3573.2</v>
      </c>
      <c r="AC16" s="73">
        <f t="shared" si="5"/>
        <v>0.98101807501052773</v>
      </c>
      <c r="AD16" s="1719">
        <f t="shared" si="16"/>
        <v>27032.7</v>
      </c>
      <c r="AE16" s="73">
        <f t="shared" si="17"/>
        <v>0.49112859271102066</v>
      </c>
      <c r="AF16" s="2485">
        <v>5660.7486493788856</v>
      </c>
      <c r="AG16" s="2093">
        <v>3481.2</v>
      </c>
      <c r="AH16" s="73">
        <f t="shared" si="8"/>
        <v>0.61497166110386614</v>
      </c>
      <c r="AI16" s="2485">
        <v>3729.1211674376973</v>
      </c>
      <c r="AJ16" s="2093">
        <v>2326</v>
      </c>
      <c r="AK16" s="73">
        <f t="shared" si="9"/>
        <v>0.62373945376470818</v>
      </c>
      <c r="AL16" s="2485">
        <v>6312.7266180945817</v>
      </c>
      <c r="AM16" s="2093">
        <v>4703.3999999999996</v>
      </c>
      <c r="AN16" s="73">
        <f t="shared" si="10"/>
        <v>0.74506632150334784</v>
      </c>
      <c r="AO16" s="2485">
        <v>5812.5398561485654</v>
      </c>
      <c r="AP16" s="2093">
        <v>4068.4</v>
      </c>
      <c r="AQ16" s="73">
        <f t="shared" si="11"/>
        <v>0.69993498551178179</v>
      </c>
      <c r="AR16" s="2485">
        <v>4172.5365095485422</v>
      </c>
      <c r="AS16" s="2093">
        <v>14156.3</v>
      </c>
      <c r="AT16" s="73">
        <f t="shared" si="12"/>
        <v>3.3927324464637638</v>
      </c>
      <c r="AU16" s="2485">
        <v>2247.0440483350826</v>
      </c>
      <c r="AV16" s="2093">
        <v>4438</v>
      </c>
      <c r="AW16" s="73">
        <f t="shared" si="18"/>
        <v>1.9750391645808087</v>
      </c>
      <c r="AX16" s="2092">
        <f t="shared" si="19"/>
        <v>60206</v>
      </c>
      <c r="AY16" s="73">
        <f t="shared" si="20"/>
        <v>1.0938192652883252</v>
      </c>
    </row>
    <row r="17" spans="1:51" s="22" customFormat="1" ht="46.5" thickTop="1" thickBot="1">
      <c r="A17" s="2944"/>
      <c r="B17" s="2982"/>
      <c r="C17" s="25" t="s">
        <v>350</v>
      </c>
      <c r="D17" s="2478" t="s">
        <v>111</v>
      </c>
      <c r="E17" s="25" t="s">
        <v>1039</v>
      </c>
      <c r="F17" s="25" t="s">
        <v>17</v>
      </c>
      <c r="G17" s="26">
        <v>244</v>
      </c>
      <c r="H17" s="98"/>
      <c r="I17" s="671"/>
      <c r="J17" s="98"/>
      <c r="K17" s="25" t="s">
        <v>20</v>
      </c>
      <c r="L17" s="676">
        <v>0</v>
      </c>
      <c r="M17" s="578"/>
      <c r="N17" s="73" t="e">
        <f t="shared" si="1"/>
        <v>#DIV/0!</v>
      </c>
      <c r="O17" s="676">
        <v>0</v>
      </c>
      <c r="P17" s="578"/>
      <c r="Q17" s="73" t="e">
        <f t="shared" si="2"/>
        <v>#DIV/0!</v>
      </c>
      <c r="R17" s="676">
        <v>0</v>
      </c>
      <c r="S17" s="578">
        <v>112</v>
      </c>
      <c r="T17" s="73" t="e">
        <f t="shared" si="3"/>
        <v>#DIV/0!</v>
      </c>
      <c r="U17" s="676">
        <v>0</v>
      </c>
      <c r="V17" s="578">
        <v>10</v>
      </c>
      <c r="W17" s="73" t="e">
        <f t="shared" si="0"/>
        <v>#DIV/0!</v>
      </c>
      <c r="X17" s="676">
        <v>0</v>
      </c>
      <c r="Y17" s="578">
        <v>7</v>
      </c>
      <c r="Z17" s="73" t="e">
        <f t="shared" si="4"/>
        <v>#DIV/0!</v>
      </c>
      <c r="AA17" s="676">
        <v>0</v>
      </c>
      <c r="AB17" s="578">
        <v>9</v>
      </c>
      <c r="AC17" s="73" t="e">
        <f t="shared" si="5"/>
        <v>#DIV/0!</v>
      </c>
      <c r="AD17" s="28">
        <f t="shared" si="16"/>
        <v>138</v>
      </c>
      <c r="AE17" s="73">
        <f t="shared" si="17"/>
        <v>0.56557377049180324</v>
      </c>
      <c r="AF17" s="676">
        <v>0</v>
      </c>
      <c r="AG17" s="578">
        <v>49</v>
      </c>
      <c r="AH17" s="73" t="e">
        <f t="shared" si="8"/>
        <v>#DIV/0!</v>
      </c>
      <c r="AI17" s="676">
        <v>0</v>
      </c>
      <c r="AJ17" s="578">
        <v>22</v>
      </c>
      <c r="AK17" s="73" t="e">
        <f t="shared" si="9"/>
        <v>#DIV/0!</v>
      </c>
      <c r="AL17" s="676">
        <v>0</v>
      </c>
      <c r="AM17" s="578">
        <v>18</v>
      </c>
      <c r="AN17" s="73" t="e">
        <f t="shared" si="10"/>
        <v>#DIV/0!</v>
      </c>
      <c r="AO17" s="676">
        <v>238</v>
      </c>
      <c r="AP17" s="578">
        <v>29</v>
      </c>
      <c r="AQ17" s="73">
        <f t="shared" si="11"/>
        <v>0.12184873949579832</v>
      </c>
      <c r="AR17" s="676">
        <v>0</v>
      </c>
      <c r="AS17" s="578">
        <v>8</v>
      </c>
      <c r="AT17" s="73" t="e">
        <f t="shared" si="12"/>
        <v>#DIV/0!</v>
      </c>
      <c r="AU17" s="676">
        <v>6</v>
      </c>
      <c r="AV17" s="578"/>
      <c r="AW17" s="73">
        <f t="shared" si="18"/>
        <v>0</v>
      </c>
      <c r="AX17" s="635">
        <f t="shared" si="19"/>
        <v>264</v>
      </c>
      <c r="AY17" s="73">
        <f t="shared" si="20"/>
        <v>1.0819672131147542</v>
      </c>
    </row>
    <row r="18" spans="1:51" s="22" customFormat="1" ht="61.5" thickTop="1" thickBot="1">
      <c r="A18" s="2944"/>
      <c r="B18" s="2982"/>
      <c r="C18" s="561" t="s">
        <v>113</v>
      </c>
      <c r="D18" s="2125" t="s">
        <v>114</v>
      </c>
      <c r="E18" s="561" t="s">
        <v>1040</v>
      </c>
      <c r="F18" s="561" t="s">
        <v>10</v>
      </c>
      <c r="G18" s="1481">
        <v>1</v>
      </c>
      <c r="H18" s="96"/>
      <c r="I18" s="33"/>
      <c r="J18" s="96"/>
      <c r="K18" s="561" t="s">
        <v>20</v>
      </c>
      <c r="L18" s="653">
        <v>0</v>
      </c>
      <c r="M18" s="50"/>
      <c r="N18" s="73" t="e">
        <f t="shared" si="1"/>
        <v>#DIV/0!</v>
      </c>
      <c r="O18" s="653">
        <v>0</v>
      </c>
      <c r="P18" s="50"/>
      <c r="Q18" s="73" t="e">
        <f t="shared" si="2"/>
        <v>#DIV/0!</v>
      </c>
      <c r="R18" s="653">
        <v>0.25</v>
      </c>
      <c r="S18" s="50"/>
      <c r="T18" s="73">
        <f t="shared" si="3"/>
        <v>0</v>
      </c>
      <c r="U18" s="653">
        <v>0</v>
      </c>
      <c r="V18" s="50"/>
      <c r="W18" s="73" t="e">
        <f t="shared" si="0"/>
        <v>#DIV/0!</v>
      </c>
      <c r="X18" s="653">
        <v>0</v>
      </c>
      <c r="Y18" s="50"/>
      <c r="Z18" s="73" t="e">
        <f t="shared" si="4"/>
        <v>#DIV/0!</v>
      </c>
      <c r="AA18" s="653">
        <v>0.25</v>
      </c>
      <c r="AB18" s="50"/>
      <c r="AC18" s="73">
        <f t="shared" si="5"/>
        <v>0</v>
      </c>
      <c r="AD18" s="45">
        <f t="shared" si="16"/>
        <v>0</v>
      </c>
      <c r="AE18" s="73">
        <f t="shared" si="17"/>
        <v>0</v>
      </c>
      <c r="AF18" s="653">
        <v>0</v>
      </c>
      <c r="AG18" s="50"/>
      <c r="AH18" s="73" t="e">
        <f t="shared" si="8"/>
        <v>#DIV/0!</v>
      </c>
      <c r="AI18" s="653">
        <v>0</v>
      </c>
      <c r="AJ18" s="50"/>
      <c r="AK18" s="73" t="e">
        <f t="shared" si="9"/>
        <v>#DIV/0!</v>
      </c>
      <c r="AL18" s="653">
        <v>0.25</v>
      </c>
      <c r="AM18" s="50"/>
      <c r="AN18" s="73">
        <f t="shared" si="10"/>
        <v>0</v>
      </c>
      <c r="AO18" s="653">
        <v>0</v>
      </c>
      <c r="AP18" s="50"/>
      <c r="AQ18" s="73" t="e">
        <f t="shared" si="11"/>
        <v>#DIV/0!</v>
      </c>
      <c r="AR18" s="653">
        <v>0</v>
      </c>
      <c r="AS18" s="50"/>
      <c r="AT18" s="73" t="e">
        <f t="shared" si="12"/>
        <v>#DIV/0!</v>
      </c>
      <c r="AU18" s="653">
        <v>0.25</v>
      </c>
      <c r="AV18" s="50">
        <v>1</v>
      </c>
      <c r="AW18" s="73">
        <f t="shared" si="18"/>
        <v>4</v>
      </c>
      <c r="AX18" s="653">
        <f t="shared" si="19"/>
        <v>1</v>
      </c>
      <c r="AY18" s="73">
        <f t="shared" si="20"/>
        <v>1</v>
      </c>
    </row>
    <row r="19" spans="1:51" s="22" customFormat="1" ht="46.5" thickTop="1" thickBot="1">
      <c r="A19" s="2944"/>
      <c r="B19" s="2982"/>
      <c r="C19" s="25" t="s">
        <v>1041</v>
      </c>
      <c r="D19" s="2478" t="s">
        <v>116</v>
      </c>
      <c r="E19" s="25" t="s">
        <v>1042</v>
      </c>
      <c r="F19" s="25" t="s">
        <v>17</v>
      </c>
      <c r="G19" s="26">
        <v>4140</v>
      </c>
      <c r="H19" s="98"/>
      <c r="I19" s="671"/>
      <c r="J19" s="98"/>
      <c r="K19" s="25" t="s">
        <v>118</v>
      </c>
      <c r="L19" s="676">
        <v>0</v>
      </c>
      <c r="M19" s="578"/>
      <c r="N19" s="73" t="e">
        <f t="shared" si="1"/>
        <v>#DIV/0!</v>
      </c>
      <c r="O19" s="676">
        <v>0</v>
      </c>
      <c r="P19" s="578"/>
      <c r="Q19" s="73" t="e">
        <f t="shared" si="2"/>
        <v>#DIV/0!</v>
      </c>
      <c r="R19" s="676">
        <v>786</v>
      </c>
      <c r="S19" s="578">
        <v>356</v>
      </c>
      <c r="T19" s="73">
        <f t="shared" si="3"/>
        <v>0.45292620865139949</v>
      </c>
      <c r="U19" s="676">
        <v>639</v>
      </c>
      <c r="V19" s="578">
        <v>64</v>
      </c>
      <c r="W19" s="73">
        <f t="shared" si="0"/>
        <v>0.10015649452269171</v>
      </c>
      <c r="X19" s="676">
        <v>186</v>
      </c>
      <c r="Y19" s="578">
        <v>53</v>
      </c>
      <c r="Z19" s="73">
        <f t="shared" si="4"/>
        <v>0.28494623655913981</v>
      </c>
      <c r="AA19" s="676">
        <v>209</v>
      </c>
      <c r="AB19" s="578">
        <v>126</v>
      </c>
      <c r="AC19" s="73">
        <f t="shared" si="5"/>
        <v>0.60287081339712922</v>
      </c>
      <c r="AD19" s="28">
        <f t="shared" si="16"/>
        <v>599</v>
      </c>
      <c r="AE19" s="73">
        <f t="shared" si="17"/>
        <v>0.14468599033816426</v>
      </c>
      <c r="AF19" s="676">
        <v>385</v>
      </c>
      <c r="AG19" s="578">
        <v>271</v>
      </c>
      <c r="AH19" s="73">
        <f t="shared" si="8"/>
        <v>0.70389610389610391</v>
      </c>
      <c r="AI19" s="676">
        <v>588</v>
      </c>
      <c r="AJ19" s="578">
        <v>410</v>
      </c>
      <c r="AK19" s="73">
        <f t="shared" si="9"/>
        <v>0.69727891156462585</v>
      </c>
      <c r="AL19" s="676">
        <v>798</v>
      </c>
      <c r="AM19" s="578">
        <v>509</v>
      </c>
      <c r="AN19" s="73">
        <f t="shared" si="10"/>
        <v>0.6378446115288221</v>
      </c>
      <c r="AO19" s="676">
        <v>312</v>
      </c>
      <c r="AP19" s="578">
        <v>657</v>
      </c>
      <c r="AQ19" s="73">
        <f t="shared" si="11"/>
        <v>2.1057692307692308</v>
      </c>
      <c r="AR19" s="676">
        <v>214</v>
      </c>
      <c r="AS19" s="578">
        <v>1877</v>
      </c>
      <c r="AT19" s="73">
        <f t="shared" si="12"/>
        <v>8.7710280373831768</v>
      </c>
      <c r="AU19" s="676">
        <v>23</v>
      </c>
      <c r="AV19" s="578">
        <v>677</v>
      </c>
      <c r="AW19" s="73">
        <f t="shared" si="18"/>
        <v>29.434782608695652</v>
      </c>
      <c r="AX19" s="635">
        <f t="shared" si="19"/>
        <v>5000</v>
      </c>
      <c r="AY19" s="73">
        <f t="shared" si="20"/>
        <v>1.2077294685990339</v>
      </c>
    </row>
    <row r="20" spans="1:51" s="22" customFormat="1" ht="61.5" thickTop="1" thickBot="1">
      <c r="A20" s="2944"/>
      <c r="B20" s="2982"/>
      <c r="C20" s="2928" t="s">
        <v>677</v>
      </c>
      <c r="D20" s="2125" t="s">
        <v>120</v>
      </c>
      <c r="E20" s="561" t="s">
        <v>121</v>
      </c>
      <c r="F20" s="561" t="s">
        <v>10</v>
      </c>
      <c r="G20" s="1480">
        <v>0.64100000000000001</v>
      </c>
      <c r="H20" s="96"/>
      <c r="I20" s="33"/>
      <c r="J20" s="96"/>
      <c r="K20" s="561" t="s">
        <v>7</v>
      </c>
      <c r="L20" s="653">
        <v>0</v>
      </c>
      <c r="M20" s="50"/>
      <c r="N20" s="73" t="e">
        <f t="shared" si="1"/>
        <v>#DIV/0!</v>
      </c>
      <c r="O20" s="653">
        <v>0</v>
      </c>
      <c r="P20" s="50"/>
      <c r="Q20" s="73" t="e">
        <f t="shared" si="2"/>
        <v>#DIV/0!</v>
      </c>
      <c r="R20" s="653">
        <v>0</v>
      </c>
      <c r="S20" s="50"/>
      <c r="T20" s="73" t="e">
        <f t="shared" si="3"/>
        <v>#DIV/0!</v>
      </c>
      <c r="U20" s="653">
        <v>0</v>
      </c>
      <c r="V20" s="50"/>
      <c r="W20" s="73" t="e">
        <f t="shared" si="0"/>
        <v>#DIV/0!</v>
      </c>
      <c r="X20" s="653">
        <v>0</v>
      </c>
      <c r="Y20" s="50"/>
      <c r="Z20" s="73" t="e">
        <f t="shared" si="4"/>
        <v>#DIV/0!</v>
      </c>
      <c r="AA20" s="653">
        <v>0</v>
      </c>
      <c r="AB20" s="50"/>
      <c r="AC20" s="73" t="e">
        <f t="shared" si="5"/>
        <v>#DIV/0!</v>
      </c>
      <c r="AD20" s="45">
        <f t="shared" si="16"/>
        <v>0</v>
      </c>
      <c r="AE20" s="73">
        <f t="shared" si="17"/>
        <v>0</v>
      </c>
      <c r="AF20" s="653">
        <v>0</v>
      </c>
      <c r="AG20" s="50"/>
      <c r="AH20" s="73" t="e">
        <f t="shared" si="8"/>
        <v>#DIV/0!</v>
      </c>
      <c r="AI20" s="653">
        <v>0</v>
      </c>
      <c r="AJ20" s="50"/>
      <c r="AK20" s="73" t="e">
        <f t="shared" si="9"/>
        <v>#DIV/0!</v>
      </c>
      <c r="AL20" s="653">
        <v>0</v>
      </c>
      <c r="AM20" s="50"/>
      <c r="AN20" s="73" t="e">
        <f t="shared" si="10"/>
        <v>#DIV/0!</v>
      </c>
      <c r="AO20" s="653">
        <v>0</v>
      </c>
      <c r="AP20" s="50"/>
      <c r="AQ20" s="73" t="e">
        <f t="shared" si="11"/>
        <v>#DIV/0!</v>
      </c>
      <c r="AR20" s="653">
        <v>0</v>
      </c>
      <c r="AS20" s="50"/>
      <c r="AT20" s="73" t="e">
        <f t="shared" si="12"/>
        <v>#DIV/0!</v>
      </c>
      <c r="AU20" s="653">
        <v>0.64100000000000001</v>
      </c>
      <c r="AV20" s="50">
        <v>0.75</v>
      </c>
      <c r="AW20" s="73">
        <f t="shared" si="18"/>
        <v>1.1700468018720749</v>
      </c>
      <c r="AX20" s="653">
        <f>+AV20</f>
        <v>0.75</v>
      </c>
      <c r="AY20" s="73">
        <f t="shared" si="20"/>
        <v>1.1700468018720749</v>
      </c>
    </row>
    <row r="21" spans="1:51" s="22" customFormat="1" ht="61.5" thickTop="1" thickBot="1">
      <c r="A21" s="2944"/>
      <c r="B21" s="2982"/>
      <c r="C21" s="2929"/>
      <c r="D21" s="2478" t="s">
        <v>122</v>
      </c>
      <c r="E21" s="25" t="s">
        <v>123</v>
      </c>
      <c r="F21" s="25" t="s">
        <v>10</v>
      </c>
      <c r="G21" s="1479">
        <v>1</v>
      </c>
      <c r="H21" s="98"/>
      <c r="I21" s="671"/>
      <c r="J21" s="98"/>
      <c r="K21" s="25" t="s">
        <v>7</v>
      </c>
      <c r="L21" s="655">
        <v>0</v>
      </c>
      <c r="M21" s="45"/>
      <c r="N21" s="73" t="e">
        <f t="shared" si="1"/>
        <v>#DIV/0!</v>
      </c>
      <c r="O21" s="655">
        <v>0</v>
      </c>
      <c r="P21" s="45"/>
      <c r="Q21" s="73" t="e">
        <f t="shared" si="2"/>
        <v>#DIV/0!</v>
      </c>
      <c r="R21" s="655">
        <v>0</v>
      </c>
      <c r="S21" s="45"/>
      <c r="T21" s="73" t="e">
        <f t="shared" si="3"/>
        <v>#DIV/0!</v>
      </c>
      <c r="U21" s="655">
        <v>1</v>
      </c>
      <c r="V21" s="45">
        <v>1</v>
      </c>
      <c r="W21" s="73">
        <f t="shared" si="0"/>
        <v>1</v>
      </c>
      <c r="X21" s="655">
        <v>0</v>
      </c>
      <c r="Y21" s="45"/>
      <c r="Z21" s="73" t="e">
        <f t="shared" si="4"/>
        <v>#DIV/0!</v>
      </c>
      <c r="AA21" s="655">
        <v>0</v>
      </c>
      <c r="AB21" s="45"/>
      <c r="AC21" s="73" t="e">
        <f t="shared" si="5"/>
        <v>#DIV/0!</v>
      </c>
      <c r="AD21" s="45">
        <f>+V21/2</f>
        <v>0.5</v>
      </c>
      <c r="AE21" s="73">
        <f t="shared" si="17"/>
        <v>0.5</v>
      </c>
      <c r="AF21" s="655">
        <v>0</v>
      </c>
      <c r="AG21" s="45"/>
      <c r="AH21" s="73" t="e">
        <f t="shared" si="8"/>
        <v>#DIV/0!</v>
      </c>
      <c r="AI21" s="655">
        <v>0</v>
      </c>
      <c r="AJ21" s="45"/>
      <c r="AK21" s="73" t="e">
        <f t="shared" si="9"/>
        <v>#DIV/0!</v>
      </c>
      <c r="AL21" s="655">
        <v>0</v>
      </c>
      <c r="AM21" s="45"/>
      <c r="AN21" s="73" t="e">
        <f t="shared" si="10"/>
        <v>#DIV/0!</v>
      </c>
      <c r="AO21" s="655">
        <v>1</v>
      </c>
      <c r="AP21" s="45">
        <v>1</v>
      </c>
      <c r="AQ21" s="73">
        <f t="shared" si="11"/>
        <v>1</v>
      </c>
      <c r="AR21" s="655">
        <v>0</v>
      </c>
      <c r="AS21" s="45"/>
      <c r="AT21" s="73" t="e">
        <f t="shared" si="12"/>
        <v>#DIV/0!</v>
      </c>
      <c r="AU21" s="655">
        <v>0</v>
      </c>
      <c r="AV21" s="45"/>
      <c r="AW21" s="73" t="e">
        <f t="shared" si="18"/>
        <v>#DIV/0!</v>
      </c>
      <c r="AX21" s="655">
        <f>(+AP21+V21)/2</f>
        <v>1</v>
      </c>
      <c r="AY21" s="73">
        <f t="shared" si="20"/>
        <v>1</v>
      </c>
    </row>
    <row r="22" spans="1:51" s="22" customFormat="1" ht="61.5" thickTop="1" thickBot="1">
      <c r="A22" s="2944"/>
      <c r="B22" s="2982"/>
      <c r="C22" s="2929"/>
      <c r="D22" s="2125" t="s">
        <v>124</v>
      </c>
      <c r="E22" s="561" t="s">
        <v>125</v>
      </c>
      <c r="F22" s="561" t="s">
        <v>10</v>
      </c>
      <c r="G22" s="1481">
        <v>1</v>
      </c>
      <c r="H22" s="96"/>
      <c r="I22" s="33"/>
      <c r="J22" s="96"/>
      <c r="K22" s="561" t="s">
        <v>7</v>
      </c>
      <c r="L22" s="653">
        <v>0</v>
      </c>
      <c r="M22" s="50"/>
      <c r="N22" s="73" t="e">
        <f t="shared" si="1"/>
        <v>#DIV/0!</v>
      </c>
      <c r="O22" s="653">
        <v>0</v>
      </c>
      <c r="P22" s="50"/>
      <c r="Q22" s="73" t="e">
        <f t="shared" si="2"/>
        <v>#DIV/0!</v>
      </c>
      <c r="R22" s="653">
        <v>1</v>
      </c>
      <c r="S22" s="50">
        <v>1</v>
      </c>
      <c r="T22" s="73">
        <f t="shared" si="3"/>
        <v>1</v>
      </c>
      <c r="U22" s="653">
        <v>0</v>
      </c>
      <c r="V22" s="50"/>
      <c r="W22" s="73" t="e">
        <f t="shared" si="0"/>
        <v>#DIV/0!</v>
      </c>
      <c r="X22" s="653">
        <v>0</v>
      </c>
      <c r="Y22" s="50"/>
      <c r="Z22" s="73" t="e">
        <f t="shared" si="4"/>
        <v>#DIV/0!</v>
      </c>
      <c r="AA22" s="653">
        <v>1</v>
      </c>
      <c r="AB22" s="50">
        <v>1</v>
      </c>
      <c r="AC22" s="73">
        <f t="shared" si="5"/>
        <v>1</v>
      </c>
      <c r="AD22" s="45">
        <f>(+AB22+S22)/2</f>
        <v>1</v>
      </c>
      <c r="AE22" s="73">
        <f t="shared" si="17"/>
        <v>1</v>
      </c>
      <c r="AF22" s="653">
        <v>0</v>
      </c>
      <c r="AG22" s="50"/>
      <c r="AH22" s="73" t="e">
        <f>+AG22/AF22</f>
        <v>#DIV/0!</v>
      </c>
      <c r="AI22" s="653">
        <v>0</v>
      </c>
      <c r="AJ22" s="50"/>
      <c r="AK22" s="73" t="e">
        <f t="shared" si="9"/>
        <v>#DIV/0!</v>
      </c>
      <c r="AL22" s="653">
        <v>1</v>
      </c>
      <c r="AM22" s="50">
        <v>1</v>
      </c>
      <c r="AN22" s="73">
        <f t="shared" si="10"/>
        <v>1</v>
      </c>
      <c r="AO22" s="653">
        <v>0</v>
      </c>
      <c r="AP22" s="50"/>
      <c r="AQ22" s="73" t="e">
        <f t="shared" si="11"/>
        <v>#DIV/0!</v>
      </c>
      <c r="AR22" s="653">
        <v>0</v>
      </c>
      <c r="AS22" s="50"/>
      <c r="AT22" s="73" t="e">
        <f t="shared" si="12"/>
        <v>#DIV/0!</v>
      </c>
      <c r="AU22" s="653">
        <v>1</v>
      </c>
      <c r="AV22" s="50">
        <v>1</v>
      </c>
      <c r="AW22" s="73">
        <f t="shared" si="18"/>
        <v>1</v>
      </c>
      <c r="AX22" s="653">
        <f>(+AV22+AM22+AB22+S22)/4</f>
        <v>1</v>
      </c>
      <c r="AY22" s="73">
        <f t="shared" si="20"/>
        <v>1</v>
      </c>
    </row>
    <row r="23" spans="1:51" s="22" customFormat="1" ht="46.5" thickTop="1" thickBot="1">
      <c r="A23" s="2944"/>
      <c r="B23" s="2982"/>
      <c r="C23" s="2929"/>
      <c r="D23" s="2478" t="s">
        <v>126</v>
      </c>
      <c r="E23" s="25" t="s">
        <v>127</v>
      </c>
      <c r="F23" s="25" t="s">
        <v>10</v>
      </c>
      <c r="G23" s="1479">
        <v>1</v>
      </c>
      <c r="H23" s="98"/>
      <c r="I23" s="671"/>
      <c r="J23" s="98"/>
      <c r="K23" s="25" t="s">
        <v>7</v>
      </c>
      <c r="L23" s="655">
        <v>1</v>
      </c>
      <c r="M23" s="45">
        <v>1</v>
      </c>
      <c r="N23" s="73">
        <f t="shared" si="1"/>
        <v>1</v>
      </c>
      <c r="O23" s="655">
        <v>1</v>
      </c>
      <c r="P23" s="45">
        <v>1</v>
      </c>
      <c r="Q23" s="73">
        <f t="shared" si="2"/>
        <v>1</v>
      </c>
      <c r="R23" s="655">
        <v>1</v>
      </c>
      <c r="S23" s="45">
        <v>1</v>
      </c>
      <c r="T23" s="73">
        <f t="shared" si="3"/>
        <v>1</v>
      </c>
      <c r="U23" s="655">
        <v>1</v>
      </c>
      <c r="V23" s="45">
        <v>1</v>
      </c>
      <c r="W23" s="73">
        <f t="shared" si="0"/>
        <v>1</v>
      </c>
      <c r="X23" s="655">
        <v>1</v>
      </c>
      <c r="Y23" s="45">
        <v>1</v>
      </c>
      <c r="Z23" s="73">
        <f t="shared" si="4"/>
        <v>1</v>
      </c>
      <c r="AA23" s="655">
        <v>1</v>
      </c>
      <c r="AB23" s="45">
        <v>1</v>
      </c>
      <c r="AC23" s="73">
        <f t="shared" si="5"/>
        <v>1</v>
      </c>
      <c r="AD23" s="45">
        <f>(+M23+P23+S23+V23+Y23+AB23)/6</f>
        <v>1</v>
      </c>
      <c r="AE23" s="73">
        <f t="shared" si="17"/>
        <v>1</v>
      </c>
      <c r="AF23" s="655">
        <v>1</v>
      </c>
      <c r="AG23" s="45">
        <v>1</v>
      </c>
      <c r="AH23" s="73">
        <f t="shared" si="8"/>
        <v>1</v>
      </c>
      <c r="AI23" s="655">
        <v>1</v>
      </c>
      <c r="AJ23" s="45">
        <v>1</v>
      </c>
      <c r="AK23" s="73">
        <f t="shared" si="9"/>
        <v>1</v>
      </c>
      <c r="AL23" s="655">
        <v>1</v>
      </c>
      <c r="AM23" s="45">
        <v>1</v>
      </c>
      <c r="AN23" s="73">
        <f t="shared" si="10"/>
        <v>1</v>
      </c>
      <c r="AO23" s="655">
        <v>1</v>
      </c>
      <c r="AP23" s="45">
        <v>1</v>
      </c>
      <c r="AQ23" s="73">
        <f t="shared" si="11"/>
        <v>1</v>
      </c>
      <c r="AR23" s="655">
        <v>1</v>
      </c>
      <c r="AS23" s="45">
        <v>1</v>
      </c>
      <c r="AT23" s="73">
        <f t="shared" si="12"/>
        <v>1</v>
      </c>
      <c r="AU23" s="655">
        <v>1</v>
      </c>
      <c r="AV23" s="45">
        <v>1</v>
      </c>
      <c r="AW23" s="73">
        <f t="shared" si="18"/>
        <v>1</v>
      </c>
      <c r="AX23" s="655">
        <f>(+M23+P23+S23+V23+Y23+AB23+AG23+AJ23+AM23+AP23+AS23+AV23)/12</f>
        <v>1</v>
      </c>
      <c r="AY23" s="73">
        <f t="shared" si="20"/>
        <v>1</v>
      </c>
    </row>
    <row r="24" spans="1:51" s="22" customFormat="1" ht="61.5" thickTop="1" thickBot="1">
      <c r="A24" s="2944"/>
      <c r="B24" s="2982"/>
      <c r="C24" s="2929"/>
      <c r="D24" s="2125" t="s">
        <v>128</v>
      </c>
      <c r="E24" s="561" t="s">
        <v>1043</v>
      </c>
      <c r="F24" s="561" t="s">
        <v>10</v>
      </c>
      <c r="G24" s="1481">
        <v>1</v>
      </c>
      <c r="H24" s="96"/>
      <c r="I24" s="33"/>
      <c r="J24" s="96"/>
      <c r="K24" s="561" t="s">
        <v>7</v>
      </c>
      <c r="L24" s="653">
        <v>1</v>
      </c>
      <c r="M24" s="50">
        <v>1</v>
      </c>
      <c r="N24" s="73">
        <f t="shared" si="1"/>
        <v>1</v>
      </c>
      <c r="O24" s="653">
        <v>1</v>
      </c>
      <c r="P24" s="50">
        <v>1</v>
      </c>
      <c r="Q24" s="73">
        <f t="shared" si="2"/>
        <v>1</v>
      </c>
      <c r="R24" s="653">
        <v>1</v>
      </c>
      <c r="S24" s="50">
        <v>1</v>
      </c>
      <c r="T24" s="73">
        <f t="shared" si="3"/>
        <v>1</v>
      </c>
      <c r="U24" s="653">
        <v>1</v>
      </c>
      <c r="V24" s="50">
        <v>1</v>
      </c>
      <c r="W24" s="73">
        <f t="shared" si="0"/>
        <v>1</v>
      </c>
      <c r="X24" s="653">
        <v>1</v>
      </c>
      <c r="Y24" s="50">
        <v>1</v>
      </c>
      <c r="Z24" s="73">
        <f t="shared" si="4"/>
        <v>1</v>
      </c>
      <c r="AA24" s="653">
        <v>1</v>
      </c>
      <c r="AB24" s="50">
        <v>1</v>
      </c>
      <c r="AC24" s="73">
        <f t="shared" si="5"/>
        <v>1</v>
      </c>
      <c r="AD24" s="45">
        <f>(+M24+P24+S24+V24+Y24+AB24)/6</f>
        <v>1</v>
      </c>
      <c r="AE24" s="73">
        <f t="shared" si="17"/>
        <v>1</v>
      </c>
      <c r="AF24" s="653">
        <v>1</v>
      </c>
      <c r="AG24" s="50">
        <v>1</v>
      </c>
      <c r="AH24" s="73">
        <f t="shared" si="8"/>
        <v>1</v>
      </c>
      <c r="AI24" s="653">
        <v>1</v>
      </c>
      <c r="AJ24" s="50">
        <v>1</v>
      </c>
      <c r="AK24" s="73">
        <f t="shared" si="9"/>
        <v>1</v>
      </c>
      <c r="AL24" s="653">
        <v>1</v>
      </c>
      <c r="AM24" s="50">
        <v>1</v>
      </c>
      <c r="AN24" s="73">
        <f t="shared" si="10"/>
        <v>1</v>
      </c>
      <c r="AO24" s="653">
        <v>1</v>
      </c>
      <c r="AP24" s="50">
        <v>1</v>
      </c>
      <c r="AQ24" s="73">
        <f t="shared" si="11"/>
        <v>1</v>
      </c>
      <c r="AR24" s="653">
        <v>1</v>
      </c>
      <c r="AS24" s="50">
        <v>1</v>
      </c>
      <c r="AT24" s="73">
        <f t="shared" si="12"/>
        <v>1</v>
      </c>
      <c r="AU24" s="653">
        <v>1</v>
      </c>
      <c r="AV24" s="50">
        <v>1</v>
      </c>
      <c r="AW24" s="73">
        <f t="shared" si="18"/>
        <v>1</v>
      </c>
      <c r="AX24" s="653">
        <f>(+M24+P24+S24+V24+Y24+AB24+AG24+AJ24+AM24+AP24+AS24+AV24)/12</f>
        <v>1</v>
      </c>
      <c r="AY24" s="73">
        <f t="shared" si="20"/>
        <v>1</v>
      </c>
    </row>
    <row r="25" spans="1:51" s="22" customFormat="1" ht="61.5" thickTop="1" thickBot="1">
      <c r="A25" s="2944"/>
      <c r="B25" s="2982"/>
      <c r="C25" s="2929"/>
      <c r="D25" s="2478" t="s">
        <v>130</v>
      </c>
      <c r="E25" s="25" t="s">
        <v>131</v>
      </c>
      <c r="F25" s="25" t="s">
        <v>10</v>
      </c>
      <c r="G25" s="1479">
        <v>1</v>
      </c>
      <c r="H25" s="98"/>
      <c r="I25" s="671"/>
      <c r="J25" s="98"/>
      <c r="K25" s="25" t="s">
        <v>7</v>
      </c>
      <c r="L25" s="655">
        <v>1</v>
      </c>
      <c r="M25" s="45">
        <v>1</v>
      </c>
      <c r="N25" s="73">
        <f t="shared" si="1"/>
        <v>1</v>
      </c>
      <c r="O25" s="655">
        <v>1</v>
      </c>
      <c r="P25" s="45">
        <v>1</v>
      </c>
      <c r="Q25" s="73">
        <f t="shared" si="2"/>
        <v>1</v>
      </c>
      <c r="R25" s="655">
        <v>1</v>
      </c>
      <c r="S25" s="45">
        <v>1</v>
      </c>
      <c r="T25" s="73">
        <f t="shared" si="3"/>
        <v>1</v>
      </c>
      <c r="U25" s="655">
        <v>1</v>
      </c>
      <c r="V25" s="45">
        <v>1</v>
      </c>
      <c r="W25" s="73">
        <f t="shared" si="0"/>
        <v>1</v>
      </c>
      <c r="X25" s="655">
        <v>1</v>
      </c>
      <c r="Y25" s="45">
        <v>1</v>
      </c>
      <c r="Z25" s="73">
        <f t="shared" si="4"/>
        <v>1</v>
      </c>
      <c r="AA25" s="655">
        <v>1</v>
      </c>
      <c r="AB25" s="45">
        <v>1</v>
      </c>
      <c r="AC25" s="73">
        <f t="shared" si="5"/>
        <v>1</v>
      </c>
      <c r="AD25" s="45">
        <f>(+M25+P25+S25+V25+Y25+AB25)/6</f>
        <v>1</v>
      </c>
      <c r="AE25" s="73">
        <f t="shared" si="17"/>
        <v>1</v>
      </c>
      <c r="AF25" s="655">
        <v>1</v>
      </c>
      <c r="AG25" s="45">
        <v>1</v>
      </c>
      <c r="AH25" s="73">
        <f t="shared" si="8"/>
        <v>1</v>
      </c>
      <c r="AI25" s="655">
        <v>1</v>
      </c>
      <c r="AJ25" s="45">
        <v>1</v>
      </c>
      <c r="AK25" s="73">
        <f t="shared" si="9"/>
        <v>1</v>
      </c>
      <c r="AL25" s="655">
        <v>1</v>
      </c>
      <c r="AM25" s="45">
        <v>1</v>
      </c>
      <c r="AN25" s="73">
        <f t="shared" si="10"/>
        <v>1</v>
      </c>
      <c r="AO25" s="655">
        <v>1</v>
      </c>
      <c r="AP25" s="45">
        <v>1</v>
      </c>
      <c r="AQ25" s="73">
        <f t="shared" si="11"/>
        <v>1</v>
      </c>
      <c r="AR25" s="655">
        <v>1</v>
      </c>
      <c r="AS25" s="45">
        <v>1</v>
      </c>
      <c r="AT25" s="73">
        <f t="shared" si="12"/>
        <v>1</v>
      </c>
      <c r="AU25" s="655">
        <v>1</v>
      </c>
      <c r="AV25" s="45">
        <v>1</v>
      </c>
      <c r="AW25" s="73">
        <f t="shared" si="18"/>
        <v>1</v>
      </c>
      <c r="AX25" s="655">
        <f>(+M25+P25+S25+V25+Y25+AB25+AG25+AJ25+AM25+AP25+AS25+AV25)/12</f>
        <v>1</v>
      </c>
      <c r="AY25" s="73">
        <f t="shared" si="20"/>
        <v>1</v>
      </c>
    </row>
    <row r="26" spans="1:51" s="22" customFormat="1" ht="61.5" thickTop="1" thickBot="1">
      <c r="A26" s="2944"/>
      <c r="B26" s="3162"/>
      <c r="C26" s="2930"/>
      <c r="D26" s="2125" t="s">
        <v>132</v>
      </c>
      <c r="E26" s="561" t="s">
        <v>133</v>
      </c>
      <c r="F26" s="561" t="s">
        <v>10</v>
      </c>
      <c r="G26" s="1481">
        <v>1</v>
      </c>
      <c r="H26" s="96"/>
      <c r="I26" s="33"/>
      <c r="J26" s="96"/>
      <c r="K26" s="561" t="s">
        <v>7</v>
      </c>
      <c r="L26" s="653">
        <v>0</v>
      </c>
      <c r="M26" s="50"/>
      <c r="N26" s="73" t="e">
        <f t="shared" si="1"/>
        <v>#DIV/0!</v>
      </c>
      <c r="O26" s="653">
        <v>0</v>
      </c>
      <c r="P26" s="50"/>
      <c r="Q26" s="73" t="e">
        <f t="shared" si="2"/>
        <v>#DIV/0!</v>
      </c>
      <c r="R26" s="653">
        <v>0</v>
      </c>
      <c r="S26" s="50"/>
      <c r="T26" s="73" t="e">
        <f t="shared" si="3"/>
        <v>#DIV/0!</v>
      </c>
      <c r="U26" s="653">
        <v>0</v>
      </c>
      <c r="V26" s="50"/>
      <c r="W26" s="73" t="e">
        <f t="shared" si="0"/>
        <v>#DIV/0!</v>
      </c>
      <c r="X26" s="653">
        <v>0</v>
      </c>
      <c r="Y26" s="50"/>
      <c r="Z26" s="73" t="e">
        <f t="shared" si="4"/>
        <v>#DIV/0!</v>
      </c>
      <c r="AA26" s="653">
        <v>0</v>
      </c>
      <c r="AB26" s="50"/>
      <c r="AC26" s="73" t="e">
        <f t="shared" si="5"/>
        <v>#DIV/0!</v>
      </c>
      <c r="AD26" s="45">
        <f>+M26+P26+S26+V26+Y26+AB26</f>
        <v>0</v>
      </c>
      <c r="AE26" s="73">
        <f t="shared" si="17"/>
        <v>0</v>
      </c>
      <c r="AF26" s="653">
        <v>0</v>
      </c>
      <c r="AG26" s="50"/>
      <c r="AH26" s="73" t="e">
        <f t="shared" si="8"/>
        <v>#DIV/0!</v>
      </c>
      <c r="AI26" s="653">
        <v>1</v>
      </c>
      <c r="AJ26" s="50">
        <v>1</v>
      </c>
      <c r="AK26" s="73">
        <f t="shared" si="9"/>
        <v>1</v>
      </c>
      <c r="AL26" s="653">
        <v>0</v>
      </c>
      <c r="AM26" s="50"/>
      <c r="AN26" s="73" t="e">
        <f t="shared" si="10"/>
        <v>#DIV/0!</v>
      </c>
      <c r="AO26" s="653">
        <v>0</v>
      </c>
      <c r="AP26" s="50"/>
      <c r="AQ26" s="73" t="e">
        <f t="shared" si="11"/>
        <v>#DIV/0!</v>
      </c>
      <c r="AR26" s="653">
        <v>0</v>
      </c>
      <c r="AS26" s="50"/>
      <c r="AT26" s="73" t="e">
        <f t="shared" si="12"/>
        <v>#DIV/0!</v>
      </c>
      <c r="AU26" s="653">
        <v>0</v>
      </c>
      <c r="AV26" s="50"/>
      <c r="AW26" s="73" t="e">
        <f t="shared" si="18"/>
        <v>#DIV/0!</v>
      </c>
      <c r="AX26" s="653">
        <f>+AJ26</f>
        <v>1</v>
      </c>
      <c r="AY26" s="73">
        <f t="shared" si="20"/>
        <v>1</v>
      </c>
    </row>
    <row r="27" spans="1:51" s="22" customFormat="1" ht="114" thickTop="1" thickBot="1">
      <c r="A27" s="2945"/>
      <c r="B27" s="695" t="s">
        <v>418</v>
      </c>
      <c r="C27" s="25" t="s">
        <v>1044</v>
      </c>
      <c r="D27" s="2478" t="s">
        <v>227</v>
      </c>
      <c r="E27" s="25" t="s">
        <v>544</v>
      </c>
      <c r="F27" s="25" t="s">
        <v>101</v>
      </c>
      <c r="G27" s="2484">
        <f>+'[4]FIS-24'!$BI$16</f>
        <v>330000000</v>
      </c>
      <c r="H27" s="98"/>
      <c r="I27" s="671"/>
      <c r="J27" s="98"/>
      <c r="K27" s="25" t="s">
        <v>140</v>
      </c>
      <c r="L27" s="1718">
        <v>26666666.666666668</v>
      </c>
      <c r="M27" s="1719">
        <v>25334446</v>
      </c>
      <c r="N27" s="73">
        <f t="shared" si="1"/>
        <v>0.95004172499999995</v>
      </c>
      <c r="O27" s="1718">
        <v>26666666.666666668</v>
      </c>
      <c r="P27" s="1719">
        <v>8149681</v>
      </c>
      <c r="Q27" s="73">
        <f t="shared" si="2"/>
        <v>0.30561303749999996</v>
      </c>
      <c r="R27" s="1718">
        <v>26666666.666666668</v>
      </c>
      <c r="S27" s="1719">
        <v>13462218</v>
      </c>
      <c r="T27" s="73">
        <f t="shared" si="3"/>
        <v>0.50483317500000002</v>
      </c>
      <c r="U27" s="1718">
        <v>52888889</v>
      </c>
      <c r="V27" s="1719">
        <v>0</v>
      </c>
      <c r="W27" s="73">
        <f t="shared" si="0"/>
        <v>0</v>
      </c>
      <c r="X27" s="1718">
        <v>52888889</v>
      </c>
      <c r="Y27" s="1719">
        <v>15491251</v>
      </c>
      <c r="Z27" s="73">
        <f t="shared" si="4"/>
        <v>0.29290180400650884</v>
      </c>
      <c r="AA27" s="1718">
        <v>52888889</v>
      </c>
      <c r="AB27" s="1719">
        <v>0</v>
      </c>
      <c r="AC27" s="73">
        <f t="shared" si="5"/>
        <v>0</v>
      </c>
      <c r="AD27" s="1719">
        <f t="shared" si="16"/>
        <v>62437596</v>
      </c>
      <c r="AE27" s="73">
        <f t="shared" si="17"/>
        <v>0.18920483636363636</v>
      </c>
      <c r="AF27" s="1718">
        <v>52888889</v>
      </c>
      <c r="AG27" s="1719">
        <v>31014619</v>
      </c>
      <c r="AH27" s="73">
        <f t="shared" si="8"/>
        <v>0.58641086221342253</v>
      </c>
      <c r="AI27" s="1718">
        <v>8842222.1199999992</v>
      </c>
      <c r="AJ27" s="1719">
        <v>31183277</v>
      </c>
      <c r="AK27" s="73">
        <f t="shared" si="9"/>
        <v>3.526633529083977</v>
      </c>
      <c r="AL27" s="1718">
        <v>8842222.1199999992</v>
      </c>
      <c r="AM27" s="1719">
        <v>23069952</v>
      </c>
      <c r="AN27" s="73">
        <f t="shared" si="10"/>
        <v>2.6090672329774049</v>
      </c>
      <c r="AO27" s="1718">
        <v>8842222.1199999992</v>
      </c>
      <c r="AP27" s="1719">
        <v>9143394</v>
      </c>
      <c r="AQ27" s="73">
        <f t="shared" si="11"/>
        <v>1.0340606553321916</v>
      </c>
      <c r="AR27" s="1718">
        <v>5958888.8200000003</v>
      </c>
      <c r="AS27" s="1719">
        <v>39415117</v>
      </c>
      <c r="AT27" s="73">
        <f t="shared" si="12"/>
        <v>6.6145078706133669</v>
      </c>
      <c r="AU27" s="1718">
        <v>5958888.8200000003</v>
      </c>
      <c r="AV27" s="1719">
        <v>89301850</v>
      </c>
      <c r="AW27" s="73">
        <f t="shared" si="18"/>
        <v>14.986325923765095</v>
      </c>
      <c r="AX27" s="1718">
        <f t="shared" si="19"/>
        <v>285565805</v>
      </c>
      <c r="AY27" s="73">
        <f t="shared" si="20"/>
        <v>0.86535092424242421</v>
      </c>
    </row>
    <row r="28" spans="1:51" s="22" customFormat="1" ht="22.5" thickTop="1" thickBot="1">
      <c r="A28" s="2857" t="s">
        <v>141</v>
      </c>
      <c r="B28" s="2858"/>
      <c r="C28" s="2858"/>
      <c r="D28" s="2858"/>
      <c r="E28" s="2858"/>
      <c r="F28" s="2858"/>
      <c r="G28" s="2858"/>
      <c r="H28" s="2858"/>
      <c r="I28" s="2858"/>
      <c r="J28" s="2858"/>
      <c r="K28" s="2859"/>
      <c r="L28" s="2486"/>
      <c r="M28" s="2487"/>
      <c r="N28" s="2487"/>
      <c r="O28" s="2487"/>
      <c r="P28" s="2487"/>
      <c r="Q28" s="2487"/>
      <c r="R28" s="2487"/>
      <c r="S28" s="2487"/>
      <c r="T28" s="2487"/>
      <c r="U28" s="2487"/>
      <c r="V28" s="2487"/>
      <c r="W28" s="2487"/>
      <c r="X28" s="2487"/>
      <c r="Y28" s="2487"/>
      <c r="Z28" s="2488"/>
      <c r="AA28" s="2487"/>
      <c r="AB28" s="2487"/>
      <c r="AC28" s="2488"/>
      <c r="AD28" s="2487"/>
      <c r="AE28" s="2488"/>
      <c r="AF28" s="2487"/>
      <c r="AG28" s="2487"/>
      <c r="AH28" s="2487"/>
      <c r="AI28" s="2487"/>
      <c r="AJ28" s="2487"/>
      <c r="AK28" s="2488"/>
      <c r="AL28" s="2487"/>
      <c r="AM28" s="2487"/>
      <c r="AN28" s="2488"/>
      <c r="AO28" s="2487"/>
      <c r="AP28" s="2487"/>
      <c r="AQ28" s="2488"/>
      <c r="AR28" s="2487"/>
      <c r="AS28" s="2487"/>
      <c r="AT28" s="2488"/>
      <c r="AU28" s="2487"/>
      <c r="AV28" s="2487"/>
      <c r="AW28" s="2488"/>
      <c r="AX28" s="2487"/>
      <c r="AY28" s="2489"/>
    </row>
    <row r="29" spans="1:51" s="22" customFormat="1" ht="106.5" thickTop="1" thickBot="1">
      <c r="A29" s="2905" t="s">
        <v>1045</v>
      </c>
      <c r="B29" s="2863" t="s">
        <v>143</v>
      </c>
      <c r="C29" s="2490" t="s">
        <v>1046</v>
      </c>
      <c r="D29" s="2491" t="s">
        <v>144</v>
      </c>
      <c r="E29" s="371" t="s">
        <v>1047</v>
      </c>
      <c r="F29" s="371" t="s">
        <v>17</v>
      </c>
      <c r="G29" s="2492">
        <v>140</v>
      </c>
      <c r="H29" s="693"/>
      <c r="I29" s="694"/>
      <c r="J29" s="693"/>
      <c r="K29" s="371" t="s">
        <v>146</v>
      </c>
      <c r="L29" s="625">
        <v>0</v>
      </c>
      <c r="M29" s="59"/>
      <c r="N29" s="73" t="e">
        <f t="shared" si="1"/>
        <v>#DIV/0!</v>
      </c>
      <c r="O29" s="625">
        <v>0</v>
      </c>
      <c r="P29" s="59"/>
      <c r="Q29" s="73" t="e">
        <f t="shared" si="2"/>
        <v>#DIV/0!</v>
      </c>
      <c r="R29" s="625">
        <v>0</v>
      </c>
      <c r="S29" s="59"/>
      <c r="T29" s="73" t="e">
        <f t="shared" si="3"/>
        <v>#DIV/0!</v>
      </c>
      <c r="U29" s="625">
        <v>28</v>
      </c>
      <c r="V29" s="59">
        <v>28</v>
      </c>
      <c r="W29" s="73">
        <f t="shared" si="0"/>
        <v>1</v>
      </c>
      <c r="X29" s="625">
        <v>0</v>
      </c>
      <c r="Y29" s="59"/>
      <c r="Z29" s="73" t="e">
        <f t="shared" si="4"/>
        <v>#DIV/0!</v>
      </c>
      <c r="AA29" s="625">
        <v>0</v>
      </c>
      <c r="AB29" s="59"/>
      <c r="AC29" s="73" t="e">
        <f t="shared" si="5"/>
        <v>#DIV/0!</v>
      </c>
      <c r="AD29" s="28">
        <f t="shared" si="16"/>
        <v>28</v>
      </c>
      <c r="AE29" s="73">
        <f t="shared" si="17"/>
        <v>0.2</v>
      </c>
      <c r="AF29" s="625">
        <v>0</v>
      </c>
      <c r="AG29" s="59"/>
      <c r="AH29" s="73" t="e">
        <f t="shared" si="8"/>
        <v>#DIV/0!</v>
      </c>
      <c r="AI29" s="625">
        <v>42</v>
      </c>
      <c r="AJ29" s="59">
        <v>1151</v>
      </c>
      <c r="AK29" s="73">
        <f t="shared" si="9"/>
        <v>27.404761904761905</v>
      </c>
      <c r="AL29" s="625">
        <v>0</v>
      </c>
      <c r="AM29" s="59"/>
      <c r="AN29" s="73" t="e">
        <f t="shared" si="10"/>
        <v>#DIV/0!</v>
      </c>
      <c r="AO29" s="625">
        <v>0</v>
      </c>
      <c r="AP29" s="59"/>
      <c r="AQ29" s="73" t="e">
        <f t="shared" si="11"/>
        <v>#DIV/0!</v>
      </c>
      <c r="AR29" s="625">
        <v>0</v>
      </c>
      <c r="AS29" s="59"/>
      <c r="AT29" s="73" t="e">
        <f t="shared" si="12"/>
        <v>#DIV/0!</v>
      </c>
      <c r="AU29" s="625">
        <v>70</v>
      </c>
      <c r="AV29" s="59">
        <v>414</v>
      </c>
      <c r="AW29" s="73">
        <f t="shared" si="18"/>
        <v>5.9142857142857146</v>
      </c>
      <c r="AX29" s="625">
        <f t="shared" si="19"/>
        <v>1593</v>
      </c>
      <c r="AY29" s="73">
        <f t="shared" si="20"/>
        <v>11.378571428571428</v>
      </c>
    </row>
    <row r="30" spans="1:51" s="22" customFormat="1" ht="61.5" thickTop="1" thickBot="1">
      <c r="A30" s="2906"/>
      <c r="B30" s="2864"/>
      <c r="C30" s="561" t="s">
        <v>147</v>
      </c>
      <c r="D30" s="2125" t="s">
        <v>148</v>
      </c>
      <c r="E30" s="561" t="s">
        <v>1033</v>
      </c>
      <c r="F30" s="18" t="s">
        <v>8</v>
      </c>
      <c r="G30" s="85">
        <v>10.199999999999999</v>
      </c>
      <c r="H30" s="674"/>
      <c r="I30" s="85"/>
      <c r="J30" s="561"/>
      <c r="K30" s="561" t="s">
        <v>9</v>
      </c>
      <c r="L30" s="625">
        <v>10.199999999999999</v>
      </c>
      <c r="M30" s="59"/>
      <c r="N30" s="73" t="e">
        <f>+L30/M30</f>
        <v>#DIV/0!</v>
      </c>
      <c r="O30" s="625">
        <v>10.199999999999999</v>
      </c>
      <c r="P30" s="59"/>
      <c r="Q30" s="73" t="e">
        <f>+O30/P30</f>
        <v>#DIV/0!</v>
      </c>
      <c r="R30" s="625">
        <v>10.199999999999999</v>
      </c>
      <c r="S30" s="59"/>
      <c r="T30" s="73" t="e">
        <f>+R30/S30</f>
        <v>#DIV/0!</v>
      </c>
      <c r="U30" s="625">
        <v>10.199999999999999</v>
      </c>
      <c r="V30" s="59"/>
      <c r="W30" s="73" t="e">
        <f>+U30/V30</f>
        <v>#DIV/0!</v>
      </c>
      <c r="X30" s="625">
        <v>10.199999999999999</v>
      </c>
      <c r="Y30" s="59"/>
      <c r="Z30" s="73" t="e">
        <f>+X30/Y30</f>
        <v>#DIV/0!</v>
      </c>
      <c r="AA30" s="625">
        <v>10.199999999999999</v>
      </c>
      <c r="AB30" s="59">
        <v>7</v>
      </c>
      <c r="AC30" s="73">
        <f>+AA30/AB30</f>
        <v>1.4571428571428571</v>
      </c>
      <c r="AD30" s="28">
        <f>(+M30+P30+S30+V30+Y30+AB30)/6</f>
        <v>1.1666666666666667</v>
      </c>
      <c r="AE30" s="73">
        <f>+G30/AD30</f>
        <v>8.742857142857142</v>
      </c>
      <c r="AF30" s="625">
        <v>10.199999999999999</v>
      </c>
      <c r="AG30" s="59">
        <v>8.5</v>
      </c>
      <c r="AH30" s="73">
        <f>+AF30/AG30</f>
        <v>1.2</v>
      </c>
      <c r="AI30" s="625">
        <v>10.199999999999999</v>
      </c>
      <c r="AJ30" s="59">
        <v>3.9</v>
      </c>
      <c r="AK30" s="73">
        <f>+AI30/AJ30</f>
        <v>2.6153846153846154</v>
      </c>
      <c r="AL30" s="625">
        <v>10.199999999999999</v>
      </c>
      <c r="AM30" s="59">
        <v>8.1</v>
      </c>
      <c r="AN30" s="73">
        <f>+AL30/AM30</f>
        <v>1.2592592592592593</v>
      </c>
      <c r="AO30" s="625">
        <v>10.199999999999999</v>
      </c>
      <c r="AP30" s="59">
        <v>8.1999999999999993</v>
      </c>
      <c r="AQ30" s="73">
        <f>+AO30/AP30</f>
        <v>1.2439024390243902</v>
      </c>
      <c r="AR30" s="625">
        <v>10.199999999999999</v>
      </c>
      <c r="AS30" s="59">
        <v>6.27</v>
      </c>
      <c r="AT30" s="73">
        <f>+AR30/AS30</f>
        <v>1.6267942583732058</v>
      </c>
      <c r="AU30" s="625">
        <v>10.199999999999999</v>
      </c>
      <c r="AV30" s="59">
        <v>10.199999999999999</v>
      </c>
      <c r="AW30" s="73">
        <f>+AU30/AV30</f>
        <v>1</v>
      </c>
      <c r="AX30" s="625">
        <f>(+M30+P30+S30+V30+Y30+AB30+AG30+AJ30+AM30+AP30+AS30+AV30)/12</f>
        <v>4.3475000000000001</v>
      </c>
      <c r="AY30" s="73">
        <f>+G30/AX30</f>
        <v>2.3461759631972394</v>
      </c>
    </row>
    <row r="31" spans="1:51" s="22" customFormat="1" ht="57.75" thickTop="1" thickBot="1">
      <c r="A31" s="2906"/>
      <c r="B31" s="2493" t="s">
        <v>150</v>
      </c>
      <c r="C31" s="2494" t="s">
        <v>379</v>
      </c>
      <c r="D31" s="2495" t="s">
        <v>152</v>
      </c>
      <c r="E31" s="2494" t="s">
        <v>153</v>
      </c>
      <c r="F31" s="2494" t="s">
        <v>17</v>
      </c>
      <c r="G31" s="2494">
        <v>37</v>
      </c>
      <c r="H31" s="2494"/>
      <c r="I31" s="2494"/>
      <c r="J31" s="2494"/>
      <c r="K31" s="2494" t="s">
        <v>21</v>
      </c>
      <c r="L31" s="665">
        <v>0</v>
      </c>
      <c r="M31" s="2496">
        <v>45</v>
      </c>
      <c r="N31" s="73">
        <f>+L31/M31</f>
        <v>0</v>
      </c>
      <c r="O31" s="665">
        <v>0</v>
      </c>
      <c r="P31" s="2496">
        <v>37</v>
      </c>
      <c r="Q31" s="73">
        <f>+O31/P31</f>
        <v>0</v>
      </c>
      <c r="R31" s="665">
        <v>37</v>
      </c>
      <c r="S31" s="2496">
        <v>37</v>
      </c>
      <c r="T31" s="73">
        <f>+R31/S31</f>
        <v>1</v>
      </c>
      <c r="U31" s="665">
        <v>37</v>
      </c>
      <c r="V31" s="2496">
        <v>15</v>
      </c>
      <c r="W31" s="73">
        <f>+U31/V31</f>
        <v>2.4666666666666668</v>
      </c>
      <c r="X31" s="665">
        <v>37</v>
      </c>
      <c r="Y31" s="2496">
        <v>15</v>
      </c>
      <c r="Z31" s="73">
        <f>+X31/Y31</f>
        <v>2.4666666666666668</v>
      </c>
      <c r="AA31" s="665">
        <v>37</v>
      </c>
      <c r="AB31" s="2496">
        <v>15</v>
      </c>
      <c r="AC31" s="73">
        <f>+AA31/AB31</f>
        <v>2.4666666666666668</v>
      </c>
      <c r="AD31" s="28">
        <f>(+M31+P31+S31+V31+Y31+AB31)/4</f>
        <v>41</v>
      </c>
      <c r="AE31" s="73">
        <f>+G31/AD31</f>
        <v>0.90243902439024393</v>
      </c>
      <c r="AF31" s="665">
        <v>37</v>
      </c>
      <c r="AG31" s="2496">
        <v>15</v>
      </c>
      <c r="AH31" s="73">
        <f>+AF31/AG31</f>
        <v>2.4666666666666668</v>
      </c>
      <c r="AI31" s="665">
        <v>37</v>
      </c>
      <c r="AJ31" s="2496">
        <v>37</v>
      </c>
      <c r="AK31" s="73">
        <f>+AI31/AJ31</f>
        <v>1</v>
      </c>
      <c r="AL31" s="665">
        <v>37</v>
      </c>
      <c r="AM31" s="2496">
        <v>45</v>
      </c>
      <c r="AN31" s="73">
        <f>+AL31/AM31</f>
        <v>0.82222222222222219</v>
      </c>
      <c r="AO31" s="665">
        <v>37</v>
      </c>
      <c r="AP31" s="2496">
        <v>37</v>
      </c>
      <c r="AQ31" s="73">
        <f>+AO31/AP31</f>
        <v>1</v>
      </c>
      <c r="AR31" s="665">
        <v>37</v>
      </c>
      <c r="AS31" s="2496">
        <v>37</v>
      </c>
      <c r="AT31" s="73">
        <f>+AR31/AS31</f>
        <v>1</v>
      </c>
      <c r="AU31" s="665">
        <v>37</v>
      </c>
      <c r="AV31" s="2496">
        <v>37</v>
      </c>
      <c r="AW31" s="73">
        <f>+AU31/AV31</f>
        <v>1</v>
      </c>
      <c r="AX31" s="2497">
        <f>(+M31+P31+S31+V31+Y31+AB31+AG31+AJ31+AM31+AP31+AS31+AV31)/10</f>
        <v>37.200000000000003</v>
      </c>
      <c r="AY31" s="73">
        <f>+G31/AX31</f>
        <v>0.99462365591397839</v>
      </c>
    </row>
    <row r="32" spans="1:51" s="22" customFormat="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1039"/>
      <c r="M32" s="1040"/>
      <c r="N32" s="2471"/>
      <c r="O32" s="2471"/>
      <c r="P32" s="2471"/>
      <c r="Q32" s="2471"/>
      <c r="R32" s="2471"/>
      <c r="S32" s="2471"/>
      <c r="T32" s="2471"/>
      <c r="U32" s="2471"/>
      <c r="V32" s="2471"/>
      <c r="W32" s="2471"/>
      <c r="X32" s="2471"/>
      <c r="Y32" s="2471"/>
      <c r="Z32" s="2470"/>
      <c r="AA32" s="2471"/>
      <c r="AB32" s="2471"/>
      <c r="AC32" s="2470"/>
      <c r="AD32" s="2471"/>
      <c r="AE32" s="2470"/>
      <c r="AF32" s="2471"/>
      <c r="AG32" s="2471"/>
      <c r="AH32" s="2471"/>
      <c r="AI32" s="2471"/>
      <c r="AJ32" s="2471"/>
      <c r="AK32" s="2470"/>
      <c r="AL32" s="2471"/>
      <c r="AM32" s="2471"/>
      <c r="AN32" s="2470"/>
      <c r="AO32" s="2471"/>
      <c r="AP32" s="2471"/>
      <c r="AQ32" s="2470"/>
      <c r="AR32" s="2471"/>
      <c r="AS32" s="2471"/>
      <c r="AT32" s="2470"/>
      <c r="AU32" s="2471"/>
      <c r="AV32" s="2471"/>
      <c r="AW32" s="2470"/>
      <c r="AX32" s="2471"/>
      <c r="AY32" s="2498"/>
    </row>
    <row r="33" spans="1:51" s="1698" customFormat="1" ht="64.5" thickTop="1" thickBot="1">
      <c r="A33" s="100" t="s">
        <v>155</v>
      </c>
      <c r="B33" s="1101" t="s">
        <v>156</v>
      </c>
      <c r="C33" s="1106" t="s">
        <v>184</v>
      </c>
      <c r="D33" s="1107" t="s">
        <v>158</v>
      </c>
      <c r="E33" s="1106" t="s">
        <v>159</v>
      </c>
      <c r="F33" s="1106" t="s">
        <v>17</v>
      </c>
      <c r="G33" s="1108">
        <v>10</v>
      </c>
      <c r="H33" s="1106"/>
      <c r="I33" s="1108"/>
      <c r="J33" s="1106"/>
      <c r="K33" s="72" t="s">
        <v>27</v>
      </c>
      <c r="L33" s="665">
        <v>0</v>
      </c>
      <c r="M33" s="2496"/>
      <c r="N33" s="73" t="e">
        <f t="shared" si="1"/>
        <v>#DIV/0!</v>
      </c>
      <c r="O33" s="665">
        <v>0</v>
      </c>
      <c r="P33" s="2496"/>
      <c r="Q33" s="73" t="e">
        <f t="shared" si="2"/>
        <v>#DIV/0!</v>
      </c>
      <c r="R33" s="665">
        <v>0</v>
      </c>
      <c r="S33" s="2496"/>
      <c r="T33" s="73" t="e">
        <f t="shared" si="3"/>
        <v>#DIV/0!</v>
      </c>
      <c r="U33" s="665">
        <v>0</v>
      </c>
      <c r="V33" s="2496"/>
      <c r="W33" s="73" t="e">
        <f t="shared" si="0"/>
        <v>#DIV/0!</v>
      </c>
      <c r="X33" s="665">
        <v>2</v>
      </c>
      <c r="Y33" s="2496">
        <v>2</v>
      </c>
      <c r="Z33" s="73">
        <f t="shared" si="4"/>
        <v>1</v>
      </c>
      <c r="AA33" s="665">
        <v>0</v>
      </c>
      <c r="AB33" s="2496"/>
      <c r="AC33" s="73" t="e">
        <f>+AB33/AA33</f>
        <v>#DIV/0!</v>
      </c>
      <c r="AD33" s="28">
        <f>+Y33</f>
        <v>2</v>
      </c>
      <c r="AE33" s="73">
        <f t="shared" si="17"/>
        <v>0.2</v>
      </c>
      <c r="AF33" s="665">
        <v>1</v>
      </c>
      <c r="AG33" s="2496">
        <v>1</v>
      </c>
      <c r="AH33" s="73">
        <f t="shared" si="8"/>
        <v>1</v>
      </c>
      <c r="AI33" s="665">
        <v>3</v>
      </c>
      <c r="AJ33" s="2496">
        <v>3</v>
      </c>
      <c r="AK33" s="73">
        <f t="shared" si="9"/>
        <v>1</v>
      </c>
      <c r="AL33" s="665">
        <v>1</v>
      </c>
      <c r="AM33" s="2496">
        <v>1</v>
      </c>
      <c r="AN33" s="73">
        <f t="shared" si="10"/>
        <v>1</v>
      </c>
      <c r="AO33" s="665">
        <v>3</v>
      </c>
      <c r="AP33" s="2496">
        <v>3</v>
      </c>
      <c r="AQ33" s="73">
        <f t="shared" si="11"/>
        <v>1</v>
      </c>
      <c r="AR33" s="665">
        <v>0</v>
      </c>
      <c r="AS33" s="2496"/>
      <c r="AT33" s="73" t="e">
        <f t="shared" si="12"/>
        <v>#DIV/0!</v>
      </c>
      <c r="AU33" s="665">
        <v>0</v>
      </c>
      <c r="AV33" s="2496"/>
      <c r="AW33" s="73" t="e">
        <f t="shared" ref="AW33" si="21">+AV33/AU33</f>
        <v>#DIV/0!</v>
      </c>
      <c r="AX33" s="2497">
        <f>+AP33+AM33+AJ33+AG33+Y33</f>
        <v>10</v>
      </c>
      <c r="AY33" s="73">
        <f t="shared" ref="AY33" si="22">+AX33/G33</f>
        <v>1</v>
      </c>
    </row>
    <row r="34" spans="1:51" ht="17.25" thickTop="1"/>
  </sheetData>
  <sheetProtection algorithmName="SHA-512" hashValue="kdIbP6K+8qZFgR72BOeR2EpJ0YElrVfFd2ho7DaGS8onAs/J2NvGDr6m099xPWnFR430vS4hQA+qoVafy8jadQ==" saltValue="YQNDrzC9+mXlNl+6JbxViA==" spinCount="100000" sheet="1" objects="1" scenarios="1"/>
  <mergeCells count="36">
    <mergeCell ref="A28:K28"/>
    <mergeCell ref="A29:A31"/>
    <mergeCell ref="B29:B30"/>
    <mergeCell ref="A32:K32"/>
    <mergeCell ref="AO5:AQ7"/>
    <mergeCell ref="K5:K7"/>
    <mergeCell ref="L5:N7"/>
    <mergeCell ref="O5:Q7"/>
    <mergeCell ref="R5:T7"/>
    <mergeCell ref="U5:W7"/>
    <mergeCell ref="AR5:AT7"/>
    <mergeCell ref="AU5:AW7"/>
    <mergeCell ref="AX5:AY7"/>
    <mergeCell ref="A8:K8"/>
    <mergeCell ref="A9:A27"/>
    <mergeCell ref="B9:B10"/>
    <mergeCell ref="B11:B26"/>
    <mergeCell ref="C12:C15"/>
    <mergeCell ref="C20:C26"/>
    <mergeCell ref="X5:Z7"/>
    <mergeCell ref="AA5:AC7"/>
    <mergeCell ref="AD5:AE7"/>
    <mergeCell ref="AF5:AH7"/>
    <mergeCell ref="AI5:AK7"/>
    <mergeCell ref="AL5:AN7"/>
    <mergeCell ref="H5:J6"/>
    <mergeCell ref="C1:K1"/>
    <mergeCell ref="A2:K2"/>
    <mergeCell ref="A3:K3"/>
    <mergeCell ref="A5:A7"/>
    <mergeCell ref="B5:B7"/>
    <mergeCell ref="C5:C7"/>
    <mergeCell ref="D5:D7"/>
    <mergeCell ref="E5:E7"/>
    <mergeCell ref="F5:F7"/>
    <mergeCell ref="G5:G7"/>
  </mergeCells>
  <conditionalFormatting sqref="N9:N27">
    <cfRule type="cellIs" dxfId="2204" priority="131" operator="greaterThan">
      <formula>110%</formula>
    </cfRule>
    <cfRule type="cellIs" dxfId="2203" priority="132" operator="between">
      <formula>100.001%</formula>
      <formula>110%</formula>
    </cfRule>
    <cfRule type="cellIs" dxfId="2202" priority="133" operator="between">
      <formula>70.001%</formula>
      <formula>100%</formula>
    </cfRule>
    <cfRule type="cellIs" dxfId="2201" priority="134" operator="between">
      <formula>0.00001%</formula>
      <formula>70%</formula>
    </cfRule>
    <cfRule type="cellIs" dxfId="2200" priority="135" operator="equal">
      <formula>0</formula>
    </cfRule>
  </conditionalFormatting>
  <conditionalFormatting sqref="N33 N29:N31">
    <cfRule type="cellIs" dxfId="2199" priority="126" operator="greaterThan">
      <formula>110%</formula>
    </cfRule>
    <cfRule type="cellIs" dxfId="2198" priority="127" operator="between">
      <formula>100.001%</formula>
      <formula>110%</formula>
    </cfRule>
    <cfRule type="cellIs" dxfId="2197" priority="128" operator="between">
      <formula>70.001%</formula>
      <formula>100%</formula>
    </cfRule>
    <cfRule type="cellIs" dxfId="2196" priority="129" operator="between">
      <formula>0.00001%</formula>
      <formula>70%</formula>
    </cfRule>
    <cfRule type="cellIs" dxfId="2195" priority="130" operator="equal">
      <formula>0</formula>
    </cfRule>
  </conditionalFormatting>
  <conditionalFormatting sqref="Q9:Q27">
    <cfRule type="cellIs" dxfId="2194" priority="121" operator="greaterThan">
      <formula>110%</formula>
    </cfRule>
    <cfRule type="cellIs" dxfId="2193" priority="122" operator="between">
      <formula>100.001%</formula>
      <formula>110%</formula>
    </cfRule>
    <cfRule type="cellIs" dxfId="2192" priority="123" operator="between">
      <formula>70.001%</formula>
      <formula>100%</formula>
    </cfRule>
    <cfRule type="cellIs" dxfId="2191" priority="124" operator="between">
      <formula>0.00001%</formula>
      <formula>70%</formula>
    </cfRule>
    <cfRule type="cellIs" dxfId="2190" priority="125" operator="equal">
      <formula>0</formula>
    </cfRule>
  </conditionalFormatting>
  <conditionalFormatting sqref="Q33 Q29:Q31">
    <cfRule type="cellIs" dxfId="2189" priority="116" operator="greaterThan">
      <formula>110%</formula>
    </cfRule>
    <cfRule type="cellIs" dxfId="2188" priority="117" operator="between">
      <formula>100.001%</formula>
      <formula>110%</formula>
    </cfRule>
    <cfRule type="cellIs" dxfId="2187" priority="118" operator="between">
      <formula>70.001%</formula>
      <formula>100%</formula>
    </cfRule>
    <cfRule type="cellIs" dxfId="2186" priority="119" operator="between">
      <formula>0.00001%</formula>
      <formula>70%</formula>
    </cfRule>
    <cfRule type="cellIs" dxfId="2185" priority="120" operator="equal">
      <formula>0</formula>
    </cfRule>
  </conditionalFormatting>
  <conditionalFormatting sqref="T9:T27">
    <cfRule type="cellIs" dxfId="2184" priority="111" operator="greaterThan">
      <formula>110%</formula>
    </cfRule>
    <cfRule type="cellIs" dxfId="2183" priority="112" operator="between">
      <formula>100.001%</formula>
      <formula>110%</formula>
    </cfRule>
    <cfRule type="cellIs" dxfId="2182" priority="113" operator="between">
      <formula>70.001%</formula>
      <formula>100%</formula>
    </cfRule>
    <cfRule type="cellIs" dxfId="2181" priority="114" operator="between">
      <formula>0.00001%</formula>
      <formula>70%</formula>
    </cfRule>
    <cfRule type="cellIs" dxfId="2180" priority="115" operator="equal">
      <formula>0</formula>
    </cfRule>
  </conditionalFormatting>
  <conditionalFormatting sqref="T33 T29:T31">
    <cfRule type="cellIs" dxfId="2179" priority="106" operator="greaterThan">
      <formula>110%</formula>
    </cfRule>
    <cfRule type="cellIs" dxfId="2178" priority="107" operator="between">
      <formula>100.001%</formula>
      <formula>110%</formula>
    </cfRule>
    <cfRule type="cellIs" dxfId="2177" priority="108" operator="between">
      <formula>70.001%</formula>
      <formula>100%</formula>
    </cfRule>
    <cfRule type="cellIs" dxfId="2176" priority="109" operator="between">
      <formula>0.00001%</formula>
      <formula>70%</formula>
    </cfRule>
    <cfRule type="cellIs" dxfId="2175" priority="110" operator="equal">
      <formula>0</formula>
    </cfRule>
  </conditionalFormatting>
  <conditionalFormatting sqref="W9:W27">
    <cfRule type="cellIs" dxfId="2174" priority="101" operator="greaterThan">
      <formula>110%</formula>
    </cfRule>
    <cfRule type="cellIs" dxfId="2173" priority="102" operator="between">
      <formula>100.001%</formula>
      <formula>110%</formula>
    </cfRule>
    <cfRule type="cellIs" dxfId="2172" priority="103" operator="between">
      <formula>70.001%</formula>
      <formula>100%</formula>
    </cfRule>
    <cfRule type="cellIs" dxfId="2171" priority="104" operator="between">
      <formula>0.00001%</formula>
      <formula>70%</formula>
    </cfRule>
    <cfRule type="cellIs" dxfId="2170" priority="105" operator="equal">
      <formula>0</formula>
    </cfRule>
  </conditionalFormatting>
  <conditionalFormatting sqref="W33 W29:W31">
    <cfRule type="cellIs" dxfId="2169" priority="96" operator="greaterThan">
      <formula>110%</formula>
    </cfRule>
    <cfRule type="cellIs" dxfId="2168" priority="97" operator="between">
      <formula>100.001%</formula>
      <formula>110%</formula>
    </cfRule>
    <cfRule type="cellIs" dxfId="2167" priority="98" operator="between">
      <formula>70.001%</formula>
      <formula>100%</formula>
    </cfRule>
    <cfRule type="cellIs" dxfId="2166" priority="99" operator="between">
      <formula>0.00001%</formula>
      <formula>70%</formula>
    </cfRule>
    <cfRule type="cellIs" dxfId="2165" priority="100" operator="equal">
      <formula>0</formula>
    </cfRule>
  </conditionalFormatting>
  <conditionalFormatting sqref="Z9:Z27">
    <cfRule type="cellIs" dxfId="2164" priority="91" operator="greaterThan">
      <formula>110%</formula>
    </cfRule>
    <cfRule type="cellIs" dxfId="2163" priority="92" operator="between">
      <formula>100.001%</formula>
      <formula>110%</formula>
    </cfRule>
    <cfRule type="cellIs" dxfId="2162" priority="93" operator="between">
      <formula>70.001%</formula>
      <formula>100%</formula>
    </cfRule>
    <cfRule type="cellIs" dxfId="2161" priority="94" operator="between">
      <formula>0.00001%</formula>
      <formula>70%</formula>
    </cfRule>
    <cfRule type="cellIs" dxfId="2160" priority="95" operator="equal">
      <formula>0</formula>
    </cfRule>
  </conditionalFormatting>
  <conditionalFormatting sqref="Z33 Z29:Z31">
    <cfRule type="cellIs" dxfId="2159" priority="86" operator="greaterThan">
      <formula>110%</formula>
    </cfRule>
    <cfRule type="cellIs" dxfId="2158" priority="87" operator="between">
      <formula>100.001%</formula>
      <formula>110%</formula>
    </cfRule>
    <cfRule type="cellIs" dxfId="2157" priority="88" operator="between">
      <formula>70.001%</formula>
      <formula>100%</formula>
    </cfRule>
    <cfRule type="cellIs" dxfId="2156" priority="89" operator="between">
      <formula>0.00001%</formula>
      <formula>70%</formula>
    </cfRule>
    <cfRule type="cellIs" dxfId="2155" priority="90" operator="equal">
      <formula>0</formula>
    </cfRule>
  </conditionalFormatting>
  <conditionalFormatting sqref="AC9:AC27">
    <cfRule type="cellIs" dxfId="2154" priority="81" operator="greaterThan">
      <formula>110%</formula>
    </cfRule>
    <cfRule type="cellIs" dxfId="2153" priority="82" operator="between">
      <formula>100.001%</formula>
      <formula>110%</formula>
    </cfRule>
    <cfRule type="cellIs" dxfId="2152" priority="83" operator="between">
      <formula>70.001%</formula>
      <formula>100%</formula>
    </cfRule>
    <cfRule type="cellIs" dxfId="2151" priority="84" operator="between">
      <formula>0.00001%</formula>
      <formula>70%</formula>
    </cfRule>
    <cfRule type="cellIs" dxfId="2150" priority="85" operator="equal">
      <formula>0</formula>
    </cfRule>
  </conditionalFormatting>
  <conditionalFormatting sqref="AC33 AC29:AC31">
    <cfRule type="cellIs" dxfId="2149" priority="76" operator="greaterThan">
      <formula>110%</formula>
    </cfRule>
    <cfRule type="cellIs" dxfId="2148" priority="77" operator="between">
      <formula>100.001%</formula>
      <formula>110%</formula>
    </cfRule>
    <cfRule type="cellIs" dxfId="2147" priority="78" operator="between">
      <formula>70.001%</formula>
      <formula>100%</formula>
    </cfRule>
    <cfRule type="cellIs" dxfId="2146" priority="79" operator="between">
      <formula>0.00001%</formula>
      <formula>70%</formula>
    </cfRule>
    <cfRule type="cellIs" dxfId="2145" priority="80" operator="equal">
      <formula>0</formula>
    </cfRule>
  </conditionalFormatting>
  <conditionalFormatting sqref="AE33 AE9:AE27 AE29:AE31">
    <cfRule type="cellIs" dxfId="2144" priority="71" operator="greaterThan">
      <formula>110%</formula>
    </cfRule>
    <cfRule type="cellIs" dxfId="2143" priority="72" operator="between">
      <formula>100.001%</formula>
      <formula>110%</formula>
    </cfRule>
    <cfRule type="cellIs" dxfId="2142" priority="73" operator="between">
      <formula>70.001%</formula>
      <formula>100%</formula>
    </cfRule>
    <cfRule type="cellIs" dxfId="2141" priority="74" operator="between">
      <formula>0.00001%</formula>
      <formula>70%</formula>
    </cfRule>
    <cfRule type="cellIs" dxfId="2140" priority="75" operator="equal">
      <formula>0</formula>
    </cfRule>
  </conditionalFormatting>
  <conditionalFormatting sqref="AH9:AH27">
    <cfRule type="cellIs" dxfId="2139" priority="66" operator="greaterThan">
      <formula>110%</formula>
    </cfRule>
    <cfRule type="cellIs" dxfId="2138" priority="67" operator="between">
      <formula>100.001%</formula>
      <formula>110%</formula>
    </cfRule>
    <cfRule type="cellIs" dxfId="2137" priority="68" operator="between">
      <formula>70.001%</formula>
      <formula>100%</formula>
    </cfRule>
    <cfRule type="cellIs" dxfId="2136" priority="69" operator="between">
      <formula>0.00001%</formula>
      <formula>70%</formula>
    </cfRule>
    <cfRule type="cellIs" dxfId="2135" priority="70" operator="equal">
      <formula>0</formula>
    </cfRule>
  </conditionalFormatting>
  <conditionalFormatting sqref="AH33 AH29:AH31">
    <cfRule type="cellIs" dxfId="2134" priority="61" operator="greaterThan">
      <formula>110%</formula>
    </cfRule>
    <cfRule type="cellIs" dxfId="2133" priority="62" operator="between">
      <formula>100.001%</formula>
      <formula>110%</formula>
    </cfRule>
    <cfRule type="cellIs" dxfId="2132" priority="63" operator="between">
      <formula>70.001%</formula>
      <formula>100%</formula>
    </cfRule>
    <cfRule type="cellIs" dxfId="2131" priority="64" operator="between">
      <formula>0.00001%</formula>
      <formula>70%</formula>
    </cfRule>
    <cfRule type="cellIs" dxfId="2130" priority="65" operator="equal">
      <formula>0</formula>
    </cfRule>
  </conditionalFormatting>
  <conditionalFormatting sqref="AK9:AK27">
    <cfRule type="cellIs" dxfId="2129" priority="56" operator="greaterThan">
      <formula>110%</formula>
    </cfRule>
    <cfRule type="cellIs" dxfId="2128" priority="57" operator="between">
      <formula>100.001%</formula>
      <formula>110%</formula>
    </cfRule>
    <cfRule type="cellIs" dxfId="2127" priority="58" operator="between">
      <formula>70.001%</formula>
      <formula>100%</formula>
    </cfRule>
    <cfRule type="cellIs" dxfId="2126" priority="59" operator="between">
      <formula>0.00001%</formula>
      <formula>70%</formula>
    </cfRule>
    <cfRule type="cellIs" dxfId="2125" priority="60" operator="equal">
      <formula>0</formula>
    </cfRule>
  </conditionalFormatting>
  <conditionalFormatting sqref="AK33 AK29:AK31">
    <cfRule type="cellIs" dxfId="2124" priority="51" operator="greaterThan">
      <formula>110%</formula>
    </cfRule>
    <cfRule type="cellIs" dxfId="2123" priority="52" operator="between">
      <formula>100.001%</formula>
      <formula>110%</formula>
    </cfRule>
    <cfRule type="cellIs" dxfId="2122" priority="53" operator="between">
      <formula>70.001%</formula>
      <formula>100%</formula>
    </cfRule>
    <cfRule type="cellIs" dxfId="2121" priority="54" operator="between">
      <formula>0.00001%</formula>
      <formula>70%</formula>
    </cfRule>
    <cfRule type="cellIs" dxfId="2120" priority="55" operator="equal">
      <formula>0</formula>
    </cfRule>
  </conditionalFormatting>
  <conditionalFormatting sqref="AN9:AN27">
    <cfRule type="cellIs" dxfId="2119" priority="46" operator="greaterThan">
      <formula>110%</formula>
    </cfRule>
    <cfRule type="cellIs" dxfId="2118" priority="47" operator="between">
      <formula>100.001%</formula>
      <formula>110%</formula>
    </cfRule>
    <cfRule type="cellIs" dxfId="2117" priority="48" operator="between">
      <formula>70.001%</formula>
      <formula>100%</formula>
    </cfRule>
    <cfRule type="cellIs" dxfId="2116" priority="49" operator="between">
      <formula>0.00001%</formula>
      <formula>70%</formula>
    </cfRule>
    <cfRule type="cellIs" dxfId="2115" priority="50" operator="equal">
      <formula>0</formula>
    </cfRule>
  </conditionalFormatting>
  <conditionalFormatting sqref="AN33 AN29:AN31">
    <cfRule type="cellIs" dxfId="2114" priority="41" operator="greaterThan">
      <formula>110%</formula>
    </cfRule>
    <cfRule type="cellIs" dxfId="2113" priority="42" operator="between">
      <formula>100.001%</formula>
      <formula>110%</formula>
    </cfRule>
    <cfRule type="cellIs" dxfId="2112" priority="43" operator="between">
      <formula>70.001%</formula>
      <formula>100%</formula>
    </cfRule>
    <cfRule type="cellIs" dxfId="2111" priority="44" operator="between">
      <formula>0.00001%</formula>
      <formula>70%</formula>
    </cfRule>
    <cfRule type="cellIs" dxfId="2110" priority="45" operator="equal">
      <formula>0</formula>
    </cfRule>
  </conditionalFormatting>
  <conditionalFormatting sqref="AQ9:AQ27">
    <cfRule type="cellIs" dxfId="2109" priority="36" operator="greaterThan">
      <formula>110%</formula>
    </cfRule>
    <cfRule type="cellIs" dxfId="2108" priority="37" operator="between">
      <formula>100.001%</formula>
      <formula>110%</formula>
    </cfRule>
    <cfRule type="cellIs" dxfId="2107" priority="38" operator="between">
      <formula>70.001%</formula>
      <formula>100%</formula>
    </cfRule>
    <cfRule type="cellIs" dxfId="2106" priority="39" operator="between">
      <formula>0.00001%</formula>
      <formula>70%</formula>
    </cfRule>
    <cfRule type="cellIs" dxfId="2105" priority="40" operator="equal">
      <formula>0</formula>
    </cfRule>
  </conditionalFormatting>
  <conditionalFormatting sqref="AQ33 AQ29:AQ31">
    <cfRule type="cellIs" dxfId="2104" priority="31" operator="greaterThan">
      <formula>110%</formula>
    </cfRule>
    <cfRule type="cellIs" dxfId="2103" priority="32" operator="between">
      <formula>100.001%</formula>
      <formula>110%</formula>
    </cfRule>
    <cfRule type="cellIs" dxfId="2102" priority="33" operator="between">
      <formula>70.001%</formula>
      <formula>100%</formula>
    </cfRule>
    <cfRule type="cellIs" dxfId="2101" priority="34" operator="between">
      <formula>0.00001%</formula>
      <formula>70%</formula>
    </cfRule>
    <cfRule type="cellIs" dxfId="2100" priority="35" operator="equal">
      <formula>0</formula>
    </cfRule>
  </conditionalFormatting>
  <conditionalFormatting sqref="AT9:AT27">
    <cfRule type="cellIs" dxfId="2099" priority="26" operator="greaterThan">
      <formula>110%</formula>
    </cfRule>
    <cfRule type="cellIs" dxfId="2098" priority="27" operator="between">
      <formula>100.001%</formula>
      <formula>110%</formula>
    </cfRule>
    <cfRule type="cellIs" dxfId="2097" priority="28" operator="between">
      <formula>70.001%</formula>
      <formula>100%</formula>
    </cfRule>
    <cfRule type="cellIs" dxfId="2096" priority="29" operator="between">
      <formula>0.00001%</formula>
      <formula>70%</formula>
    </cfRule>
    <cfRule type="cellIs" dxfId="2095" priority="30" operator="equal">
      <formula>0</formula>
    </cfRule>
  </conditionalFormatting>
  <conditionalFormatting sqref="AT33 AT29:AT31">
    <cfRule type="cellIs" dxfId="2094" priority="21" operator="greaterThan">
      <formula>110%</formula>
    </cfRule>
    <cfRule type="cellIs" dxfId="2093" priority="22" operator="between">
      <formula>100.001%</formula>
      <formula>110%</formula>
    </cfRule>
    <cfRule type="cellIs" dxfId="2092" priority="23" operator="between">
      <formula>70.001%</formula>
      <formula>100%</formula>
    </cfRule>
    <cfRule type="cellIs" dxfId="2091" priority="24" operator="between">
      <formula>0.00001%</formula>
      <formula>70%</formula>
    </cfRule>
    <cfRule type="cellIs" dxfId="2090" priority="25" operator="equal">
      <formula>0</formula>
    </cfRule>
  </conditionalFormatting>
  <conditionalFormatting sqref="AW9:AW27">
    <cfRule type="cellIs" dxfId="2089" priority="16" operator="greaterThan">
      <formula>110%</formula>
    </cfRule>
    <cfRule type="cellIs" dxfId="2088" priority="17" operator="between">
      <formula>100.001%</formula>
      <formula>110%</formula>
    </cfRule>
    <cfRule type="cellIs" dxfId="2087" priority="18" operator="between">
      <formula>70.001%</formula>
      <formula>100%</formula>
    </cfRule>
    <cfRule type="cellIs" dxfId="2086" priority="19" operator="between">
      <formula>0.00001%</formula>
      <formula>70%</formula>
    </cfRule>
    <cfRule type="cellIs" dxfId="2085" priority="20" operator="equal">
      <formula>0</formula>
    </cfRule>
  </conditionalFormatting>
  <conditionalFormatting sqref="AW33 AW29:AW31">
    <cfRule type="cellIs" dxfId="2084" priority="11" operator="greaterThan">
      <formula>110%</formula>
    </cfRule>
    <cfRule type="cellIs" dxfId="2083" priority="12" operator="between">
      <formula>100.001%</formula>
      <formula>110%</formula>
    </cfRule>
    <cfRule type="cellIs" dxfId="2082" priority="13" operator="between">
      <formula>70.001%</formula>
      <formula>100%</formula>
    </cfRule>
    <cfRule type="cellIs" dxfId="2081" priority="14" operator="between">
      <formula>0.00001%</formula>
      <formula>70%</formula>
    </cfRule>
    <cfRule type="cellIs" dxfId="2080" priority="15" operator="equal">
      <formula>0</formula>
    </cfRule>
  </conditionalFormatting>
  <conditionalFormatting sqref="AY9:AY27">
    <cfRule type="cellIs" dxfId="2079" priority="6" operator="greaterThan">
      <formula>110%</formula>
    </cfRule>
    <cfRule type="cellIs" dxfId="2078" priority="7" operator="between">
      <formula>100.001%</formula>
      <formula>110%</formula>
    </cfRule>
    <cfRule type="cellIs" dxfId="2077" priority="8" operator="between">
      <formula>70.001%</formula>
      <formula>100%</formula>
    </cfRule>
    <cfRule type="cellIs" dxfId="2076" priority="9" operator="between">
      <formula>0.00001%</formula>
      <formula>70%</formula>
    </cfRule>
    <cfRule type="cellIs" dxfId="2075" priority="10" operator="equal">
      <formula>0</formula>
    </cfRule>
  </conditionalFormatting>
  <conditionalFormatting sqref="AY33 AY29:AY31">
    <cfRule type="cellIs" dxfId="2074" priority="1" operator="greaterThan">
      <formula>110%</formula>
    </cfRule>
    <cfRule type="cellIs" dxfId="2073" priority="2" operator="between">
      <formula>100.001%</formula>
      <formula>110%</formula>
    </cfRule>
    <cfRule type="cellIs" dxfId="2072" priority="3" operator="between">
      <formula>70.001%</formula>
      <formula>100%</formula>
    </cfRule>
    <cfRule type="cellIs" dxfId="2071" priority="4" operator="between">
      <formula>0.00001%</formula>
      <formula>70%</formula>
    </cfRule>
    <cfRule type="cellIs" dxfId="2070" priority="5" operator="equal">
      <formula>0</formula>
    </cfRule>
  </conditionalFormatting>
  <hyperlinks>
    <hyperlink ref="D11" location="'IN1-3'!Área_de_impresión" display="IN1-3 Recaudo Bruto" xr:uid="{00000000-0004-0000-2700-000000000000}"/>
    <hyperlink ref="D12" location="'FIS-4'!Área_de_impresión" display="FIS-4 Gestión efectiva en fiscalización tributaria" xr:uid="{00000000-0004-0000-2700-000001000000}"/>
    <hyperlink ref="D13" location="'FIS-10'!Área_de_impresión" display="FIS-10 Gestión aceptada en fiscalización tributaria" xr:uid="{00000000-0004-0000-2700-000002000000}"/>
    <hyperlink ref="D14" location="'FIS-27'!Área_de_impresión" display="FIS-27 Reclasificación de no responsables a responsables" xr:uid="{00000000-0004-0000-2700-000003000000}"/>
    <hyperlink ref="D15" location="'FIS-17'!Área_de_impresión" display="FIS-17 Evacuación de expedientes en fiscalización tributaria" xr:uid="{00000000-0004-0000-2700-000004000000}"/>
    <hyperlink ref="D16" location="'IN1-4'!Área_de_impresión" display="IN1-4 Recaudo por gestión de cartera" xr:uid="{00000000-0004-0000-2700-000005000000}"/>
    <hyperlink ref="D17" location="'IN1-5'!Área_de_impresión" display="IN1-5 Inscritos en el Régimen Simple de Tributación - RST" xr:uid="{00000000-0004-0000-2700-000006000000}"/>
    <hyperlink ref="D18" location="'IN1-6.1'!Área_de_impresión" display="IN1-6.1 Grado de cumplimiento del cronograma de campañas del RST" xr:uid="{00000000-0004-0000-2700-000007000000}"/>
    <hyperlink ref="D19" location="'IN1-8'!Área_de_impresión" display="IN1-8 Contribuyentes habilitados como facturadores electrónicos" xr:uid="{00000000-0004-0000-2700-000008000000}"/>
    <hyperlink ref="D20" location="'JUR-3.1'!Área_de_impresión" display="JUR-3.1 Porcentaje de éxito de litigiosidad" xr:uid="{00000000-0004-0000-2700-000009000000}"/>
    <hyperlink ref="D21" location="'JUR-3.2'!Área_de_impresión" display="JUR-3.2 Porcentaje procesos judiciales revisados con mayor riesgo en Ekogui" xr:uid="{00000000-0004-0000-2700-00000A000000}"/>
    <hyperlink ref="D22" location="'JUR-3.3'!Área_de_impresión" display="JUR-3.3 Porcentaje de análisis de jurisprudencia remitidos junto con la copia de la sentencia " xr:uid="{00000000-0004-0000-2700-00000B000000}"/>
    <hyperlink ref="D23" location="'JUR-3.4'!Área_de_impresión" display="JUR-3.4 Porcentaje de procesos revisados con VoBo del Jefe " xr:uid="{00000000-0004-0000-2700-00000C000000}"/>
    <hyperlink ref="D24" location="'JUR-3.5'!Área_de_impresión" display="JUR-3.5 Porcentaje de requerimientos atendidos en oportunidad" xr:uid="{00000000-0004-0000-2700-00000D000000}"/>
    <hyperlink ref="D25" location="'JUR-3.6'!Área_de_impresión" display="JUR-3.6 Porcentaje de funcionarios capacitaciones en cursos virtuales de la ANDJE" xr:uid="{00000000-0004-0000-2700-00000E000000}"/>
    <hyperlink ref="D26" location="'JUR-4'!Área_de_impresión" display="JUR-4 Porcentaje funcionarios que participaron en el concurso de escritura jurídica" xr:uid="{00000000-0004-0000-2700-00000F000000}"/>
    <hyperlink ref="D27" location="'FIS-24'!Área_de_impresión" display="FIS-24 Valor Decomisos de mercancías en firme" xr:uid="{00000000-0004-0000-2700-000010000000}"/>
    <hyperlink ref="D29" location="'IN1-11'!Área_de_impresión" display="IN1-11  Nivel de cobertura de personas sensibilizadas por el plan de cultura. ACTUALMENTE. Cumplimiento al Plan de Acción de Cultura de la Contribución" xr:uid="{00000000-0004-0000-2700-000011000000}"/>
    <hyperlink ref="D30" location="'JUR-7'!Área_de_impresión" display="JUR-7 Oportunidad en las decisiones de los recursos tributarios hasta su remisión a notificaciones" xr:uid="{00000000-0004-0000-2700-000012000000}"/>
    <hyperlink ref="D31" location="'IN1-15'!Área_de_impresión" display="'IN1-15'!Área_de_impresión" xr:uid="{00000000-0004-0000-2700-000013000000}"/>
    <hyperlink ref="D9" location="'DGRAE-1'!Área_de_impresión" display="DGRAE-1 Nivel de Ejecución del presupuesto " xr:uid="{00000000-0004-0000-2700-000014000000}"/>
    <hyperlink ref="D33" location="'DGRAE-25'!Área_de_impresión" display="DGRAE-25 Actividades que componen el  PIC para la Dirección de Gestión" xr:uid="{00000000-0004-0000-2700-000015000000}"/>
    <hyperlink ref="D10" location="'DGRAE-2'!A1" display="DGRAE-2 Nivel de ejecución del PAA de la Dirección" xr:uid="{00000000-0004-0000-2700-000016000000}"/>
    <hyperlink ref="AY2" location="'Consolidado '!A1" display="VOLVER" xr:uid="{00000000-0004-0000-2700-000017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Z28"/>
  <sheetViews>
    <sheetView topLeftCell="D1" zoomScale="60" zoomScaleNormal="60" workbookViewId="0">
      <selection activeCell="AZ2" sqref="AZ2"/>
    </sheetView>
  </sheetViews>
  <sheetFormatPr baseColWidth="10" defaultColWidth="11.42578125" defaultRowHeight="16.5"/>
  <cols>
    <col min="1" max="1" width="18.85546875" style="8" bestFit="1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63" customWidth="1"/>
    <col min="12" max="12" width="18.7109375" style="8" hidden="1" customWidth="1"/>
    <col min="13" max="13" width="18" style="8" hidden="1" customWidth="1"/>
    <col min="14" max="14" width="18" style="444" hidden="1" customWidth="1"/>
    <col min="15" max="16" width="18" style="8" hidden="1" customWidth="1"/>
    <col min="17" max="17" width="18" style="444" hidden="1" customWidth="1"/>
    <col min="18" max="18" width="18.7109375" style="8" hidden="1" customWidth="1"/>
    <col min="19" max="19" width="18" style="8" hidden="1" customWidth="1"/>
    <col min="20" max="20" width="18" style="444" hidden="1" customWidth="1"/>
    <col min="21" max="21" width="18.7109375" style="8" hidden="1" customWidth="1"/>
    <col min="22" max="22" width="18" style="8" hidden="1" customWidth="1"/>
    <col min="23" max="23" width="18" style="444" hidden="1" customWidth="1"/>
    <col min="24" max="24" width="18.7109375" style="8" hidden="1" customWidth="1"/>
    <col min="25" max="25" width="18" style="8" hidden="1" customWidth="1"/>
    <col min="26" max="26" width="18" style="444" hidden="1" customWidth="1"/>
    <col min="27" max="27" width="18.7109375" style="8" hidden="1" customWidth="1"/>
    <col min="28" max="28" width="18" style="8" hidden="1" customWidth="1"/>
    <col min="29" max="29" width="18" style="444" hidden="1" customWidth="1"/>
    <col min="30" max="30" width="18" style="8" hidden="1" customWidth="1"/>
    <col min="31" max="31" width="18" style="444" hidden="1" customWidth="1"/>
    <col min="32" max="32" width="18.7109375" style="8" hidden="1" customWidth="1"/>
    <col min="33" max="33" width="18" style="8" hidden="1" customWidth="1"/>
    <col min="34" max="34" width="18" style="444" hidden="1" customWidth="1"/>
    <col min="35" max="35" width="18.7109375" style="8" hidden="1" customWidth="1"/>
    <col min="36" max="36" width="18" style="8" hidden="1" customWidth="1"/>
    <col min="37" max="37" width="18" style="444" hidden="1" customWidth="1"/>
    <col min="38" max="38" width="18.7109375" style="8" hidden="1" customWidth="1"/>
    <col min="39" max="39" width="18" style="8" hidden="1" customWidth="1"/>
    <col min="40" max="40" width="18" style="444" hidden="1" customWidth="1"/>
    <col min="41" max="41" width="18.7109375" style="8" hidden="1" customWidth="1"/>
    <col min="42" max="42" width="18" style="8" hidden="1" customWidth="1"/>
    <col min="43" max="43" width="18" style="444" hidden="1" customWidth="1"/>
    <col min="44" max="44" width="18.7109375" style="8" hidden="1" customWidth="1"/>
    <col min="45" max="45" width="17.85546875" style="8" hidden="1" customWidth="1"/>
    <col min="46" max="46" width="18" style="444" hidden="1" customWidth="1"/>
    <col min="47" max="47" width="23.28515625" style="8" hidden="1" customWidth="1"/>
    <col min="48" max="48" width="18" style="8" hidden="1" customWidth="1"/>
    <col min="49" max="49" width="18" style="444" hidden="1" customWidth="1"/>
    <col min="50" max="50" width="20.7109375" style="8" customWidth="1"/>
    <col min="51" max="51" width="21" style="8" customWidth="1"/>
    <col min="52" max="52" width="15.5703125" style="8" bestFit="1" customWidth="1"/>
    <col min="53" max="16384" width="11.42578125" style="8"/>
  </cols>
  <sheetData>
    <row r="1" spans="1:52" ht="26.25">
      <c r="A1" s="2867"/>
      <c r="B1" s="2867"/>
      <c r="C1" s="2885" t="s">
        <v>1048</v>
      </c>
      <c r="D1" s="2885"/>
      <c r="E1" s="2885"/>
      <c r="F1" s="2885"/>
      <c r="G1" s="2885"/>
      <c r="H1" s="2885"/>
      <c r="I1" s="2885"/>
      <c r="J1" s="2885"/>
      <c r="K1" s="2885"/>
    </row>
    <row r="2" spans="1:52">
      <c r="A2" s="2867"/>
      <c r="B2" s="2867"/>
      <c r="C2" s="2867" t="s">
        <v>69</v>
      </c>
      <c r="D2" s="2867"/>
      <c r="E2" s="2867"/>
      <c r="F2" s="2867"/>
      <c r="G2" s="2867"/>
      <c r="H2" s="2867"/>
      <c r="I2" s="2867"/>
      <c r="J2" s="2867"/>
      <c r="K2" s="2867"/>
      <c r="AZ2" s="670" t="s">
        <v>185</v>
      </c>
    </row>
    <row r="3" spans="1:52">
      <c r="A3" s="2867"/>
      <c r="B3" s="2867"/>
      <c r="C3" s="2867" t="s">
        <v>1049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2867"/>
      <c r="B4" s="2867"/>
      <c r="C4" s="2867"/>
      <c r="D4" s="2867"/>
      <c r="E4" s="2867"/>
      <c r="F4" s="2867"/>
      <c r="G4" s="2867"/>
      <c r="H4" s="2867"/>
      <c r="I4" s="2867"/>
      <c r="J4" s="2867"/>
      <c r="K4" s="2867"/>
      <c r="AZ4" s="444">
        <f>+(AY9+AY10+AY11+AY12+AY13+AY14+AY15+AY16+AY18+AY19+AY20+AY21+AY22+AY24+AY25+AY27)/16</f>
        <v>10.741083078946815</v>
      </c>
    </row>
    <row r="5" spans="1:52" ht="18" customHeight="1" thickTop="1" thickBot="1">
      <c r="A5" s="3233" t="s">
        <v>0</v>
      </c>
      <c r="B5" s="3233" t="s">
        <v>15</v>
      </c>
      <c r="C5" s="3233" t="s">
        <v>1</v>
      </c>
      <c r="D5" s="3233" t="s">
        <v>2</v>
      </c>
      <c r="E5" s="3233" t="s">
        <v>19</v>
      </c>
      <c r="F5" s="3233" t="s">
        <v>3</v>
      </c>
      <c r="G5" s="3233" t="s">
        <v>4</v>
      </c>
      <c r="H5" s="2499"/>
      <c r="I5" s="2499"/>
      <c r="J5" s="2499"/>
      <c r="K5" s="3233" t="s">
        <v>5</v>
      </c>
      <c r="L5" s="2840" t="s">
        <v>70</v>
      </c>
      <c r="M5" s="2841"/>
      <c r="N5" s="3004"/>
      <c r="O5" s="2840" t="s">
        <v>71</v>
      </c>
      <c r="P5" s="2841"/>
      <c r="Q5" s="3004"/>
      <c r="R5" s="2840" t="s">
        <v>72</v>
      </c>
      <c r="S5" s="2841"/>
      <c r="T5" s="3004"/>
      <c r="U5" s="2840" t="s">
        <v>73</v>
      </c>
      <c r="V5" s="2841"/>
      <c r="W5" s="3004"/>
      <c r="X5" s="2840" t="s">
        <v>74</v>
      </c>
      <c r="Y5" s="2841"/>
      <c r="Z5" s="3004"/>
      <c r="AA5" s="2840" t="s">
        <v>75</v>
      </c>
      <c r="AB5" s="2841"/>
      <c r="AC5" s="3104"/>
      <c r="AD5" s="2840" t="s">
        <v>188</v>
      </c>
      <c r="AE5" s="3234"/>
      <c r="AF5" s="2840" t="s">
        <v>76</v>
      </c>
      <c r="AG5" s="2841"/>
      <c r="AH5" s="3004"/>
      <c r="AI5" s="2840" t="s">
        <v>77</v>
      </c>
      <c r="AJ5" s="2841"/>
      <c r="AK5" s="3004"/>
      <c r="AL5" s="2840" t="s">
        <v>78</v>
      </c>
      <c r="AM5" s="2841"/>
      <c r="AN5" s="3004"/>
      <c r="AO5" s="2840" t="s">
        <v>79</v>
      </c>
      <c r="AP5" s="2841"/>
      <c r="AQ5" s="300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customHeight="1" thickTop="1" thickBot="1">
      <c r="A6" s="3233"/>
      <c r="B6" s="3233"/>
      <c r="C6" s="3233"/>
      <c r="D6" s="3233"/>
      <c r="E6" s="3233"/>
      <c r="F6" s="3233"/>
      <c r="G6" s="3233"/>
      <c r="H6" s="2499"/>
      <c r="I6" s="2499"/>
      <c r="J6" s="2499"/>
      <c r="K6" s="3233"/>
      <c r="L6" s="2840"/>
      <c r="M6" s="2841"/>
      <c r="N6" s="3004"/>
      <c r="O6" s="2840"/>
      <c r="P6" s="2841"/>
      <c r="Q6" s="3004"/>
      <c r="R6" s="2840"/>
      <c r="S6" s="2841"/>
      <c r="T6" s="3004"/>
      <c r="U6" s="2840"/>
      <c r="V6" s="2841"/>
      <c r="W6" s="3004"/>
      <c r="X6" s="2840"/>
      <c r="Y6" s="2841"/>
      <c r="Z6" s="3004"/>
      <c r="AA6" s="2840"/>
      <c r="AB6" s="2841"/>
      <c r="AC6" s="3104"/>
      <c r="AD6" s="2840"/>
      <c r="AE6" s="3234"/>
      <c r="AF6" s="2840"/>
      <c r="AG6" s="2841"/>
      <c r="AH6" s="3004"/>
      <c r="AI6" s="2840"/>
      <c r="AJ6" s="2841"/>
      <c r="AK6" s="3004"/>
      <c r="AL6" s="2840"/>
      <c r="AM6" s="2841"/>
      <c r="AN6" s="3004"/>
      <c r="AO6" s="2840"/>
      <c r="AP6" s="2841"/>
      <c r="AQ6" s="3004"/>
      <c r="AR6" s="2840"/>
      <c r="AS6" s="2841"/>
      <c r="AT6" s="2884"/>
      <c r="AU6" s="2840"/>
      <c r="AV6" s="2841"/>
      <c r="AW6" s="2884"/>
      <c r="AX6" s="2840"/>
      <c r="AY6" s="2841"/>
    </row>
    <row r="7" spans="1:52" ht="18" customHeight="1" thickTop="1" thickBot="1">
      <c r="A7" s="3233"/>
      <c r="B7" s="3233"/>
      <c r="C7" s="3233"/>
      <c r="D7" s="3233"/>
      <c r="E7" s="3233"/>
      <c r="F7" s="3233"/>
      <c r="G7" s="3233"/>
      <c r="H7" s="3233" t="s">
        <v>161</v>
      </c>
      <c r="I7" s="3233"/>
      <c r="J7" s="3233"/>
      <c r="K7" s="3233"/>
      <c r="L7" s="2836"/>
      <c r="M7" s="2837"/>
      <c r="N7" s="3005"/>
      <c r="O7" s="2836"/>
      <c r="P7" s="2837"/>
      <c r="Q7" s="3005"/>
      <c r="R7" s="2836"/>
      <c r="S7" s="2837"/>
      <c r="T7" s="3005"/>
      <c r="U7" s="2836"/>
      <c r="V7" s="2837"/>
      <c r="W7" s="3005"/>
      <c r="X7" s="2836"/>
      <c r="Y7" s="2837"/>
      <c r="Z7" s="3005"/>
      <c r="AA7" s="2836"/>
      <c r="AB7" s="2837"/>
      <c r="AC7" s="3106"/>
      <c r="AD7" s="2836"/>
      <c r="AE7" s="3235"/>
      <c r="AF7" s="2836"/>
      <c r="AG7" s="2837"/>
      <c r="AH7" s="3005"/>
      <c r="AI7" s="2836"/>
      <c r="AJ7" s="2837"/>
      <c r="AK7" s="3005"/>
      <c r="AL7" s="2836"/>
      <c r="AM7" s="2837"/>
      <c r="AN7" s="3005"/>
      <c r="AO7" s="2836"/>
      <c r="AP7" s="2837"/>
      <c r="AQ7" s="3005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customHeight="1" thickTop="1" thickBot="1">
      <c r="A8" s="2870" t="s">
        <v>83</v>
      </c>
      <c r="B8" s="2870"/>
      <c r="C8" s="2870"/>
      <c r="D8" s="2870"/>
      <c r="E8" s="2870"/>
      <c r="F8" s="2870"/>
      <c r="G8" s="2870"/>
      <c r="H8" s="2870"/>
      <c r="I8" s="2870"/>
      <c r="J8" s="2870"/>
      <c r="K8" s="2870"/>
      <c r="L8" s="14" t="s">
        <v>84</v>
      </c>
      <c r="M8" s="14" t="s">
        <v>85</v>
      </c>
      <c r="N8" s="71" t="s">
        <v>86</v>
      </c>
      <c r="O8" s="14" t="s">
        <v>84</v>
      </c>
      <c r="P8" s="14" t="s">
        <v>85</v>
      </c>
      <c r="Q8" s="71" t="s">
        <v>86</v>
      </c>
      <c r="R8" s="14" t="s">
        <v>84</v>
      </c>
      <c r="S8" s="14" t="s">
        <v>85</v>
      </c>
      <c r="T8" s="71" t="s">
        <v>86</v>
      </c>
      <c r="U8" s="14" t="s">
        <v>84</v>
      </c>
      <c r="V8" s="14" t="s">
        <v>85</v>
      </c>
      <c r="W8" s="71" t="s">
        <v>86</v>
      </c>
      <c r="X8" s="14" t="s">
        <v>84</v>
      </c>
      <c r="Y8" s="14" t="s">
        <v>85</v>
      </c>
      <c r="Z8" s="71" t="s">
        <v>86</v>
      </c>
      <c r="AA8" s="14" t="s">
        <v>84</v>
      </c>
      <c r="AB8" s="14" t="s">
        <v>85</v>
      </c>
      <c r="AC8" s="71" t="s">
        <v>86</v>
      </c>
      <c r="AD8" s="16" t="s">
        <v>87</v>
      </c>
      <c r="AE8" s="71" t="s">
        <v>6</v>
      </c>
      <c r="AF8" s="14" t="s">
        <v>84</v>
      </c>
      <c r="AG8" s="14" t="s">
        <v>85</v>
      </c>
      <c r="AH8" s="71" t="s">
        <v>86</v>
      </c>
      <c r="AI8" s="14" t="s">
        <v>84</v>
      </c>
      <c r="AJ8" s="14" t="s">
        <v>85</v>
      </c>
      <c r="AK8" s="71" t="s">
        <v>86</v>
      </c>
      <c r="AL8" s="14" t="s">
        <v>84</v>
      </c>
      <c r="AM8" s="14" t="s">
        <v>85</v>
      </c>
      <c r="AN8" s="71" t="s">
        <v>86</v>
      </c>
      <c r="AO8" s="14" t="s">
        <v>84</v>
      </c>
      <c r="AP8" s="14" t="s">
        <v>85</v>
      </c>
      <c r="AQ8" s="71" t="s">
        <v>86</v>
      </c>
      <c r="AR8" s="14" t="s">
        <v>84</v>
      </c>
      <c r="AS8" s="14" t="s">
        <v>85</v>
      </c>
      <c r="AT8" s="71" t="s">
        <v>86</v>
      </c>
      <c r="AU8" s="14" t="s">
        <v>84</v>
      </c>
      <c r="AV8" s="14" t="s">
        <v>85</v>
      </c>
      <c r="AW8" s="71" t="s">
        <v>86</v>
      </c>
      <c r="AX8" s="14" t="s">
        <v>87</v>
      </c>
      <c r="AY8" s="14" t="s">
        <v>6</v>
      </c>
    </row>
    <row r="9" spans="1:52" customFormat="1" ht="106.5" thickTop="1" thickBot="1">
      <c r="A9" s="2845" t="s">
        <v>88</v>
      </c>
      <c r="B9" s="2848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764">
        <f>233043053/1000000</f>
        <v>233.04305299999999</v>
      </c>
      <c r="H9" s="74" t="s">
        <v>25</v>
      </c>
      <c r="I9" s="79"/>
      <c r="J9" s="78"/>
      <c r="K9" s="76" t="s">
        <v>25</v>
      </c>
      <c r="L9" s="765">
        <v>73.933336999999995</v>
      </c>
      <c r="M9" s="567">
        <v>58.988675000000001</v>
      </c>
      <c r="N9" s="19">
        <f>+M9/L9</f>
        <v>0.79786301272996785</v>
      </c>
      <c r="O9" s="765">
        <v>8.9333329999999993</v>
      </c>
      <c r="P9" s="567">
        <v>18.820558999999999</v>
      </c>
      <c r="Q9" s="19">
        <f>+P9/O9</f>
        <v>2.1067790711484728</v>
      </c>
      <c r="R9" s="765">
        <v>31.124559999999999</v>
      </c>
      <c r="S9" s="567">
        <v>28.531144999999999</v>
      </c>
      <c r="T9" s="19">
        <f>+S9/R9</f>
        <v>0.91667625180886092</v>
      </c>
      <c r="U9" s="765">
        <v>99.113332999999997</v>
      </c>
      <c r="V9" s="567">
        <v>95.301923000000002</v>
      </c>
      <c r="W9" s="19">
        <f>+V9/U9</f>
        <v>0.96154493159865795</v>
      </c>
      <c r="X9" s="765">
        <v>9.1133330000000008</v>
      </c>
      <c r="Y9" s="567">
        <v>5.3019230000000004</v>
      </c>
      <c r="Z9" s="19">
        <f>+Y9/X9</f>
        <v>0.58177650262532932</v>
      </c>
      <c r="AA9" s="765">
        <v>9.1133330000000008</v>
      </c>
      <c r="AB9" s="2500">
        <v>5.3019230000000004</v>
      </c>
      <c r="AC9" s="19">
        <f>+AB9/AA9</f>
        <v>0.58177650262532932</v>
      </c>
      <c r="AD9" s="566">
        <f>+AB9+Y9+V9+S9+P9+M9</f>
        <v>212.24614800000001</v>
      </c>
      <c r="AE9" s="121">
        <f>+AD9/G9</f>
        <v>0.91075938659282851</v>
      </c>
      <c r="AF9" s="765">
        <v>9.1133330000000008</v>
      </c>
      <c r="AG9" s="2500">
        <v>5.3019230000000004</v>
      </c>
      <c r="AH9" s="19">
        <f>+AG9/AF9</f>
        <v>0.58177650262532932</v>
      </c>
      <c r="AI9" s="765">
        <v>9.1133330000000008</v>
      </c>
      <c r="AJ9" s="567">
        <v>1.3019229999999999</v>
      </c>
      <c r="AK9" s="19">
        <f>+AJ9/AI9</f>
        <v>0.14285914933647215</v>
      </c>
      <c r="AL9" s="765">
        <v>9.1133330000000008</v>
      </c>
      <c r="AM9" s="567">
        <v>10.301923</v>
      </c>
      <c r="AN9" s="19">
        <f>+AM9/AL9</f>
        <v>1.1304231942364007</v>
      </c>
      <c r="AO9" s="765">
        <v>9.1133330000000008</v>
      </c>
      <c r="AP9" s="567">
        <v>7.3019230000000004</v>
      </c>
      <c r="AQ9" s="19">
        <f>+AP9/AO9</f>
        <v>0.80123517926975785</v>
      </c>
      <c r="AR9" s="765" t="s">
        <v>1116</v>
      </c>
      <c r="AS9" s="2501">
        <v>44.716940000000001</v>
      </c>
      <c r="AT9" s="2793">
        <v>23.1</v>
      </c>
      <c r="AU9" s="765">
        <v>9.1133330000000008</v>
      </c>
      <c r="AV9" s="567">
        <v>6.5115170000000004</v>
      </c>
      <c r="AW9" s="19">
        <f>+AV9/AU9</f>
        <v>0.7145044518838497</v>
      </c>
      <c r="AX9" s="2502">
        <f>215438302/1000000</f>
        <v>215.43830199999999</v>
      </c>
      <c r="AY9" s="2793">
        <f>+AX9/G9</f>
        <v>0.92445708733484544</v>
      </c>
    </row>
    <row r="10" spans="1:52" customFormat="1" ht="91.5" thickTop="1" thickBot="1">
      <c r="A10" s="2846"/>
      <c r="B10" s="2850"/>
      <c r="C10" s="74" t="s">
        <v>169</v>
      </c>
      <c r="D10" s="111" t="s">
        <v>92</v>
      </c>
      <c r="E10" s="74" t="s">
        <v>170</v>
      </c>
      <c r="F10" s="74" t="s">
        <v>17</v>
      </c>
      <c r="G10" s="117">
        <v>3</v>
      </c>
      <c r="H10" s="118" t="s">
        <v>26</v>
      </c>
      <c r="I10" s="79"/>
      <c r="J10" s="78"/>
      <c r="K10" s="76" t="s">
        <v>26</v>
      </c>
      <c r="L10" s="2503">
        <v>2</v>
      </c>
      <c r="M10" s="120">
        <v>2</v>
      </c>
      <c r="N10" s="19">
        <f>+M10/L10</f>
        <v>1</v>
      </c>
      <c r="O10" s="119">
        <v>0</v>
      </c>
      <c r="P10" s="120">
        <v>0</v>
      </c>
      <c r="Q10" s="19" t="e">
        <f>+P10/O10</f>
        <v>#DIV/0!</v>
      </c>
      <c r="R10" s="119">
        <v>1</v>
      </c>
      <c r="S10" s="120">
        <v>1</v>
      </c>
      <c r="T10" s="19">
        <f>+S10/R10</f>
        <v>1</v>
      </c>
      <c r="U10" s="119">
        <v>0</v>
      </c>
      <c r="V10" s="120">
        <v>0</v>
      </c>
      <c r="W10" s="19" t="e">
        <f>+V10/U10</f>
        <v>#DIV/0!</v>
      </c>
      <c r="X10" s="119">
        <v>0</v>
      </c>
      <c r="Y10" s="120">
        <v>0</v>
      </c>
      <c r="Z10" s="121" t="e">
        <f>+Y10/X10</f>
        <v>#DIV/0!</v>
      </c>
      <c r="AA10" s="119">
        <v>0</v>
      </c>
      <c r="AB10" s="120">
        <v>0</v>
      </c>
      <c r="AC10" s="19" t="e">
        <f>+AB10/AA10</f>
        <v>#DIV/0!</v>
      </c>
      <c r="AD10" s="122">
        <f>+AB10+Y10+V10+S10+P10+M10</f>
        <v>3</v>
      </c>
      <c r="AE10" s="19">
        <f t="shared" ref="AE10" si="0">+AD10/G10</f>
        <v>1</v>
      </c>
      <c r="AF10" s="119">
        <v>0</v>
      </c>
      <c r="AG10" s="120">
        <v>0</v>
      </c>
      <c r="AH10" s="19" t="e">
        <f>+AG10/AF10</f>
        <v>#DIV/0!</v>
      </c>
      <c r="AI10" s="119">
        <v>0</v>
      </c>
      <c r="AJ10" s="120">
        <v>0</v>
      </c>
      <c r="AK10" s="19" t="e">
        <f>+AJ10/AI10</f>
        <v>#DIV/0!</v>
      </c>
      <c r="AL10" s="119">
        <v>0</v>
      </c>
      <c r="AM10" s="120">
        <v>0</v>
      </c>
      <c r="AN10" s="19" t="e">
        <f>+AM10/AL10</f>
        <v>#DIV/0!</v>
      </c>
      <c r="AO10" s="119">
        <v>0</v>
      </c>
      <c r="AP10" s="120">
        <v>0</v>
      </c>
      <c r="AQ10" s="121" t="e">
        <f>+AP10/AO10</f>
        <v>#DIV/0!</v>
      </c>
      <c r="AR10" s="119"/>
      <c r="AS10" s="120"/>
      <c r="AT10" s="19" t="e">
        <f>+AS10/AR10</f>
        <v>#DIV/0!</v>
      </c>
      <c r="AU10" s="119">
        <v>0</v>
      </c>
      <c r="AV10" s="120"/>
      <c r="AW10" s="19" t="e">
        <f>+AV10/AU10</f>
        <v>#DIV/0!</v>
      </c>
      <c r="AX10" s="123">
        <f t="shared" ref="AX10" si="1">+M10+P10+S10+V10+Y10+AB10+AG10+AJ10+AM10+AP10+AS10+AV10</f>
        <v>3</v>
      </c>
      <c r="AY10" s="73">
        <f t="shared" ref="AY10" si="2">+AX10/G10</f>
        <v>1</v>
      </c>
    </row>
    <row r="11" spans="1:52" s="128" customFormat="1" ht="31.5" customHeight="1" thickTop="1" thickBot="1">
      <c r="A11" s="2846"/>
      <c r="B11" s="2991" t="s">
        <v>94</v>
      </c>
      <c r="C11" s="190" t="s">
        <v>780</v>
      </c>
      <c r="D11" s="124" t="s">
        <v>96</v>
      </c>
      <c r="E11" s="190" t="s">
        <v>97</v>
      </c>
      <c r="F11" s="190" t="s">
        <v>168</v>
      </c>
      <c r="G11" s="190">
        <v>67388</v>
      </c>
      <c r="H11" s="1574"/>
      <c r="I11" s="2505"/>
      <c r="J11" s="1574"/>
      <c r="K11" s="190" t="s">
        <v>20</v>
      </c>
      <c r="L11" s="2504" t="s">
        <v>98</v>
      </c>
      <c r="M11" s="2506"/>
      <c r="N11" s="73">
        <f>+M11/G11</f>
        <v>0</v>
      </c>
      <c r="O11" s="2504">
        <v>0</v>
      </c>
      <c r="P11" s="2506"/>
      <c r="Q11" s="73" t="e">
        <f>+P11/O11</f>
        <v>#DIV/0!</v>
      </c>
      <c r="R11" s="2504">
        <v>0</v>
      </c>
      <c r="S11" s="2506"/>
      <c r="T11" s="73" t="e">
        <f>+S11/R11</f>
        <v>#DIV/0!</v>
      </c>
      <c r="U11" s="2504">
        <v>0</v>
      </c>
      <c r="V11" s="2506"/>
      <c r="W11" s="73" t="e">
        <f>+V11/U11</f>
        <v>#DIV/0!</v>
      </c>
      <c r="X11" s="2504">
        <v>0</v>
      </c>
      <c r="Y11" s="2506"/>
      <c r="Z11" s="73" t="e">
        <f>+Y11/X11</f>
        <v>#DIV/0!</v>
      </c>
      <c r="AA11" s="2504">
        <v>0</v>
      </c>
      <c r="AB11" s="2506"/>
      <c r="AC11" s="73" t="e">
        <f>+AB11/AA11</f>
        <v>#DIV/0!</v>
      </c>
      <c r="AD11" s="2506">
        <f>+AB11+Y11+V11+S11+P11+M11</f>
        <v>0</v>
      </c>
      <c r="AE11" s="73">
        <f>+AD11/G11</f>
        <v>0</v>
      </c>
      <c r="AF11" s="2504">
        <v>0</v>
      </c>
      <c r="AG11" s="2506"/>
      <c r="AH11" s="73" t="e">
        <f>+AG11/AF11</f>
        <v>#DIV/0!</v>
      </c>
      <c r="AI11" s="2504">
        <v>0</v>
      </c>
      <c r="AJ11" s="2506"/>
      <c r="AK11" s="73" t="e">
        <f>+AJ11/AI11</f>
        <v>#DIV/0!</v>
      </c>
      <c r="AL11" s="2504">
        <v>0</v>
      </c>
      <c r="AM11" s="2506"/>
      <c r="AN11" s="73" t="e">
        <f>+AM11/AL11</f>
        <v>#DIV/0!</v>
      </c>
      <c r="AO11" s="2504">
        <v>0</v>
      </c>
      <c r="AP11" s="2506"/>
      <c r="AQ11" s="73" t="e">
        <f>+AP11/AO11</f>
        <v>#DIV/0!</v>
      </c>
      <c r="AR11" s="2504">
        <v>0</v>
      </c>
      <c r="AS11" s="2506"/>
      <c r="AT11" s="73" t="e">
        <f>+AS11/AR11</f>
        <v>#DIV/0!</v>
      </c>
      <c r="AU11" s="2504">
        <v>0</v>
      </c>
      <c r="AV11" s="2506"/>
      <c r="AW11" s="73" t="e">
        <f>+AV11/AU11</f>
        <v>#DIV/0!</v>
      </c>
      <c r="AX11" s="2504">
        <v>67388</v>
      </c>
      <c r="AY11" s="73">
        <f>+AX11/G11</f>
        <v>1</v>
      </c>
    </row>
    <row r="12" spans="1:52" s="132" customFormat="1" ht="31.5" customHeight="1" thickTop="1" thickBot="1">
      <c r="A12" s="2846"/>
      <c r="B12" s="3109"/>
      <c r="C12" s="3236" t="s">
        <v>944</v>
      </c>
      <c r="D12" s="129" t="s">
        <v>456</v>
      </c>
      <c r="E12" s="1408" t="s">
        <v>195</v>
      </c>
      <c r="F12" s="1408" t="s">
        <v>101</v>
      </c>
      <c r="G12" s="2507">
        <v>40438331</v>
      </c>
      <c r="H12" s="2508"/>
      <c r="I12" s="2508"/>
      <c r="J12" s="2508"/>
      <c r="K12" s="1408" t="s">
        <v>196</v>
      </c>
      <c r="L12" s="2507">
        <v>1347944</v>
      </c>
      <c r="M12" s="2509">
        <v>0</v>
      </c>
      <c r="N12" s="73">
        <f>+M12/G12</f>
        <v>0</v>
      </c>
      <c r="O12" s="2507">
        <v>1347944</v>
      </c>
      <c r="P12" s="2509">
        <v>0</v>
      </c>
      <c r="Q12" s="73">
        <f>+P12/O12</f>
        <v>0</v>
      </c>
      <c r="R12" s="2507">
        <v>1347944</v>
      </c>
      <c r="S12" s="2509">
        <v>0</v>
      </c>
      <c r="T12" s="73">
        <f>+S12/R12</f>
        <v>0</v>
      </c>
      <c r="U12" s="2507">
        <v>5391777</v>
      </c>
      <c r="V12" s="2509">
        <v>0</v>
      </c>
      <c r="W12" s="73">
        <f>+V12/U12</f>
        <v>0</v>
      </c>
      <c r="X12" s="2507">
        <v>5391777</v>
      </c>
      <c r="Y12" s="2509">
        <v>0</v>
      </c>
      <c r="Z12" s="73">
        <f>+Y12/X12</f>
        <v>0</v>
      </c>
      <c r="AA12" s="2507">
        <v>5391777</v>
      </c>
      <c r="AB12" s="2509">
        <v>0</v>
      </c>
      <c r="AC12" s="73">
        <f>+AB12/AA12</f>
        <v>0</v>
      </c>
      <c r="AD12" s="2509">
        <f t="shared" ref="AD12:AD25" si="3">+AB12+Y12+V12+S12+P12+M12</f>
        <v>0</v>
      </c>
      <c r="AE12" s="73">
        <f t="shared" ref="AE12:AE25" si="4">+AD12/G12</f>
        <v>0</v>
      </c>
      <c r="AF12" s="2507">
        <v>5391777</v>
      </c>
      <c r="AG12" s="2509">
        <v>0</v>
      </c>
      <c r="AH12" s="73">
        <f>+AG12/AF12</f>
        <v>0</v>
      </c>
      <c r="AI12" s="2507">
        <v>5391778</v>
      </c>
      <c r="AJ12" s="2510">
        <v>1327000</v>
      </c>
      <c r="AK12" s="2511">
        <v>0.25</v>
      </c>
      <c r="AL12" s="2507">
        <v>5391778</v>
      </c>
      <c r="AM12" s="2512">
        <v>5394000</v>
      </c>
      <c r="AN12" s="2513">
        <v>1</v>
      </c>
      <c r="AO12" s="2507">
        <v>1347945</v>
      </c>
      <c r="AP12" s="2512">
        <v>30039000</v>
      </c>
      <c r="AQ12" s="2514">
        <v>22.29</v>
      </c>
      <c r="AR12" s="2507">
        <v>1347945</v>
      </c>
      <c r="AS12" s="2510">
        <v>7958000</v>
      </c>
      <c r="AT12" s="73">
        <f>+AS12/AR12</f>
        <v>5.903801712977903</v>
      </c>
      <c r="AU12" s="2507">
        <v>1347945</v>
      </c>
      <c r="AV12" s="2509">
        <v>0</v>
      </c>
      <c r="AW12" s="73">
        <f>+AV12/AU12</f>
        <v>0</v>
      </c>
      <c r="AX12" s="2507">
        <f t="shared" ref="AX12:AX18" si="5">+M12+P12+S12+V12+Y12+AB12+AG12+AJ12+AM12+AP12+AS12+AV12</f>
        <v>44718000</v>
      </c>
      <c r="AY12" s="73">
        <f t="shared" ref="AY12:AY25" si="6">+AX12/G12</f>
        <v>1.1058319889611665</v>
      </c>
    </row>
    <row r="13" spans="1:52" s="937" customFormat="1" ht="31.5" thickTop="1" thickBot="1">
      <c r="A13" s="2846"/>
      <c r="B13" s="2992"/>
      <c r="C13" s="2995"/>
      <c r="D13" s="124" t="s">
        <v>459</v>
      </c>
      <c r="E13" s="190" t="s">
        <v>274</v>
      </c>
      <c r="F13" s="190" t="s">
        <v>101</v>
      </c>
      <c r="G13" s="2516">
        <v>600000</v>
      </c>
      <c r="H13" s="2515"/>
      <c r="I13" s="2515"/>
      <c r="J13" s="2515"/>
      <c r="K13" s="190" t="s">
        <v>196</v>
      </c>
      <c r="L13" s="2516">
        <v>20000</v>
      </c>
      <c r="M13" s="2517">
        <v>0</v>
      </c>
      <c r="N13" s="73">
        <f t="shared" ref="N13:N25" si="7">+M13/G13</f>
        <v>0</v>
      </c>
      <c r="O13" s="2516">
        <v>20000</v>
      </c>
      <c r="P13" s="2517">
        <v>0</v>
      </c>
      <c r="Q13" s="73">
        <f t="shared" ref="Q13:Q25" si="8">+P13/O13</f>
        <v>0</v>
      </c>
      <c r="R13" s="2516">
        <v>20000</v>
      </c>
      <c r="S13" s="2517">
        <v>0</v>
      </c>
      <c r="T13" s="73">
        <f t="shared" ref="T13:T25" si="9">+S13/R13</f>
        <v>0</v>
      </c>
      <c r="U13" s="2516">
        <v>80000</v>
      </c>
      <c r="V13" s="2517">
        <v>0</v>
      </c>
      <c r="W13" s="73">
        <f t="shared" ref="W13:W25" si="10">+V13/U13</f>
        <v>0</v>
      </c>
      <c r="X13" s="2516">
        <v>80000</v>
      </c>
      <c r="Y13" s="2517">
        <v>0</v>
      </c>
      <c r="Z13" s="73">
        <f t="shared" ref="Z13:Z25" si="11">+Y13/X13</f>
        <v>0</v>
      </c>
      <c r="AA13" s="2516">
        <v>80000</v>
      </c>
      <c r="AB13" s="2517">
        <v>0</v>
      </c>
      <c r="AC13" s="73">
        <f t="shared" ref="AC13:AC25" si="12">+AB13/AA13</f>
        <v>0</v>
      </c>
      <c r="AD13" s="2517">
        <f t="shared" si="3"/>
        <v>0</v>
      </c>
      <c r="AE13" s="73">
        <f t="shared" si="4"/>
        <v>0</v>
      </c>
      <c r="AF13" s="2516">
        <v>80000</v>
      </c>
      <c r="AG13" s="2517">
        <v>0</v>
      </c>
      <c r="AH13" s="73">
        <f t="shared" ref="AH13:AH25" si="13">+AG13/AF13</f>
        <v>0</v>
      </c>
      <c r="AI13" s="2516">
        <v>80000</v>
      </c>
      <c r="AJ13" s="2517">
        <v>1327000</v>
      </c>
      <c r="AK13" s="73">
        <f t="shared" ref="AK13:AK25" si="14">+AJ13/AI13</f>
        <v>16.587499999999999</v>
      </c>
      <c r="AL13" s="2516">
        <v>80000</v>
      </c>
      <c r="AM13" s="2517">
        <v>5394000</v>
      </c>
      <c r="AN13" s="73">
        <f t="shared" ref="AN13:AN25" si="15">+AM13/AL13</f>
        <v>67.424999999999997</v>
      </c>
      <c r="AO13" s="2516">
        <v>20000</v>
      </c>
      <c r="AP13" s="2517">
        <v>30039000</v>
      </c>
      <c r="AQ13" s="73">
        <f t="shared" ref="AQ13:AQ25" si="16">+AP13/AO13</f>
        <v>1501.95</v>
      </c>
      <c r="AR13" s="2516">
        <v>20000</v>
      </c>
      <c r="AS13" s="2517">
        <v>7958000</v>
      </c>
      <c r="AT13" s="73">
        <f t="shared" ref="AT13:AT25" si="17">+AS13/AR13</f>
        <v>397.9</v>
      </c>
      <c r="AU13" s="2516">
        <v>20000</v>
      </c>
      <c r="AV13" s="2517"/>
      <c r="AW13" s="73">
        <f t="shared" ref="AW13:AW21" si="18">+AV13/AU13</f>
        <v>0</v>
      </c>
      <c r="AX13" s="2516">
        <f t="shared" si="5"/>
        <v>44718000</v>
      </c>
      <c r="AY13" s="73">
        <f t="shared" si="6"/>
        <v>74.53</v>
      </c>
      <c r="AZ13" s="2518"/>
    </row>
    <row r="14" spans="1:52" s="2519" customFormat="1" ht="46.5" thickTop="1" thickBot="1">
      <c r="A14" s="2846"/>
      <c r="B14" s="3109"/>
      <c r="C14" s="3237"/>
      <c r="D14" s="129" t="s">
        <v>203</v>
      </c>
      <c r="E14" s="1408" t="s">
        <v>274</v>
      </c>
      <c r="F14" s="1408" t="s">
        <v>101</v>
      </c>
      <c r="G14" s="2507">
        <v>2760000</v>
      </c>
      <c r="H14" s="2508"/>
      <c r="I14" s="2508"/>
      <c r="J14" s="2508"/>
      <c r="K14" s="1408" t="s">
        <v>196</v>
      </c>
      <c r="L14" s="2507">
        <v>92000</v>
      </c>
      <c r="M14" s="2509">
        <v>0</v>
      </c>
      <c r="N14" s="73">
        <f t="shared" si="7"/>
        <v>0</v>
      </c>
      <c r="O14" s="2507">
        <v>92000</v>
      </c>
      <c r="P14" s="2509">
        <v>0</v>
      </c>
      <c r="Q14" s="73">
        <f t="shared" si="8"/>
        <v>0</v>
      </c>
      <c r="R14" s="2507">
        <v>92000</v>
      </c>
      <c r="S14" s="2509">
        <v>0</v>
      </c>
      <c r="T14" s="73">
        <f t="shared" si="9"/>
        <v>0</v>
      </c>
      <c r="U14" s="2507">
        <v>368000</v>
      </c>
      <c r="V14" s="2509">
        <v>0</v>
      </c>
      <c r="W14" s="73">
        <f t="shared" si="10"/>
        <v>0</v>
      </c>
      <c r="X14" s="2507">
        <v>368000</v>
      </c>
      <c r="Y14" s="2509"/>
      <c r="Z14" s="73">
        <v>0</v>
      </c>
      <c r="AA14" s="2507">
        <v>368000</v>
      </c>
      <c r="AB14" s="2509"/>
      <c r="AC14" s="73">
        <f t="shared" si="12"/>
        <v>0</v>
      </c>
      <c r="AD14" s="2509">
        <f t="shared" si="3"/>
        <v>0</v>
      </c>
      <c r="AE14" s="73">
        <f t="shared" si="4"/>
        <v>0</v>
      </c>
      <c r="AF14" s="2507">
        <v>368000</v>
      </c>
      <c r="AG14" s="2509"/>
      <c r="AH14" s="73">
        <f t="shared" si="13"/>
        <v>0</v>
      </c>
      <c r="AI14" s="2507">
        <v>368000</v>
      </c>
      <c r="AJ14" s="2509">
        <v>1327000</v>
      </c>
      <c r="AK14" s="73">
        <f t="shared" si="14"/>
        <v>3.6059782608695654</v>
      </c>
      <c r="AL14" s="2507">
        <v>368000</v>
      </c>
      <c r="AM14" s="2509">
        <v>5394000</v>
      </c>
      <c r="AN14" s="73">
        <f t="shared" si="15"/>
        <v>14.657608695652174</v>
      </c>
      <c r="AO14" s="2507">
        <v>92000</v>
      </c>
      <c r="AP14" s="2509">
        <v>30039000</v>
      </c>
      <c r="AQ14" s="73">
        <f t="shared" si="16"/>
        <v>326.51086956521738</v>
      </c>
      <c r="AR14" s="2507">
        <v>92000</v>
      </c>
      <c r="AS14" s="2509">
        <v>7958000</v>
      </c>
      <c r="AT14" s="73">
        <f t="shared" si="17"/>
        <v>86.5</v>
      </c>
      <c r="AU14" s="2507">
        <v>92000</v>
      </c>
      <c r="AV14" s="2509"/>
      <c r="AW14" s="73">
        <f t="shared" si="18"/>
        <v>0</v>
      </c>
      <c r="AX14" s="2507">
        <f t="shared" si="5"/>
        <v>44718000</v>
      </c>
      <c r="AY14" s="73">
        <f t="shared" si="6"/>
        <v>16.202173913043477</v>
      </c>
    </row>
    <row r="15" spans="1:52" s="937" customFormat="1" ht="61.5" thickTop="1" thickBot="1">
      <c r="A15" s="2846"/>
      <c r="B15" s="2992"/>
      <c r="C15" s="2993" t="s">
        <v>1050</v>
      </c>
      <c r="D15" s="124" t="s">
        <v>205</v>
      </c>
      <c r="E15" s="190" t="s">
        <v>531</v>
      </c>
      <c r="F15" s="190" t="s">
        <v>24</v>
      </c>
      <c r="G15" s="2520">
        <v>2</v>
      </c>
      <c r="H15" s="1574"/>
      <c r="I15" s="2505"/>
      <c r="J15" s="1574"/>
      <c r="K15" s="190" t="s">
        <v>196</v>
      </c>
      <c r="L15" s="2521">
        <v>0</v>
      </c>
      <c r="M15" s="2522"/>
      <c r="N15" s="73">
        <f t="shared" si="7"/>
        <v>0</v>
      </c>
      <c r="O15" s="2521">
        <v>0</v>
      </c>
      <c r="P15" s="2522"/>
      <c r="Q15" s="73" t="e">
        <f t="shared" si="8"/>
        <v>#DIV/0!</v>
      </c>
      <c r="R15" s="2521">
        <v>0</v>
      </c>
      <c r="S15" s="2522"/>
      <c r="T15" s="73" t="e">
        <f t="shared" si="9"/>
        <v>#DIV/0!</v>
      </c>
      <c r="U15" s="2521">
        <v>0</v>
      </c>
      <c r="V15" s="2522"/>
      <c r="W15" s="73" t="e">
        <f t="shared" si="10"/>
        <v>#DIV/0!</v>
      </c>
      <c r="X15" s="2521">
        <v>1</v>
      </c>
      <c r="Y15" s="2522"/>
      <c r="Z15" s="73">
        <f t="shared" si="11"/>
        <v>0</v>
      </c>
      <c r="AA15" s="2521">
        <v>0</v>
      </c>
      <c r="AB15" s="2522"/>
      <c r="AC15" s="73" t="e">
        <f t="shared" si="12"/>
        <v>#DIV/0!</v>
      </c>
      <c r="AD15" s="2522">
        <f>+Y15</f>
        <v>0</v>
      </c>
      <c r="AE15" s="73">
        <f t="shared" si="4"/>
        <v>0</v>
      </c>
      <c r="AF15" s="2521">
        <v>0</v>
      </c>
      <c r="AG15" s="2522"/>
      <c r="AH15" s="73" t="e">
        <f t="shared" si="13"/>
        <v>#DIV/0!</v>
      </c>
      <c r="AI15" s="2521"/>
      <c r="AJ15" s="2522"/>
      <c r="AK15" s="73" t="e">
        <f t="shared" si="14"/>
        <v>#DIV/0!</v>
      </c>
      <c r="AL15" s="2521">
        <v>1</v>
      </c>
      <c r="AM15" s="2522">
        <v>2</v>
      </c>
      <c r="AN15" s="73">
        <f t="shared" si="15"/>
        <v>2</v>
      </c>
      <c r="AO15" s="2521">
        <v>0</v>
      </c>
      <c r="AP15" s="2522"/>
      <c r="AQ15" s="73" t="e">
        <f t="shared" si="16"/>
        <v>#DIV/0!</v>
      </c>
      <c r="AR15" s="2521">
        <v>0</v>
      </c>
      <c r="AS15" s="2522"/>
      <c r="AT15" s="73" t="e">
        <f t="shared" si="17"/>
        <v>#DIV/0!</v>
      </c>
      <c r="AU15" s="2521">
        <v>0</v>
      </c>
      <c r="AV15" s="2522"/>
      <c r="AW15" s="73" t="e">
        <f t="shared" si="18"/>
        <v>#DIV/0!</v>
      </c>
      <c r="AX15" s="2521">
        <f>+AM15+Y15</f>
        <v>2</v>
      </c>
      <c r="AY15" s="73">
        <f t="shared" si="6"/>
        <v>1</v>
      </c>
    </row>
    <row r="16" spans="1:52" s="2519" customFormat="1" ht="46.5" thickTop="1" thickBot="1">
      <c r="A16" s="2846"/>
      <c r="B16" s="3109"/>
      <c r="C16" s="3026"/>
      <c r="D16" s="129" t="s">
        <v>505</v>
      </c>
      <c r="E16" s="72" t="s">
        <v>209</v>
      </c>
      <c r="F16" s="72" t="s">
        <v>10</v>
      </c>
      <c r="G16" s="2523">
        <v>1</v>
      </c>
      <c r="H16" s="1640"/>
      <c r="I16" s="1641"/>
      <c r="J16" s="1640"/>
      <c r="K16" s="72" t="s">
        <v>196</v>
      </c>
      <c r="L16" s="2524">
        <v>1</v>
      </c>
      <c r="M16" s="2525">
        <v>1</v>
      </c>
      <c r="N16" s="73">
        <f t="shared" si="7"/>
        <v>1</v>
      </c>
      <c r="O16" s="2524">
        <v>1</v>
      </c>
      <c r="P16" s="2525">
        <v>1</v>
      </c>
      <c r="Q16" s="73">
        <f t="shared" si="8"/>
        <v>1</v>
      </c>
      <c r="R16" s="2524">
        <v>1</v>
      </c>
      <c r="S16" s="2525">
        <v>1</v>
      </c>
      <c r="T16" s="73">
        <f t="shared" si="9"/>
        <v>1</v>
      </c>
      <c r="U16" s="2524">
        <v>1</v>
      </c>
      <c r="V16" s="2525">
        <v>1</v>
      </c>
      <c r="W16" s="73">
        <f t="shared" si="10"/>
        <v>1</v>
      </c>
      <c r="X16" s="2524">
        <v>1</v>
      </c>
      <c r="Y16" s="2525">
        <v>1</v>
      </c>
      <c r="Z16" s="73">
        <f t="shared" si="11"/>
        <v>1</v>
      </c>
      <c r="AA16" s="2524">
        <v>1</v>
      </c>
      <c r="AB16" s="2525">
        <v>1</v>
      </c>
      <c r="AC16" s="73">
        <f t="shared" si="12"/>
        <v>1</v>
      </c>
      <c r="AD16" s="2525">
        <v>1</v>
      </c>
      <c r="AE16" s="73">
        <f t="shared" si="4"/>
        <v>1</v>
      </c>
      <c r="AF16" s="2524">
        <v>1</v>
      </c>
      <c r="AG16" s="2525">
        <v>1</v>
      </c>
      <c r="AH16" s="73">
        <f t="shared" si="13"/>
        <v>1</v>
      </c>
      <c r="AI16" s="2524">
        <v>1</v>
      </c>
      <c r="AJ16" s="2525">
        <v>1</v>
      </c>
      <c r="AK16" s="73">
        <f t="shared" si="14"/>
        <v>1</v>
      </c>
      <c r="AL16" s="2524">
        <v>1</v>
      </c>
      <c r="AM16" s="2525">
        <v>1</v>
      </c>
      <c r="AN16" s="73">
        <f t="shared" si="15"/>
        <v>1</v>
      </c>
      <c r="AO16" s="2524">
        <v>1</v>
      </c>
      <c r="AP16" s="2525">
        <v>1</v>
      </c>
      <c r="AQ16" s="73">
        <f t="shared" si="16"/>
        <v>1</v>
      </c>
      <c r="AR16" s="2524">
        <v>1</v>
      </c>
      <c r="AS16" s="2525">
        <v>1</v>
      </c>
      <c r="AT16" s="73">
        <f t="shared" si="17"/>
        <v>1</v>
      </c>
      <c r="AU16" s="2524">
        <v>1</v>
      </c>
      <c r="AV16" s="2525">
        <v>1</v>
      </c>
      <c r="AW16" s="73">
        <f t="shared" si="18"/>
        <v>1</v>
      </c>
      <c r="AX16" s="987">
        <v>1</v>
      </c>
      <c r="AY16" s="73">
        <f t="shared" si="6"/>
        <v>1</v>
      </c>
    </row>
    <row r="17" spans="1:52" s="937" customFormat="1" ht="46.5" thickTop="1" thickBot="1">
      <c r="A17" s="2846"/>
      <c r="B17" s="3051"/>
      <c r="C17" s="1408" t="s">
        <v>1051</v>
      </c>
      <c r="D17" s="124" t="s">
        <v>539</v>
      </c>
      <c r="E17" s="190" t="s">
        <v>22</v>
      </c>
      <c r="F17" s="190" t="s">
        <v>16</v>
      </c>
      <c r="G17" s="190" t="s">
        <v>136</v>
      </c>
      <c r="H17" s="1574"/>
      <c r="I17" s="2505"/>
      <c r="J17" s="1574"/>
      <c r="K17" s="190" t="s">
        <v>23</v>
      </c>
      <c r="L17" s="2526">
        <v>0</v>
      </c>
      <c r="M17" s="2527"/>
      <c r="N17" s="73" t="e">
        <f t="shared" si="7"/>
        <v>#VALUE!</v>
      </c>
      <c r="O17" s="2526">
        <v>0</v>
      </c>
      <c r="P17" s="2527"/>
      <c r="Q17" s="73" t="e">
        <f t="shared" si="8"/>
        <v>#DIV/0!</v>
      </c>
      <c r="R17" s="2526">
        <v>0</v>
      </c>
      <c r="S17" s="2527"/>
      <c r="T17" s="73" t="e">
        <f t="shared" si="9"/>
        <v>#DIV/0!</v>
      </c>
      <c r="U17" s="2526">
        <v>0</v>
      </c>
      <c r="V17" s="2527"/>
      <c r="W17" s="73" t="e">
        <f t="shared" si="10"/>
        <v>#DIV/0!</v>
      </c>
      <c r="X17" s="2526">
        <v>0</v>
      </c>
      <c r="Y17" s="2527"/>
      <c r="Z17" s="73" t="e">
        <f t="shared" si="11"/>
        <v>#DIV/0!</v>
      </c>
      <c r="AA17" s="2526">
        <v>0</v>
      </c>
      <c r="AB17" s="2527"/>
      <c r="AC17" s="73" t="e">
        <f t="shared" si="12"/>
        <v>#DIV/0!</v>
      </c>
      <c r="AD17" s="2527">
        <f t="shared" si="3"/>
        <v>0</v>
      </c>
      <c r="AE17" s="73" t="e">
        <f t="shared" si="4"/>
        <v>#VALUE!</v>
      </c>
      <c r="AF17" s="2526">
        <v>0</v>
      </c>
      <c r="AG17" s="2527"/>
      <c r="AH17" s="73" t="e">
        <f t="shared" si="13"/>
        <v>#DIV/0!</v>
      </c>
      <c r="AI17" s="2526">
        <v>0</v>
      </c>
      <c r="AJ17" s="2527"/>
      <c r="AK17" s="73" t="e">
        <f t="shared" si="14"/>
        <v>#DIV/0!</v>
      </c>
      <c r="AL17" s="2526">
        <v>0</v>
      </c>
      <c r="AM17" s="2527"/>
      <c r="AN17" s="73" t="e">
        <f t="shared" si="15"/>
        <v>#DIV/0!</v>
      </c>
      <c r="AO17" s="2794">
        <v>11000000</v>
      </c>
      <c r="AP17" s="2527">
        <v>860632000</v>
      </c>
      <c r="AQ17" s="73">
        <f t="shared" si="16"/>
        <v>78.239272727272734</v>
      </c>
      <c r="AR17" s="2526">
        <v>11000000</v>
      </c>
      <c r="AS17" s="2527">
        <v>77013000</v>
      </c>
      <c r="AT17" s="73">
        <f t="shared" si="17"/>
        <v>7.0011818181818182</v>
      </c>
      <c r="AU17" s="2526">
        <v>11000000</v>
      </c>
      <c r="AV17" s="2527">
        <v>102273000</v>
      </c>
      <c r="AW17" s="73">
        <f t="shared" si="18"/>
        <v>9.297545454545455</v>
      </c>
      <c r="AX17" s="2526">
        <f t="shared" si="5"/>
        <v>1039918000</v>
      </c>
      <c r="AY17" s="73"/>
    </row>
    <row r="18" spans="1:52" s="2519" customFormat="1" ht="61.5" customHeight="1" thickTop="1" thickBot="1">
      <c r="A18" s="2846"/>
      <c r="B18" s="3108" t="s">
        <v>508</v>
      </c>
      <c r="C18" s="190" t="s">
        <v>948</v>
      </c>
      <c r="D18" s="129" t="s">
        <v>467</v>
      </c>
      <c r="E18" s="72" t="s">
        <v>228</v>
      </c>
      <c r="F18" s="72" t="s">
        <v>101</v>
      </c>
      <c r="G18" s="2528">
        <v>3500000000</v>
      </c>
      <c r="H18" s="1580"/>
      <c r="I18" s="1584"/>
      <c r="J18" s="1580"/>
      <c r="K18" s="72" t="s">
        <v>140</v>
      </c>
      <c r="L18" s="752">
        <v>202500000</v>
      </c>
      <c r="M18" s="753">
        <v>40650487</v>
      </c>
      <c r="N18" s="73">
        <f t="shared" si="7"/>
        <v>1.1614424857142857E-2</v>
      </c>
      <c r="O18" s="752">
        <v>135000000</v>
      </c>
      <c r="P18" s="753">
        <v>47446515</v>
      </c>
      <c r="Q18" s="73">
        <f t="shared" si="8"/>
        <v>0.35145566666666667</v>
      </c>
      <c r="R18" s="752">
        <v>202500000</v>
      </c>
      <c r="S18" s="753">
        <v>777138656</v>
      </c>
      <c r="T18" s="73">
        <f t="shared" si="9"/>
        <v>3.8377217580246912</v>
      </c>
      <c r="U18" s="752">
        <v>357000000</v>
      </c>
      <c r="V18" s="753">
        <v>42708362</v>
      </c>
      <c r="W18" s="73">
        <f t="shared" si="10"/>
        <v>0.11963126610644258</v>
      </c>
      <c r="X18" s="752">
        <v>357000000</v>
      </c>
      <c r="Y18" s="753"/>
      <c r="Z18" s="73">
        <f t="shared" si="11"/>
        <v>0</v>
      </c>
      <c r="AA18" s="752">
        <v>357000000</v>
      </c>
      <c r="AB18" s="753">
        <v>730357024</v>
      </c>
      <c r="AC18" s="73">
        <f t="shared" si="12"/>
        <v>2.0458179943977592</v>
      </c>
      <c r="AD18" s="753">
        <v>887220927</v>
      </c>
      <c r="AE18" s="73">
        <f t="shared" si="4"/>
        <v>0.25349169342857142</v>
      </c>
      <c r="AF18" s="752">
        <v>357000000</v>
      </c>
      <c r="AG18" s="753">
        <v>887220927</v>
      </c>
      <c r="AH18" s="73">
        <f t="shared" si="13"/>
        <v>2.485212680672269</v>
      </c>
      <c r="AI18" s="752">
        <v>352360000</v>
      </c>
      <c r="AJ18" s="753">
        <v>15190379</v>
      </c>
      <c r="AK18" s="73">
        <f t="shared" si="14"/>
        <v>4.3110395618117837E-2</v>
      </c>
      <c r="AL18" s="752">
        <v>352360000</v>
      </c>
      <c r="AM18" s="753">
        <v>45138231</v>
      </c>
      <c r="AN18" s="73">
        <f t="shared" si="15"/>
        <v>0.12810259677602451</v>
      </c>
      <c r="AO18" s="752">
        <v>352360000</v>
      </c>
      <c r="AP18" s="753">
        <v>9446662</v>
      </c>
      <c r="AQ18" s="73">
        <f t="shared" si="16"/>
        <v>2.6809688954478373E-2</v>
      </c>
      <c r="AR18" s="752">
        <v>237460000</v>
      </c>
      <c r="AS18" s="2510">
        <v>418760367</v>
      </c>
      <c r="AT18" s="73">
        <f t="shared" si="17"/>
        <v>1.7634985555461973</v>
      </c>
      <c r="AU18" s="752">
        <v>237460000</v>
      </c>
      <c r="AV18" s="753">
        <v>164641015</v>
      </c>
      <c r="AW18" s="73">
        <f t="shared" si="18"/>
        <v>0.6933420997220584</v>
      </c>
      <c r="AX18" s="752">
        <f t="shared" si="5"/>
        <v>3178698625</v>
      </c>
      <c r="AY18" s="73">
        <f t="shared" si="6"/>
        <v>0.90819960714285719</v>
      </c>
    </row>
    <row r="19" spans="1:52" s="2519" customFormat="1" ht="76.5" thickTop="1" thickBot="1">
      <c r="A19" s="2846"/>
      <c r="B19" s="3109"/>
      <c r="C19" s="1408" t="s">
        <v>484</v>
      </c>
      <c r="D19" s="124" t="s">
        <v>468</v>
      </c>
      <c r="E19" s="190" t="s">
        <v>469</v>
      </c>
      <c r="F19" s="190" t="s">
        <v>24</v>
      </c>
      <c r="G19" s="2529">
        <v>28</v>
      </c>
      <c r="H19" s="190"/>
      <c r="I19" s="190"/>
      <c r="J19" s="190"/>
      <c r="K19" s="190" t="s">
        <v>140</v>
      </c>
      <c r="L19" s="119">
        <v>2.1</v>
      </c>
      <c r="M19" s="120"/>
      <c r="N19" s="73">
        <f t="shared" si="7"/>
        <v>0</v>
      </c>
      <c r="O19" s="119">
        <v>1.4</v>
      </c>
      <c r="P19" s="120">
        <v>2</v>
      </c>
      <c r="Q19" s="73">
        <f t="shared" si="8"/>
        <v>1.4285714285714286</v>
      </c>
      <c r="R19" s="119">
        <v>2.1</v>
      </c>
      <c r="S19" s="120">
        <v>1</v>
      </c>
      <c r="T19" s="73">
        <f t="shared" si="9"/>
        <v>0.47619047619047616</v>
      </c>
      <c r="U19" s="119">
        <v>2.8</v>
      </c>
      <c r="V19" s="120"/>
      <c r="W19" s="73">
        <f t="shared" si="10"/>
        <v>0</v>
      </c>
      <c r="X19" s="119">
        <v>2.8</v>
      </c>
      <c r="Y19" s="120">
        <v>2</v>
      </c>
      <c r="Z19" s="73">
        <f t="shared" si="11"/>
        <v>0.7142857142857143</v>
      </c>
      <c r="AA19" s="119">
        <v>2.8</v>
      </c>
      <c r="AB19" s="120">
        <v>3</v>
      </c>
      <c r="AC19" s="73">
        <f t="shared" si="12"/>
        <v>1.0714285714285714</v>
      </c>
      <c r="AD19" s="1012">
        <f t="shared" si="3"/>
        <v>8</v>
      </c>
      <c r="AE19" s="73">
        <f t="shared" si="4"/>
        <v>0.2857142857142857</v>
      </c>
      <c r="AF19" s="119">
        <v>2.8</v>
      </c>
      <c r="AG19" s="120">
        <v>8</v>
      </c>
      <c r="AH19" s="73">
        <f t="shared" si="13"/>
        <v>2.8571428571428572</v>
      </c>
      <c r="AI19" s="119">
        <v>2.8</v>
      </c>
      <c r="AJ19" s="120">
        <v>4</v>
      </c>
      <c r="AK19" s="73">
        <f t="shared" si="14"/>
        <v>1.4285714285714286</v>
      </c>
      <c r="AL19" s="119">
        <v>2.8</v>
      </c>
      <c r="AM19" s="120">
        <v>4</v>
      </c>
      <c r="AN19" s="73">
        <f t="shared" si="15"/>
        <v>1.4285714285714286</v>
      </c>
      <c r="AO19" s="119">
        <v>2.1</v>
      </c>
      <c r="AP19" s="120">
        <v>2</v>
      </c>
      <c r="AQ19" s="73">
        <f t="shared" si="16"/>
        <v>0.95238095238095233</v>
      </c>
      <c r="AR19" s="119">
        <v>1.4</v>
      </c>
      <c r="AS19" s="120">
        <v>3</v>
      </c>
      <c r="AT19" s="73">
        <f t="shared" si="17"/>
        <v>2.1428571428571428</v>
      </c>
      <c r="AU19" s="119">
        <v>2.1</v>
      </c>
      <c r="AV19" s="120">
        <v>2</v>
      </c>
      <c r="AW19" s="73">
        <f t="shared" si="18"/>
        <v>0.95238095238095233</v>
      </c>
      <c r="AX19" s="119">
        <v>31</v>
      </c>
      <c r="AY19" s="73">
        <f t="shared" si="6"/>
        <v>1.1071428571428572</v>
      </c>
    </row>
    <row r="20" spans="1:52" s="937" customFormat="1" ht="46.5" thickTop="1" thickBot="1">
      <c r="A20" s="2846"/>
      <c r="B20" s="3109"/>
      <c r="C20" s="3012" t="s">
        <v>995</v>
      </c>
      <c r="D20" s="129" t="s">
        <v>288</v>
      </c>
      <c r="E20" s="72" t="s">
        <v>234</v>
      </c>
      <c r="F20" s="72" t="s">
        <v>10</v>
      </c>
      <c r="G20" s="144">
        <v>0.02</v>
      </c>
      <c r="H20" s="1580"/>
      <c r="I20" s="1584"/>
      <c r="J20" s="1580"/>
      <c r="K20" s="72" t="s">
        <v>235</v>
      </c>
      <c r="L20" s="146">
        <v>0</v>
      </c>
      <c r="M20" s="150">
        <v>0</v>
      </c>
      <c r="N20" s="73">
        <f t="shared" si="7"/>
        <v>0</v>
      </c>
      <c r="O20" s="146">
        <v>0</v>
      </c>
      <c r="P20" s="150">
        <v>0</v>
      </c>
      <c r="Q20" s="73" t="e">
        <f t="shared" si="8"/>
        <v>#DIV/0!</v>
      </c>
      <c r="R20" s="146">
        <v>0</v>
      </c>
      <c r="S20" s="150">
        <v>0</v>
      </c>
      <c r="T20" s="73" t="e">
        <f t="shared" si="9"/>
        <v>#DIV/0!</v>
      </c>
      <c r="U20" s="146">
        <v>0.02</v>
      </c>
      <c r="V20" s="150">
        <v>0</v>
      </c>
      <c r="W20" s="73">
        <f t="shared" si="10"/>
        <v>0</v>
      </c>
      <c r="X20" s="146">
        <v>0.02</v>
      </c>
      <c r="Y20" s="150">
        <v>0</v>
      </c>
      <c r="Z20" s="73">
        <f t="shared" si="11"/>
        <v>0</v>
      </c>
      <c r="AA20" s="146">
        <v>0.02</v>
      </c>
      <c r="AB20" s="150">
        <v>0</v>
      </c>
      <c r="AC20" s="73">
        <f t="shared" si="12"/>
        <v>0</v>
      </c>
      <c r="AD20" s="150">
        <f>(AB20+Y20+V20)/3</f>
        <v>0</v>
      </c>
      <c r="AE20" s="73">
        <f t="shared" si="4"/>
        <v>0</v>
      </c>
      <c r="AF20" s="146">
        <v>0.02</v>
      </c>
      <c r="AG20" s="150">
        <v>0</v>
      </c>
      <c r="AH20" s="73">
        <f t="shared" si="13"/>
        <v>0</v>
      </c>
      <c r="AI20" s="146">
        <v>0.02</v>
      </c>
      <c r="AJ20" s="150">
        <v>0</v>
      </c>
      <c r="AK20" s="73">
        <f t="shared" si="14"/>
        <v>0</v>
      </c>
      <c r="AL20" s="146">
        <v>0.02</v>
      </c>
      <c r="AM20" s="150">
        <v>0</v>
      </c>
      <c r="AN20" s="73">
        <f t="shared" si="15"/>
        <v>0</v>
      </c>
      <c r="AO20" s="146">
        <v>0.02</v>
      </c>
      <c r="AP20" s="150">
        <v>0.03</v>
      </c>
      <c r="AQ20" s="73">
        <f t="shared" si="16"/>
        <v>1.5</v>
      </c>
      <c r="AR20" s="146">
        <v>0.02</v>
      </c>
      <c r="AS20" s="150">
        <v>0.03</v>
      </c>
      <c r="AT20" s="73">
        <f t="shared" si="17"/>
        <v>1.5</v>
      </c>
      <c r="AU20" s="146">
        <v>0.02</v>
      </c>
      <c r="AV20" s="150">
        <v>0.03</v>
      </c>
      <c r="AW20" s="73">
        <f t="shared" si="18"/>
        <v>1.5</v>
      </c>
      <c r="AX20" s="146">
        <f>(V20+Y20+AB20+AG20+AJ20+AM20+AP20+AS20+AV20)/9</f>
        <v>0.01</v>
      </c>
      <c r="AY20" s="73">
        <f t="shared" si="6"/>
        <v>0.5</v>
      </c>
    </row>
    <row r="21" spans="1:52" s="937" customFormat="1" ht="61.5" thickTop="1" thickBot="1">
      <c r="A21" s="2846"/>
      <c r="B21" s="3109"/>
      <c r="C21" s="3013"/>
      <c r="D21" s="86" t="s">
        <v>236</v>
      </c>
      <c r="E21" s="81" t="s">
        <v>237</v>
      </c>
      <c r="F21" s="88" t="s">
        <v>10</v>
      </c>
      <c r="G21" s="167">
        <v>0.02</v>
      </c>
      <c r="H21" s="88"/>
      <c r="I21" s="81"/>
      <c r="J21" s="81"/>
      <c r="K21" s="87" t="s">
        <v>23</v>
      </c>
      <c r="L21" s="163">
        <v>0</v>
      </c>
      <c r="M21" s="164">
        <v>0</v>
      </c>
      <c r="N21" s="19" t="e">
        <f t="shared" ref="N21:N22" si="19">+M21/L21</f>
        <v>#DIV/0!</v>
      </c>
      <c r="O21" s="163">
        <v>0</v>
      </c>
      <c r="P21" s="164">
        <v>0</v>
      </c>
      <c r="Q21" s="19" t="e">
        <f t="shared" si="8"/>
        <v>#DIV/0!</v>
      </c>
      <c r="R21" s="163">
        <v>0</v>
      </c>
      <c r="S21" s="164">
        <v>0</v>
      </c>
      <c r="T21" s="19" t="e">
        <f t="shared" si="9"/>
        <v>#DIV/0!</v>
      </c>
      <c r="U21" s="163">
        <v>0.03</v>
      </c>
      <c r="V21" s="164">
        <v>1.2999999999999999E-2</v>
      </c>
      <c r="W21" s="19">
        <f t="shared" si="10"/>
        <v>0.43333333333333335</v>
      </c>
      <c r="X21" s="163">
        <v>0.03</v>
      </c>
      <c r="Y21" s="163">
        <v>0.03</v>
      </c>
      <c r="Z21" s="19">
        <f t="shared" si="11"/>
        <v>1</v>
      </c>
      <c r="AA21" s="163">
        <v>0.03</v>
      </c>
      <c r="AB21" s="164">
        <v>5.0000000000000001E-3</v>
      </c>
      <c r="AC21" s="19">
        <f t="shared" si="12"/>
        <v>0.16666666666666669</v>
      </c>
      <c r="AD21" s="165">
        <f>(V21+Y21+AB21)/3</f>
        <v>1.5999999999999997E-2</v>
      </c>
      <c r="AE21" s="2530" t="s">
        <v>1052</v>
      </c>
      <c r="AF21" s="163">
        <v>0.03</v>
      </c>
      <c r="AG21" s="164">
        <v>4.2999999999999997E-2</v>
      </c>
      <c r="AH21" s="19">
        <f t="shared" si="13"/>
        <v>1.4333333333333333</v>
      </c>
      <c r="AI21" s="163">
        <v>0.03</v>
      </c>
      <c r="AJ21" s="164">
        <v>6.9000000000000006E-2</v>
      </c>
      <c r="AK21" s="19">
        <f t="shared" si="14"/>
        <v>2.3000000000000003</v>
      </c>
      <c r="AL21" s="163">
        <v>0.02</v>
      </c>
      <c r="AM21" s="164">
        <v>7.0000000000000007E-2</v>
      </c>
      <c r="AN21" s="19">
        <f t="shared" si="15"/>
        <v>3.5000000000000004</v>
      </c>
      <c r="AO21" s="163">
        <v>0.02</v>
      </c>
      <c r="AP21" s="164">
        <v>0.1</v>
      </c>
      <c r="AQ21" s="19">
        <f t="shared" si="16"/>
        <v>5</v>
      </c>
      <c r="AR21" s="163">
        <v>0.02</v>
      </c>
      <c r="AS21" s="2531">
        <v>4.4999999999999998E-2</v>
      </c>
      <c r="AT21" s="19">
        <f t="shared" si="17"/>
        <v>2.25</v>
      </c>
      <c r="AU21" s="163">
        <v>0.02</v>
      </c>
      <c r="AV21" s="164">
        <v>0.59</v>
      </c>
      <c r="AW21" s="19">
        <f t="shared" si="18"/>
        <v>29.499999999999996</v>
      </c>
      <c r="AX21" s="163">
        <v>8.0399999999999999E-2</v>
      </c>
      <c r="AY21" s="73">
        <f t="shared" si="6"/>
        <v>4.0199999999999996</v>
      </c>
    </row>
    <row r="22" spans="1:52" s="2519" customFormat="1" ht="61.5" thickTop="1" thickBot="1">
      <c r="A22" s="2847"/>
      <c r="B22" s="3110"/>
      <c r="C22" s="3014"/>
      <c r="D22" s="86" t="s">
        <v>238</v>
      </c>
      <c r="E22" s="81" t="s">
        <v>239</v>
      </c>
      <c r="F22" s="88" t="s">
        <v>10</v>
      </c>
      <c r="G22" s="167">
        <v>0.01</v>
      </c>
      <c r="H22" s="88"/>
      <c r="I22" s="81"/>
      <c r="J22" s="81"/>
      <c r="K22" s="87" t="s">
        <v>23</v>
      </c>
      <c r="L22" s="163">
        <v>0</v>
      </c>
      <c r="M22" s="164">
        <v>0</v>
      </c>
      <c r="N22" s="19" t="e">
        <f t="shared" si="19"/>
        <v>#DIV/0!</v>
      </c>
      <c r="O22" s="163">
        <v>0</v>
      </c>
      <c r="P22" s="164">
        <v>0</v>
      </c>
      <c r="Q22" s="19" t="e">
        <f t="shared" si="8"/>
        <v>#DIV/0!</v>
      </c>
      <c r="R22" s="163">
        <v>0</v>
      </c>
      <c r="S22" s="164">
        <v>0</v>
      </c>
      <c r="T22" s="19" t="e">
        <f t="shared" si="9"/>
        <v>#DIV/0!</v>
      </c>
      <c r="U22" s="163">
        <v>0</v>
      </c>
      <c r="V22" s="164">
        <v>0</v>
      </c>
      <c r="W22" s="19" t="e">
        <f t="shared" si="10"/>
        <v>#DIV/0!</v>
      </c>
      <c r="X22" s="163">
        <v>0</v>
      </c>
      <c r="Y22" s="164">
        <v>0</v>
      </c>
      <c r="Z22" s="19" t="e">
        <f t="shared" si="11"/>
        <v>#DIV/0!</v>
      </c>
      <c r="AA22" s="163">
        <v>0</v>
      </c>
      <c r="AB22" s="164">
        <v>0</v>
      </c>
      <c r="AC22" s="19" t="e">
        <f t="shared" si="12"/>
        <v>#DIV/0!</v>
      </c>
      <c r="AD22" s="165">
        <f t="shared" ref="AD22" si="20">(V22+Y22+AB22)/3</f>
        <v>0</v>
      </c>
      <c r="AE22" s="19">
        <f>+AD22/G22</f>
        <v>0</v>
      </c>
      <c r="AF22" s="163">
        <v>0</v>
      </c>
      <c r="AG22" s="164">
        <v>0</v>
      </c>
      <c r="AH22" s="19" t="e">
        <f t="shared" si="13"/>
        <v>#DIV/0!</v>
      </c>
      <c r="AI22" s="163">
        <v>0</v>
      </c>
      <c r="AJ22" s="164">
        <v>0</v>
      </c>
      <c r="AK22" s="19" t="e">
        <f t="shared" si="14"/>
        <v>#DIV/0!</v>
      </c>
      <c r="AL22" s="163">
        <v>0.01</v>
      </c>
      <c r="AM22" s="164">
        <v>0.1</v>
      </c>
      <c r="AN22" s="19">
        <f t="shared" si="15"/>
        <v>10</v>
      </c>
      <c r="AO22" s="163">
        <v>0.01</v>
      </c>
      <c r="AP22" s="164">
        <v>0.31</v>
      </c>
      <c r="AQ22" s="19">
        <f t="shared" si="16"/>
        <v>31</v>
      </c>
      <c r="AR22" s="163">
        <v>0.01</v>
      </c>
      <c r="AS22" s="164">
        <v>0</v>
      </c>
      <c r="AT22" s="19">
        <f t="shared" si="17"/>
        <v>0</v>
      </c>
      <c r="AU22" s="163">
        <v>0.01</v>
      </c>
      <c r="AV22" s="164">
        <v>1.66</v>
      </c>
      <c r="AW22" s="19">
        <v>0</v>
      </c>
      <c r="AX22" s="163">
        <v>0.51749999999999996</v>
      </c>
      <c r="AY22" s="73">
        <f t="shared" si="6"/>
        <v>51.749999999999993</v>
      </c>
    </row>
    <row r="23" spans="1:52" ht="22.5" customHeight="1" thickTop="1" thickBot="1">
      <c r="A23" s="2857" t="s">
        <v>1053</v>
      </c>
      <c r="B23" s="2858"/>
      <c r="C23" s="2858"/>
      <c r="D23" s="2858"/>
      <c r="E23" s="2858"/>
      <c r="F23" s="2858"/>
      <c r="G23" s="2858"/>
      <c r="H23" s="2858"/>
      <c r="I23" s="2858"/>
      <c r="J23" s="2858"/>
      <c r="K23" s="2858"/>
      <c r="L23" s="2532"/>
      <c r="M23" s="2533"/>
      <c r="N23" s="2534"/>
      <c r="O23" s="2532"/>
      <c r="P23" s="2533"/>
      <c r="Q23" s="2534"/>
      <c r="R23" s="2532"/>
      <c r="S23" s="2533"/>
      <c r="T23" s="2534"/>
      <c r="U23" s="2532"/>
      <c r="V23" s="2533"/>
      <c r="W23" s="2534"/>
      <c r="X23" s="2532"/>
      <c r="Y23" s="2533"/>
      <c r="Z23" s="2534"/>
      <c r="AA23" s="2532"/>
      <c r="AB23" s="2533"/>
      <c r="AC23" s="2534"/>
      <c r="AD23" s="2533"/>
      <c r="AE23" s="2534"/>
      <c r="AF23" s="2532"/>
      <c r="AG23" s="2533"/>
      <c r="AH23" s="2534"/>
      <c r="AI23" s="2532"/>
      <c r="AJ23" s="2533"/>
      <c r="AK23" s="2534"/>
      <c r="AL23" s="2532"/>
      <c r="AM23" s="2533"/>
      <c r="AN23" s="2534"/>
      <c r="AO23" s="2532"/>
      <c r="AP23" s="2533"/>
      <c r="AQ23" s="2534"/>
      <c r="AR23" s="2532"/>
      <c r="AS23" s="2533"/>
      <c r="AT23" s="2534"/>
      <c r="AU23" s="2532"/>
      <c r="AV23" s="2533"/>
      <c r="AW23" s="2534"/>
      <c r="AX23" s="2532"/>
      <c r="AY23" s="2789"/>
    </row>
    <row r="24" spans="1:52" s="1453" customFormat="1" ht="106.5" thickTop="1" thickBot="1">
      <c r="A24" s="2970" t="s">
        <v>1054</v>
      </c>
      <c r="B24" s="3148" t="s">
        <v>314</v>
      </c>
      <c r="C24" s="1410" t="s">
        <v>632</v>
      </c>
      <c r="D24" s="1034" t="s">
        <v>144</v>
      </c>
      <c r="E24" s="1404" t="s">
        <v>633</v>
      </c>
      <c r="F24" s="1405" t="s">
        <v>17</v>
      </c>
      <c r="G24" s="1400">
        <v>105</v>
      </c>
      <c r="H24" s="1686"/>
      <c r="I24" s="1687"/>
      <c r="J24" s="1688"/>
      <c r="K24" s="1400" t="s">
        <v>146</v>
      </c>
      <c r="L24" s="141">
        <v>0</v>
      </c>
      <c r="M24" s="142"/>
      <c r="N24" s="19" t="e">
        <f t="shared" ref="N24" si="21">+M24/L24</f>
        <v>#DIV/0!</v>
      </c>
      <c r="O24" s="209">
        <v>0</v>
      </c>
      <c r="P24" s="142"/>
      <c r="Q24" s="19" t="e">
        <f t="shared" ref="Q24" si="22">+P24/O24</f>
        <v>#DIV/0!</v>
      </c>
      <c r="R24" s="209">
        <v>0</v>
      </c>
      <c r="S24" s="142"/>
      <c r="T24" s="19" t="e">
        <f t="shared" ref="T24" si="23">+S24/R24</f>
        <v>#DIV/0!</v>
      </c>
      <c r="U24" s="209">
        <v>21</v>
      </c>
      <c r="V24" s="142"/>
      <c r="W24" s="19">
        <f t="shared" ref="W24" si="24">+V24/U24</f>
        <v>0</v>
      </c>
      <c r="X24" s="209">
        <v>0</v>
      </c>
      <c r="Y24" s="142"/>
      <c r="Z24" s="19" t="e">
        <f t="shared" ref="Z24" si="25">+Y24/X24</f>
        <v>#DIV/0!</v>
      </c>
      <c r="AA24" s="209">
        <v>0</v>
      </c>
      <c r="AB24" s="142"/>
      <c r="AC24" s="19" t="e">
        <f t="shared" ref="AC24" si="26">+AB24/AA24</f>
        <v>#DIV/0!</v>
      </c>
      <c r="AD24" s="1398">
        <f t="shared" ref="AD24" si="27">+AB24+Y24+V24+S24+P24+M24</f>
        <v>0</v>
      </c>
      <c r="AE24" s="19">
        <f t="shared" ref="AE24" si="28">+AD24/G24</f>
        <v>0</v>
      </c>
      <c r="AF24" s="209">
        <v>0</v>
      </c>
      <c r="AG24" s="142"/>
      <c r="AH24" s="19" t="e">
        <f t="shared" ref="AH24" si="29">+AG24/AF24</f>
        <v>#DIV/0!</v>
      </c>
      <c r="AI24" s="209">
        <v>31</v>
      </c>
      <c r="AJ24" s="2535">
        <v>1382</v>
      </c>
      <c r="AK24" s="19">
        <f t="shared" ref="AK24" si="30">+AJ24/AI24</f>
        <v>44.58064516129032</v>
      </c>
      <c r="AL24" s="209">
        <v>0</v>
      </c>
      <c r="AM24" s="142"/>
      <c r="AN24" s="19" t="e">
        <f t="shared" ref="AN24" si="31">+AM24/AL24</f>
        <v>#DIV/0!</v>
      </c>
      <c r="AO24" s="209">
        <v>0</v>
      </c>
      <c r="AP24" s="142"/>
      <c r="AQ24" s="19" t="e">
        <f t="shared" ref="AQ24" si="32">+AP24/AO24</f>
        <v>#DIV/0!</v>
      </c>
      <c r="AR24" s="209">
        <v>0</v>
      </c>
      <c r="AS24" s="142"/>
      <c r="AT24" s="19" t="e">
        <f t="shared" ref="AT24" si="33">+AS24/AR24</f>
        <v>#DIV/0!</v>
      </c>
      <c r="AU24" s="209">
        <v>53</v>
      </c>
      <c r="AV24" s="142">
        <v>173</v>
      </c>
      <c r="AW24" s="19">
        <f t="shared" ref="AW24" si="34">+AV24/AU24</f>
        <v>3.2641509433962264</v>
      </c>
      <c r="AX24" s="209">
        <f t="shared" ref="AX24" si="35">+M24+P24+S24+V24+Y24+AB24+AG24+AJ24+AM24+AP24+AS24+AV24</f>
        <v>1555</v>
      </c>
      <c r="AY24" s="1606">
        <f>+AX24/G24</f>
        <v>14.80952380952381</v>
      </c>
      <c r="AZ24" s="2536"/>
    </row>
    <row r="25" spans="1:52" s="937" customFormat="1" ht="61.5" thickTop="1" thickBot="1">
      <c r="A25" s="3147"/>
      <c r="B25" s="3149"/>
      <c r="C25" s="125" t="s">
        <v>1055</v>
      </c>
      <c r="D25" s="124" t="s">
        <v>263</v>
      </c>
      <c r="E25" s="125" t="s">
        <v>264</v>
      </c>
      <c r="F25" s="125" t="s">
        <v>10</v>
      </c>
      <c r="G25" s="151">
        <v>1</v>
      </c>
      <c r="H25" s="3238">
        <v>0</v>
      </c>
      <c r="I25" s="3239"/>
      <c r="J25" s="3240"/>
      <c r="K25" s="125" t="s">
        <v>516</v>
      </c>
      <c r="L25" s="148">
        <v>0</v>
      </c>
      <c r="M25" s="199">
        <v>0</v>
      </c>
      <c r="N25" s="73">
        <f t="shared" si="7"/>
        <v>0</v>
      </c>
      <c r="O25" s="148">
        <v>0</v>
      </c>
      <c r="P25" s="199">
        <v>0</v>
      </c>
      <c r="Q25" s="73" t="e">
        <f t="shared" si="8"/>
        <v>#DIV/0!</v>
      </c>
      <c r="R25" s="148">
        <v>0</v>
      </c>
      <c r="S25" s="199">
        <v>0</v>
      </c>
      <c r="T25" s="73" t="e">
        <f t="shared" si="9"/>
        <v>#DIV/0!</v>
      </c>
      <c r="U25" s="148">
        <v>0</v>
      </c>
      <c r="V25" s="199">
        <v>0</v>
      </c>
      <c r="W25" s="73" t="e">
        <f t="shared" si="10"/>
        <v>#DIV/0!</v>
      </c>
      <c r="X25" s="148">
        <v>0</v>
      </c>
      <c r="Y25" s="199">
        <v>0</v>
      </c>
      <c r="Z25" s="73" t="e">
        <f t="shared" si="11"/>
        <v>#DIV/0!</v>
      </c>
      <c r="AA25" s="148">
        <v>0</v>
      </c>
      <c r="AB25" s="199">
        <v>0</v>
      </c>
      <c r="AC25" s="73" t="e">
        <f t="shared" si="12"/>
        <v>#DIV/0!</v>
      </c>
      <c r="AD25" s="199">
        <f t="shared" si="3"/>
        <v>0</v>
      </c>
      <c r="AE25" s="73">
        <f t="shared" si="4"/>
        <v>0</v>
      </c>
      <c r="AF25" s="148">
        <v>0</v>
      </c>
      <c r="AG25" s="199">
        <v>0</v>
      </c>
      <c r="AH25" s="73" t="e">
        <f t="shared" si="13"/>
        <v>#DIV/0!</v>
      </c>
      <c r="AI25" s="148">
        <v>0</v>
      </c>
      <c r="AJ25" s="199">
        <v>0</v>
      </c>
      <c r="AK25" s="73" t="e">
        <f t="shared" si="14"/>
        <v>#DIV/0!</v>
      </c>
      <c r="AL25" s="148">
        <v>0.5</v>
      </c>
      <c r="AM25" s="199">
        <v>0.5</v>
      </c>
      <c r="AN25" s="73">
        <f t="shared" si="15"/>
        <v>1</v>
      </c>
      <c r="AO25" s="148">
        <v>0</v>
      </c>
      <c r="AP25" s="199"/>
      <c r="AQ25" s="73" t="e">
        <f t="shared" si="16"/>
        <v>#DIV/0!</v>
      </c>
      <c r="AR25" s="148">
        <v>0</v>
      </c>
      <c r="AS25" s="199"/>
      <c r="AT25" s="73" t="e">
        <f t="shared" si="17"/>
        <v>#DIV/0!</v>
      </c>
      <c r="AU25" s="148">
        <v>0.5</v>
      </c>
      <c r="AV25" s="199">
        <v>0.5</v>
      </c>
      <c r="AW25" s="73">
        <v>0.5</v>
      </c>
      <c r="AX25" s="148">
        <v>1</v>
      </c>
      <c r="AY25" s="73">
        <f t="shared" si="6"/>
        <v>1</v>
      </c>
    </row>
    <row r="26" spans="1:52" ht="22.5" customHeight="1" thickTop="1" thickBot="1">
      <c r="A26" s="2843" t="s">
        <v>154</v>
      </c>
      <c r="B26" s="2843"/>
      <c r="C26" s="2843"/>
      <c r="D26" s="2843"/>
      <c r="E26" s="2843"/>
      <c r="F26" s="2843"/>
      <c r="G26" s="2843"/>
      <c r="H26" s="2843"/>
      <c r="I26" s="2843"/>
      <c r="J26" s="2843"/>
      <c r="K26" s="2843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1"/>
      <c r="AY26" s="202"/>
    </row>
    <row r="27" spans="1:52" ht="64.5" thickTop="1" thickBot="1">
      <c r="A27" s="202" t="s">
        <v>155</v>
      </c>
      <c r="B27" s="97" t="s">
        <v>156</v>
      </c>
      <c r="C27" s="74" t="s">
        <v>157</v>
      </c>
      <c r="D27" s="111" t="s">
        <v>158</v>
      </c>
      <c r="E27" s="74" t="s">
        <v>159</v>
      </c>
      <c r="F27" s="74" t="s">
        <v>265</v>
      </c>
      <c r="G27" s="203">
        <v>10</v>
      </c>
      <c r="H27" s="99">
        <v>10</v>
      </c>
      <c r="I27" s="204"/>
      <c r="J27" s="204"/>
      <c r="K27" s="25" t="s">
        <v>27</v>
      </c>
      <c r="L27" s="205">
        <v>0</v>
      </c>
      <c r="M27" s="206">
        <v>0</v>
      </c>
      <c r="N27" s="19" t="e">
        <f t="shared" ref="N27" si="36">+M27/L27</f>
        <v>#DIV/0!</v>
      </c>
      <c r="O27" s="205">
        <v>0</v>
      </c>
      <c r="P27" s="206">
        <v>0</v>
      </c>
      <c r="Q27" s="19" t="e">
        <f t="shared" ref="Q27" si="37">+P27/O27</f>
        <v>#DIV/0!</v>
      </c>
      <c r="R27" s="205">
        <v>0</v>
      </c>
      <c r="S27" s="206">
        <v>0</v>
      </c>
      <c r="T27" s="19" t="e">
        <f t="shared" ref="T27" si="38">+S27/R27</f>
        <v>#DIV/0!</v>
      </c>
      <c r="U27" s="205">
        <v>0</v>
      </c>
      <c r="V27" s="206">
        <v>0</v>
      </c>
      <c r="W27" s="19" t="e">
        <f t="shared" ref="W27" si="39">+V27/U27</f>
        <v>#DIV/0!</v>
      </c>
      <c r="X27" s="205">
        <v>2</v>
      </c>
      <c r="Y27" s="206">
        <v>2</v>
      </c>
      <c r="Z27" s="19">
        <f t="shared" ref="Z27" si="40">+Y27/X27</f>
        <v>1</v>
      </c>
      <c r="AA27" s="205">
        <v>0</v>
      </c>
      <c r="AB27" s="206">
        <v>0</v>
      </c>
      <c r="AC27" s="19" t="e">
        <f t="shared" ref="AC27" si="41">+AB27/AA27</f>
        <v>#DIV/0!</v>
      </c>
      <c r="AD27" s="207">
        <f>+Y27</f>
        <v>2</v>
      </c>
      <c r="AE27" s="19">
        <f t="shared" ref="AE27" si="42">+AD27/G27</f>
        <v>0.2</v>
      </c>
      <c r="AF27" s="205">
        <v>1</v>
      </c>
      <c r="AG27" s="206">
        <v>1</v>
      </c>
      <c r="AH27" s="208">
        <f t="shared" ref="AH27" si="43">+AG27/AF27</f>
        <v>1</v>
      </c>
      <c r="AI27" s="205">
        <v>3</v>
      </c>
      <c r="AJ27" s="206">
        <v>3</v>
      </c>
      <c r="AK27" s="1456">
        <f>+AJ27/AI27</f>
        <v>1</v>
      </c>
      <c r="AL27" s="205">
        <v>1</v>
      </c>
      <c r="AM27" s="206">
        <v>1</v>
      </c>
      <c r="AN27" s="208">
        <f t="shared" ref="AN27" si="44">+AM27/AL27</f>
        <v>1</v>
      </c>
      <c r="AO27" s="205">
        <v>3</v>
      </c>
      <c r="AP27" s="206">
        <v>3</v>
      </c>
      <c r="AQ27" s="19">
        <f t="shared" ref="AQ27" si="45">+AP27/AO27</f>
        <v>1</v>
      </c>
      <c r="AR27" s="205">
        <v>0</v>
      </c>
      <c r="AS27" s="206"/>
      <c r="AT27" s="19" t="e">
        <f t="shared" ref="AT27" si="46">+AS27/AR27</f>
        <v>#DIV/0!</v>
      </c>
      <c r="AU27" s="205">
        <v>0</v>
      </c>
      <c r="AV27" s="206"/>
      <c r="AW27" s="19" t="e">
        <f t="shared" ref="AW27" si="47">+AV27/AU27</f>
        <v>#DIV/0!</v>
      </c>
      <c r="AX27" s="209">
        <f>+Y27+AG27+AJ27+AM27+AP27</f>
        <v>10</v>
      </c>
      <c r="AY27" s="73">
        <f>+AX27/G27</f>
        <v>1</v>
      </c>
    </row>
    <row r="28" spans="1:52" ht="17.25" thickTop="1"/>
  </sheetData>
  <sheetProtection algorithmName="SHA-512" hashValue="sHzgg17Bt08+0DKrrpd0eUWbXuy3Fk0PCiGgwzPbR7rKI5LXAwpl669tfTsRN6SuGR64QTwRShWgGWA4T31MSg==" saltValue="zDFrVddEAaEDHpiWPQtEd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AD21:AD22" name="Rango1_3"/>
    <protectedRange algorithmName="SHA-512" hashValue="Uds9cYMsxnQI1SjFHe8NNqfDC/fFeray9QhmtAdG/GCgT0L97QBkFAQ9tCw5vTy3J/lQFdDpBTyQoZDg0KZNmQ==" saltValue="0HoWkw5WsZ+PdZDtJpkerg==" spinCount="100000" sqref="AX21:AX22" name="Rango1_1_2"/>
  </protectedRanges>
  <mergeCells count="41">
    <mergeCell ref="A23:K23"/>
    <mergeCell ref="A24:A25"/>
    <mergeCell ref="B24:B25"/>
    <mergeCell ref="H25:J25"/>
    <mergeCell ref="A26:K26"/>
    <mergeCell ref="A8:K8"/>
    <mergeCell ref="A9:A22"/>
    <mergeCell ref="B9:B10"/>
    <mergeCell ref="B11:B17"/>
    <mergeCell ref="C12:C14"/>
    <mergeCell ref="C15:C16"/>
    <mergeCell ref="B18:B22"/>
    <mergeCell ref="C20:C22"/>
    <mergeCell ref="AL5:AN7"/>
    <mergeCell ref="AO5:AQ7"/>
    <mergeCell ref="AR5:AT7"/>
    <mergeCell ref="AU5:AW7"/>
    <mergeCell ref="AX5:AY7"/>
    <mergeCell ref="AF5:AH7"/>
    <mergeCell ref="AI5:AK7"/>
    <mergeCell ref="F5:F7"/>
    <mergeCell ref="G5:G7"/>
    <mergeCell ref="K5:K7"/>
    <mergeCell ref="L5:N7"/>
    <mergeCell ref="O5:Q7"/>
    <mergeCell ref="R5:T7"/>
    <mergeCell ref="H7:J7"/>
    <mergeCell ref="U5:W7"/>
    <mergeCell ref="X5:Z7"/>
    <mergeCell ref="AA5:AC7"/>
    <mergeCell ref="AD5:AE7"/>
    <mergeCell ref="A1:B4"/>
    <mergeCell ref="C1:K1"/>
    <mergeCell ref="C2:K2"/>
    <mergeCell ref="C3:K3"/>
    <mergeCell ref="C4:K4"/>
    <mergeCell ref="A5:A7"/>
    <mergeCell ref="B5:B7"/>
    <mergeCell ref="C5:C7"/>
    <mergeCell ref="D5:D7"/>
    <mergeCell ref="E5:E7"/>
  </mergeCells>
  <conditionalFormatting sqref="AE11:AE20 AE25">
    <cfRule type="cellIs" dxfId="2069" priority="416" operator="greaterThan">
      <formula>110%</formula>
    </cfRule>
    <cfRule type="cellIs" dxfId="2068" priority="417" operator="between">
      <formula>100.001%</formula>
      <formula>110%</formula>
    </cfRule>
    <cfRule type="cellIs" dxfId="2067" priority="418" operator="between">
      <formula>70.001%</formula>
      <formula>100%</formula>
    </cfRule>
    <cfRule type="cellIs" dxfId="2066" priority="419" operator="between">
      <formula>0.00001%</formula>
      <formula>70%</formula>
    </cfRule>
    <cfRule type="cellIs" dxfId="2065" priority="420" operator="equal">
      <formula>0</formula>
    </cfRule>
  </conditionalFormatting>
  <conditionalFormatting sqref="AY11:AY20 AY25">
    <cfRule type="cellIs" dxfId="2064" priority="411" operator="greaterThan">
      <formula>110%</formula>
    </cfRule>
    <cfRule type="cellIs" dxfId="2063" priority="412" operator="between">
      <formula>100.001%</formula>
      <formula>110%</formula>
    </cfRule>
    <cfRule type="cellIs" dxfId="2062" priority="413" operator="between">
      <formula>70.001%</formula>
      <formula>100%</formula>
    </cfRule>
    <cfRule type="cellIs" dxfId="2061" priority="414" operator="between">
      <formula>0.00001%</formula>
      <formula>70%</formula>
    </cfRule>
    <cfRule type="cellIs" dxfId="2060" priority="415" operator="equal">
      <formula>0</formula>
    </cfRule>
  </conditionalFormatting>
  <conditionalFormatting sqref="N11:N20 N25">
    <cfRule type="cellIs" dxfId="2059" priority="406" operator="greaterThan">
      <formula>110%</formula>
    </cfRule>
    <cfRule type="cellIs" dxfId="2058" priority="407" operator="between">
      <formula>100.001%</formula>
      <formula>110%</formula>
    </cfRule>
    <cfRule type="cellIs" dxfId="2057" priority="408" operator="between">
      <formula>70.001%</formula>
      <formula>100%</formula>
    </cfRule>
    <cfRule type="cellIs" dxfId="2056" priority="409" operator="between">
      <formula>0.00001%</formula>
      <formula>70%</formula>
    </cfRule>
    <cfRule type="cellIs" dxfId="2055" priority="410" operator="equal">
      <formula>0</formula>
    </cfRule>
  </conditionalFormatting>
  <conditionalFormatting sqref="Q11:Q20 Q25">
    <cfRule type="cellIs" dxfId="2054" priority="401" operator="greaterThan">
      <formula>110%</formula>
    </cfRule>
    <cfRule type="cellIs" dxfId="2053" priority="402" operator="between">
      <formula>100.001%</formula>
      <formula>110%</formula>
    </cfRule>
    <cfRule type="cellIs" dxfId="2052" priority="403" operator="between">
      <formula>70.001%</formula>
      <formula>100%</formula>
    </cfRule>
    <cfRule type="cellIs" dxfId="2051" priority="404" operator="between">
      <formula>0.00001%</formula>
      <formula>70%</formula>
    </cfRule>
    <cfRule type="cellIs" dxfId="2050" priority="405" operator="equal">
      <formula>0</formula>
    </cfRule>
  </conditionalFormatting>
  <conditionalFormatting sqref="T11:T20 T25">
    <cfRule type="cellIs" dxfId="2049" priority="396" operator="greaterThan">
      <formula>110%</formula>
    </cfRule>
    <cfRule type="cellIs" dxfId="2048" priority="397" operator="between">
      <formula>100.001%</formula>
      <formula>110%</formula>
    </cfRule>
    <cfRule type="cellIs" dxfId="2047" priority="398" operator="between">
      <formula>70.001%</formula>
      <formula>100%</formula>
    </cfRule>
    <cfRule type="cellIs" dxfId="2046" priority="399" operator="between">
      <formula>0.00001%</formula>
      <formula>70%</formula>
    </cfRule>
    <cfRule type="cellIs" dxfId="2045" priority="400" operator="equal">
      <formula>0</formula>
    </cfRule>
  </conditionalFormatting>
  <conditionalFormatting sqref="W11:W20 W25">
    <cfRule type="cellIs" dxfId="2044" priority="391" operator="greaterThan">
      <formula>110%</formula>
    </cfRule>
    <cfRule type="cellIs" dxfId="2043" priority="392" operator="between">
      <formula>100.001%</formula>
      <formula>110%</formula>
    </cfRule>
    <cfRule type="cellIs" dxfId="2042" priority="393" operator="between">
      <formula>70.001%</formula>
      <formula>100%</formula>
    </cfRule>
    <cfRule type="cellIs" dxfId="2041" priority="394" operator="between">
      <formula>0.00001%</formula>
      <formula>70%</formula>
    </cfRule>
    <cfRule type="cellIs" dxfId="2040" priority="395" operator="equal">
      <formula>0</formula>
    </cfRule>
  </conditionalFormatting>
  <conditionalFormatting sqref="Z11:Z20 Z25">
    <cfRule type="cellIs" dxfId="2039" priority="386" operator="greaterThan">
      <formula>110%</formula>
    </cfRule>
    <cfRule type="cellIs" dxfId="2038" priority="387" operator="between">
      <formula>100.001%</formula>
      <formula>110%</formula>
    </cfRule>
    <cfRule type="cellIs" dxfId="2037" priority="388" operator="between">
      <formula>70.001%</formula>
      <formula>100%</formula>
    </cfRule>
    <cfRule type="cellIs" dxfId="2036" priority="389" operator="between">
      <formula>0.00001%</formula>
      <formula>70%</formula>
    </cfRule>
    <cfRule type="cellIs" dxfId="2035" priority="390" operator="equal">
      <formula>0</formula>
    </cfRule>
  </conditionalFormatting>
  <conditionalFormatting sqref="AC11:AC20 AC25">
    <cfRule type="cellIs" dxfId="2034" priority="381" operator="greaterThan">
      <formula>110%</formula>
    </cfRule>
    <cfRule type="cellIs" dxfId="2033" priority="382" operator="between">
      <formula>100.001%</formula>
      <formula>110%</formula>
    </cfRule>
    <cfRule type="cellIs" dxfId="2032" priority="383" operator="between">
      <formula>70.001%</formula>
      <formula>100%</formula>
    </cfRule>
    <cfRule type="cellIs" dxfId="2031" priority="384" operator="between">
      <formula>0.00001%</formula>
      <formula>70%</formula>
    </cfRule>
    <cfRule type="cellIs" dxfId="2030" priority="385" operator="equal">
      <formula>0</formula>
    </cfRule>
  </conditionalFormatting>
  <conditionalFormatting sqref="AH11:AH20 AH25">
    <cfRule type="cellIs" dxfId="2029" priority="376" operator="greaterThan">
      <formula>110%</formula>
    </cfRule>
    <cfRule type="cellIs" dxfId="2028" priority="377" operator="between">
      <formula>100.001%</formula>
      <formula>110%</formula>
    </cfRule>
    <cfRule type="cellIs" dxfId="2027" priority="378" operator="between">
      <formula>70.001%</formula>
      <formula>100%</formula>
    </cfRule>
    <cfRule type="cellIs" dxfId="2026" priority="379" operator="between">
      <formula>0.00001%</formula>
      <formula>70%</formula>
    </cfRule>
    <cfRule type="cellIs" dxfId="2025" priority="380" operator="equal">
      <formula>0</formula>
    </cfRule>
  </conditionalFormatting>
  <conditionalFormatting sqref="AK11 AK25 AK13:AK20">
    <cfRule type="cellIs" dxfId="2024" priority="371" operator="greaterThan">
      <formula>110%</formula>
    </cfRule>
    <cfRule type="cellIs" dxfId="2023" priority="372" operator="between">
      <formula>100.001%</formula>
      <formula>110%</formula>
    </cfRule>
    <cfRule type="cellIs" dxfId="2022" priority="373" operator="between">
      <formula>70.001%</formula>
      <formula>100%</formula>
    </cfRule>
    <cfRule type="cellIs" dxfId="2021" priority="374" operator="between">
      <formula>0.00001%</formula>
      <formula>70%</formula>
    </cfRule>
    <cfRule type="cellIs" dxfId="2020" priority="375" operator="equal">
      <formula>0</formula>
    </cfRule>
  </conditionalFormatting>
  <conditionalFormatting sqref="AN11 AN25 AN13:AN20">
    <cfRule type="cellIs" dxfId="2019" priority="366" operator="greaterThan">
      <formula>110%</formula>
    </cfRule>
    <cfRule type="cellIs" dxfId="2018" priority="367" operator="between">
      <formula>100.001%</formula>
      <formula>110%</formula>
    </cfRule>
    <cfRule type="cellIs" dxfId="2017" priority="368" operator="between">
      <formula>70.001%</formula>
      <formula>100%</formula>
    </cfRule>
    <cfRule type="cellIs" dxfId="2016" priority="369" operator="between">
      <formula>0.00001%</formula>
      <formula>70%</formula>
    </cfRule>
    <cfRule type="cellIs" dxfId="2015" priority="370" operator="equal">
      <formula>0</formula>
    </cfRule>
  </conditionalFormatting>
  <conditionalFormatting sqref="AQ11 AQ25 AQ13:AQ20">
    <cfRule type="cellIs" dxfId="2014" priority="361" operator="greaterThan">
      <formula>110%</formula>
    </cfRule>
    <cfRule type="cellIs" dxfId="2013" priority="362" operator="between">
      <formula>100.001%</formula>
      <formula>110%</formula>
    </cfRule>
    <cfRule type="cellIs" dxfId="2012" priority="363" operator="between">
      <formula>70.001%</formula>
      <formula>100%</formula>
    </cfRule>
    <cfRule type="cellIs" dxfId="2011" priority="364" operator="between">
      <formula>0.00001%</formula>
      <formula>70%</formula>
    </cfRule>
    <cfRule type="cellIs" dxfId="2010" priority="365" operator="equal">
      <formula>0</formula>
    </cfRule>
  </conditionalFormatting>
  <conditionalFormatting sqref="AT11:AT20 AT25">
    <cfRule type="cellIs" dxfId="2009" priority="356" operator="greaterThan">
      <formula>110%</formula>
    </cfRule>
    <cfRule type="cellIs" dxfId="2008" priority="357" operator="between">
      <formula>100.001%</formula>
      <formula>110%</formula>
    </cfRule>
    <cfRule type="cellIs" dxfId="2007" priority="358" operator="between">
      <formula>70.001%</formula>
      <formula>100%</formula>
    </cfRule>
    <cfRule type="cellIs" dxfId="2006" priority="359" operator="between">
      <formula>0.00001%</formula>
      <formula>70%</formula>
    </cfRule>
    <cfRule type="cellIs" dxfId="2005" priority="360" operator="equal">
      <formula>0</formula>
    </cfRule>
  </conditionalFormatting>
  <conditionalFormatting sqref="AW11:AW20 AW25">
    <cfRule type="cellIs" dxfId="2004" priority="351" operator="greaterThan">
      <formula>110%</formula>
    </cfRule>
    <cfRule type="cellIs" dxfId="2003" priority="352" operator="between">
      <formula>100.001%</formula>
      <formula>110%</formula>
    </cfRule>
    <cfRule type="cellIs" dxfId="2002" priority="353" operator="between">
      <formula>70.001%</formula>
      <formula>100%</formula>
    </cfRule>
    <cfRule type="cellIs" dxfId="2001" priority="354" operator="between">
      <formula>0.00001%</formula>
      <formula>70%</formula>
    </cfRule>
    <cfRule type="cellIs" dxfId="2000" priority="355" operator="equal">
      <formula>0</formula>
    </cfRule>
  </conditionalFormatting>
  <conditionalFormatting sqref="AE9:AE10">
    <cfRule type="cellIs" dxfId="1999" priority="346" operator="greaterThan">
      <formula>110%</formula>
    </cfRule>
    <cfRule type="cellIs" dxfId="1998" priority="347" operator="between">
      <formula>100.001%</formula>
      <formula>110%</formula>
    </cfRule>
    <cfRule type="cellIs" dxfId="1997" priority="348" operator="between">
      <formula>70.001%</formula>
      <formula>100%</formula>
    </cfRule>
    <cfRule type="cellIs" dxfId="1996" priority="349" operator="between">
      <formula>0.00001%</formula>
      <formula>70%</formula>
    </cfRule>
    <cfRule type="cellIs" dxfId="1995" priority="350" operator="equal">
      <formula>0</formula>
    </cfRule>
  </conditionalFormatting>
  <conditionalFormatting sqref="AY10">
    <cfRule type="cellIs" dxfId="1994" priority="341" operator="greaterThan">
      <formula>110%</formula>
    </cfRule>
    <cfRule type="cellIs" dxfId="1993" priority="342" operator="between">
      <formula>100.001%</formula>
      <formula>110%</formula>
    </cfRule>
    <cfRule type="cellIs" dxfId="1992" priority="343" operator="between">
      <formula>70.001%</formula>
      <formula>100%</formula>
    </cfRule>
    <cfRule type="cellIs" dxfId="1991" priority="344" operator="between">
      <formula>0.00001%</formula>
      <formula>70%</formula>
    </cfRule>
    <cfRule type="cellIs" dxfId="1990" priority="345" operator="equal">
      <formula>0</formula>
    </cfRule>
  </conditionalFormatting>
  <conditionalFormatting sqref="N9:N10">
    <cfRule type="cellIs" dxfId="1989" priority="336" operator="greaterThan">
      <formula>110%</formula>
    </cfRule>
    <cfRule type="cellIs" dxfId="1988" priority="337" operator="between">
      <formula>100.001%</formula>
      <formula>110%</formula>
    </cfRule>
    <cfRule type="cellIs" dxfId="1987" priority="338" operator="between">
      <formula>70.001%</formula>
      <formula>100%</formula>
    </cfRule>
    <cfRule type="cellIs" dxfId="1986" priority="339" operator="between">
      <formula>0.00001%</formula>
      <formula>70%</formula>
    </cfRule>
    <cfRule type="cellIs" dxfId="1985" priority="340" operator="equal">
      <formula>0</formula>
    </cfRule>
  </conditionalFormatting>
  <conditionalFormatting sqref="Q9:Q10">
    <cfRule type="cellIs" dxfId="1984" priority="331" operator="greaterThan">
      <formula>110%</formula>
    </cfRule>
    <cfRule type="cellIs" dxfId="1983" priority="332" operator="between">
      <formula>100.001%</formula>
      <formula>110%</formula>
    </cfRule>
    <cfRule type="cellIs" dxfId="1982" priority="333" operator="between">
      <formula>70.001%</formula>
      <formula>100%</formula>
    </cfRule>
    <cfRule type="cellIs" dxfId="1981" priority="334" operator="between">
      <formula>0.00001%</formula>
      <formula>70%</formula>
    </cfRule>
    <cfRule type="cellIs" dxfId="1980" priority="335" operator="equal">
      <formula>0</formula>
    </cfRule>
  </conditionalFormatting>
  <conditionalFormatting sqref="T9:T10">
    <cfRule type="cellIs" dxfId="1979" priority="326" operator="greaterThan">
      <formula>110%</formula>
    </cfRule>
    <cfRule type="cellIs" dxfId="1978" priority="327" operator="between">
      <formula>100.001%</formula>
      <formula>110%</formula>
    </cfRule>
    <cfRule type="cellIs" dxfId="1977" priority="328" operator="between">
      <formula>70.001%</formula>
      <formula>100%</formula>
    </cfRule>
    <cfRule type="cellIs" dxfId="1976" priority="329" operator="between">
      <formula>0.00001%</formula>
      <formula>70%</formula>
    </cfRule>
    <cfRule type="cellIs" dxfId="1975" priority="330" operator="equal">
      <formula>0</formula>
    </cfRule>
  </conditionalFormatting>
  <conditionalFormatting sqref="W9:W10">
    <cfRule type="cellIs" dxfId="1974" priority="321" operator="greaterThan">
      <formula>110%</formula>
    </cfRule>
    <cfRule type="cellIs" dxfId="1973" priority="322" operator="between">
      <formula>100.001%</formula>
      <formula>110%</formula>
    </cfRule>
    <cfRule type="cellIs" dxfId="1972" priority="323" operator="between">
      <formula>70.001%</formula>
      <formula>100%</formula>
    </cfRule>
    <cfRule type="cellIs" dxfId="1971" priority="324" operator="between">
      <formula>0.00001%</formula>
      <formula>70%</formula>
    </cfRule>
    <cfRule type="cellIs" dxfId="1970" priority="325" operator="equal">
      <formula>0</formula>
    </cfRule>
  </conditionalFormatting>
  <conditionalFormatting sqref="Z9:Z10">
    <cfRule type="cellIs" dxfId="1969" priority="316" operator="greaterThan">
      <formula>110%</formula>
    </cfRule>
    <cfRule type="cellIs" dxfId="1968" priority="317" operator="between">
      <formula>100.001%</formula>
      <formula>110%</formula>
    </cfRule>
    <cfRule type="cellIs" dxfId="1967" priority="318" operator="between">
      <formula>70.001%</formula>
      <formula>100%</formula>
    </cfRule>
    <cfRule type="cellIs" dxfId="1966" priority="319" operator="between">
      <formula>0.00001%</formula>
      <formula>70%</formula>
    </cfRule>
    <cfRule type="cellIs" dxfId="1965" priority="320" operator="equal">
      <formula>0</formula>
    </cfRule>
  </conditionalFormatting>
  <conditionalFormatting sqref="AC9:AC10">
    <cfRule type="cellIs" dxfId="1964" priority="311" operator="greaterThan">
      <formula>110%</formula>
    </cfRule>
    <cfRule type="cellIs" dxfId="1963" priority="312" operator="between">
      <formula>100.001%</formula>
      <formula>110%</formula>
    </cfRule>
    <cfRule type="cellIs" dxfId="1962" priority="313" operator="between">
      <formula>70.001%</formula>
      <formula>100%</formula>
    </cfRule>
    <cfRule type="cellIs" dxfId="1961" priority="314" operator="between">
      <formula>0.00001%</formula>
      <formula>70%</formula>
    </cfRule>
    <cfRule type="cellIs" dxfId="1960" priority="315" operator="equal">
      <formula>0</formula>
    </cfRule>
  </conditionalFormatting>
  <conditionalFormatting sqref="AH9:AH10">
    <cfRule type="cellIs" dxfId="1959" priority="306" operator="greaterThan">
      <formula>110%</formula>
    </cfRule>
    <cfRule type="cellIs" dxfId="1958" priority="307" operator="between">
      <formula>100.001%</formula>
      <formula>110%</formula>
    </cfRule>
    <cfRule type="cellIs" dxfId="1957" priority="308" operator="between">
      <formula>70.001%</formula>
      <formula>100%</formula>
    </cfRule>
    <cfRule type="cellIs" dxfId="1956" priority="309" operator="between">
      <formula>0.00001%</formula>
      <formula>70%</formula>
    </cfRule>
    <cfRule type="cellIs" dxfId="1955" priority="310" operator="equal">
      <formula>0</formula>
    </cfRule>
  </conditionalFormatting>
  <conditionalFormatting sqref="AK9:AK10">
    <cfRule type="cellIs" dxfId="1954" priority="301" operator="greaterThan">
      <formula>110%</formula>
    </cfRule>
    <cfRule type="cellIs" dxfId="1953" priority="302" operator="between">
      <formula>100.001%</formula>
      <formula>110%</formula>
    </cfRule>
    <cfRule type="cellIs" dxfId="1952" priority="303" operator="between">
      <formula>70.001%</formula>
      <formula>100%</formula>
    </cfRule>
    <cfRule type="cellIs" dxfId="1951" priority="304" operator="between">
      <formula>0.00001%</formula>
      <formula>70%</formula>
    </cfRule>
    <cfRule type="cellIs" dxfId="1950" priority="305" operator="equal">
      <formula>0</formula>
    </cfRule>
  </conditionalFormatting>
  <conditionalFormatting sqref="AN9:AN10">
    <cfRule type="cellIs" dxfId="1949" priority="296" operator="greaterThan">
      <formula>110%</formula>
    </cfRule>
    <cfRule type="cellIs" dxfId="1948" priority="297" operator="between">
      <formula>100.001%</formula>
      <formula>110%</formula>
    </cfRule>
    <cfRule type="cellIs" dxfId="1947" priority="298" operator="between">
      <formula>70.001%</formula>
      <formula>100%</formula>
    </cfRule>
    <cfRule type="cellIs" dxfId="1946" priority="299" operator="between">
      <formula>0.00001%</formula>
      <formula>70%</formula>
    </cfRule>
    <cfRule type="cellIs" dxfId="1945" priority="300" operator="equal">
      <formula>0</formula>
    </cfRule>
  </conditionalFormatting>
  <conditionalFormatting sqref="AQ9:AQ10">
    <cfRule type="cellIs" dxfId="1944" priority="291" operator="greaterThan">
      <formula>110%</formula>
    </cfRule>
    <cfRule type="cellIs" dxfId="1943" priority="292" operator="between">
      <formula>100.001%</formula>
      <formula>110%</formula>
    </cfRule>
    <cfRule type="cellIs" dxfId="1942" priority="293" operator="between">
      <formula>70.001%</formula>
      <formula>100%</formula>
    </cfRule>
    <cfRule type="cellIs" dxfId="1941" priority="294" operator="between">
      <formula>0.00001%</formula>
      <formula>70%</formula>
    </cfRule>
    <cfRule type="cellIs" dxfId="1940" priority="295" operator="equal">
      <formula>0</formula>
    </cfRule>
  </conditionalFormatting>
  <conditionalFormatting sqref="AT10">
    <cfRule type="cellIs" dxfId="1939" priority="286" operator="greaterThan">
      <formula>110%</formula>
    </cfRule>
    <cfRule type="cellIs" dxfId="1938" priority="287" operator="between">
      <formula>100.001%</formula>
      <formula>110%</formula>
    </cfRule>
    <cfRule type="cellIs" dxfId="1937" priority="288" operator="between">
      <formula>70.001%</formula>
      <formula>100%</formula>
    </cfRule>
    <cfRule type="cellIs" dxfId="1936" priority="289" operator="between">
      <formula>0.00001%</formula>
      <formula>70%</formula>
    </cfRule>
    <cfRule type="cellIs" dxfId="1935" priority="290" operator="equal">
      <formula>0</formula>
    </cfRule>
  </conditionalFormatting>
  <conditionalFormatting sqref="AW9:AW10">
    <cfRule type="cellIs" dxfId="1934" priority="281" operator="greaterThan">
      <formula>110%</formula>
    </cfRule>
    <cfRule type="cellIs" dxfId="1933" priority="282" operator="between">
      <formula>100.001%</formula>
      <formula>110%</formula>
    </cfRule>
    <cfRule type="cellIs" dxfId="1932" priority="283" operator="between">
      <formula>70.001%</formula>
      <formula>100%</formula>
    </cfRule>
    <cfRule type="cellIs" dxfId="1931" priority="284" operator="between">
      <formula>0.00001%</formula>
      <formula>70%</formula>
    </cfRule>
    <cfRule type="cellIs" dxfId="1930" priority="285" operator="equal">
      <formula>0</formula>
    </cfRule>
  </conditionalFormatting>
  <conditionalFormatting sqref="AE27">
    <cfRule type="cellIs" dxfId="1929" priority="276" operator="greaterThan">
      <formula>110%</formula>
    </cfRule>
    <cfRule type="cellIs" dxfId="1928" priority="277" operator="between">
      <formula>100.001%</formula>
      <formula>110%</formula>
    </cfRule>
    <cfRule type="cellIs" dxfId="1927" priority="278" operator="between">
      <formula>70.001%</formula>
      <formula>100%</formula>
    </cfRule>
    <cfRule type="cellIs" dxfId="1926" priority="279" operator="between">
      <formula>0.00001%</formula>
      <formula>70%</formula>
    </cfRule>
    <cfRule type="cellIs" dxfId="1925" priority="280" operator="equal">
      <formula>0</formula>
    </cfRule>
  </conditionalFormatting>
  <conditionalFormatting sqref="AY27">
    <cfRule type="cellIs" dxfId="1924" priority="271" operator="greaterThan">
      <formula>110%</formula>
    </cfRule>
    <cfRule type="cellIs" dxfId="1923" priority="272" operator="between">
      <formula>100.001%</formula>
      <formula>110%</formula>
    </cfRule>
    <cfRule type="cellIs" dxfId="1922" priority="273" operator="between">
      <formula>70.001%</formula>
      <formula>100%</formula>
    </cfRule>
    <cfRule type="cellIs" dxfId="1921" priority="274" operator="between">
      <formula>0.00001%</formula>
      <formula>70%</formula>
    </cfRule>
    <cfRule type="cellIs" dxfId="1920" priority="275" operator="equal">
      <formula>0</formula>
    </cfRule>
  </conditionalFormatting>
  <conditionalFormatting sqref="N27">
    <cfRule type="cellIs" dxfId="1919" priority="266" operator="greaterThan">
      <formula>110%</formula>
    </cfRule>
    <cfRule type="cellIs" dxfId="1918" priority="267" operator="between">
      <formula>100.001%</formula>
      <formula>110%</formula>
    </cfRule>
    <cfRule type="cellIs" dxfId="1917" priority="268" operator="between">
      <formula>70.001%</formula>
      <formula>100%</formula>
    </cfRule>
    <cfRule type="cellIs" dxfId="1916" priority="269" operator="between">
      <formula>0.00001%</formula>
      <formula>70%</formula>
    </cfRule>
    <cfRule type="cellIs" dxfId="1915" priority="270" operator="equal">
      <formula>0</formula>
    </cfRule>
  </conditionalFormatting>
  <conditionalFormatting sqref="Q27">
    <cfRule type="cellIs" dxfId="1914" priority="261" operator="greaterThan">
      <formula>110%</formula>
    </cfRule>
    <cfRule type="cellIs" dxfId="1913" priority="262" operator="between">
      <formula>100.001%</formula>
      <formula>110%</formula>
    </cfRule>
    <cfRule type="cellIs" dxfId="1912" priority="263" operator="between">
      <formula>70.001%</formula>
      <formula>100%</formula>
    </cfRule>
    <cfRule type="cellIs" dxfId="1911" priority="264" operator="between">
      <formula>0.00001%</formula>
      <formula>70%</formula>
    </cfRule>
    <cfRule type="cellIs" dxfId="1910" priority="265" operator="equal">
      <formula>0</formula>
    </cfRule>
  </conditionalFormatting>
  <conditionalFormatting sqref="T27">
    <cfRule type="cellIs" dxfId="1909" priority="256" operator="greaterThan">
      <formula>110%</formula>
    </cfRule>
    <cfRule type="cellIs" dxfId="1908" priority="257" operator="between">
      <formula>100.001%</formula>
      <formula>110%</formula>
    </cfRule>
    <cfRule type="cellIs" dxfId="1907" priority="258" operator="between">
      <formula>70.001%</formula>
      <formula>100%</formula>
    </cfRule>
    <cfRule type="cellIs" dxfId="1906" priority="259" operator="between">
      <formula>0.00001%</formula>
      <formula>70%</formula>
    </cfRule>
    <cfRule type="cellIs" dxfId="1905" priority="260" operator="equal">
      <formula>0</formula>
    </cfRule>
  </conditionalFormatting>
  <conditionalFormatting sqref="W27">
    <cfRule type="cellIs" dxfId="1904" priority="251" operator="greaterThan">
      <formula>110%</formula>
    </cfRule>
    <cfRule type="cellIs" dxfId="1903" priority="252" operator="between">
      <formula>100.001%</formula>
      <formula>110%</formula>
    </cfRule>
    <cfRule type="cellIs" dxfId="1902" priority="253" operator="between">
      <formula>70.001%</formula>
      <formula>100%</formula>
    </cfRule>
    <cfRule type="cellIs" dxfId="1901" priority="254" operator="between">
      <formula>0.00001%</formula>
      <formula>70%</formula>
    </cfRule>
    <cfRule type="cellIs" dxfId="1900" priority="255" operator="equal">
      <formula>0</formula>
    </cfRule>
  </conditionalFormatting>
  <conditionalFormatting sqref="Z27">
    <cfRule type="cellIs" dxfId="1899" priority="246" operator="greaterThan">
      <formula>110%</formula>
    </cfRule>
    <cfRule type="cellIs" dxfId="1898" priority="247" operator="between">
      <formula>100.001%</formula>
      <formula>110%</formula>
    </cfRule>
    <cfRule type="cellIs" dxfId="1897" priority="248" operator="between">
      <formula>70.001%</formula>
      <formula>100%</formula>
    </cfRule>
    <cfRule type="cellIs" dxfId="1896" priority="249" operator="between">
      <formula>0.00001%</formula>
      <formula>70%</formula>
    </cfRule>
    <cfRule type="cellIs" dxfId="1895" priority="250" operator="equal">
      <formula>0</formula>
    </cfRule>
  </conditionalFormatting>
  <conditionalFormatting sqref="AC27">
    <cfRule type="cellIs" dxfId="1894" priority="241" operator="greaterThan">
      <formula>110%</formula>
    </cfRule>
    <cfRule type="cellIs" dxfId="1893" priority="242" operator="between">
      <formula>100.001%</formula>
      <formula>110%</formula>
    </cfRule>
    <cfRule type="cellIs" dxfId="1892" priority="243" operator="between">
      <formula>70.001%</formula>
      <formula>100%</formula>
    </cfRule>
    <cfRule type="cellIs" dxfId="1891" priority="244" operator="between">
      <formula>0.00001%</formula>
      <formula>70%</formula>
    </cfRule>
    <cfRule type="cellIs" dxfId="1890" priority="245" operator="equal">
      <formula>0</formula>
    </cfRule>
  </conditionalFormatting>
  <conditionalFormatting sqref="AH27">
    <cfRule type="cellIs" dxfId="1889" priority="236" operator="greaterThan">
      <formula>110%</formula>
    </cfRule>
    <cfRule type="cellIs" dxfId="1888" priority="237" operator="between">
      <formula>100.001%</formula>
      <formula>110%</formula>
    </cfRule>
    <cfRule type="cellIs" dxfId="1887" priority="238" operator="between">
      <formula>70.001%</formula>
      <formula>100%</formula>
    </cfRule>
    <cfRule type="cellIs" dxfId="1886" priority="239" operator="between">
      <formula>0.00001%</formula>
      <formula>70%</formula>
    </cfRule>
    <cfRule type="cellIs" dxfId="1885" priority="240" operator="equal">
      <formula>0</formula>
    </cfRule>
  </conditionalFormatting>
  <conditionalFormatting sqref="AK27">
    <cfRule type="cellIs" dxfId="1884" priority="231" operator="greaterThan">
      <formula>110%</formula>
    </cfRule>
    <cfRule type="cellIs" dxfId="1883" priority="232" operator="between">
      <formula>100.001%</formula>
      <formula>110%</formula>
    </cfRule>
    <cfRule type="cellIs" dxfId="1882" priority="233" operator="between">
      <formula>70.001%</formula>
      <formula>100%</formula>
    </cfRule>
    <cfRule type="cellIs" dxfId="1881" priority="234" operator="between">
      <formula>0.00001%</formula>
      <formula>70%</formula>
    </cfRule>
    <cfRule type="cellIs" dxfId="1880" priority="235" operator="equal">
      <formula>0</formula>
    </cfRule>
  </conditionalFormatting>
  <conditionalFormatting sqref="AN27">
    <cfRule type="cellIs" dxfId="1879" priority="226" operator="greaterThan">
      <formula>110%</formula>
    </cfRule>
    <cfRule type="cellIs" dxfId="1878" priority="227" operator="between">
      <formula>100.001%</formula>
      <formula>110%</formula>
    </cfRule>
    <cfRule type="cellIs" dxfId="1877" priority="228" operator="between">
      <formula>70.001%</formula>
      <formula>100%</formula>
    </cfRule>
    <cfRule type="cellIs" dxfId="1876" priority="229" operator="between">
      <formula>0.00001%</formula>
      <formula>70%</formula>
    </cfRule>
    <cfRule type="cellIs" dxfId="1875" priority="230" operator="equal">
      <formula>0</formula>
    </cfRule>
  </conditionalFormatting>
  <conditionalFormatting sqref="AQ27">
    <cfRule type="cellIs" dxfId="1874" priority="221" operator="greaterThan">
      <formula>110%</formula>
    </cfRule>
    <cfRule type="cellIs" dxfId="1873" priority="222" operator="between">
      <formula>100.001%</formula>
      <formula>110%</formula>
    </cfRule>
    <cfRule type="cellIs" dxfId="1872" priority="223" operator="between">
      <formula>70.001%</formula>
      <formula>100%</formula>
    </cfRule>
    <cfRule type="cellIs" dxfId="1871" priority="224" operator="between">
      <formula>0.00001%</formula>
      <formula>70%</formula>
    </cfRule>
    <cfRule type="cellIs" dxfId="1870" priority="225" operator="equal">
      <formula>0</formula>
    </cfRule>
  </conditionalFormatting>
  <conditionalFormatting sqref="AT27">
    <cfRule type="cellIs" dxfId="1869" priority="216" operator="greaterThan">
      <formula>110%</formula>
    </cfRule>
    <cfRule type="cellIs" dxfId="1868" priority="217" operator="between">
      <formula>100.001%</formula>
      <formula>110%</formula>
    </cfRule>
    <cfRule type="cellIs" dxfId="1867" priority="218" operator="between">
      <formula>70.001%</formula>
      <formula>100%</formula>
    </cfRule>
    <cfRule type="cellIs" dxfId="1866" priority="219" operator="between">
      <formula>0.00001%</formula>
      <formula>70%</formula>
    </cfRule>
    <cfRule type="cellIs" dxfId="1865" priority="220" operator="equal">
      <formula>0</formula>
    </cfRule>
  </conditionalFormatting>
  <conditionalFormatting sqref="AW27">
    <cfRule type="cellIs" dxfId="1864" priority="211" operator="greaterThan">
      <formula>110%</formula>
    </cfRule>
    <cfRule type="cellIs" dxfId="1863" priority="212" operator="between">
      <formula>100.001%</formula>
      <formula>110%</formula>
    </cfRule>
    <cfRule type="cellIs" dxfId="1862" priority="213" operator="between">
      <formula>70.001%</formula>
      <formula>100%</formula>
    </cfRule>
    <cfRule type="cellIs" dxfId="1861" priority="214" operator="between">
      <formula>0.00001%</formula>
      <formula>70%</formula>
    </cfRule>
    <cfRule type="cellIs" dxfId="1860" priority="215" operator="equal">
      <formula>0</formula>
    </cfRule>
  </conditionalFormatting>
  <conditionalFormatting sqref="N21">
    <cfRule type="cellIs" dxfId="1859" priority="206" operator="greaterThan">
      <formula>110%</formula>
    </cfRule>
    <cfRule type="cellIs" dxfId="1858" priority="207" operator="between">
      <formula>100.001%</formula>
      <formula>110%</formula>
    </cfRule>
    <cfRule type="cellIs" dxfId="1857" priority="208" operator="between">
      <formula>70.001%</formula>
      <formula>100%</formula>
    </cfRule>
    <cfRule type="cellIs" dxfId="1856" priority="209" operator="between">
      <formula>0.00001%</formula>
      <formula>70%</formula>
    </cfRule>
    <cfRule type="cellIs" dxfId="1855" priority="210" operator="equal">
      <formula>0%</formula>
    </cfRule>
  </conditionalFormatting>
  <conditionalFormatting sqref="Q21">
    <cfRule type="cellIs" dxfId="1854" priority="201" operator="greaterThan">
      <formula>110%</formula>
    </cfRule>
    <cfRule type="cellIs" dxfId="1853" priority="202" operator="between">
      <formula>100.001%</formula>
      <formula>110%</formula>
    </cfRule>
    <cfRule type="cellIs" dxfId="1852" priority="203" operator="between">
      <formula>70.001%</formula>
      <formula>100%</formula>
    </cfRule>
    <cfRule type="cellIs" dxfId="1851" priority="204" operator="between">
      <formula>0.00001%</formula>
      <formula>70%</formula>
    </cfRule>
    <cfRule type="cellIs" dxfId="1850" priority="205" operator="equal">
      <formula>0%</formula>
    </cfRule>
  </conditionalFormatting>
  <conditionalFormatting sqref="T21">
    <cfRule type="cellIs" dxfId="1849" priority="196" operator="greaterThan">
      <formula>110%</formula>
    </cfRule>
    <cfRule type="cellIs" dxfId="1848" priority="197" operator="between">
      <formula>100.001%</formula>
      <formula>110%</formula>
    </cfRule>
    <cfRule type="cellIs" dxfId="1847" priority="198" operator="between">
      <formula>70.001%</formula>
      <formula>100%</formula>
    </cfRule>
    <cfRule type="cellIs" dxfId="1846" priority="199" operator="between">
      <formula>0.00001%</formula>
      <formula>70%</formula>
    </cfRule>
    <cfRule type="cellIs" dxfId="1845" priority="200" operator="equal">
      <formula>0%</formula>
    </cfRule>
  </conditionalFormatting>
  <conditionalFormatting sqref="W21">
    <cfRule type="cellIs" dxfId="1844" priority="191" operator="greaterThan">
      <formula>110%</formula>
    </cfRule>
    <cfRule type="cellIs" dxfId="1843" priority="192" operator="between">
      <formula>100.001%</formula>
      <formula>110%</formula>
    </cfRule>
    <cfRule type="cellIs" dxfId="1842" priority="193" operator="between">
      <formula>70.001%</formula>
      <formula>100%</formula>
    </cfRule>
    <cfRule type="cellIs" dxfId="1841" priority="194" operator="between">
      <formula>0.00001%</formula>
      <formula>70%</formula>
    </cfRule>
    <cfRule type="cellIs" dxfId="1840" priority="195" operator="equal">
      <formula>0%</formula>
    </cfRule>
  </conditionalFormatting>
  <conditionalFormatting sqref="Z21">
    <cfRule type="cellIs" dxfId="1839" priority="186" operator="greaterThan">
      <formula>110%</formula>
    </cfRule>
    <cfRule type="cellIs" dxfId="1838" priority="187" operator="between">
      <formula>100.001%</formula>
      <formula>110%</formula>
    </cfRule>
    <cfRule type="cellIs" dxfId="1837" priority="188" operator="between">
      <formula>70.001%</formula>
      <formula>100%</formula>
    </cfRule>
    <cfRule type="cellIs" dxfId="1836" priority="189" operator="between">
      <formula>0.00001%</formula>
      <formula>70%</formula>
    </cfRule>
    <cfRule type="cellIs" dxfId="1835" priority="190" operator="equal">
      <formula>0%</formula>
    </cfRule>
  </conditionalFormatting>
  <conditionalFormatting sqref="AC21">
    <cfRule type="cellIs" dxfId="1834" priority="181" operator="greaterThan">
      <formula>110%</formula>
    </cfRule>
    <cfRule type="cellIs" dxfId="1833" priority="182" operator="between">
      <formula>100.001%</formula>
      <formula>110%</formula>
    </cfRule>
    <cfRule type="cellIs" dxfId="1832" priority="183" operator="between">
      <formula>70.001%</formula>
      <formula>100%</formula>
    </cfRule>
    <cfRule type="cellIs" dxfId="1831" priority="184" operator="between">
      <formula>0.00001%</formula>
      <formula>70%</formula>
    </cfRule>
    <cfRule type="cellIs" dxfId="1830" priority="185" operator="equal">
      <formula>0%</formula>
    </cfRule>
  </conditionalFormatting>
  <conditionalFormatting sqref="AE21">
    <cfRule type="cellIs" dxfId="1829" priority="176" operator="greaterThan">
      <formula>110%</formula>
    </cfRule>
    <cfRule type="cellIs" dxfId="1828" priority="177" operator="between">
      <formula>100.001%</formula>
      <formula>110%</formula>
    </cfRule>
    <cfRule type="cellIs" dxfId="1827" priority="178" operator="between">
      <formula>70.001%</formula>
      <formula>100%</formula>
    </cfRule>
    <cfRule type="cellIs" dxfId="1826" priority="179" operator="between">
      <formula>0.00001%</formula>
      <formula>70%</formula>
    </cfRule>
    <cfRule type="cellIs" dxfId="1825" priority="180" operator="equal">
      <formula>0%</formula>
    </cfRule>
  </conditionalFormatting>
  <conditionalFormatting sqref="AH21">
    <cfRule type="cellIs" dxfId="1824" priority="171" operator="greaterThan">
      <formula>110%</formula>
    </cfRule>
    <cfRule type="cellIs" dxfId="1823" priority="172" operator="between">
      <formula>100.001%</formula>
      <formula>110%</formula>
    </cfRule>
    <cfRule type="cellIs" dxfId="1822" priority="173" operator="between">
      <formula>70.001%</formula>
      <formula>100%</formula>
    </cfRule>
    <cfRule type="cellIs" dxfId="1821" priority="174" operator="between">
      <formula>0.00001%</formula>
      <formula>70%</formula>
    </cfRule>
    <cfRule type="cellIs" dxfId="1820" priority="175" operator="equal">
      <formula>0%</formula>
    </cfRule>
  </conditionalFormatting>
  <conditionalFormatting sqref="AK21">
    <cfRule type="cellIs" dxfId="1819" priority="166" operator="greaterThan">
      <formula>110%</formula>
    </cfRule>
    <cfRule type="cellIs" dxfId="1818" priority="167" operator="between">
      <formula>100.001%</formula>
      <formula>110%</formula>
    </cfRule>
    <cfRule type="cellIs" dxfId="1817" priority="168" operator="between">
      <formula>70.001%</formula>
      <formula>100%</formula>
    </cfRule>
    <cfRule type="cellIs" dxfId="1816" priority="169" operator="between">
      <formula>0.00001%</formula>
      <formula>70%</formula>
    </cfRule>
    <cfRule type="cellIs" dxfId="1815" priority="170" operator="equal">
      <formula>0%</formula>
    </cfRule>
  </conditionalFormatting>
  <conditionalFormatting sqref="AN21">
    <cfRule type="cellIs" dxfId="1814" priority="161" operator="greaterThan">
      <formula>110%</formula>
    </cfRule>
    <cfRule type="cellIs" dxfId="1813" priority="162" operator="between">
      <formula>100.001%</formula>
      <formula>110%</formula>
    </cfRule>
    <cfRule type="cellIs" dxfId="1812" priority="163" operator="between">
      <formula>70.001%</formula>
      <formula>100%</formula>
    </cfRule>
    <cfRule type="cellIs" dxfId="1811" priority="164" operator="between">
      <formula>0.00001%</formula>
      <formula>70%</formula>
    </cfRule>
    <cfRule type="cellIs" dxfId="1810" priority="165" operator="equal">
      <formula>0%</formula>
    </cfRule>
  </conditionalFormatting>
  <conditionalFormatting sqref="AQ21">
    <cfRule type="cellIs" dxfId="1809" priority="156" operator="greaterThan">
      <formula>110%</formula>
    </cfRule>
    <cfRule type="cellIs" dxfId="1808" priority="157" operator="between">
      <formula>100.001%</formula>
      <formula>110%</formula>
    </cfRule>
    <cfRule type="cellIs" dxfId="1807" priority="158" operator="between">
      <formula>70.001%</formula>
      <formula>100%</formula>
    </cfRule>
    <cfRule type="cellIs" dxfId="1806" priority="159" operator="between">
      <formula>0.00001%</formula>
      <formula>70%</formula>
    </cfRule>
    <cfRule type="cellIs" dxfId="1805" priority="160" operator="equal">
      <formula>0%</formula>
    </cfRule>
  </conditionalFormatting>
  <conditionalFormatting sqref="AT21">
    <cfRule type="cellIs" dxfId="1804" priority="151" operator="greaterThan">
      <formula>110%</formula>
    </cfRule>
    <cfRule type="cellIs" dxfId="1803" priority="152" operator="between">
      <formula>100.001%</formula>
      <formula>110%</formula>
    </cfRule>
    <cfRule type="cellIs" dxfId="1802" priority="153" operator="between">
      <formula>70.001%</formula>
      <formula>100%</formula>
    </cfRule>
    <cfRule type="cellIs" dxfId="1801" priority="154" operator="between">
      <formula>0.00001%</formula>
      <formula>70%</formula>
    </cfRule>
    <cfRule type="cellIs" dxfId="1800" priority="155" operator="equal">
      <formula>0%</formula>
    </cfRule>
  </conditionalFormatting>
  <conditionalFormatting sqref="AW21">
    <cfRule type="cellIs" dxfId="1799" priority="146" operator="greaterThan">
      <formula>110%</formula>
    </cfRule>
    <cfRule type="cellIs" dxfId="1798" priority="147" operator="between">
      <formula>100.001%</formula>
      <formula>110%</formula>
    </cfRule>
    <cfRule type="cellIs" dxfId="1797" priority="148" operator="between">
      <formula>70.001%</formula>
      <formula>100%</formula>
    </cfRule>
    <cfRule type="cellIs" dxfId="1796" priority="149" operator="between">
      <formula>0.00001%</formula>
      <formula>70%</formula>
    </cfRule>
    <cfRule type="cellIs" dxfId="1795" priority="150" operator="equal">
      <formula>0%</formula>
    </cfRule>
  </conditionalFormatting>
  <conditionalFormatting sqref="AY21">
    <cfRule type="cellIs" dxfId="1794" priority="141" operator="greaterThan">
      <formula>110%</formula>
    </cfRule>
    <cfRule type="cellIs" dxfId="1793" priority="142" operator="between">
      <formula>100.001%</formula>
      <formula>110%</formula>
    </cfRule>
    <cfRule type="cellIs" dxfId="1792" priority="143" operator="between">
      <formula>70.001%</formula>
      <formula>100%</formula>
    </cfRule>
    <cfRule type="cellIs" dxfId="1791" priority="144" operator="between">
      <formula>0.00001%</formula>
      <formula>70%</formula>
    </cfRule>
    <cfRule type="cellIs" dxfId="1790" priority="145" operator="equal">
      <formula>0%</formula>
    </cfRule>
  </conditionalFormatting>
  <conditionalFormatting sqref="N22">
    <cfRule type="cellIs" dxfId="1789" priority="136" operator="greaterThan">
      <formula>110%</formula>
    </cfRule>
    <cfRule type="cellIs" dxfId="1788" priority="137" operator="between">
      <formula>100.001%</formula>
      <formula>110%</formula>
    </cfRule>
    <cfRule type="cellIs" dxfId="1787" priority="138" operator="between">
      <formula>70.001%</formula>
      <formula>100%</formula>
    </cfRule>
    <cfRule type="cellIs" dxfId="1786" priority="139" operator="between">
      <formula>0.00001%</formula>
      <formula>70%</formula>
    </cfRule>
    <cfRule type="cellIs" dxfId="1785" priority="140" operator="equal">
      <formula>0%</formula>
    </cfRule>
  </conditionalFormatting>
  <conditionalFormatting sqref="Q22">
    <cfRule type="cellIs" dxfId="1784" priority="131" operator="greaterThan">
      <formula>110%</formula>
    </cfRule>
    <cfRule type="cellIs" dxfId="1783" priority="132" operator="between">
      <formula>100.001%</formula>
      <formula>110%</formula>
    </cfRule>
    <cfRule type="cellIs" dxfId="1782" priority="133" operator="between">
      <formula>70.001%</formula>
      <formula>100%</formula>
    </cfRule>
    <cfRule type="cellIs" dxfId="1781" priority="134" operator="between">
      <formula>0.00001%</formula>
      <formula>70%</formula>
    </cfRule>
    <cfRule type="cellIs" dxfId="1780" priority="135" operator="equal">
      <formula>0%</formula>
    </cfRule>
  </conditionalFormatting>
  <conditionalFormatting sqref="T22">
    <cfRule type="cellIs" dxfId="1779" priority="126" operator="greaterThan">
      <formula>110%</formula>
    </cfRule>
    <cfRule type="cellIs" dxfId="1778" priority="127" operator="between">
      <formula>100.001%</formula>
      <formula>110%</formula>
    </cfRule>
    <cfRule type="cellIs" dxfId="1777" priority="128" operator="between">
      <formula>70.001%</formula>
      <formula>100%</formula>
    </cfRule>
    <cfRule type="cellIs" dxfId="1776" priority="129" operator="between">
      <formula>0.00001%</formula>
      <formula>70%</formula>
    </cfRule>
    <cfRule type="cellIs" dxfId="1775" priority="130" operator="equal">
      <formula>0%</formula>
    </cfRule>
  </conditionalFormatting>
  <conditionalFormatting sqref="W22">
    <cfRule type="cellIs" dxfId="1774" priority="121" operator="greaterThan">
      <formula>110%</formula>
    </cfRule>
    <cfRule type="cellIs" dxfId="1773" priority="122" operator="between">
      <formula>100.001%</formula>
      <formula>110%</formula>
    </cfRule>
    <cfRule type="cellIs" dxfId="1772" priority="123" operator="between">
      <formula>70.001%</formula>
      <formula>100%</formula>
    </cfRule>
    <cfRule type="cellIs" dxfId="1771" priority="124" operator="between">
      <formula>0.00001%</formula>
      <formula>70%</formula>
    </cfRule>
    <cfRule type="cellIs" dxfId="1770" priority="125" operator="equal">
      <formula>0%</formula>
    </cfRule>
  </conditionalFormatting>
  <conditionalFormatting sqref="Z22">
    <cfRule type="cellIs" dxfId="1769" priority="116" operator="greaterThan">
      <formula>110%</formula>
    </cfRule>
    <cfRule type="cellIs" dxfId="1768" priority="117" operator="between">
      <formula>100.001%</formula>
      <formula>110%</formula>
    </cfRule>
    <cfRule type="cellIs" dxfId="1767" priority="118" operator="between">
      <formula>70.001%</formula>
      <formula>100%</formula>
    </cfRule>
    <cfRule type="cellIs" dxfId="1766" priority="119" operator="between">
      <formula>0.00001%</formula>
      <formula>70%</formula>
    </cfRule>
    <cfRule type="cellIs" dxfId="1765" priority="120" operator="equal">
      <formula>0%</formula>
    </cfRule>
  </conditionalFormatting>
  <conditionalFormatting sqref="AC22">
    <cfRule type="cellIs" dxfId="1764" priority="111" operator="greaterThan">
      <formula>110%</formula>
    </cfRule>
    <cfRule type="cellIs" dxfId="1763" priority="112" operator="between">
      <formula>100.001%</formula>
      <formula>110%</formula>
    </cfRule>
    <cfRule type="cellIs" dxfId="1762" priority="113" operator="between">
      <formula>70.001%</formula>
      <formula>100%</formula>
    </cfRule>
    <cfRule type="cellIs" dxfId="1761" priority="114" operator="between">
      <formula>0.00001%</formula>
      <formula>70%</formula>
    </cfRule>
    <cfRule type="cellIs" dxfId="1760" priority="115" operator="equal">
      <formula>0%</formula>
    </cfRule>
  </conditionalFormatting>
  <conditionalFormatting sqref="AE22">
    <cfRule type="cellIs" dxfId="1759" priority="106" operator="greaterThan">
      <formula>110%</formula>
    </cfRule>
    <cfRule type="cellIs" dxfId="1758" priority="107" operator="between">
      <formula>100.001%</formula>
      <formula>110%</formula>
    </cfRule>
    <cfRule type="cellIs" dxfId="1757" priority="108" operator="between">
      <formula>70.001%</formula>
      <formula>100%</formula>
    </cfRule>
    <cfRule type="cellIs" dxfId="1756" priority="109" operator="between">
      <formula>0.00001%</formula>
      <formula>70%</formula>
    </cfRule>
    <cfRule type="cellIs" dxfId="1755" priority="110" operator="equal">
      <formula>0%</formula>
    </cfRule>
  </conditionalFormatting>
  <conditionalFormatting sqref="AH22">
    <cfRule type="cellIs" dxfId="1754" priority="101" operator="greaterThan">
      <formula>110%</formula>
    </cfRule>
    <cfRule type="cellIs" dxfId="1753" priority="102" operator="between">
      <formula>100.001%</formula>
      <formula>110%</formula>
    </cfRule>
    <cfRule type="cellIs" dxfId="1752" priority="103" operator="between">
      <formula>70.001%</formula>
      <formula>100%</formula>
    </cfRule>
    <cfRule type="cellIs" dxfId="1751" priority="104" operator="between">
      <formula>0.00001%</formula>
      <formula>70%</formula>
    </cfRule>
    <cfRule type="cellIs" dxfId="1750" priority="105" operator="equal">
      <formula>0%</formula>
    </cfRule>
  </conditionalFormatting>
  <conditionalFormatting sqref="AK22">
    <cfRule type="cellIs" dxfId="1749" priority="96" operator="greaterThan">
      <formula>110%</formula>
    </cfRule>
    <cfRule type="cellIs" dxfId="1748" priority="97" operator="between">
      <formula>100.001%</formula>
      <formula>110%</formula>
    </cfRule>
    <cfRule type="cellIs" dxfId="1747" priority="98" operator="between">
      <formula>70.001%</formula>
      <formula>100%</formula>
    </cfRule>
    <cfRule type="cellIs" dxfId="1746" priority="99" operator="between">
      <formula>0.00001%</formula>
      <formula>70%</formula>
    </cfRule>
    <cfRule type="cellIs" dxfId="1745" priority="100" operator="equal">
      <formula>0%</formula>
    </cfRule>
  </conditionalFormatting>
  <conditionalFormatting sqref="AN22">
    <cfRule type="cellIs" dxfId="1744" priority="91" operator="greaterThan">
      <formula>110%</formula>
    </cfRule>
    <cfRule type="cellIs" dxfId="1743" priority="92" operator="between">
      <formula>100.001%</formula>
      <formula>110%</formula>
    </cfRule>
    <cfRule type="cellIs" dxfId="1742" priority="93" operator="between">
      <formula>70.001%</formula>
      <formula>100%</formula>
    </cfRule>
    <cfRule type="cellIs" dxfId="1741" priority="94" operator="between">
      <formula>0.00001%</formula>
      <formula>70%</formula>
    </cfRule>
    <cfRule type="cellIs" dxfId="1740" priority="95" operator="equal">
      <formula>0%</formula>
    </cfRule>
  </conditionalFormatting>
  <conditionalFormatting sqref="AQ22">
    <cfRule type="cellIs" dxfId="1739" priority="86" operator="greaterThan">
      <formula>110%</formula>
    </cfRule>
    <cfRule type="cellIs" dxfId="1738" priority="87" operator="between">
      <formula>100.001%</formula>
      <formula>110%</formula>
    </cfRule>
    <cfRule type="cellIs" dxfId="1737" priority="88" operator="between">
      <formula>70.001%</formula>
      <formula>100%</formula>
    </cfRule>
    <cfRule type="cellIs" dxfId="1736" priority="89" operator="between">
      <formula>0.00001%</formula>
      <formula>70%</formula>
    </cfRule>
    <cfRule type="cellIs" dxfId="1735" priority="90" operator="equal">
      <formula>0%</formula>
    </cfRule>
  </conditionalFormatting>
  <conditionalFormatting sqref="AT22">
    <cfRule type="cellIs" dxfId="1734" priority="81" operator="greaterThan">
      <formula>110%</formula>
    </cfRule>
    <cfRule type="cellIs" dxfId="1733" priority="82" operator="between">
      <formula>100.001%</formula>
      <formula>110%</formula>
    </cfRule>
    <cfRule type="cellIs" dxfId="1732" priority="83" operator="between">
      <formula>70.001%</formula>
      <formula>100%</formula>
    </cfRule>
    <cfRule type="cellIs" dxfId="1731" priority="84" operator="between">
      <formula>0.00001%</formula>
      <formula>70%</formula>
    </cfRule>
    <cfRule type="cellIs" dxfId="1730" priority="85" operator="equal">
      <formula>0%</formula>
    </cfRule>
  </conditionalFormatting>
  <conditionalFormatting sqref="AW22">
    <cfRule type="cellIs" dxfId="1729" priority="76" operator="greaterThan">
      <formula>110%</formula>
    </cfRule>
    <cfRule type="cellIs" dxfId="1728" priority="77" operator="between">
      <formula>100.001%</formula>
      <formula>110%</formula>
    </cfRule>
    <cfRule type="cellIs" dxfId="1727" priority="78" operator="between">
      <formula>70.001%</formula>
      <formula>100%</formula>
    </cfRule>
    <cfRule type="cellIs" dxfId="1726" priority="79" operator="between">
      <formula>0.00001%</formula>
      <formula>70%</formula>
    </cfRule>
    <cfRule type="cellIs" dxfId="1725" priority="80" operator="equal">
      <formula>0%</formula>
    </cfRule>
  </conditionalFormatting>
  <conditionalFormatting sqref="AY22">
    <cfRule type="cellIs" dxfId="1724" priority="71" operator="greaterThan">
      <formula>110%</formula>
    </cfRule>
    <cfRule type="cellIs" dxfId="1723" priority="72" operator="between">
      <formula>100.001%</formula>
      <formula>110%</formula>
    </cfRule>
    <cfRule type="cellIs" dxfId="1722" priority="73" operator="between">
      <formula>70.001%</formula>
      <formula>100%</formula>
    </cfRule>
    <cfRule type="cellIs" dxfId="1721" priority="74" operator="between">
      <formula>0.00001%</formula>
      <formula>70%</formula>
    </cfRule>
    <cfRule type="cellIs" dxfId="1720" priority="75" operator="equal">
      <formula>0%</formula>
    </cfRule>
  </conditionalFormatting>
  <conditionalFormatting sqref="AE24">
    <cfRule type="cellIs" dxfId="1719" priority="66" operator="greaterThan">
      <formula>110%</formula>
    </cfRule>
    <cfRule type="cellIs" dxfId="1718" priority="67" operator="between">
      <formula>100.001%</formula>
      <formula>110%</formula>
    </cfRule>
    <cfRule type="cellIs" dxfId="1717" priority="68" operator="between">
      <formula>70.001%</formula>
      <formula>100%</formula>
    </cfRule>
    <cfRule type="cellIs" dxfId="1716" priority="69" operator="between">
      <formula>0.00001%</formula>
      <formula>70%</formula>
    </cfRule>
    <cfRule type="cellIs" dxfId="1715" priority="70" operator="equal">
      <formula>0</formula>
    </cfRule>
  </conditionalFormatting>
  <conditionalFormatting sqref="AY24">
    <cfRule type="cellIs" dxfId="1714" priority="61" operator="greaterThan">
      <formula>110%</formula>
    </cfRule>
    <cfRule type="cellIs" dxfId="1713" priority="62" operator="between">
      <formula>100.001%</formula>
      <formula>110%</formula>
    </cfRule>
    <cfRule type="cellIs" dxfId="1712" priority="63" operator="between">
      <formula>70.001%</formula>
      <formula>100%</formula>
    </cfRule>
    <cfRule type="cellIs" dxfId="1711" priority="64" operator="between">
      <formula>0.00001%</formula>
      <formula>70%</formula>
    </cfRule>
    <cfRule type="cellIs" dxfId="1710" priority="65" operator="equal">
      <formula>0</formula>
    </cfRule>
  </conditionalFormatting>
  <conditionalFormatting sqref="N24">
    <cfRule type="cellIs" dxfId="1709" priority="56" operator="greaterThan">
      <formula>110%</formula>
    </cfRule>
    <cfRule type="cellIs" dxfId="1708" priority="57" operator="between">
      <formula>100.001%</formula>
      <formula>110%</formula>
    </cfRule>
    <cfRule type="cellIs" dxfId="1707" priority="58" operator="between">
      <formula>70.001%</formula>
      <formula>100%</formula>
    </cfRule>
    <cfRule type="cellIs" dxfId="1706" priority="59" operator="between">
      <formula>0.00001%</formula>
      <formula>70%</formula>
    </cfRule>
    <cfRule type="cellIs" dxfId="1705" priority="60" operator="equal">
      <formula>0</formula>
    </cfRule>
  </conditionalFormatting>
  <conditionalFormatting sqref="Q24">
    <cfRule type="cellIs" dxfId="1704" priority="51" operator="greaterThan">
      <formula>110%</formula>
    </cfRule>
    <cfRule type="cellIs" dxfId="1703" priority="52" operator="between">
      <formula>100.001%</formula>
      <formula>110%</formula>
    </cfRule>
    <cfRule type="cellIs" dxfId="1702" priority="53" operator="between">
      <formula>70.001%</formula>
      <formula>100%</formula>
    </cfRule>
    <cfRule type="cellIs" dxfId="1701" priority="54" operator="between">
      <formula>0.00001%</formula>
      <formula>70%</formula>
    </cfRule>
    <cfRule type="cellIs" dxfId="1700" priority="55" operator="equal">
      <formula>0</formula>
    </cfRule>
  </conditionalFormatting>
  <conditionalFormatting sqref="T24">
    <cfRule type="cellIs" dxfId="1699" priority="46" operator="greaterThan">
      <formula>110%</formula>
    </cfRule>
    <cfRule type="cellIs" dxfId="1698" priority="47" operator="between">
      <formula>100.001%</formula>
      <formula>110%</formula>
    </cfRule>
    <cfRule type="cellIs" dxfId="1697" priority="48" operator="between">
      <formula>70.001%</formula>
      <formula>100%</formula>
    </cfRule>
    <cfRule type="cellIs" dxfId="1696" priority="49" operator="between">
      <formula>0.00001%</formula>
      <formula>70%</formula>
    </cfRule>
    <cfRule type="cellIs" dxfId="1695" priority="50" operator="equal">
      <formula>0</formula>
    </cfRule>
  </conditionalFormatting>
  <conditionalFormatting sqref="W24">
    <cfRule type="cellIs" dxfId="1694" priority="41" operator="greaterThan">
      <formula>110%</formula>
    </cfRule>
    <cfRule type="cellIs" dxfId="1693" priority="42" operator="between">
      <formula>100.001%</formula>
      <formula>110%</formula>
    </cfRule>
    <cfRule type="cellIs" dxfId="1692" priority="43" operator="between">
      <formula>70.001%</formula>
      <formula>100%</formula>
    </cfRule>
    <cfRule type="cellIs" dxfId="1691" priority="44" operator="between">
      <formula>0.00001%</formula>
      <formula>70%</formula>
    </cfRule>
    <cfRule type="cellIs" dxfId="1690" priority="45" operator="equal">
      <formula>0</formula>
    </cfRule>
  </conditionalFormatting>
  <conditionalFormatting sqref="Z24">
    <cfRule type="cellIs" dxfId="1689" priority="36" operator="greaterThan">
      <formula>110%</formula>
    </cfRule>
    <cfRule type="cellIs" dxfId="1688" priority="37" operator="between">
      <formula>100.001%</formula>
      <formula>110%</formula>
    </cfRule>
    <cfRule type="cellIs" dxfId="1687" priority="38" operator="between">
      <formula>70.001%</formula>
      <formula>100%</formula>
    </cfRule>
    <cfRule type="cellIs" dxfId="1686" priority="39" operator="between">
      <formula>0.00001%</formula>
      <formula>70%</formula>
    </cfRule>
    <cfRule type="cellIs" dxfId="1685" priority="40" operator="equal">
      <formula>0</formula>
    </cfRule>
  </conditionalFormatting>
  <conditionalFormatting sqref="AC24">
    <cfRule type="cellIs" dxfId="1684" priority="31" operator="greaterThan">
      <formula>110%</formula>
    </cfRule>
    <cfRule type="cellIs" dxfId="1683" priority="32" operator="between">
      <formula>100.001%</formula>
      <formula>110%</formula>
    </cfRule>
    <cfRule type="cellIs" dxfId="1682" priority="33" operator="between">
      <formula>70.001%</formula>
      <formula>100%</formula>
    </cfRule>
    <cfRule type="cellIs" dxfId="1681" priority="34" operator="between">
      <formula>0.00001%</formula>
      <formula>70%</formula>
    </cfRule>
    <cfRule type="cellIs" dxfId="1680" priority="35" operator="equal">
      <formula>0</formula>
    </cfRule>
  </conditionalFormatting>
  <conditionalFormatting sqref="AH24">
    <cfRule type="cellIs" dxfId="1679" priority="26" operator="greaterThan">
      <formula>110%</formula>
    </cfRule>
    <cfRule type="cellIs" dxfId="1678" priority="27" operator="between">
      <formula>100.001%</formula>
      <formula>110%</formula>
    </cfRule>
    <cfRule type="cellIs" dxfId="1677" priority="28" operator="between">
      <formula>70.001%</formula>
      <formula>100%</formula>
    </cfRule>
    <cfRule type="cellIs" dxfId="1676" priority="29" operator="between">
      <formula>0.00001%</formula>
      <formula>70%</formula>
    </cfRule>
    <cfRule type="cellIs" dxfId="1675" priority="30" operator="equal">
      <formula>0</formula>
    </cfRule>
  </conditionalFormatting>
  <conditionalFormatting sqref="AK24">
    <cfRule type="cellIs" dxfId="1674" priority="21" operator="greaterThan">
      <formula>110%</formula>
    </cfRule>
    <cfRule type="cellIs" dxfId="1673" priority="22" operator="between">
      <formula>100.001%</formula>
      <formula>110%</formula>
    </cfRule>
    <cfRule type="cellIs" dxfId="1672" priority="23" operator="between">
      <formula>70.001%</formula>
      <formula>100%</formula>
    </cfRule>
    <cfRule type="cellIs" dxfId="1671" priority="24" operator="between">
      <formula>0.00001%</formula>
      <formula>70%</formula>
    </cfRule>
    <cfRule type="cellIs" dxfId="1670" priority="25" operator="equal">
      <formula>0</formula>
    </cfRule>
  </conditionalFormatting>
  <conditionalFormatting sqref="AN24">
    <cfRule type="cellIs" dxfId="1669" priority="16" operator="greaterThan">
      <formula>110%</formula>
    </cfRule>
    <cfRule type="cellIs" dxfId="1668" priority="17" operator="between">
      <formula>100.001%</formula>
      <formula>110%</formula>
    </cfRule>
    <cfRule type="cellIs" dxfId="1667" priority="18" operator="between">
      <formula>70.001%</formula>
      <formula>100%</formula>
    </cfRule>
    <cfRule type="cellIs" dxfId="1666" priority="19" operator="between">
      <formula>0.00001%</formula>
      <formula>70%</formula>
    </cfRule>
    <cfRule type="cellIs" dxfId="1665" priority="20" operator="equal">
      <formula>0</formula>
    </cfRule>
  </conditionalFormatting>
  <conditionalFormatting sqref="AQ24">
    <cfRule type="cellIs" dxfId="1664" priority="11" operator="greaterThan">
      <formula>110%</formula>
    </cfRule>
    <cfRule type="cellIs" dxfId="1663" priority="12" operator="between">
      <formula>100.001%</formula>
      <formula>110%</formula>
    </cfRule>
    <cfRule type="cellIs" dxfId="1662" priority="13" operator="between">
      <formula>70.001%</formula>
      <formula>100%</formula>
    </cfRule>
    <cfRule type="cellIs" dxfId="1661" priority="14" operator="between">
      <formula>0.00001%</formula>
      <formula>70%</formula>
    </cfRule>
    <cfRule type="cellIs" dxfId="1660" priority="15" operator="equal">
      <formula>0</formula>
    </cfRule>
  </conditionalFormatting>
  <conditionalFormatting sqref="AT24">
    <cfRule type="cellIs" dxfId="1659" priority="6" operator="greaterThan">
      <formula>110%</formula>
    </cfRule>
    <cfRule type="cellIs" dxfId="1658" priority="7" operator="between">
      <formula>100.001%</formula>
      <formula>110%</formula>
    </cfRule>
    <cfRule type="cellIs" dxfId="1657" priority="8" operator="between">
      <formula>70.001%</formula>
      <formula>100%</formula>
    </cfRule>
    <cfRule type="cellIs" dxfId="1656" priority="9" operator="between">
      <formula>0.00001%</formula>
      <formula>70%</formula>
    </cfRule>
    <cfRule type="cellIs" dxfId="1655" priority="10" operator="equal">
      <formula>0</formula>
    </cfRule>
  </conditionalFormatting>
  <conditionalFormatting sqref="AW24">
    <cfRule type="cellIs" dxfId="1654" priority="1" operator="greaterThan">
      <formula>110%</formula>
    </cfRule>
    <cfRule type="cellIs" dxfId="1653" priority="2" operator="between">
      <formula>100.001%</formula>
      <formula>110%</formula>
    </cfRule>
    <cfRule type="cellIs" dxfId="1652" priority="3" operator="between">
      <formula>70.001%</formula>
      <formula>100%</formula>
    </cfRule>
    <cfRule type="cellIs" dxfId="1651" priority="4" operator="between">
      <formula>0.00001%</formula>
      <formula>70%</formula>
    </cfRule>
    <cfRule type="cellIs" dxfId="1650" priority="5" operator="equal">
      <formula>0</formula>
    </cfRule>
  </conditionalFormatting>
  <hyperlinks>
    <hyperlink ref="AZ2" location="'Consolidado '!A1" display="VOLVER" xr:uid="{00000000-0004-0000-2800-000000000000}"/>
    <hyperlink ref="D11" location="'IN1-3'!A1" display="IN1-3 Recaudo Bruto" xr:uid="{00000000-0004-0000-2800-000001000000}"/>
    <hyperlink ref="D12" location="'FIS-7'!A1" display="FIS-7 Gestión efectiva de Control Cambiario" xr:uid="{00000000-0004-0000-2800-000002000000}"/>
    <hyperlink ref="D13" location="'FIS-11'!A1" display="FIS-11 Gestión aceptada cambiaria (Recaudo)" xr:uid="{00000000-0004-0000-2800-000003000000}"/>
    <hyperlink ref="D14" location="'FIS-12'!A1" display="FIS-12 Gestión aceptada cambiaria (Resoluciones en firme)" xr:uid="{00000000-0004-0000-2800-000004000000}"/>
    <hyperlink ref="D15" location="'FIS-16'!A1" display="FIS-16 Visitas de control a personas que hacen la venta y compra de divisas sin estar autorizados" xr:uid="{00000000-0004-0000-2800-000005000000}"/>
    <hyperlink ref="D16" location="'FIS-18'!A1" display="FIS-18 Evacuación de expedientes en fiscalización Cambiaria" xr:uid="{00000000-0004-0000-2800-000006000000}"/>
    <hyperlink ref="D17" location="'ADU-3'!A1" display="ADU-3 Monto de la recaudación total de Aduanas" xr:uid="{00000000-0004-0000-2800-000007000000}"/>
    <hyperlink ref="D18" location="'FIS-24'!A1" display="FIS-24 Valor decomisos de mercancías en firme" xr:uid="{00000000-0004-0000-2800-000008000000}"/>
    <hyperlink ref="D19" location="'FIS-33'!A1" display="FIS-33 Cantidad aprehensiones sectores de licores, cigarrillos, hidrocarburos y agropecuario" xr:uid="{00000000-0004-0000-2800-000009000000}"/>
    <hyperlink ref="D20" location="'ADU-8'!A1" display="ADU-8 Efectividad en los controles previos - Lucha contra el Contrabando" xr:uid="{00000000-0004-0000-2800-00000A000000}"/>
    <hyperlink ref="D25" location="'POLFA-8'!A1" display="POLFA-8 Porcentaje de cumplimiento programa semilleros de la legalidad" xr:uid="{00000000-0004-0000-2800-00000B000000}"/>
    <hyperlink ref="D9" location="'DGRAE-1'!A1" display="DGRAE-1 Nivel de Ejecución del presupuesto " xr:uid="{00000000-0004-0000-2800-00000C000000}"/>
    <hyperlink ref="D10" location="'DGRAE-2'!A1" display="DGRAE-2 Nivel de ejecución del PAA de la Dirección" xr:uid="{00000000-0004-0000-2800-00000D000000}"/>
    <hyperlink ref="D27" location="'DGRAE-25'!A1" display="DGRAE-25 Actividades que componen el  PIC para la Dirección de Gestión" xr:uid="{00000000-0004-0000-2800-00000E000000}"/>
    <hyperlink ref="D21" location="'ADU-9'!A1" display="ADU-9 Efectividad en el control simultaneo - Lucha contra el Contrabando" xr:uid="{00000000-0004-0000-2800-00000F000000}"/>
    <hyperlink ref="D22" location="'ADU-9.1'!A1" display="ADU-9.1 Efectividad en el control simultaneo - Lucha contra el Contrabando - Documental" xr:uid="{00000000-0004-0000-2800-000010000000}"/>
    <hyperlink ref="D24" location="'IN1-11'!A1" display="IN1-11  Nivel de cobertura de personas sensibilizadas por el plan de cultura. ACTUALMENTE. Cumplimiento al Plan de Acción de Cultura de la Contribución" xr:uid="{00000000-0004-0000-2800-000011000000}"/>
    <hyperlink ref="AO17" r:id="rId1" display="https://login.microsoftonline.com/fab26e5a-737a-4438-8ccd-8e465ecf21d8/oauth2/authorize?client_id=00000003-0000-0ff1-ce00-000000000000&amp;response_mode=form_post&amp;protectedtoken=true&amp;response_type=code%20id_token&amp;resource=00000003-0000-0ff1-ce00-000000000000&amp;scope=openid&amp;nonce=435966199B92069DFC5F731F7FBD8B59F61145B41B2D761D-90626770B07FFAE2C7E800D1C348A764E0A7DB0425F1EA82CE3935FCE2053B29&amp;redirect_uri=https%3A%2F%2Fdiancolombia.sharepoint.com%2F_forms%2Fdefault.aspx&amp;claims=%7B%22id_token%22%3A%7B%22xms_cc%22%3A%7B%22values%22%3A%5B%22CP1%22%5D%7D%7D%7D&amp;wsucxt=1&amp;cobrandid=11bd8083-87e0-41b5-bb78-0bc43c8a8e8a&amp;client-request-id=b460a89f-0094-b000-b53a-0b2c56395765" xr:uid="{00000000-0004-0000-2800-000012000000}"/>
  </hyperlinks>
  <pageMargins left="0.7" right="0.7" top="0.75" bottom="0.75" header="0.3" footer="0.3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W45"/>
  <sheetViews>
    <sheetView topLeftCell="E1" zoomScale="70" zoomScaleNormal="70" workbookViewId="0">
      <selection activeCell="AW4" sqref="AW4"/>
    </sheetView>
  </sheetViews>
  <sheetFormatPr baseColWidth="10" defaultColWidth="11.42578125" defaultRowHeight="15"/>
  <cols>
    <col min="1" max="1" width="28.5703125" style="2319" customWidth="1"/>
    <col min="2" max="2" width="37" style="2319" customWidth="1"/>
    <col min="3" max="3" width="59.28515625" style="2319" bestFit="1" customWidth="1"/>
    <col min="4" max="4" width="25.85546875" style="2319" bestFit="1" customWidth="1"/>
    <col min="5" max="5" width="71.42578125" style="2319" bestFit="1" customWidth="1"/>
    <col min="6" max="6" width="23.85546875" style="2319" bestFit="1" customWidth="1"/>
    <col min="7" max="7" width="22.28515625" style="2319" bestFit="1" customWidth="1"/>
    <col min="8" max="8" width="28.28515625" style="2319" customWidth="1"/>
    <col min="9" max="9" width="22.5703125" style="2319" hidden="1" customWidth="1"/>
    <col min="10" max="10" width="21.7109375" style="2319" hidden="1" customWidth="1"/>
    <col min="11" max="11" width="21.7109375" style="2537" hidden="1" customWidth="1"/>
    <col min="12" max="13" width="21.7109375" style="2319" hidden="1" customWidth="1"/>
    <col min="14" max="14" width="21.7109375" style="2537" hidden="1" customWidth="1"/>
    <col min="15" max="16" width="21.7109375" style="2319" hidden="1" customWidth="1"/>
    <col min="17" max="17" width="21.7109375" style="2537" hidden="1" customWidth="1"/>
    <col min="18" max="19" width="21.7109375" style="2319" hidden="1" customWidth="1"/>
    <col min="20" max="20" width="21.7109375" style="2537" hidden="1" customWidth="1"/>
    <col min="21" max="22" width="21.7109375" style="2319" hidden="1" customWidth="1"/>
    <col min="23" max="23" width="21.7109375" style="2537" hidden="1" customWidth="1"/>
    <col min="24" max="27" width="21.7109375" style="2319" hidden="1" customWidth="1"/>
    <col min="28" max="28" width="21.7109375" style="2537" hidden="1" customWidth="1"/>
    <col min="29" max="30" width="21.7109375" style="2319" hidden="1" customWidth="1"/>
    <col min="31" max="31" width="21.7109375" style="2537" hidden="1" customWidth="1"/>
    <col min="32" max="33" width="21.7109375" style="2319" hidden="1" customWidth="1"/>
    <col min="34" max="34" width="21.7109375" style="2537" hidden="1" customWidth="1"/>
    <col min="35" max="36" width="21.7109375" style="2319" hidden="1" customWidth="1"/>
    <col min="37" max="37" width="21.7109375" style="2537" hidden="1" customWidth="1"/>
    <col min="38" max="39" width="21.7109375" style="2319" hidden="1" customWidth="1"/>
    <col min="40" max="40" width="21.7109375" style="2537" hidden="1" customWidth="1"/>
    <col min="41" max="42" width="21.7109375" style="2319" hidden="1" customWidth="1"/>
    <col min="43" max="43" width="21.7109375" style="2537" hidden="1" customWidth="1"/>
    <col min="44" max="44" width="21.7109375" style="2319" hidden="1" customWidth="1"/>
    <col min="45" max="45" width="24.140625" style="2319" hidden="1" customWidth="1"/>
    <col min="46" max="46" width="21.7109375" style="2537" hidden="1" customWidth="1"/>
    <col min="47" max="47" width="21.7109375" style="2319" customWidth="1"/>
    <col min="48" max="48" width="21.7109375" style="2537" customWidth="1"/>
    <col min="49" max="49" width="22.85546875" style="2319" bestFit="1" customWidth="1"/>
    <col min="50" max="16384" width="11.42578125" style="2319"/>
  </cols>
  <sheetData>
    <row r="1" spans="1:49" ht="29.25" customHeight="1">
      <c r="A1" s="1053"/>
      <c r="B1" s="1053"/>
      <c r="C1" s="2973" t="s">
        <v>1056</v>
      </c>
      <c r="D1" s="2973"/>
      <c r="E1" s="2973"/>
      <c r="F1" s="2973"/>
      <c r="G1" s="2973"/>
      <c r="H1" s="2973"/>
    </row>
    <row r="2" spans="1:49" ht="18.75" customHeight="1">
      <c r="A2" s="1053"/>
      <c r="B2" s="1053"/>
      <c r="C2" s="2973" t="s">
        <v>69</v>
      </c>
      <c r="D2" s="2973"/>
      <c r="E2" s="2973"/>
      <c r="F2" s="2973"/>
      <c r="G2" s="2973"/>
      <c r="H2" s="2973"/>
      <c r="AV2" s="1197" t="s">
        <v>185</v>
      </c>
    </row>
    <row r="3" spans="1:49">
      <c r="A3" s="1053"/>
      <c r="B3" s="1053"/>
      <c r="C3" s="2972" t="s">
        <v>1057</v>
      </c>
      <c r="D3" s="2973"/>
      <c r="E3" s="2973"/>
      <c r="F3" s="2973"/>
      <c r="G3" s="2973"/>
      <c r="H3" s="2973"/>
      <c r="AW3" s="2537">
        <f>+(AV9+AV10+AV11+AV12+AV13+AV14+AV15+AV16+AV17+AV18+AV19+AV20+AV21+AV24+AV25+AV26+AV27+AV28+AV29+AV30+AV31+AV32+AV33+AV34+AV35+AV36+AV38+AV39+AV41+AV42+AV44)/31</f>
        <v>1.3312106277067921</v>
      </c>
    </row>
    <row r="4" spans="1:49" ht="15.75" thickBot="1">
      <c r="A4" s="1052"/>
      <c r="B4" s="1053"/>
      <c r="C4" s="1053"/>
      <c r="D4" s="1053"/>
      <c r="E4" s="1053"/>
      <c r="F4" s="1053"/>
      <c r="G4" s="1053"/>
      <c r="H4" s="1053"/>
    </row>
    <row r="5" spans="1:49" ht="24.75" customHeight="1" thickTop="1" thickBot="1">
      <c r="A5" s="3233" t="s">
        <v>0</v>
      </c>
      <c r="B5" s="3233" t="s">
        <v>15</v>
      </c>
      <c r="C5" s="3233" t="s">
        <v>1</v>
      </c>
      <c r="D5" s="3233" t="s">
        <v>2</v>
      </c>
      <c r="E5" s="3233" t="s">
        <v>19</v>
      </c>
      <c r="F5" s="3233" t="s">
        <v>3</v>
      </c>
      <c r="G5" s="3241" t="s">
        <v>4</v>
      </c>
      <c r="H5" s="3241" t="s">
        <v>5</v>
      </c>
      <c r="I5" s="3244" t="s">
        <v>70</v>
      </c>
      <c r="J5" s="3245"/>
      <c r="K5" s="3246"/>
      <c r="L5" s="3244" t="s">
        <v>71</v>
      </c>
      <c r="M5" s="3245"/>
      <c r="N5" s="3246"/>
      <c r="O5" s="3244" t="s">
        <v>72</v>
      </c>
      <c r="P5" s="3245"/>
      <c r="Q5" s="3246"/>
      <c r="R5" s="3244" t="s">
        <v>73</v>
      </c>
      <c r="S5" s="3245"/>
      <c r="T5" s="3246"/>
      <c r="U5" s="3244" t="s">
        <v>74</v>
      </c>
      <c r="V5" s="3245"/>
      <c r="W5" s="3246"/>
      <c r="X5" s="3244" t="s">
        <v>75</v>
      </c>
      <c r="Y5" s="3245"/>
      <c r="Z5" s="3245"/>
      <c r="AA5" s="3244" t="s">
        <v>188</v>
      </c>
      <c r="AB5" s="3245"/>
      <c r="AC5" s="3244" t="s">
        <v>76</v>
      </c>
      <c r="AD5" s="3245"/>
      <c r="AE5" s="3246"/>
      <c r="AF5" s="3244" t="s">
        <v>77</v>
      </c>
      <c r="AG5" s="3245"/>
      <c r="AH5" s="3246"/>
      <c r="AI5" s="3244" t="s">
        <v>78</v>
      </c>
      <c r="AJ5" s="3245"/>
      <c r="AK5" s="3246"/>
      <c r="AL5" s="3244" t="s">
        <v>79</v>
      </c>
      <c r="AM5" s="3245"/>
      <c r="AN5" s="3246"/>
      <c r="AO5" s="3244" t="s">
        <v>80</v>
      </c>
      <c r="AP5" s="3245"/>
      <c r="AQ5" s="3246"/>
      <c r="AR5" s="3244" t="s">
        <v>81</v>
      </c>
      <c r="AS5" s="3245"/>
      <c r="AT5" s="3246"/>
      <c r="AU5" s="3244" t="s">
        <v>82</v>
      </c>
      <c r="AV5" s="3245"/>
    </row>
    <row r="6" spans="1:49" ht="18" customHeight="1" thickTop="1" thickBot="1">
      <c r="A6" s="3233"/>
      <c r="B6" s="3233"/>
      <c r="C6" s="3233"/>
      <c r="D6" s="3233"/>
      <c r="E6" s="3233"/>
      <c r="F6" s="3233"/>
      <c r="G6" s="3242"/>
      <c r="H6" s="3242"/>
      <c r="I6" s="3244"/>
      <c r="J6" s="3245"/>
      <c r="K6" s="3246"/>
      <c r="L6" s="3244"/>
      <c r="M6" s="3245"/>
      <c r="N6" s="3246"/>
      <c r="O6" s="3244"/>
      <c r="P6" s="3245"/>
      <c r="Q6" s="3246"/>
      <c r="R6" s="3244"/>
      <c r="S6" s="3245"/>
      <c r="T6" s="3246"/>
      <c r="U6" s="3244"/>
      <c r="V6" s="3245"/>
      <c r="W6" s="3246"/>
      <c r="X6" s="3244"/>
      <c r="Y6" s="3245"/>
      <c r="Z6" s="3245"/>
      <c r="AA6" s="3244"/>
      <c r="AB6" s="3245"/>
      <c r="AC6" s="3244"/>
      <c r="AD6" s="3245"/>
      <c r="AE6" s="3246"/>
      <c r="AF6" s="3244"/>
      <c r="AG6" s="3245"/>
      <c r="AH6" s="3246"/>
      <c r="AI6" s="3244"/>
      <c r="AJ6" s="3245"/>
      <c r="AK6" s="3246"/>
      <c r="AL6" s="3244"/>
      <c r="AM6" s="3245"/>
      <c r="AN6" s="3246"/>
      <c r="AO6" s="3244"/>
      <c r="AP6" s="3245"/>
      <c r="AQ6" s="3246"/>
      <c r="AR6" s="3244"/>
      <c r="AS6" s="3245"/>
      <c r="AT6" s="3246"/>
      <c r="AU6" s="3244"/>
      <c r="AV6" s="3245"/>
    </row>
    <row r="7" spans="1:49" s="2538" customFormat="1" ht="16.5" thickTop="1" thickBot="1">
      <c r="A7" s="3233"/>
      <c r="B7" s="3233"/>
      <c r="C7" s="3233"/>
      <c r="D7" s="3233"/>
      <c r="E7" s="3233"/>
      <c r="F7" s="3233"/>
      <c r="G7" s="3243"/>
      <c r="H7" s="3243"/>
      <c r="I7" s="3247"/>
      <c r="J7" s="3248"/>
      <c r="K7" s="3249"/>
      <c r="L7" s="3247"/>
      <c r="M7" s="3248"/>
      <c r="N7" s="3249"/>
      <c r="O7" s="3247"/>
      <c r="P7" s="3248"/>
      <c r="Q7" s="3249"/>
      <c r="R7" s="3247"/>
      <c r="S7" s="3248"/>
      <c r="T7" s="3249"/>
      <c r="U7" s="3247"/>
      <c r="V7" s="3248"/>
      <c r="W7" s="3249"/>
      <c r="X7" s="3247"/>
      <c r="Y7" s="3248"/>
      <c r="Z7" s="3248"/>
      <c r="AA7" s="3247"/>
      <c r="AB7" s="3248"/>
      <c r="AC7" s="3247"/>
      <c r="AD7" s="3248"/>
      <c r="AE7" s="3249"/>
      <c r="AF7" s="3247"/>
      <c r="AG7" s="3248"/>
      <c r="AH7" s="3249"/>
      <c r="AI7" s="3247"/>
      <c r="AJ7" s="3248"/>
      <c r="AK7" s="3249"/>
      <c r="AL7" s="3247"/>
      <c r="AM7" s="3248"/>
      <c r="AN7" s="3249"/>
      <c r="AO7" s="3247"/>
      <c r="AP7" s="3248"/>
      <c r="AQ7" s="3249"/>
      <c r="AR7" s="3247"/>
      <c r="AS7" s="3248"/>
      <c r="AT7" s="3249"/>
      <c r="AU7" s="3244"/>
      <c r="AV7" s="3245"/>
    </row>
    <row r="8" spans="1:49" ht="29.25" customHeight="1" thickTop="1" thickBot="1">
      <c r="A8" s="3251" t="s">
        <v>83</v>
      </c>
      <c r="B8" s="3192"/>
      <c r="C8" s="3251"/>
      <c r="D8" s="3251"/>
      <c r="E8" s="3251"/>
      <c r="F8" s="3251"/>
      <c r="G8" s="3251"/>
      <c r="H8" s="3251"/>
      <c r="I8" s="14" t="s">
        <v>84</v>
      </c>
      <c r="J8" s="13" t="s">
        <v>85</v>
      </c>
      <c r="K8" s="446" t="s">
        <v>86</v>
      </c>
      <c r="L8" s="13" t="s">
        <v>84</v>
      </c>
      <c r="M8" s="13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3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13" t="s">
        <v>86</v>
      </c>
      <c r="AA8" s="14" t="s">
        <v>87</v>
      </c>
      <c r="AB8" s="446" t="s">
        <v>6</v>
      </c>
      <c r="AC8" s="16" t="s">
        <v>84</v>
      </c>
      <c r="AD8" s="16" t="s">
        <v>85</v>
      </c>
      <c r="AE8" s="446" t="s">
        <v>86</v>
      </c>
      <c r="AF8" s="16" t="s">
        <v>84</v>
      </c>
      <c r="AG8" s="16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6" t="s">
        <v>84</v>
      </c>
      <c r="AP8" s="16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6" t="s">
        <v>87</v>
      </c>
      <c r="AV8" s="447" t="s">
        <v>6</v>
      </c>
    </row>
    <row r="9" spans="1:49" s="2540" customFormat="1" ht="78.599999999999994" customHeight="1" thickTop="1" thickBot="1">
      <c r="A9" s="3252" t="s">
        <v>88</v>
      </c>
      <c r="B9" s="3254" t="s">
        <v>166</v>
      </c>
      <c r="C9" s="1420" t="s">
        <v>167</v>
      </c>
      <c r="D9" s="1422" t="s">
        <v>90</v>
      </c>
      <c r="E9" s="1407" t="s">
        <v>91</v>
      </c>
      <c r="F9" s="1407" t="s">
        <v>168</v>
      </c>
      <c r="G9" s="2539">
        <f>397436625/1000000</f>
        <v>397.43662499999999</v>
      </c>
      <c r="H9" s="1407" t="s">
        <v>25</v>
      </c>
      <c r="I9" s="1692">
        <v>115.940544</v>
      </c>
      <c r="J9" s="1693">
        <v>109</v>
      </c>
      <c r="K9" s="73">
        <f>+J9/I9</f>
        <v>0.94013704127522468</v>
      </c>
      <c r="L9" s="1692">
        <v>31.361856</v>
      </c>
      <c r="M9" s="1693">
        <v>39</v>
      </c>
      <c r="N9" s="73">
        <f>+M9/L9</f>
        <v>1.2435488511904398</v>
      </c>
      <c r="O9" s="1692">
        <v>60.533999999999999</v>
      </c>
      <c r="P9" s="1693">
        <v>30</v>
      </c>
      <c r="Q9" s="73">
        <f>+P9/O9</f>
        <v>0.49558925562493805</v>
      </c>
      <c r="R9" s="1692">
        <v>43.753999999999998</v>
      </c>
      <c r="S9" s="1693">
        <v>16</v>
      </c>
      <c r="T9" s="73">
        <f>+S9/R9</f>
        <v>0.36568085203638528</v>
      </c>
      <c r="U9" s="1692">
        <v>32.643999999999998</v>
      </c>
      <c r="V9" s="1693">
        <v>16</v>
      </c>
      <c r="W9" s="73">
        <f>+V9/U9</f>
        <v>0.49013601274353635</v>
      </c>
      <c r="X9" s="1692">
        <v>33.094000000000001</v>
      </c>
      <c r="Y9" s="1693">
        <v>21</v>
      </c>
      <c r="Z9" s="73">
        <f t="shared" ref="Z9:Z10" si="0">+Y9/X9</f>
        <v>0.63455611289055414</v>
      </c>
      <c r="AA9" s="1693">
        <f t="shared" ref="AA9:AA10" si="1">+J9+M9+P9+S9+V9+Y9</f>
        <v>231</v>
      </c>
      <c r="AB9" s="73">
        <f t="shared" ref="AB9:AB36" si="2">AA9/G9</f>
        <v>0.58122474243535061</v>
      </c>
      <c r="AC9" s="1692">
        <v>31.881456</v>
      </c>
      <c r="AD9" s="1693">
        <v>31</v>
      </c>
      <c r="AE9" s="73">
        <f>+AD9/AC9</f>
        <v>0.97235207827396586</v>
      </c>
      <c r="AF9" s="1692">
        <v>32.629088000000003</v>
      </c>
      <c r="AG9" s="1693">
        <v>15</v>
      </c>
      <c r="AH9" s="73">
        <f>+AG9/AF9</f>
        <v>0.45971251173186328</v>
      </c>
      <c r="AI9" s="1692">
        <v>31.228798000000001</v>
      </c>
      <c r="AJ9" s="1693">
        <v>22</v>
      </c>
      <c r="AK9" s="73">
        <f t="shared" ref="AK9:AK10" si="3">+AJ9/AI9</f>
        <v>0.70447796293664577</v>
      </c>
      <c r="AL9" s="1692">
        <v>31.463999999999999</v>
      </c>
      <c r="AM9" s="1693">
        <v>13</v>
      </c>
      <c r="AN9" s="73">
        <f>+AM9/AL9</f>
        <v>0.41317060767861685</v>
      </c>
      <c r="AO9" s="1692">
        <v>29.814</v>
      </c>
      <c r="AP9" s="1693">
        <v>15</v>
      </c>
      <c r="AQ9" s="73">
        <f>+AP9/AO9</f>
        <v>0.50311933990742608</v>
      </c>
      <c r="AR9" s="1692">
        <v>24.459056</v>
      </c>
      <c r="AS9" s="1693">
        <v>18</v>
      </c>
      <c r="AT9" s="73">
        <f t="shared" ref="AT9:AT10" si="4">+AS9/AR9</f>
        <v>0.73592374129238669</v>
      </c>
      <c r="AU9" s="1692">
        <f>330052771/1000000</f>
        <v>330.05277100000001</v>
      </c>
      <c r="AV9" s="73">
        <f>+AU9/G9</f>
        <v>0.83045383902402048</v>
      </c>
    </row>
    <row r="10" spans="1:49" s="2542" customFormat="1" ht="78.599999999999994" customHeight="1" thickTop="1" thickBot="1">
      <c r="A10" s="3253"/>
      <c r="B10" s="3255"/>
      <c r="C10" s="2541" t="s">
        <v>773</v>
      </c>
      <c r="D10" s="2196" t="s">
        <v>92</v>
      </c>
      <c r="E10" s="2129" t="s">
        <v>170</v>
      </c>
      <c r="F10" s="2129" t="s">
        <v>17</v>
      </c>
      <c r="G10" s="2130">
        <v>6</v>
      </c>
      <c r="H10" s="2129" t="s">
        <v>26</v>
      </c>
      <c r="I10" s="638">
        <v>3</v>
      </c>
      <c r="J10" s="719">
        <v>3</v>
      </c>
      <c r="K10" s="73">
        <f t="shared" ref="K10:K44" si="5">+J10/I10</f>
        <v>1</v>
      </c>
      <c r="L10" s="638">
        <v>0</v>
      </c>
      <c r="M10" s="719"/>
      <c r="N10" s="73" t="e">
        <f t="shared" ref="N10:N44" si="6">+M10/L10</f>
        <v>#DIV/0!</v>
      </c>
      <c r="O10" s="638">
        <v>1</v>
      </c>
      <c r="P10" s="719">
        <v>1</v>
      </c>
      <c r="Q10" s="73">
        <f t="shared" ref="Q10:Q44" si="7">+P10/O10</f>
        <v>1</v>
      </c>
      <c r="R10" s="638">
        <v>0</v>
      </c>
      <c r="S10" s="719"/>
      <c r="T10" s="73" t="e">
        <f t="shared" ref="T10:T44" si="8">+S10/R10</f>
        <v>#DIV/0!</v>
      </c>
      <c r="U10" s="638">
        <v>0</v>
      </c>
      <c r="V10" s="719"/>
      <c r="W10" s="73" t="e">
        <f t="shared" ref="W10:W44" si="9">+V10/U10</f>
        <v>#DIV/0!</v>
      </c>
      <c r="X10" s="638">
        <v>1</v>
      </c>
      <c r="Y10" s="719">
        <v>1</v>
      </c>
      <c r="Z10" s="73">
        <f t="shared" si="0"/>
        <v>1</v>
      </c>
      <c r="AA10" s="736">
        <f t="shared" si="1"/>
        <v>5</v>
      </c>
      <c r="AB10" s="73">
        <f t="shared" si="2"/>
        <v>0.83333333333333337</v>
      </c>
      <c r="AC10" s="638">
        <v>0</v>
      </c>
      <c r="AD10" s="719"/>
      <c r="AE10" s="73" t="e">
        <f t="shared" ref="AE10:AE44" si="10">+AD10/AC10</f>
        <v>#DIV/0!</v>
      </c>
      <c r="AF10" s="638">
        <v>0</v>
      </c>
      <c r="AG10" s="719"/>
      <c r="AH10" s="73" t="e">
        <f t="shared" ref="AH10:AH44" si="11">+AG10/AF10</f>
        <v>#DIV/0!</v>
      </c>
      <c r="AI10" s="638">
        <v>1</v>
      </c>
      <c r="AJ10" s="719">
        <v>1</v>
      </c>
      <c r="AK10" s="73">
        <f t="shared" si="3"/>
        <v>1</v>
      </c>
      <c r="AL10" s="638">
        <v>0</v>
      </c>
      <c r="AM10" s="719"/>
      <c r="AN10" s="73" t="e">
        <f t="shared" ref="AN10:AN44" si="12">+AM10/AL10</f>
        <v>#DIV/0!</v>
      </c>
      <c r="AO10" s="638">
        <v>0</v>
      </c>
      <c r="AP10" s="719"/>
      <c r="AQ10" s="73" t="e">
        <f t="shared" ref="AQ10:AQ44" si="13">+AP10/AO10</f>
        <v>#DIV/0!</v>
      </c>
      <c r="AR10" s="638">
        <v>0</v>
      </c>
      <c r="AS10" s="719"/>
      <c r="AT10" s="73" t="e">
        <f t="shared" si="4"/>
        <v>#DIV/0!</v>
      </c>
      <c r="AU10" s="636">
        <f t="shared" ref="AU10" si="14">+J10+M10+P10+S10+V10+Y10+AD10+AG10+AJ10+AM10+AP10+AS10</f>
        <v>6</v>
      </c>
      <c r="AV10" s="73">
        <f>+AU10/G10</f>
        <v>1</v>
      </c>
    </row>
    <row r="11" spans="1:49" s="2540" customFormat="1" ht="54.75" customHeight="1" thickTop="1" thickBot="1">
      <c r="A11" s="3253"/>
      <c r="B11" s="3256" t="s">
        <v>94</v>
      </c>
      <c r="C11" s="23" t="s">
        <v>991</v>
      </c>
      <c r="D11" s="627" t="s">
        <v>96</v>
      </c>
      <c r="E11" s="25" t="s">
        <v>97</v>
      </c>
      <c r="F11" s="25" t="s">
        <v>168</v>
      </c>
      <c r="G11" s="99">
        <v>264796</v>
      </c>
      <c r="H11" s="25" t="s">
        <v>20</v>
      </c>
      <c r="I11" s="1718"/>
      <c r="J11" s="1719">
        <v>45624</v>
      </c>
      <c r="K11" s="73" t="e">
        <f>+J11/I11</f>
        <v>#DIV/0!</v>
      </c>
      <c r="L11" s="1718"/>
      <c r="M11" s="1719">
        <v>14787</v>
      </c>
      <c r="N11" s="73" t="e">
        <f>+M11/L11</f>
        <v>#DIV/0!</v>
      </c>
      <c r="O11" s="1718"/>
      <c r="P11" s="1719">
        <v>15878</v>
      </c>
      <c r="Q11" s="73" t="e">
        <f>+P11/O11</f>
        <v>#DIV/0!</v>
      </c>
      <c r="R11" s="1718"/>
      <c r="S11" s="1719">
        <v>14088</v>
      </c>
      <c r="T11" s="73" t="e">
        <f>+S11/R11</f>
        <v>#DIV/0!</v>
      </c>
      <c r="U11" s="1718"/>
      <c r="V11" s="1719">
        <v>22705</v>
      </c>
      <c r="W11" s="73" t="e">
        <f>+V11/U11</f>
        <v>#DIV/0!</v>
      </c>
      <c r="X11" s="1718"/>
      <c r="Y11" s="1719">
        <v>15698</v>
      </c>
      <c r="Z11" s="73" t="e">
        <f>+Y11/X11</f>
        <v>#DIV/0!</v>
      </c>
      <c r="AA11" s="1719">
        <f>+J11+M11+P11+S11+V11+Y11</f>
        <v>128780</v>
      </c>
      <c r="AB11" s="73">
        <f t="shared" si="2"/>
        <v>0.48633665161105155</v>
      </c>
      <c r="AC11" s="1718"/>
      <c r="AD11" s="1719">
        <v>18327</v>
      </c>
      <c r="AE11" s="73" t="e">
        <f>+AD11/AC11</f>
        <v>#DIV/0!</v>
      </c>
      <c r="AF11" s="1718"/>
      <c r="AG11" s="1719">
        <v>20446</v>
      </c>
      <c r="AH11" s="73" t="e">
        <f>+AG11/AF11</f>
        <v>#DIV/0!</v>
      </c>
      <c r="AI11" s="1718"/>
      <c r="AJ11" s="1719">
        <v>30622</v>
      </c>
      <c r="AK11" s="73" t="e">
        <f>+AJ11/AI11</f>
        <v>#DIV/0!</v>
      </c>
      <c r="AL11" s="1718"/>
      <c r="AM11" s="1719">
        <v>21579</v>
      </c>
      <c r="AN11" s="73" t="e">
        <f>+AM11/AL11</f>
        <v>#DIV/0!</v>
      </c>
      <c r="AO11" s="1718"/>
      <c r="AP11" s="1719">
        <v>25061</v>
      </c>
      <c r="AQ11" s="73" t="e">
        <f>+AP11/AO11</f>
        <v>#DIV/0!</v>
      </c>
      <c r="AR11" s="1718"/>
      <c r="AS11" s="1719">
        <v>19981</v>
      </c>
      <c r="AT11" s="73" t="e">
        <f>+AS11/AR11</f>
        <v>#DIV/0!</v>
      </c>
      <c r="AU11" s="2483">
        <f>+J11+M11+P11+S11+V11+Y11+AD11+AG11+AJ11+AM11+AP11+AS11</f>
        <v>264796</v>
      </c>
      <c r="AV11" s="73">
        <v>1</v>
      </c>
    </row>
    <row r="12" spans="1:49" s="2540" customFormat="1" ht="78.599999999999994" customHeight="1" thickTop="1" thickBot="1">
      <c r="A12" s="3253"/>
      <c r="B12" s="3257"/>
      <c r="C12" s="3114" t="s">
        <v>944</v>
      </c>
      <c r="D12" s="623" t="s">
        <v>99</v>
      </c>
      <c r="E12" s="561" t="s">
        <v>100</v>
      </c>
      <c r="F12" s="561" t="s">
        <v>101</v>
      </c>
      <c r="G12" s="33">
        <v>45080000000</v>
      </c>
      <c r="H12" s="561" t="s">
        <v>1058</v>
      </c>
      <c r="I12" s="1692">
        <v>3606400000</v>
      </c>
      <c r="J12" s="1693">
        <v>2245755000</v>
      </c>
      <c r="K12" s="73">
        <f t="shared" si="5"/>
        <v>0.62271378660159715</v>
      </c>
      <c r="L12" s="1692">
        <v>3606400000</v>
      </c>
      <c r="M12" s="1693">
        <v>1424190</v>
      </c>
      <c r="N12" s="73">
        <f t="shared" si="6"/>
        <v>3.9490627772848267E-4</v>
      </c>
      <c r="O12" s="1692">
        <v>3606400000</v>
      </c>
      <c r="P12" s="1693">
        <v>1071784000</v>
      </c>
      <c r="Q12" s="73">
        <f t="shared" si="7"/>
        <v>0.2971894409937888</v>
      </c>
      <c r="R12" s="1692">
        <v>4057200000</v>
      </c>
      <c r="S12" s="1693">
        <v>411119000</v>
      </c>
      <c r="T12" s="73">
        <f t="shared" si="8"/>
        <v>0.10133072069407473</v>
      </c>
      <c r="U12" s="1692">
        <v>4508000000</v>
      </c>
      <c r="V12" s="1693">
        <v>608686000</v>
      </c>
      <c r="W12" s="73">
        <f t="shared" si="9"/>
        <v>0.13502351375332741</v>
      </c>
      <c r="X12" s="1692">
        <v>4508000000</v>
      </c>
      <c r="Y12" s="1693">
        <v>15698</v>
      </c>
      <c r="Z12" s="73">
        <f t="shared" ref="Z12:Z44" si="15">+Y12/X12</f>
        <v>3.4822537710736468E-6</v>
      </c>
      <c r="AA12" s="1693">
        <f t="shared" ref="AA12:AA44" si="16">+J12+M12+P12+S12+V12+Y12</f>
        <v>4338783888</v>
      </c>
      <c r="AB12" s="73">
        <f t="shared" si="2"/>
        <v>9.6246315173025732E-2</v>
      </c>
      <c r="AC12" s="1692">
        <v>4508000000</v>
      </c>
      <c r="AD12" s="1693">
        <v>10389131000</v>
      </c>
      <c r="AE12" s="73">
        <f t="shared" si="10"/>
        <v>2.3045987133984029</v>
      </c>
      <c r="AF12" s="1692">
        <v>4508000000</v>
      </c>
      <c r="AG12" s="1693">
        <v>2464166019</v>
      </c>
      <c r="AH12" s="73">
        <f t="shared" si="11"/>
        <v>0.5466206785714286</v>
      </c>
      <c r="AI12" s="1692">
        <v>4508000000</v>
      </c>
      <c r="AJ12" s="1693">
        <v>1527230000</v>
      </c>
      <c r="AK12" s="73">
        <f t="shared" ref="AK12:AK44" si="17">+AJ12/AI12</f>
        <v>0.33878216503992903</v>
      </c>
      <c r="AL12" s="1692">
        <v>4508000000</v>
      </c>
      <c r="AM12" s="1693">
        <v>1969398000</v>
      </c>
      <c r="AN12" s="73">
        <f t="shared" si="12"/>
        <v>0.43686734693877549</v>
      </c>
      <c r="AO12" s="1692">
        <v>1803200000</v>
      </c>
      <c r="AP12" s="1693">
        <v>11912841483</v>
      </c>
      <c r="AQ12" s="73">
        <f t="shared" si="13"/>
        <v>6.6065003787710737</v>
      </c>
      <c r="AR12" s="1692">
        <v>1352400000</v>
      </c>
      <c r="AS12" s="1693">
        <v>8952234550</v>
      </c>
      <c r="AT12" s="73">
        <f t="shared" ref="AT12:AT41" si="18">+AS12/AR12</f>
        <v>6.6195168219461697</v>
      </c>
      <c r="AU12" s="1692">
        <f t="shared" ref="AU12:AU40" si="19">+J12+M12+P12+S12+V12+Y12+AD12+AG12+AJ12+AM12+AP12+AS12</f>
        <v>41553784940</v>
      </c>
      <c r="AV12" s="73">
        <f t="shared" ref="AV12:AV21" si="20">+AU12/G12</f>
        <v>0.92177872537710737</v>
      </c>
    </row>
    <row r="13" spans="1:49" s="2540" customFormat="1" ht="51.75" customHeight="1" thickTop="1" thickBot="1">
      <c r="A13" s="3253"/>
      <c r="B13" s="3257"/>
      <c r="C13" s="3115"/>
      <c r="D13" s="627" t="s">
        <v>1059</v>
      </c>
      <c r="E13" s="25" t="s">
        <v>302</v>
      </c>
      <c r="F13" s="25" t="s">
        <v>101</v>
      </c>
      <c r="G13" s="636">
        <v>121687710</v>
      </c>
      <c r="H13" s="25" t="s">
        <v>196</v>
      </c>
      <c r="I13" s="1718">
        <v>4056257</v>
      </c>
      <c r="J13" s="1719">
        <v>0</v>
      </c>
      <c r="K13" s="73">
        <f t="shared" si="5"/>
        <v>0</v>
      </c>
      <c r="L13" s="1718">
        <v>4056257</v>
      </c>
      <c r="M13" s="1719">
        <v>0</v>
      </c>
      <c r="N13" s="73">
        <f t="shared" si="6"/>
        <v>0</v>
      </c>
      <c r="O13" s="1718">
        <v>4056257</v>
      </c>
      <c r="P13" s="1719">
        <v>2549000</v>
      </c>
      <c r="Q13" s="73">
        <f t="shared" si="7"/>
        <v>0.62841185851882664</v>
      </c>
      <c r="R13" s="1718">
        <v>16225028</v>
      </c>
      <c r="S13" s="1719">
        <v>0</v>
      </c>
      <c r="T13" s="73">
        <f t="shared" si="8"/>
        <v>0</v>
      </c>
      <c r="U13" s="1718">
        <v>16225028</v>
      </c>
      <c r="V13" s="1719">
        <v>0</v>
      </c>
      <c r="W13" s="73">
        <f t="shared" si="9"/>
        <v>0</v>
      </c>
      <c r="X13" s="1718">
        <v>16225028</v>
      </c>
      <c r="Y13" s="1719">
        <v>36717000</v>
      </c>
      <c r="Z13" s="73">
        <f t="shared" si="15"/>
        <v>2.2629853088697289</v>
      </c>
      <c r="AA13" s="1719">
        <f t="shared" si="16"/>
        <v>39266000</v>
      </c>
      <c r="AB13" s="73">
        <f t="shared" si="2"/>
        <v>0.32267843646659139</v>
      </c>
      <c r="AC13" s="1718">
        <v>16225028</v>
      </c>
      <c r="AD13" s="1719">
        <v>0</v>
      </c>
      <c r="AE13" s="73">
        <f t="shared" si="10"/>
        <v>0</v>
      </c>
      <c r="AF13" s="1718">
        <v>16225028</v>
      </c>
      <c r="AG13" s="1719">
        <v>7956000</v>
      </c>
      <c r="AH13" s="73">
        <f t="shared" si="11"/>
        <v>0.49035354515258772</v>
      </c>
      <c r="AI13" s="1718">
        <v>16225028</v>
      </c>
      <c r="AJ13" s="1719">
        <v>30241000</v>
      </c>
      <c r="AK13" s="73">
        <f t="shared" si="17"/>
        <v>1.8638488636198347</v>
      </c>
      <c r="AL13" s="1718">
        <v>4056257</v>
      </c>
      <c r="AM13" s="1719">
        <v>0</v>
      </c>
      <c r="AN13" s="73">
        <f t="shared" si="12"/>
        <v>0</v>
      </c>
      <c r="AO13" s="1718">
        <v>4056257</v>
      </c>
      <c r="AP13" s="1719">
        <v>0</v>
      </c>
      <c r="AQ13" s="73">
        <f t="shared" si="13"/>
        <v>0</v>
      </c>
      <c r="AR13" s="1718">
        <v>4056257</v>
      </c>
      <c r="AS13" s="1719">
        <v>0</v>
      </c>
      <c r="AT13" s="73">
        <f t="shared" si="18"/>
        <v>0</v>
      </c>
      <c r="AU13" s="1718">
        <f t="shared" si="19"/>
        <v>77463000</v>
      </c>
      <c r="AV13" s="73">
        <f t="shared" si="20"/>
        <v>0.63657209096958112</v>
      </c>
    </row>
    <row r="14" spans="1:49" s="2540" customFormat="1" ht="82.5" customHeight="1" thickTop="1" thickBot="1">
      <c r="A14" s="3253"/>
      <c r="B14" s="3257"/>
      <c r="C14" s="3115"/>
      <c r="D14" s="623" t="s">
        <v>102</v>
      </c>
      <c r="E14" s="561" t="s">
        <v>103</v>
      </c>
      <c r="F14" s="561" t="s">
        <v>101</v>
      </c>
      <c r="G14" s="638">
        <v>33900000000</v>
      </c>
      <c r="H14" s="561" t="s">
        <v>1058</v>
      </c>
      <c r="I14" s="2485">
        <v>2712000000</v>
      </c>
      <c r="J14" s="2205">
        <v>311654000</v>
      </c>
      <c r="K14" s="73">
        <f t="shared" si="5"/>
        <v>0.11491666666666667</v>
      </c>
      <c r="L14" s="2485">
        <v>2712000000</v>
      </c>
      <c r="M14" s="2205">
        <v>615721000</v>
      </c>
      <c r="N14" s="73">
        <f t="shared" si="6"/>
        <v>0.22703576696165192</v>
      </c>
      <c r="O14" s="2485">
        <v>2712000000</v>
      </c>
      <c r="P14" s="2205">
        <v>404503000</v>
      </c>
      <c r="Q14" s="73">
        <f t="shared" si="7"/>
        <v>0.14915302359882007</v>
      </c>
      <c r="R14" s="2485">
        <v>3051000000</v>
      </c>
      <c r="S14" s="2205">
        <v>410445000</v>
      </c>
      <c r="T14" s="73">
        <f t="shared" si="8"/>
        <v>0.13452802359882005</v>
      </c>
      <c r="U14" s="2485">
        <v>3390000000</v>
      </c>
      <c r="V14" s="2205">
        <v>608686000</v>
      </c>
      <c r="W14" s="73">
        <f t="shared" si="9"/>
        <v>0.17955339233038348</v>
      </c>
      <c r="X14" s="2485">
        <v>3390000000</v>
      </c>
      <c r="Y14" s="2205">
        <v>1608180000</v>
      </c>
      <c r="Z14" s="73">
        <f t="shared" si="15"/>
        <v>0.47438938053097346</v>
      </c>
      <c r="AA14" s="2205">
        <f t="shared" si="16"/>
        <v>3959189000</v>
      </c>
      <c r="AB14" s="73">
        <f t="shared" si="2"/>
        <v>0.11679023598820058</v>
      </c>
      <c r="AC14" s="2485">
        <v>3390000000</v>
      </c>
      <c r="AD14" s="2205">
        <v>13606290000</v>
      </c>
      <c r="AE14" s="73">
        <f t="shared" si="10"/>
        <v>4.013654867256637</v>
      </c>
      <c r="AF14" s="2485">
        <v>3390000000</v>
      </c>
      <c r="AG14" s="2205">
        <v>2750742000</v>
      </c>
      <c r="AH14" s="73">
        <f t="shared" si="11"/>
        <v>0.81142831858407083</v>
      </c>
      <c r="AI14" s="2485">
        <v>3390000000</v>
      </c>
      <c r="AJ14" s="2205">
        <v>1051900916</v>
      </c>
      <c r="AK14" s="73">
        <f t="shared" si="17"/>
        <v>0.31029525545722714</v>
      </c>
      <c r="AL14" s="2485">
        <v>3390000000</v>
      </c>
      <c r="AM14" s="2205">
        <v>1967158000</v>
      </c>
      <c r="AN14" s="73">
        <f t="shared" si="12"/>
        <v>0.58028259587020647</v>
      </c>
      <c r="AO14" s="2485">
        <v>1356000000</v>
      </c>
      <c r="AP14" s="2205">
        <v>11462400483</v>
      </c>
      <c r="AQ14" s="73">
        <f t="shared" si="13"/>
        <v>8.4530977013274331</v>
      </c>
      <c r="AR14" s="2485">
        <v>1017000000</v>
      </c>
      <c r="AS14" s="2543">
        <v>9749281550</v>
      </c>
      <c r="AT14" s="73">
        <f t="shared" si="18"/>
        <v>9.586314208456244</v>
      </c>
      <c r="AU14" s="2485">
        <f t="shared" si="19"/>
        <v>44546961949</v>
      </c>
      <c r="AV14" s="73">
        <f t="shared" si="20"/>
        <v>1.3140696740117994</v>
      </c>
    </row>
    <row r="15" spans="1:49" s="2540" customFormat="1" ht="51.75" customHeight="1" thickTop="1" thickBot="1">
      <c r="A15" s="3253"/>
      <c r="B15" s="3257"/>
      <c r="C15" s="3115"/>
      <c r="D15" s="1525" t="s">
        <v>1060</v>
      </c>
      <c r="E15" s="1465" t="s">
        <v>1061</v>
      </c>
      <c r="F15" s="1465" t="s">
        <v>101</v>
      </c>
      <c r="G15" s="721">
        <v>14000000</v>
      </c>
      <c r="H15" s="25" t="s">
        <v>196</v>
      </c>
      <c r="I15" s="2544">
        <v>466666</v>
      </c>
      <c r="J15" s="2545"/>
      <c r="K15" s="73">
        <f t="shared" si="5"/>
        <v>0</v>
      </c>
      <c r="L15" s="2544">
        <v>466666</v>
      </c>
      <c r="M15" s="2545"/>
      <c r="N15" s="73">
        <f t="shared" si="6"/>
        <v>0</v>
      </c>
      <c r="O15" s="2544">
        <v>466666</v>
      </c>
      <c r="P15" s="2545">
        <v>2549000</v>
      </c>
      <c r="Q15" s="73">
        <f t="shared" si="7"/>
        <v>5.4621506602152285</v>
      </c>
      <c r="R15" s="2544">
        <v>1866666</v>
      </c>
      <c r="S15" s="2545"/>
      <c r="T15" s="73">
        <f t="shared" si="8"/>
        <v>0</v>
      </c>
      <c r="U15" s="2544">
        <v>1866667</v>
      </c>
      <c r="V15" s="2545"/>
      <c r="W15" s="73">
        <f t="shared" si="9"/>
        <v>0</v>
      </c>
      <c r="X15" s="2544">
        <v>1866667</v>
      </c>
      <c r="Y15" s="2545">
        <v>36717000</v>
      </c>
      <c r="Z15" s="73">
        <f t="shared" si="15"/>
        <v>19.669817916103945</v>
      </c>
      <c r="AA15" s="2545">
        <f t="shared" si="16"/>
        <v>39266000</v>
      </c>
      <c r="AB15" s="73">
        <f t="shared" si="2"/>
        <v>2.8047142857142857</v>
      </c>
      <c r="AC15" s="2544">
        <v>1866667</v>
      </c>
      <c r="AD15" s="2545"/>
      <c r="AE15" s="73">
        <f t="shared" si="10"/>
        <v>0</v>
      </c>
      <c r="AF15" s="2544">
        <v>1866667</v>
      </c>
      <c r="AG15" s="2545">
        <v>7956000</v>
      </c>
      <c r="AH15" s="73">
        <f t="shared" si="11"/>
        <v>4.2621420960460545</v>
      </c>
      <c r="AI15" s="2544">
        <v>1866667</v>
      </c>
      <c r="AJ15" s="2545">
        <v>30241000</v>
      </c>
      <c r="AK15" s="73">
        <f t="shared" si="17"/>
        <v>16.200532821333425</v>
      </c>
      <c r="AL15" s="2544">
        <v>466667</v>
      </c>
      <c r="AM15" s="2545"/>
      <c r="AN15" s="73">
        <f t="shared" si="12"/>
        <v>0</v>
      </c>
      <c r="AO15" s="2544">
        <v>466667</v>
      </c>
      <c r="AP15" s="2545"/>
      <c r="AQ15" s="73">
        <f t="shared" si="13"/>
        <v>0</v>
      </c>
      <c r="AR15" s="2544">
        <v>466667</v>
      </c>
      <c r="AS15" s="2545"/>
      <c r="AT15" s="73">
        <f t="shared" si="18"/>
        <v>0</v>
      </c>
      <c r="AU15" s="2544">
        <f t="shared" si="19"/>
        <v>77463000</v>
      </c>
      <c r="AV15" s="73">
        <f t="shared" si="20"/>
        <v>5.5330714285714286</v>
      </c>
    </row>
    <row r="16" spans="1:49" s="2540" customFormat="1" ht="51.75" customHeight="1" thickTop="1" thickBot="1">
      <c r="A16" s="3253"/>
      <c r="B16" s="3257"/>
      <c r="C16" s="3115"/>
      <c r="D16" s="623" t="s">
        <v>1062</v>
      </c>
      <c r="E16" s="561" t="s">
        <v>1061</v>
      </c>
      <c r="F16" s="1047" t="s">
        <v>101</v>
      </c>
      <c r="G16" s="2546">
        <v>64400018</v>
      </c>
      <c r="H16" s="561" t="s">
        <v>196</v>
      </c>
      <c r="I16" s="1692">
        <v>2146668</v>
      </c>
      <c r="J16" s="1693"/>
      <c r="K16" s="73">
        <f t="shared" si="5"/>
        <v>0</v>
      </c>
      <c r="L16" s="1692">
        <v>2146668</v>
      </c>
      <c r="M16" s="1693"/>
      <c r="N16" s="73">
        <f t="shared" si="6"/>
        <v>0</v>
      </c>
      <c r="O16" s="1692">
        <v>2146667</v>
      </c>
      <c r="P16" s="1693">
        <v>2574512</v>
      </c>
      <c r="Q16" s="73">
        <f t="shared" si="7"/>
        <v>1.1993066460703965</v>
      </c>
      <c r="R16" s="1692">
        <v>8586669</v>
      </c>
      <c r="S16" s="1693"/>
      <c r="T16" s="73">
        <f t="shared" si="8"/>
        <v>0</v>
      </c>
      <c r="U16" s="1692">
        <v>8586669</v>
      </c>
      <c r="V16" s="1693"/>
      <c r="W16" s="73">
        <f t="shared" si="9"/>
        <v>0</v>
      </c>
      <c r="X16" s="1692">
        <v>8586669</v>
      </c>
      <c r="Y16" s="1693">
        <v>1344360</v>
      </c>
      <c r="Z16" s="73">
        <f t="shared" si="15"/>
        <v>0.15656362205181079</v>
      </c>
      <c r="AA16" s="1693">
        <f t="shared" si="16"/>
        <v>3918872</v>
      </c>
      <c r="AB16" s="73">
        <f t="shared" si="2"/>
        <v>6.0852032681108878E-2</v>
      </c>
      <c r="AC16" s="1692">
        <v>8586669</v>
      </c>
      <c r="AD16" s="1693"/>
      <c r="AE16" s="73">
        <f t="shared" si="10"/>
        <v>0</v>
      </c>
      <c r="AF16" s="1692">
        <v>8586669</v>
      </c>
      <c r="AG16" s="1693"/>
      <c r="AH16" s="73">
        <f t="shared" si="11"/>
        <v>0</v>
      </c>
      <c r="AI16" s="1692">
        <v>8586669</v>
      </c>
      <c r="AJ16" s="1693">
        <v>406076100</v>
      </c>
      <c r="AK16" s="73">
        <f t="shared" si="17"/>
        <v>47.291458422352136</v>
      </c>
      <c r="AL16" s="1692">
        <v>2146667</v>
      </c>
      <c r="AM16" s="1693"/>
      <c r="AN16" s="73">
        <f t="shared" si="12"/>
        <v>0</v>
      </c>
      <c r="AO16" s="1692">
        <v>2146667</v>
      </c>
      <c r="AP16" s="1693"/>
      <c r="AQ16" s="73">
        <f t="shared" si="13"/>
        <v>0</v>
      </c>
      <c r="AR16" s="1692">
        <v>2146667</v>
      </c>
      <c r="AS16" s="2547">
        <v>39787200</v>
      </c>
      <c r="AT16" s="73">
        <f t="shared" si="18"/>
        <v>18.534407059874681</v>
      </c>
      <c r="AU16" s="1692">
        <f t="shared" si="19"/>
        <v>449782172</v>
      </c>
      <c r="AV16" s="73">
        <f t="shared" si="20"/>
        <v>6.9841932652875967</v>
      </c>
    </row>
    <row r="17" spans="1:48" s="2540" customFormat="1" ht="51.75" customHeight="1" thickTop="1" thickBot="1">
      <c r="A17" s="3253"/>
      <c r="B17" s="3257"/>
      <c r="C17" s="3115"/>
      <c r="D17" s="627" t="s">
        <v>104</v>
      </c>
      <c r="E17" s="25" t="s">
        <v>105</v>
      </c>
      <c r="F17" s="25" t="s">
        <v>24</v>
      </c>
      <c r="G17" s="25">
        <v>60</v>
      </c>
      <c r="H17" s="25" t="s">
        <v>1058</v>
      </c>
      <c r="I17" s="2548">
        <v>0</v>
      </c>
      <c r="J17" s="2549"/>
      <c r="K17" s="73" t="e">
        <f t="shared" si="5"/>
        <v>#DIV/0!</v>
      </c>
      <c r="L17" s="2548">
        <v>0</v>
      </c>
      <c r="M17" s="2549"/>
      <c r="N17" s="73" t="e">
        <f t="shared" si="6"/>
        <v>#DIV/0!</v>
      </c>
      <c r="O17" s="2548">
        <v>15</v>
      </c>
      <c r="P17" s="2549">
        <v>21</v>
      </c>
      <c r="Q17" s="73">
        <f t="shared" si="7"/>
        <v>1.4</v>
      </c>
      <c r="R17" s="2548">
        <v>0</v>
      </c>
      <c r="S17" s="2549"/>
      <c r="T17" s="73" t="e">
        <f t="shared" si="8"/>
        <v>#DIV/0!</v>
      </c>
      <c r="U17" s="2548">
        <v>0</v>
      </c>
      <c r="V17" s="2549"/>
      <c r="W17" s="73" t="e">
        <f t="shared" si="9"/>
        <v>#DIV/0!</v>
      </c>
      <c r="X17" s="2548">
        <v>15</v>
      </c>
      <c r="Y17" s="2549"/>
      <c r="Z17" s="73">
        <f t="shared" si="15"/>
        <v>0</v>
      </c>
      <c r="AA17" s="2549">
        <f t="shared" si="16"/>
        <v>21</v>
      </c>
      <c r="AB17" s="73">
        <f t="shared" si="2"/>
        <v>0.35</v>
      </c>
      <c r="AC17" s="2548">
        <v>0</v>
      </c>
      <c r="AD17" s="2549"/>
      <c r="AE17" s="73" t="e">
        <f t="shared" si="10"/>
        <v>#DIV/0!</v>
      </c>
      <c r="AF17" s="2548">
        <v>0</v>
      </c>
      <c r="AG17" s="2549"/>
      <c r="AH17" s="73" t="e">
        <f t="shared" si="11"/>
        <v>#DIV/0!</v>
      </c>
      <c r="AI17" s="2548">
        <v>15</v>
      </c>
      <c r="AJ17" s="2549"/>
      <c r="AK17" s="73">
        <f t="shared" si="17"/>
        <v>0</v>
      </c>
      <c r="AL17" s="2548">
        <v>0</v>
      </c>
      <c r="AM17" s="2549"/>
      <c r="AN17" s="73" t="e">
        <f t="shared" si="12"/>
        <v>#DIV/0!</v>
      </c>
      <c r="AO17" s="2548">
        <v>0</v>
      </c>
      <c r="AP17" s="2549"/>
      <c r="AQ17" s="73" t="e">
        <f t="shared" si="13"/>
        <v>#DIV/0!</v>
      </c>
      <c r="AR17" s="2548">
        <v>15</v>
      </c>
      <c r="AS17" s="2550">
        <v>5</v>
      </c>
      <c r="AT17" s="73">
        <f t="shared" si="18"/>
        <v>0.33333333333333331</v>
      </c>
      <c r="AU17" s="2548">
        <f>+AS17+AJ17+Y17+P17</f>
        <v>26</v>
      </c>
      <c r="AV17" s="73">
        <f t="shared" si="20"/>
        <v>0.43333333333333335</v>
      </c>
    </row>
    <row r="18" spans="1:48" s="2540" customFormat="1" ht="51.75" customHeight="1" thickTop="1" thickBot="1">
      <c r="A18" s="3253"/>
      <c r="B18" s="3257"/>
      <c r="C18" s="3116"/>
      <c r="D18" s="623" t="s">
        <v>106</v>
      </c>
      <c r="E18" s="561" t="s">
        <v>107</v>
      </c>
      <c r="F18" s="561" t="s">
        <v>24</v>
      </c>
      <c r="G18" s="561">
        <v>90</v>
      </c>
      <c r="H18" s="561" t="s">
        <v>1058</v>
      </c>
      <c r="I18" s="2551">
        <v>0</v>
      </c>
      <c r="J18" s="2552"/>
      <c r="K18" s="73" t="e">
        <f t="shared" si="5"/>
        <v>#DIV/0!</v>
      </c>
      <c r="L18" s="2551">
        <v>0</v>
      </c>
      <c r="M18" s="2552"/>
      <c r="N18" s="73" t="e">
        <f t="shared" si="6"/>
        <v>#DIV/0!</v>
      </c>
      <c r="O18" s="2551">
        <v>0</v>
      </c>
      <c r="P18" s="2552"/>
      <c r="Q18" s="73" t="e">
        <f t="shared" si="7"/>
        <v>#DIV/0!</v>
      </c>
      <c r="R18" s="2551">
        <v>0</v>
      </c>
      <c r="S18" s="2552"/>
      <c r="T18" s="73" t="e">
        <f t="shared" si="8"/>
        <v>#DIV/0!</v>
      </c>
      <c r="U18" s="2551">
        <v>0</v>
      </c>
      <c r="V18" s="2552"/>
      <c r="W18" s="73" t="e">
        <f t="shared" si="9"/>
        <v>#DIV/0!</v>
      </c>
      <c r="X18" s="2551">
        <v>0</v>
      </c>
      <c r="Y18" s="2552"/>
      <c r="Z18" s="73" t="e">
        <f t="shared" si="15"/>
        <v>#DIV/0!</v>
      </c>
      <c r="AA18" s="2552">
        <f t="shared" si="16"/>
        <v>0</v>
      </c>
      <c r="AB18" s="73">
        <f t="shared" si="2"/>
        <v>0</v>
      </c>
      <c r="AC18" s="2551">
        <v>45</v>
      </c>
      <c r="AD18" s="2552">
        <v>47</v>
      </c>
      <c r="AE18" s="73">
        <f t="shared" si="10"/>
        <v>1.0444444444444445</v>
      </c>
      <c r="AF18" s="2551">
        <v>0</v>
      </c>
      <c r="AG18" s="2552"/>
      <c r="AH18" s="73" t="e">
        <f t="shared" si="11"/>
        <v>#DIV/0!</v>
      </c>
      <c r="AI18" s="2551">
        <v>0</v>
      </c>
      <c r="AJ18" s="2552"/>
      <c r="AK18" s="73" t="e">
        <f t="shared" si="17"/>
        <v>#DIV/0!</v>
      </c>
      <c r="AL18" s="2551">
        <v>0</v>
      </c>
      <c r="AM18" s="2552"/>
      <c r="AN18" s="73" t="e">
        <f t="shared" si="12"/>
        <v>#DIV/0!</v>
      </c>
      <c r="AO18" s="2551">
        <v>0</v>
      </c>
      <c r="AP18" s="2552"/>
      <c r="AQ18" s="73" t="e">
        <f t="shared" si="13"/>
        <v>#DIV/0!</v>
      </c>
      <c r="AR18" s="2551">
        <v>45</v>
      </c>
      <c r="AS18" s="2550">
        <v>34</v>
      </c>
      <c r="AT18" s="73">
        <f t="shared" si="18"/>
        <v>0.75555555555555554</v>
      </c>
      <c r="AU18" s="2551">
        <f>+AS18+AD18</f>
        <v>81</v>
      </c>
      <c r="AV18" s="73">
        <f t="shared" si="20"/>
        <v>0.9</v>
      </c>
    </row>
    <row r="19" spans="1:48" s="2540" customFormat="1" ht="77.45" customHeight="1" thickTop="1" thickBot="1">
      <c r="A19" s="3253"/>
      <c r="B19" s="3257"/>
      <c r="C19" s="2553" t="s">
        <v>108</v>
      </c>
      <c r="D19" s="1525" t="s">
        <v>109</v>
      </c>
      <c r="E19" s="1465" t="s">
        <v>569</v>
      </c>
      <c r="F19" s="1465" t="s">
        <v>18</v>
      </c>
      <c r="G19" s="2554">
        <v>113015</v>
      </c>
      <c r="H19" s="1465" t="s">
        <v>21</v>
      </c>
      <c r="I19" s="2544">
        <v>0</v>
      </c>
      <c r="J19" s="2545">
        <v>11911.25</v>
      </c>
      <c r="K19" s="73" t="e">
        <f t="shared" si="5"/>
        <v>#DIV/0!</v>
      </c>
      <c r="L19" s="2544">
        <v>0</v>
      </c>
      <c r="M19" s="2545">
        <v>8581.2000000000007</v>
      </c>
      <c r="N19" s="73" t="e">
        <f t="shared" si="6"/>
        <v>#DIV/0!</v>
      </c>
      <c r="O19" s="2544">
        <v>28366</v>
      </c>
      <c r="P19" s="2545">
        <v>6291.31</v>
      </c>
      <c r="Q19" s="73">
        <f t="shared" si="7"/>
        <v>0.22179052386660086</v>
      </c>
      <c r="R19" s="2544">
        <v>10063.138984271091</v>
      </c>
      <c r="S19" s="2545">
        <v>4230.6400000000003</v>
      </c>
      <c r="T19" s="73">
        <f t="shared" si="8"/>
        <v>0.42040957663534056</v>
      </c>
      <c r="U19" s="2544">
        <v>10537.110579782206</v>
      </c>
      <c r="V19" s="2545">
        <v>6936.61</v>
      </c>
      <c r="W19" s="73">
        <f t="shared" si="9"/>
        <v>0.65830285707634417</v>
      </c>
      <c r="X19" s="2544">
        <v>8139.4477053246774</v>
      </c>
      <c r="Y19" s="2545">
        <v>7500.31</v>
      </c>
      <c r="Z19" s="73">
        <f t="shared" si="15"/>
        <v>0.9214765266067666</v>
      </c>
      <c r="AA19" s="2545">
        <f t="shared" si="16"/>
        <v>45451.32</v>
      </c>
      <c r="AB19" s="73">
        <f t="shared" si="2"/>
        <v>0.40217068530726008</v>
      </c>
      <c r="AC19" s="2544">
        <v>8437.1602917966575</v>
      </c>
      <c r="AD19" s="2545">
        <v>6571.35</v>
      </c>
      <c r="AE19" s="73">
        <f t="shared" si="10"/>
        <v>0.77885802482492117</v>
      </c>
      <c r="AF19" s="2544">
        <v>9829.0732906807898</v>
      </c>
      <c r="AG19" s="2545">
        <v>6225.12</v>
      </c>
      <c r="AH19" s="73">
        <f t="shared" si="11"/>
        <v>0.63333742824994543</v>
      </c>
      <c r="AI19" s="2544">
        <v>12359.07571956941</v>
      </c>
      <c r="AJ19" s="2545">
        <v>9994.69</v>
      </c>
      <c r="AK19" s="73">
        <f t="shared" si="17"/>
        <v>0.80869235101249271</v>
      </c>
      <c r="AL19" s="2544">
        <v>10411.454418117139</v>
      </c>
      <c r="AM19" s="2545">
        <v>10143.040000000001</v>
      </c>
      <c r="AN19" s="73">
        <f t="shared" si="12"/>
        <v>0.97421931582872168</v>
      </c>
      <c r="AO19" s="2544">
        <v>8155.4564717341882</v>
      </c>
      <c r="AP19" s="2545">
        <v>10545.02</v>
      </c>
      <c r="AQ19" s="73">
        <f t="shared" si="13"/>
        <v>1.2930018125346812</v>
      </c>
      <c r="AR19" s="2544">
        <v>6716.3648290143728</v>
      </c>
      <c r="AS19" s="2555">
        <v>9724.99</v>
      </c>
      <c r="AT19" s="73">
        <f t="shared" si="18"/>
        <v>1.4479543990803643</v>
      </c>
      <c r="AU19" s="2544">
        <f t="shared" si="19"/>
        <v>98655.53</v>
      </c>
      <c r="AV19" s="73">
        <f t="shared" si="20"/>
        <v>0.87294191036588065</v>
      </c>
    </row>
    <row r="20" spans="1:48" s="2540" customFormat="1" ht="93.75" customHeight="1" thickTop="1" thickBot="1">
      <c r="A20" s="3253"/>
      <c r="B20" s="3257"/>
      <c r="C20" s="1745" t="s">
        <v>350</v>
      </c>
      <c r="D20" s="623" t="s">
        <v>111</v>
      </c>
      <c r="E20" s="561" t="s">
        <v>112</v>
      </c>
      <c r="F20" s="561" t="s">
        <v>17</v>
      </c>
      <c r="G20" s="40">
        <v>315</v>
      </c>
      <c r="H20" s="561" t="s">
        <v>20</v>
      </c>
      <c r="I20" s="1116">
        <v>0</v>
      </c>
      <c r="J20" s="1725"/>
      <c r="K20" s="73" t="e">
        <f t="shared" si="5"/>
        <v>#DIV/0!</v>
      </c>
      <c r="L20" s="1116">
        <v>0</v>
      </c>
      <c r="M20" s="1725"/>
      <c r="N20" s="73" t="e">
        <f t="shared" si="6"/>
        <v>#DIV/0!</v>
      </c>
      <c r="O20" s="1116">
        <v>29</v>
      </c>
      <c r="P20" s="1725">
        <v>25</v>
      </c>
      <c r="Q20" s="73">
        <f t="shared" si="7"/>
        <v>0.86206896551724133</v>
      </c>
      <c r="R20" s="1116">
        <v>38</v>
      </c>
      <c r="S20" s="1725">
        <v>4</v>
      </c>
      <c r="T20" s="73">
        <f t="shared" si="8"/>
        <v>0.10526315789473684</v>
      </c>
      <c r="U20" s="1116">
        <v>41</v>
      </c>
      <c r="V20" s="1725">
        <v>7</v>
      </c>
      <c r="W20" s="73">
        <f t="shared" si="9"/>
        <v>0.17073170731707318</v>
      </c>
      <c r="X20" s="1116">
        <v>44</v>
      </c>
      <c r="Y20" s="1725">
        <v>274</v>
      </c>
      <c r="Z20" s="73">
        <f t="shared" si="15"/>
        <v>6.2272727272727275</v>
      </c>
      <c r="AA20" s="1725">
        <f t="shared" si="16"/>
        <v>310</v>
      </c>
      <c r="AB20" s="73">
        <f t="shared" si="2"/>
        <v>0.98412698412698407</v>
      </c>
      <c r="AC20" s="1116">
        <v>116</v>
      </c>
      <c r="AD20" s="1725">
        <v>41</v>
      </c>
      <c r="AE20" s="73">
        <f t="shared" si="10"/>
        <v>0.35344827586206895</v>
      </c>
      <c r="AF20" s="1116">
        <v>16</v>
      </c>
      <c r="AG20" s="1725">
        <v>32</v>
      </c>
      <c r="AH20" s="73">
        <f t="shared" si="11"/>
        <v>2</v>
      </c>
      <c r="AI20" s="1116">
        <v>13</v>
      </c>
      <c r="AJ20" s="1725">
        <v>50</v>
      </c>
      <c r="AK20" s="73">
        <f t="shared" si="17"/>
        <v>3.8461538461538463</v>
      </c>
      <c r="AL20" s="1116">
        <v>9</v>
      </c>
      <c r="AM20" s="1725">
        <v>31</v>
      </c>
      <c r="AN20" s="73">
        <f t="shared" si="12"/>
        <v>3.4444444444444446</v>
      </c>
      <c r="AO20" s="1116">
        <v>6</v>
      </c>
      <c r="AP20" s="1725">
        <v>0</v>
      </c>
      <c r="AQ20" s="73">
        <f t="shared" si="13"/>
        <v>0</v>
      </c>
      <c r="AR20" s="1116">
        <v>5</v>
      </c>
      <c r="AS20" s="1725">
        <v>0</v>
      </c>
      <c r="AT20" s="73">
        <f t="shared" si="18"/>
        <v>0</v>
      </c>
      <c r="AU20" s="1116">
        <f t="shared" si="19"/>
        <v>464</v>
      </c>
      <c r="AV20" s="73">
        <f t="shared" si="20"/>
        <v>1.4730158730158731</v>
      </c>
    </row>
    <row r="21" spans="1:48" s="2540" customFormat="1" ht="77.45" customHeight="1" thickTop="1" thickBot="1">
      <c r="A21" s="3253"/>
      <c r="B21" s="3257"/>
      <c r="C21" s="23" t="s">
        <v>675</v>
      </c>
      <c r="D21" s="627" t="s">
        <v>114</v>
      </c>
      <c r="E21" s="25" t="s">
        <v>115</v>
      </c>
      <c r="F21" s="25" t="s">
        <v>10</v>
      </c>
      <c r="G21" s="25">
        <v>1</v>
      </c>
      <c r="H21" s="25" t="s">
        <v>20</v>
      </c>
      <c r="I21" s="655">
        <v>0</v>
      </c>
      <c r="J21" s="45"/>
      <c r="K21" s="73" t="e">
        <f t="shared" si="5"/>
        <v>#DIV/0!</v>
      </c>
      <c r="L21" s="655">
        <v>0</v>
      </c>
      <c r="M21" s="45"/>
      <c r="N21" s="73" t="e">
        <f t="shared" si="6"/>
        <v>#DIV/0!</v>
      </c>
      <c r="O21" s="655">
        <v>0</v>
      </c>
      <c r="P21" s="45"/>
      <c r="Q21" s="73" t="e">
        <f t="shared" si="7"/>
        <v>#DIV/0!</v>
      </c>
      <c r="R21" s="655">
        <v>0</v>
      </c>
      <c r="S21" s="45"/>
      <c r="T21" s="73" t="e">
        <f t="shared" si="8"/>
        <v>#DIV/0!</v>
      </c>
      <c r="U21" s="655">
        <v>0</v>
      </c>
      <c r="V21" s="45"/>
      <c r="W21" s="73" t="e">
        <f t="shared" si="9"/>
        <v>#DIV/0!</v>
      </c>
      <c r="X21" s="655">
        <v>0</v>
      </c>
      <c r="Y21" s="45"/>
      <c r="Z21" s="73" t="e">
        <f t="shared" si="15"/>
        <v>#DIV/0!</v>
      </c>
      <c r="AA21" s="45">
        <f t="shared" si="16"/>
        <v>0</v>
      </c>
      <c r="AB21" s="73">
        <f t="shared" si="2"/>
        <v>0</v>
      </c>
      <c r="AC21" s="655">
        <v>0</v>
      </c>
      <c r="AD21" s="45"/>
      <c r="AE21" s="73" t="e">
        <f t="shared" si="10"/>
        <v>#DIV/0!</v>
      </c>
      <c r="AF21" s="655">
        <v>0</v>
      </c>
      <c r="AG21" s="45"/>
      <c r="AH21" s="73" t="e">
        <f t="shared" si="11"/>
        <v>#DIV/0!</v>
      </c>
      <c r="AI21" s="655">
        <v>0</v>
      </c>
      <c r="AJ21" s="45">
        <v>0.25</v>
      </c>
      <c r="AK21" s="73" t="e">
        <f t="shared" si="17"/>
        <v>#DIV/0!</v>
      </c>
      <c r="AL21" s="655">
        <v>0</v>
      </c>
      <c r="AM21" s="45">
        <v>0.25</v>
      </c>
      <c r="AN21" s="73" t="e">
        <f t="shared" si="12"/>
        <v>#DIV/0!</v>
      </c>
      <c r="AO21" s="655">
        <v>0</v>
      </c>
      <c r="AP21" s="45">
        <v>0.25</v>
      </c>
      <c r="AQ21" s="73" t="e">
        <f t="shared" si="13"/>
        <v>#DIV/0!</v>
      </c>
      <c r="AR21" s="655">
        <v>0</v>
      </c>
      <c r="AS21" s="45">
        <v>0.25</v>
      </c>
      <c r="AT21" s="73" t="e">
        <f t="shared" si="18"/>
        <v>#DIV/0!</v>
      </c>
      <c r="AU21" s="655">
        <f t="shared" si="19"/>
        <v>1</v>
      </c>
      <c r="AV21" s="73">
        <f t="shared" si="20"/>
        <v>1</v>
      </c>
    </row>
    <row r="22" spans="1:48" s="2540" customFormat="1" ht="77.45" customHeight="1" thickTop="1" thickBot="1">
      <c r="A22" s="3253"/>
      <c r="B22" s="3257"/>
      <c r="C22" s="2928" t="s">
        <v>1063</v>
      </c>
      <c r="D22" s="623" t="s">
        <v>1064</v>
      </c>
      <c r="E22" s="561" t="s">
        <v>206</v>
      </c>
      <c r="F22" s="561" t="s">
        <v>24</v>
      </c>
      <c r="G22" s="402">
        <v>4</v>
      </c>
      <c r="H22" s="561" t="s">
        <v>196</v>
      </c>
      <c r="I22" s="1116">
        <v>0</v>
      </c>
      <c r="J22" s="1725"/>
      <c r="K22" s="73" t="e">
        <f t="shared" si="5"/>
        <v>#DIV/0!</v>
      </c>
      <c r="L22" s="1116">
        <v>0</v>
      </c>
      <c r="M22" s="1725"/>
      <c r="N22" s="73" t="e">
        <f t="shared" si="6"/>
        <v>#DIV/0!</v>
      </c>
      <c r="O22" s="1116">
        <v>0</v>
      </c>
      <c r="P22" s="1725"/>
      <c r="Q22" s="73" t="e">
        <f t="shared" si="7"/>
        <v>#DIV/0!</v>
      </c>
      <c r="R22" s="1116">
        <v>0</v>
      </c>
      <c r="S22" s="1725"/>
      <c r="T22" s="73" t="e">
        <f t="shared" si="8"/>
        <v>#DIV/0!</v>
      </c>
      <c r="U22" s="1116">
        <v>2</v>
      </c>
      <c r="V22" s="1725"/>
      <c r="W22" s="73">
        <f t="shared" si="9"/>
        <v>0</v>
      </c>
      <c r="X22" s="1116">
        <v>0</v>
      </c>
      <c r="Y22" s="1725"/>
      <c r="Z22" s="73" t="e">
        <f t="shared" si="15"/>
        <v>#DIV/0!</v>
      </c>
      <c r="AA22" s="1725">
        <f t="shared" si="16"/>
        <v>0</v>
      </c>
      <c r="AB22" s="73">
        <f t="shared" si="2"/>
        <v>0</v>
      </c>
      <c r="AC22" s="1116">
        <v>0</v>
      </c>
      <c r="AD22" s="1725"/>
      <c r="AE22" s="73" t="e">
        <f t="shared" si="10"/>
        <v>#DIV/0!</v>
      </c>
      <c r="AF22" s="1116">
        <v>0</v>
      </c>
      <c r="AG22" s="1725"/>
      <c r="AH22" s="73" t="e">
        <f t="shared" si="11"/>
        <v>#DIV/0!</v>
      </c>
      <c r="AI22" s="1116">
        <v>2</v>
      </c>
      <c r="AJ22" s="1725"/>
      <c r="AK22" s="73">
        <f t="shared" si="17"/>
        <v>0</v>
      </c>
      <c r="AL22" s="1116">
        <v>0</v>
      </c>
      <c r="AM22" s="1725"/>
      <c r="AN22" s="73" t="e">
        <f t="shared" si="12"/>
        <v>#DIV/0!</v>
      </c>
      <c r="AO22" s="1116">
        <v>0</v>
      </c>
      <c r="AP22" s="1725"/>
      <c r="AQ22" s="73" t="e">
        <f t="shared" si="13"/>
        <v>#DIV/0!</v>
      </c>
      <c r="AR22" s="1116">
        <v>0</v>
      </c>
      <c r="AS22" s="1725"/>
      <c r="AT22" s="73" t="e">
        <f t="shared" si="18"/>
        <v>#DIV/0!</v>
      </c>
      <c r="AU22" s="1116">
        <f t="shared" si="19"/>
        <v>0</v>
      </c>
      <c r="AV22" s="73"/>
    </row>
    <row r="23" spans="1:48" s="2540" customFormat="1" ht="77.45" customHeight="1" thickTop="1" thickBot="1">
      <c r="A23" s="3253"/>
      <c r="B23" s="3257"/>
      <c r="C23" s="2929"/>
      <c r="D23" s="627" t="s">
        <v>207</v>
      </c>
      <c r="E23" s="25" t="s">
        <v>206</v>
      </c>
      <c r="F23" s="25" t="s">
        <v>24</v>
      </c>
      <c r="G23" s="25">
        <v>1</v>
      </c>
      <c r="H23" s="25" t="s">
        <v>196</v>
      </c>
      <c r="I23" s="605">
        <v>0</v>
      </c>
      <c r="J23" s="606"/>
      <c r="K23" s="73" t="e">
        <f t="shared" si="5"/>
        <v>#DIV/0!</v>
      </c>
      <c r="L23" s="605">
        <v>0</v>
      </c>
      <c r="M23" s="606"/>
      <c r="N23" s="73" t="e">
        <f t="shared" si="6"/>
        <v>#DIV/0!</v>
      </c>
      <c r="O23" s="605">
        <v>0</v>
      </c>
      <c r="P23" s="606"/>
      <c r="Q23" s="73" t="e">
        <f t="shared" si="7"/>
        <v>#DIV/0!</v>
      </c>
      <c r="R23" s="605">
        <v>0</v>
      </c>
      <c r="S23" s="606"/>
      <c r="T23" s="73" t="e">
        <f t="shared" si="8"/>
        <v>#DIV/0!</v>
      </c>
      <c r="U23" s="605">
        <v>1</v>
      </c>
      <c r="V23" s="606"/>
      <c r="W23" s="73">
        <f t="shared" si="9"/>
        <v>0</v>
      </c>
      <c r="X23" s="605">
        <v>0</v>
      </c>
      <c r="Y23" s="606"/>
      <c r="Z23" s="73" t="e">
        <f t="shared" si="15"/>
        <v>#DIV/0!</v>
      </c>
      <c r="AA23" s="606">
        <f t="shared" si="16"/>
        <v>0</v>
      </c>
      <c r="AB23" s="73">
        <f t="shared" si="2"/>
        <v>0</v>
      </c>
      <c r="AC23" s="605">
        <v>0</v>
      </c>
      <c r="AD23" s="606"/>
      <c r="AE23" s="73" t="e">
        <f t="shared" si="10"/>
        <v>#DIV/0!</v>
      </c>
      <c r="AF23" s="605">
        <v>0</v>
      </c>
      <c r="AG23" s="606"/>
      <c r="AH23" s="73" t="e">
        <f t="shared" si="11"/>
        <v>#DIV/0!</v>
      </c>
      <c r="AI23" s="605">
        <v>0</v>
      </c>
      <c r="AJ23" s="606"/>
      <c r="AK23" s="73" t="e">
        <f t="shared" si="17"/>
        <v>#DIV/0!</v>
      </c>
      <c r="AL23" s="605">
        <v>0</v>
      </c>
      <c r="AM23" s="606"/>
      <c r="AN23" s="73" t="e">
        <f t="shared" si="12"/>
        <v>#DIV/0!</v>
      </c>
      <c r="AO23" s="605">
        <v>0</v>
      </c>
      <c r="AP23" s="606"/>
      <c r="AQ23" s="73" t="e">
        <f t="shared" si="13"/>
        <v>#DIV/0!</v>
      </c>
      <c r="AR23" s="605">
        <v>0</v>
      </c>
      <c r="AS23" s="606"/>
      <c r="AT23" s="73" t="e">
        <f t="shared" si="18"/>
        <v>#DIV/0!</v>
      </c>
      <c r="AU23" s="605">
        <f t="shared" si="19"/>
        <v>0</v>
      </c>
      <c r="AV23" s="73"/>
    </row>
    <row r="24" spans="1:48" s="2540" customFormat="1" ht="77.45" customHeight="1" thickTop="1" thickBot="1">
      <c r="A24" s="3253"/>
      <c r="B24" s="3257"/>
      <c r="C24" s="2930"/>
      <c r="D24" s="623" t="s">
        <v>433</v>
      </c>
      <c r="E24" s="561" t="s">
        <v>480</v>
      </c>
      <c r="F24" s="561" t="s">
        <v>10</v>
      </c>
      <c r="G24" s="402">
        <v>1</v>
      </c>
      <c r="H24" s="561" t="s">
        <v>196</v>
      </c>
      <c r="I24" s="653">
        <v>1</v>
      </c>
      <c r="J24" s="50">
        <v>1</v>
      </c>
      <c r="K24" s="73">
        <f t="shared" si="5"/>
        <v>1</v>
      </c>
      <c r="L24" s="653">
        <v>1</v>
      </c>
      <c r="M24" s="50">
        <v>1</v>
      </c>
      <c r="N24" s="73">
        <f t="shared" si="6"/>
        <v>1</v>
      </c>
      <c r="O24" s="653">
        <v>1</v>
      </c>
      <c r="P24" s="50">
        <v>1</v>
      </c>
      <c r="Q24" s="73">
        <f t="shared" si="7"/>
        <v>1</v>
      </c>
      <c r="R24" s="653">
        <v>1</v>
      </c>
      <c r="S24" s="50">
        <v>1</v>
      </c>
      <c r="T24" s="73">
        <f t="shared" si="8"/>
        <v>1</v>
      </c>
      <c r="U24" s="653">
        <v>1</v>
      </c>
      <c r="V24" s="50">
        <v>1</v>
      </c>
      <c r="W24" s="73">
        <f t="shared" si="9"/>
        <v>1</v>
      </c>
      <c r="X24" s="653">
        <v>1</v>
      </c>
      <c r="Y24" s="50">
        <v>0.75</v>
      </c>
      <c r="Z24" s="73">
        <f t="shared" si="15"/>
        <v>0.75</v>
      </c>
      <c r="AA24" s="50">
        <f>(+J24+M24+P24+S24+V24+Y24)/6</f>
        <v>0.95833333333333337</v>
      </c>
      <c r="AB24" s="73">
        <f t="shared" si="2"/>
        <v>0.95833333333333337</v>
      </c>
      <c r="AC24" s="653">
        <v>1</v>
      </c>
      <c r="AD24" s="50">
        <v>7.0000000000000007E-2</v>
      </c>
      <c r="AE24" s="73">
        <f t="shared" si="10"/>
        <v>7.0000000000000007E-2</v>
      </c>
      <c r="AF24" s="653">
        <v>1</v>
      </c>
      <c r="AG24" s="50">
        <v>0.46600000000000003</v>
      </c>
      <c r="AH24" s="73">
        <f t="shared" si="11"/>
        <v>0.46600000000000003</v>
      </c>
      <c r="AI24" s="653">
        <v>1</v>
      </c>
      <c r="AJ24" s="50">
        <v>0.75</v>
      </c>
      <c r="AK24" s="73">
        <f t="shared" si="17"/>
        <v>0.75</v>
      </c>
      <c r="AL24" s="653">
        <v>1</v>
      </c>
      <c r="AM24" s="50">
        <v>0.33300000000000002</v>
      </c>
      <c r="AN24" s="73">
        <f t="shared" si="12"/>
        <v>0.33300000000000002</v>
      </c>
      <c r="AO24" s="653">
        <v>1</v>
      </c>
      <c r="AP24" s="50">
        <v>1</v>
      </c>
      <c r="AQ24" s="73">
        <f t="shared" si="13"/>
        <v>1</v>
      </c>
      <c r="AR24" s="653">
        <v>1</v>
      </c>
      <c r="AS24" s="50">
        <v>0</v>
      </c>
      <c r="AT24" s="73">
        <f t="shared" si="18"/>
        <v>0</v>
      </c>
      <c r="AU24" s="653">
        <f>(+J24+M24+P24+S24+V24+Y24+AD24+AG24+AJ24+AM24+AP24+AS24)/12</f>
        <v>0.69741666666666668</v>
      </c>
      <c r="AV24" s="73">
        <f t="shared" ref="AV24:AV32" si="21">+AU24/G24</f>
        <v>0.69741666666666668</v>
      </c>
    </row>
    <row r="25" spans="1:48" s="2540" customFormat="1" ht="77.45" customHeight="1" thickTop="1" thickBot="1">
      <c r="A25" s="3253"/>
      <c r="B25" s="3257"/>
      <c r="C25" s="23" t="s">
        <v>174</v>
      </c>
      <c r="D25" s="627" t="s">
        <v>116</v>
      </c>
      <c r="E25" s="25" t="s">
        <v>117</v>
      </c>
      <c r="F25" s="25" t="s">
        <v>17</v>
      </c>
      <c r="G25" s="688">
        <v>3785</v>
      </c>
      <c r="H25" s="25" t="s">
        <v>118</v>
      </c>
      <c r="I25" s="2556">
        <v>0</v>
      </c>
      <c r="J25" s="2557">
        <v>0</v>
      </c>
      <c r="K25" s="73" t="e">
        <f t="shared" si="5"/>
        <v>#DIV/0!</v>
      </c>
      <c r="L25" s="2556">
        <v>0</v>
      </c>
      <c r="M25" s="2557">
        <v>0</v>
      </c>
      <c r="N25" s="73" t="e">
        <f t="shared" si="6"/>
        <v>#DIV/0!</v>
      </c>
      <c r="O25" s="2556">
        <v>720</v>
      </c>
      <c r="P25" s="2557">
        <v>616</v>
      </c>
      <c r="Q25" s="73">
        <f t="shared" si="7"/>
        <v>0.85555555555555551</v>
      </c>
      <c r="R25" s="2556">
        <v>584</v>
      </c>
      <c r="S25" s="2557">
        <v>51</v>
      </c>
      <c r="T25" s="73">
        <f t="shared" si="8"/>
        <v>8.7328767123287673E-2</v>
      </c>
      <c r="U25" s="2556">
        <v>170</v>
      </c>
      <c r="V25" s="2557">
        <v>0</v>
      </c>
      <c r="W25" s="73">
        <f t="shared" si="9"/>
        <v>0</v>
      </c>
      <c r="X25" s="2556">
        <v>191</v>
      </c>
      <c r="Y25" s="2557">
        <v>113</v>
      </c>
      <c r="Z25" s="73">
        <f t="shared" si="15"/>
        <v>0.59162303664921467</v>
      </c>
      <c r="AA25" s="2557">
        <f t="shared" si="16"/>
        <v>780</v>
      </c>
      <c r="AB25" s="73">
        <f t="shared" si="2"/>
        <v>0.20607661822985468</v>
      </c>
      <c r="AC25" s="2556">
        <v>352</v>
      </c>
      <c r="AD25" s="2557">
        <v>260</v>
      </c>
      <c r="AE25" s="73">
        <f t="shared" si="10"/>
        <v>0.73863636363636365</v>
      </c>
      <c r="AF25" s="2556">
        <v>537</v>
      </c>
      <c r="AG25" s="2557">
        <v>338</v>
      </c>
      <c r="AH25" s="73">
        <f t="shared" si="11"/>
        <v>0.62942271880819367</v>
      </c>
      <c r="AI25" s="2556">
        <v>729</v>
      </c>
      <c r="AJ25" s="2557">
        <v>0</v>
      </c>
      <c r="AK25" s="73">
        <f t="shared" si="17"/>
        <v>0</v>
      </c>
      <c r="AL25" s="2556">
        <v>285</v>
      </c>
      <c r="AM25" s="2557">
        <v>541</v>
      </c>
      <c r="AN25" s="73">
        <f t="shared" si="12"/>
        <v>1.8982456140350876</v>
      </c>
      <c r="AO25" s="2556">
        <v>196</v>
      </c>
      <c r="AP25" s="2557">
        <v>2779</v>
      </c>
      <c r="AQ25" s="73">
        <f t="shared" si="13"/>
        <v>14.178571428571429</v>
      </c>
      <c r="AR25" s="2556">
        <v>21</v>
      </c>
      <c r="AS25" s="2558">
        <v>873</v>
      </c>
      <c r="AT25" s="73">
        <f t="shared" si="18"/>
        <v>41.571428571428569</v>
      </c>
      <c r="AU25" s="2556">
        <f t="shared" si="19"/>
        <v>5571</v>
      </c>
      <c r="AV25" s="73">
        <f t="shared" si="21"/>
        <v>1.4718626155878467</v>
      </c>
    </row>
    <row r="26" spans="1:48" s="2540" customFormat="1" ht="77.45" customHeight="1" thickTop="1" thickBot="1">
      <c r="A26" s="3253"/>
      <c r="B26" s="3257"/>
      <c r="C26" s="3259" t="s">
        <v>119</v>
      </c>
      <c r="D26" s="728" t="s">
        <v>120</v>
      </c>
      <c r="E26" s="90" t="s">
        <v>121</v>
      </c>
      <c r="F26" s="76" t="s">
        <v>10</v>
      </c>
      <c r="G26" s="2345">
        <v>0.64100000000000001</v>
      </c>
      <c r="H26" s="561" t="s">
        <v>7</v>
      </c>
      <c r="I26" s="653">
        <v>0</v>
      </c>
      <c r="J26" s="50">
        <v>0</v>
      </c>
      <c r="K26" s="73" t="e">
        <f t="shared" si="5"/>
        <v>#DIV/0!</v>
      </c>
      <c r="L26" s="653">
        <v>0</v>
      </c>
      <c r="M26" s="50">
        <v>0</v>
      </c>
      <c r="N26" s="73" t="e">
        <f t="shared" si="6"/>
        <v>#DIV/0!</v>
      </c>
      <c r="O26" s="653">
        <v>0</v>
      </c>
      <c r="P26" s="50">
        <v>0</v>
      </c>
      <c r="Q26" s="73" t="e">
        <f t="shared" si="7"/>
        <v>#DIV/0!</v>
      </c>
      <c r="R26" s="653">
        <v>0</v>
      </c>
      <c r="S26" s="50">
        <v>0</v>
      </c>
      <c r="T26" s="73" t="e">
        <f t="shared" si="8"/>
        <v>#DIV/0!</v>
      </c>
      <c r="U26" s="653">
        <v>0</v>
      </c>
      <c r="V26" s="50">
        <v>0</v>
      </c>
      <c r="W26" s="73" t="e">
        <f t="shared" si="9"/>
        <v>#DIV/0!</v>
      </c>
      <c r="X26" s="653">
        <v>0</v>
      </c>
      <c r="Y26" s="50">
        <v>0</v>
      </c>
      <c r="Z26" s="73" t="e">
        <f t="shared" si="15"/>
        <v>#DIV/0!</v>
      </c>
      <c r="AA26" s="50">
        <f t="shared" si="16"/>
        <v>0</v>
      </c>
      <c r="AB26" s="73">
        <f t="shared" si="2"/>
        <v>0</v>
      </c>
      <c r="AC26" s="653">
        <v>0</v>
      </c>
      <c r="AD26" s="50">
        <v>0</v>
      </c>
      <c r="AE26" s="73" t="e">
        <f t="shared" si="10"/>
        <v>#DIV/0!</v>
      </c>
      <c r="AF26" s="653">
        <v>0</v>
      </c>
      <c r="AG26" s="50">
        <v>0</v>
      </c>
      <c r="AH26" s="73" t="e">
        <f t="shared" si="11"/>
        <v>#DIV/0!</v>
      </c>
      <c r="AI26" s="653">
        <v>0</v>
      </c>
      <c r="AJ26" s="50">
        <v>0</v>
      </c>
      <c r="AK26" s="73" t="e">
        <f t="shared" si="17"/>
        <v>#DIV/0!</v>
      </c>
      <c r="AL26" s="653">
        <v>0</v>
      </c>
      <c r="AM26" s="50">
        <v>0</v>
      </c>
      <c r="AN26" s="73" t="e">
        <f t="shared" si="12"/>
        <v>#DIV/0!</v>
      </c>
      <c r="AO26" s="653">
        <v>0</v>
      </c>
      <c r="AP26" s="50">
        <v>0</v>
      </c>
      <c r="AQ26" s="73" t="e">
        <f t="shared" si="13"/>
        <v>#DIV/0!</v>
      </c>
      <c r="AR26" s="653">
        <v>0.64100000000000001</v>
      </c>
      <c r="AS26" s="50">
        <v>1</v>
      </c>
      <c r="AT26" s="73">
        <f t="shared" si="18"/>
        <v>1.5600624024960998</v>
      </c>
      <c r="AU26" s="653">
        <f>+AS26</f>
        <v>1</v>
      </c>
      <c r="AV26" s="73">
        <f t="shared" si="21"/>
        <v>1.5600624024960998</v>
      </c>
    </row>
    <row r="27" spans="1:48" s="2540" customFormat="1" ht="77.45" customHeight="1" thickTop="1" thickBot="1">
      <c r="A27" s="3253"/>
      <c r="B27" s="3257"/>
      <c r="C27" s="3260"/>
      <c r="D27" s="731" t="s">
        <v>175</v>
      </c>
      <c r="E27" s="87" t="s">
        <v>123</v>
      </c>
      <c r="F27" s="81" t="s">
        <v>10</v>
      </c>
      <c r="G27" s="642">
        <v>1</v>
      </c>
      <c r="H27" s="25" t="s">
        <v>7</v>
      </c>
      <c r="I27" s="655">
        <v>0</v>
      </c>
      <c r="J27" s="45">
        <v>0</v>
      </c>
      <c r="K27" s="73" t="e">
        <f t="shared" si="5"/>
        <v>#DIV/0!</v>
      </c>
      <c r="L27" s="655">
        <v>0</v>
      </c>
      <c r="M27" s="45">
        <v>0</v>
      </c>
      <c r="N27" s="73" t="e">
        <f t="shared" si="6"/>
        <v>#DIV/0!</v>
      </c>
      <c r="O27" s="655">
        <v>0</v>
      </c>
      <c r="P27" s="45">
        <v>0</v>
      </c>
      <c r="Q27" s="73" t="e">
        <f t="shared" si="7"/>
        <v>#DIV/0!</v>
      </c>
      <c r="R27" s="655">
        <v>1</v>
      </c>
      <c r="S27" s="45">
        <v>1</v>
      </c>
      <c r="T27" s="73">
        <f t="shared" si="8"/>
        <v>1</v>
      </c>
      <c r="U27" s="655">
        <v>0</v>
      </c>
      <c r="V27" s="45">
        <v>0</v>
      </c>
      <c r="W27" s="73" t="e">
        <f t="shared" si="9"/>
        <v>#DIV/0!</v>
      </c>
      <c r="X27" s="655">
        <v>0</v>
      </c>
      <c r="Y27" s="45">
        <v>0</v>
      </c>
      <c r="Z27" s="73" t="e">
        <f t="shared" si="15"/>
        <v>#DIV/0!</v>
      </c>
      <c r="AA27" s="45">
        <f t="shared" si="16"/>
        <v>1</v>
      </c>
      <c r="AB27" s="73">
        <f t="shared" si="2"/>
        <v>1</v>
      </c>
      <c r="AC27" s="655">
        <v>0</v>
      </c>
      <c r="AD27" s="45">
        <v>0</v>
      </c>
      <c r="AE27" s="73" t="e">
        <f t="shared" si="10"/>
        <v>#DIV/0!</v>
      </c>
      <c r="AF27" s="655">
        <v>0</v>
      </c>
      <c r="AG27" s="45">
        <v>0</v>
      </c>
      <c r="AH27" s="73" t="e">
        <f t="shared" si="11"/>
        <v>#DIV/0!</v>
      </c>
      <c r="AI27" s="655">
        <v>0</v>
      </c>
      <c r="AJ27" s="45">
        <v>0</v>
      </c>
      <c r="AK27" s="73" t="e">
        <f t="shared" si="17"/>
        <v>#DIV/0!</v>
      </c>
      <c r="AL27" s="655">
        <v>1</v>
      </c>
      <c r="AM27" s="45">
        <v>1</v>
      </c>
      <c r="AN27" s="73">
        <f t="shared" si="12"/>
        <v>1</v>
      </c>
      <c r="AO27" s="655">
        <v>0</v>
      </c>
      <c r="AP27" s="45">
        <v>0</v>
      </c>
      <c r="AQ27" s="73" t="e">
        <f t="shared" si="13"/>
        <v>#DIV/0!</v>
      </c>
      <c r="AR27" s="655">
        <v>1</v>
      </c>
      <c r="AS27" s="50">
        <v>1</v>
      </c>
      <c r="AT27" s="73">
        <f t="shared" si="18"/>
        <v>1</v>
      </c>
      <c r="AU27" s="655">
        <f>(+AM27+S27)/2</f>
        <v>1</v>
      </c>
      <c r="AV27" s="73">
        <f t="shared" si="21"/>
        <v>1</v>
      </c>
    </row>
    <row r="28" spans="1:48" s="2540" customFormat="1" ht="77.45" customHeight="1" thickTop="1" thickBot="1">
      <c r="A28" s="3253"/>
      <c r="B28" s="3257"/>
      <c r="C28" s="3260"/>
      <c r="D28" s="728" t="s">
        <v>124</v>
      </c>
      <c r="E28" s="90" t="s">
        <v>125</v>
      </c>
      <c r="F28" s="76" t="s">
        <v>10</v>
      </c>
      <c r="G28" s="652">
        <v>1</v>
      </c>
      <c r="H28" s="561" t="s">
        <v>7</v>
      </c>
      <c r="I28" s="653">
        <v>0</v>
      </c>
      <c r="J28" s="50">
        <v>0</v>
      </c>
      <c r="K28" s="73" t="e">
        <f t="shared" si="5"/>
        <v>#DIV/0!</v>
      </c>
      <c r="L28" s="653">
        <v>0</v>
      </c>
      <c r="M28" s="50">
        <v>0</v>
      </c>
      <c r="N28" s="73" t="e">
        <f t="shared" si="6"/>
        <v>#DIV/0!</v>
      </c>
      <c r="O28" s="653">
        <v>1</v>
      </c>
      <c r="P28" s="50">
        <v>1</v>
      </c>
      <c r="Q28" s="73">
        <f t="shared" si="7"/>
        <v>1</v>
      </c>
      <c r="R28" s="653">
        <v>0</v>
      </c>
      <c r="S28" s="50">
        <v>0</v>
      </c>
      <c r="T28" s="73" t="e">
        <f t="shared" si="8"/>
        <v>#DIV/0!</v>
      </c>
      <c r="U28" s="653">
        <v>0</v>
      </c>
      <c r="V28" s="50">
        <v>0</v>
      </c>
      <c r="W28" s="73" t="e">
        <f t="shared" si="9"/>
        <v>#DIV/0!</v>
      </c>
      <c r="X28" s="653">
        <v>1</v>
      </c>
      <c r="Y28" s="50">
        <v>1</v>
      </c>
      <c r="Z28" s="73">
        <f t="shared" si="15"/>
        <v>1</v>
      </c>
      <c r="AA28" s="50">
        <f>(+Y28+P28)/2</f>
        <v>1</v>
      </c>
      <c r="AB28" s="73">
        <f t="shared" si="2"/>
        <v>1</v>
      </c>
      <c r="AC28" s="653">
        <v>0</v>
      </c>
      <c r="AD28" s="50">
        <v>0</v>
      </c>
      <c r="AE28" s="73" t="e">
        <f t="shared" si="10"/>
        <v>#DIV/0!</v>
      </c>
      <c r="AF28" s="653">
        <v>0</v>
      </c>
      <c r="AG28" s="50">
        <v>0</v>
      </c>
      <c r="AH28" s="73" t="e">
        <f t="shared" si="11"/>
        <v>#DIV/0!</v>
      </c>
      <c r="AI28" s="653">
        <v>1</v>
      </c>
      <c r="AJ28" s="50">
        <v>1</v>
      </c>
      <c r="AK28" s="73">
        <f t="shared" si="17"/>
        <v>1</v>
      </c>
      <c r="AL28" s="653">
        <v>0</v>
      </c>
      <c r="AM28" s="50">
        <v>0</v>
      </c>
      <c r="AN28" s="73" t="e">
        <f t="shared" si="12"/>
        <v>#DIV/0!</v>
      </c>
      <c r="AO28" s="653">
        <v>0</v>
      </c>
      <c r="AP28" s="50">
        <v>0</v>
      </c>
      <c r="AQ28" s="73" t="e">
        <f t="shared" si="13"/>
        <v>#DIV/0!</v>
      </c>
      <c r="AR28" s="653">
        <v>1</v>
      </c>
      <c r="AS28" s="50">
        <v>1</v>
      </c>
      <c r="AT28" s="73">
        <f t="shared" si="18"/>
        <v>1</v>
      </c>
      <c r="AU28" s="653">
        <f>(+AS28+AJ28+Y28+P28)/4</f>
        <v>1</v>
      </c>
      <c r="AV28" s="73">
        <f t="shared" si="21"/>
        <v>1</v>
      </c>
    </row>
    <row r="29" spans="1:48" s="2540" customFormat="1" ht="77.45" customHeight="1" thickTop="1" thickBot="1">
      <c r="A29" s="3253"/>
      <c r="B29" s="3257"/>
      <c r="C29" s="3260"/>
      <c r="D29" s="731" t="s">
        <v>177</v>
      </c>
      <c r="E29" s="87" t="s">
        <v>127</v>
      </c>
      <c r="F29" s="81" t="s">
        <v>10</v>
      </c>
      <c r="G29" s="642">
        <v>1</v>
      </c>
      <c r="H29" s="25" t="s">
        <v>7</v>
      </c>
      <c r="I29" s="655">
        <v>1</v>
      </c>
      <c r="J29" s="45">
        <v>1</v>
      </c>
      <c r="K29" s="73">
        <f t="shared" si="5"/>
        <v>1</v>
      </c>
      <c r="L29" s="655">
        <v>1</v>
      </c>
      <c r="M29" s="45">
        <v>1</v>
      </c>
      <c r="N29" s="73">
        <f t="shared" si="6"/>
        <v>1</v>
      </c>
      <c r="O29" s="655">
        <v>1</v>
      </c>
      <c r="P29" s="45">
        <v>1</v>
      </c>
      <c r="Q29" s="73">
        <f t="shared" si="7"/>
        <v>1</v>
      </c>
      <c r="R29" s="655">
        <v>1</v>
      </c>
      <c r="S29" s="45">
        <v>1</v>
      </c>
      <c r="T29" s="73">
        <f t="shared" si="8"/>
        <v>1</v>
      </c>
      <c r="U29" s="655">
        <v>1</v>
      </c>
      <c r="V29" s="45">
        <v>1</v>
      </c>
      <c r="W29" s="73">
        <f t="shared" si="9"/>
        <v>1</v>
      </c>
      <c r="X29" s="655">
        <v>1</v>
      </c>
      <c r="Y29" s="45">
        <v>1</v>
      </c>
      <c r="Z29" s="73">
        <f t="shared" si="15"/>
        <v>1</v>
      </c>
      <c r="AA29" s="45">
        <f>(+J29+M29+P29+S29+V29+Y29)/6</f>
        <v>1</v>
      </c>
      <c r="AB29" s="73">
        <f t="shared" si="2"/>
        <v>1</v>
      </c>
      <c r="AC29" s="655">
        <v>1</v>
      </c>
      <c r="AD29" s="45">
        <v>1</v>
      </c>
      <c r="AE29" s="73">
        <f t="shared" si="10"/>
        <v>1</v>
      </c>
      <c r="AF29" s="655">
        <v>1</v>
      </c>
      <c r="AG29" s="45">
        <v>1</v>
      </c>
      <c r="AH29" s="73">
        <f t="shared" si="11"/>
        <v>1</v>
      </c>
      <c r="AI29" s="655">
        <v>1</v>
      </c>
      <c r="AJ29" s="45">
        <v>1</v>
      </c>
      <c r="AK29" s="73">
        <f t="shared" si="17"/>
        <v>1</v>
      </c>
      <c r="AL29" s="655">
        <v>1</v>
      </c>
      <c r="AM29" s="45">
        <v>1</v>
      </c>
      <c r="AN29" s="73">
        <f t="shared" si="12"/>
        <v>1</v>
      </c>
      <c r="AO29" s="655">
        <v>1</v>
      </c>
      <c r="AP29" s="2559">
        <v>1</v>
      </c>
      <c r="AQ29" s="73">
        <f t="shared" si="13"/>
        <v>1</v>
      </c>
      <c r="AR29" s="655">
        <v>1</v>
      </c>
      <c r="AS29" s="50">
        <v>1</v>
      </c>
      <c r="AT29" s="73">
        <f t="shared" si="18"/>
        <v>1</v>
      </c>
      <c r="AU29" s="655">
        <f>(+J29+M29+P29+S29+V29+Y29+AD29+AG29+AJ29+AM29+AP29+AS29)/12</f>
        <v>1</v>
      </c>
      <c r="AV29" s="73">
        <f t="shared" si="21"/>
        <v>1</v>
      </c>
    </row>
    <row r="30" spans="1:48" s="2540" customFormat="1" ht="77.45" customHeight="1" thickTop="1" thickBot="1">
      <c r="A30" s="3253"/>
      <c r="B30" s="3257"/>
      <c r="C30" s="3260"/>
      <c r="D30" s="728" t="s">
        <v>128</v>
      </c>
      <c r="E30" s="90" t="s">
        <v>178</v>
      </c>
      <c r="F30" s="76" t="s">
        <v>10</v>
      </c>
      <c r="G30" s="652">
        <v>1</v>
      </c>
      <c r="H30" s="561" t="s">
        <v>7</v>
      </c>
      <c r="I30" s="653">
        <v>1</v>
      </c>
      <c r="J30" s="50">
        <v>1</v>
      </c>
      <c r="K30" s="73">
        <f t="shared" si="5"/>
        <v>1</v>
      </c>
      <c r="L30" s="653">
        <v>1</v>
      </c>
      <c r="M30" s="50">
        <v>1</v>
      </c>
      <c r="N30" s="73">
        <f t="shared" si="6"/>
        <v>1</v>
      </c>
      <c r="O30" s="653">
        <v>1</v>
      </c>
      <c r="P30" s="50">
        <v>1</v>
      </c>
      <c r="Q30" s="73">
        <f t="shared" si="7"/>
        <v>1</v>
      </c>
      <c r="R30" s="653">
        <v>1</v>
      </c>
      <c r="S30" s="50">
        <v>1</v>
      </c>
      <c r="T30" s="73">
        <f t="shared" si="8"/>
        <v>1</v>
      </c>
      <c r="U30" s="653">
        <v>1</v>
      </c>
      <c r="V30" s="50">
        <v>1</v>
      </c>
      <c r="W30" s="73">
        <f t="shared" si="9"/>
        <v>1</v>
      </c>
      <c r="X30" s="653">
        <v>1</v>
      </c>
      <c r="Y30" s="50">
        <v>1</v>
      </c>
      <c r="Z30" s="73">
        <f t="shared" si="15"/>
        <v>1</v>
      </c>
      <c r="AA30" s="50">
        <f>(+J30+M30+P30+S30+V30+Y30)/6</f>
        <v>1</v>
      </c>
      <c r="AB30" s="73">
        <f t="shared" si="2"/>
        <v>1</v>
      </c>
      <c r="AC30" s="653">
        <v>1</v>
      </c>
      <c r="AD30" s="50">
        <v>1</v>
      </c>
      <c r="AE30" s="73">
        <f t="shared" si="10"/>
        <v>1</v>
      </c>
      <c r="AF30" s="653">
        <v>1</v>
      </c>
      <c r="AG30" s="50">
        <v>1</v>
      </c>
      <c r="AH30" s="73">
        <f t="shared" si="11"/>
        <v>1</v>
      </c>
      <c r="AI30" s="653">
        <v>1</v>
      </c>
      <c r="AJ30" s="50">
        <v>1</v>
      </c>
      <c r="AK30" s="73">
        <f t="shared" si="17"/>
        <v>1</v>
      </c>
      <c r="AL30" s="653">
        <v>1</v>
      </c>
      <c r="AM30" s="50">
        <v>1</v>
      </c>
      <c r="AN30" s="73">
        <f t="shared" si="12"/>
        <v>1</v>
      </c>
      <c r="AO30" s="653">
        <v>1</v>
      </c>
      <c r="AP30" s="50">
        <v>1</v>
      </c>
      <c r="AQ30" s="73">
        <f t="shared" si="13"/>
        <v>1</v>
      </c>
      <c r="AR30" s="653">
        <v>1</v>
      </c>
      <c r="AS30" s="50">
        <v>1</v>
      </c>
      <c r="AT30" s="73">
        <f t="shared" si="18"/>
        <v>1</v>
      </c>
      <c r="AU30" s="653">
        <f>(+J30+M30+P30+S30+V30+Y30+AD30+AG30+AJ30+AM30+AP30+AS30)/12</f>
        <v>1</v>
      </c>
      <c r="AV30" s="73">
        <f t="shared" si="21"/>
        <v>1</v>
      </c>
    </row>
    <row r="31" spans="1:48" s="2540" customFormat="1" ht="77.45" customHeight="1" thickTop="1" thickBot="1">
      <c r="A31" s="3253"/>
      <c r="B31" s="3257"/>
      <c r="C31" s="3260"/>
      <c r="D31" s="731" t="s">
        <v>179</v>
      </c>
      <c r="E31" s="87" t="s">
        <v>131</v>
      </c>
      <c r="F31" s="81" t="s">
        <v>10</v>
      </c>
      <c r="G31" s="642">
        <v>1</v>
      </c>
      <c r="H31" s="25" t="s">
        <v>7</v>
      </c>
      <c r="I31" s="655">
        <v>1</v>
      </c>
      <c r="J31" s="45">
        <v>0</v>
      </c>
      <c r="K31" s="73">
        <f t="shared" si="5"/>
        <v>0</v>
      </c>
      <c r="L31" s="655">
        <v>1</v>
      </c>
      <c r="M31" s="45">
        <v>0</v>
      </c>
      <c r="N31" s="73">
        <f t="shared" si="6"/>
        <v>0</v>
      </c>
      <c r="O31" s="655">
        <v>1</v>
      </c>
      <c r="P31" s="45">
        <v>0.83330000000000004</v>
      </c>
      <c r="Q31" s="73">
        <f t="shared" si="7"/>
        <v>0.83330000000000004</v>
      </c>
      <c r="R31" s="655">
        <v>1</v>
      </c>
      <c r="S31" s="45">
        <v>1</v>
      </c>
      <c r="T31" s="73">
        <f t="shared" si="8"/>
        <v>1</v>
      </c>
      <c r="U31" s="655">
        <v>1</v>
      </c>
      <c r="V31" s="45">
        <v>1.4279999999999999</v>
      </c>
      <c r="W31" s="73">
        <f t="shared" si="9"/>
        <v>1.4279999999999999</v>
      </c>
      <c r="X31" s="655">
        <v>1</v>
      </c>
      <c r="Y31" s="45">
        <v>1.714</v>
      </c>
      <c r="Z31" s="73">
        <f t="shared" si="15"/>
        <v>1.714</v>
      </c>
      <c r="AA31" s="45">
        <f>(+J31+M31+P31+S31+V31+Y31)/6</f>
        <v>0.8292166666666666</v>
      </c>
      <c r="AB31" s="73">
        <f t="shared" si="2"/>
        <v>0.8292166666666666</v>
      </c>
      <c r="AC31" s="655">
        <v>1</v>
      </c>
      <c r="AD31" s="45">
        <v>0.42799999999999999</v>
      </c>
      <c r="AE31" s="73">
        <f t="shared" si="10"/>
        <v>0.42799999999999999</v>
      </c>
      <c r="AF31" s="655">
        <v>1</v>
      </c>
      <c r="AG31" s="45">
        <v>1.857</v>
      </c>
      <c r="AH31" s="73">
        <f t="shared" si="11"/>
        <v>1.857</v>
      </c>
      <c r="AI31" s="655">
        <v>1</v>
      </c>
      <c r="AJ31" s="45">
        <v>0.57099999999999995</v>
      </c>
      <c r="AK31" s="73">
        <f t="shared" si="17"/>
        <v>0.57099999999999995</v>
      </c>
      <c r="AL31" s="655">
        <v>1</v>
      </c>
      <c r="AM31" s="45">
        <v>0</v>
      </c>
      <c r="AN31" s="73">
        <f t="shared" si="12"/>
        <v>0</v>
      </c>
      <c r="AO31" s="655">
        <v>1</v>
      </c>
      <c r="AP31" s="45">
        <v>1</v>
      </c>
      <c r="AQ31" s="73">
        <f t="shared" si="13"/>
        <v>1</v>
      </c>
      <c r="AR31" s="655">
        <v>1</v>
      </c>
      <c r="AS31" s="50">
        <v>1</v>
      </c>
      <c r="AT31" s="73">
        <f t="shared" si="18"/>
        <v>1</v>
      </c>
      <c r="AU31" s="655">
        <f>(+J31+M31+P31+S31+V31+Y31+AD31+AG31+AJ31+AM31+AP31+AS31)/12</f>
        <v>0.81927499999999986</v>
      </c>
      <c r="AV31" s="73">
        <f t="shared" si="21"/>
        <v>0.81927499999999986</v>
      </c>
    </row>
    <row r="32" spans="1:48" s="2540" customFormat="1" ht="77.45" customHeight="1" thickTop="1" thickBot="1">
      <c r="A32" s="3253"/>
      <c r="B32" s="3257"/>
      <c r="C32" s="3261"/>
      <c r="D32" s="728" t="s">
        <v>132</v>
      </c>
      <c r="E32" s="90" t="s">
        <v>133</v>
      </c>
      <c r="F32" s="76" t="s">
        <v>10</v>
      </c>
      <c r="G32" s="652">
        <v>1</v>
      </c>
      <c r="H32" s="561" t="s">
        <v>7</v>
      </c>
      <c r="I32" s="653">
        <v>0</v>
      </c>
      <c r="J32" s="50">
        <v>0</v>
      </c>
      <c r="K32" s="73" t="e">
        <f t="shared" si="5"/>
        <v>#DIV/0!</v>
      </c>
      <c r="L32" s="653">
        <v>0</v>
      </c>
      <c r="M32" s="50">
        <v>0</v>
      </c>
      <c r="N32" s="73" t="e">
        <f t="shared" si="6"/>
        <v>#DIV/0!</v>
      </c>
      <c r="O32" s="653">
        <v>0</v>
      </c>
      <c r="P32" s="50">
        <v>0</v>
      </c>
      <c r="Q32" s="73" t="e">
        <f t="shared" si="7"/>
        <v>#DIV/0!</v>
      </c>
      <c r="R32" s="653">
        <v>0</v>
      </c>
      <c r="S32" s="50">
        <v>0</v>
      </c>
      <c r="T32" s="73" t="e">
        <f t="shared" si="8"/>
        <v>#DIV/0!</v>
      </c>
      <c r="U32" s="653">
        <v>0</v>
      </c>
      <c r="V32" s="50">
        <v>0</v>
      </c>
      <c r="W32" s="73" t="e">
        <f t="shared" si="9"/>
        <v>#DIV/0!</v>
      </c>
      <c r="X32" s="653">
        <v>0</v>
      </c>
      <c r="Y32" s="50">
        <v>0</v>
      </c>
      <c r="Z32" s="73" t="e">
        <f t="shared" si="15"/>
        <v>#DIV/0!</v>
      </c>
      <c r="AA32" s="50">
        <f t="shared" si="16"/>
        <v>0</v>
      </c>
      <c r="AB32" s="73">
        <f t="shared" si="2"/>
        <v>0</v>
      </c>
      <c r="AC32" s="653">
        <v>0</v>
      </c>
      <c r="AD32" s="50">
        <v>0</v>
      </c>
      <c r="AE32" s="73" t="e">
        <f t="shared" si="10"/>
        <v>#DIV/0!</v>
      </c>
      <c r="AF32" s="653">
        <v>1</v>
      </c>
      <c r="AG32" s="50">
        <v>1</v>
      </c>
      <c r="AH32" s="73">
        <f t="shared" si="11"/>
        <v>1</v>
      </c>
      <c r="AI32" s="653">
        <v>0</v>
      </c>
      <c r="AJ32" s="50">
        <v>0</v>
      </c>
      <c r="AK32" s="73" t="e">
        <f t="shared" si="17"/>
        <v>#DIV/0!</v>
      </c>
      <c r="AL32" s="653">
        <v>0</v>
      </c>
      <c r="AM32" s="50">
        <v>0</v>
      </c>
      <c r="AN32" s="73" t="e">
        <f t="shared" si="12"/>
        <v>#DIV/0!</v>
      </c>
      <c r="AO32" s="653">
        <v>0</v>
      </c>
      <c r="AP32" s="50">
        <v>0</v>
      </c>
      <c r="AQ32" s="73" t="e">
        <f t="shared" si="13"/>
        <v>#DIV/0!</v>
      </c>
      <c r="AR32" s="653">
        <v>0</v>
      </c>
      <c r="AS32" s="2559">
        <v>0</v>
      </c>
      <c r="AT32" s="73" t="e">
        <f t="shared" si="18"/>
        <v>#DIV/0!</v>
      </c>
      <c r="AU32" s="653">
        <f t="shared" si="19"/>
        <v>1</v>
      </c>
      <c r="AV32" s="73">
        <f t="shared" si="21"/>
        <v>1</v>
      </c>
    </row>
    <row r="33" spans="1:49" s="2568" customFormat="1" ht="77.45" customHeight="1" thickTop="1" thickBot="1">
      <c r="A33" s="3253"/>
      <c r="B33" s="3258"/>
      <c r="C33" s="2560" t="s">
        <v>1065</v>
      </c>
      <c r="D33" s="2561" t="s">
        <v>135</v>
      </c>
      <c r="E33" s="2562" t="s">
        <v>22</v>
      </c>
      <c r="F33" s="2562" t="s">
        <v>16</v>
      </c>
      <c r="G33" s="2562">
        <v>0.35699999999999998</v>
      </c>
      <c r="H33" s="2562" t="s">
        <v>23</v>
      </c>
      <c r="I33" s="2563">
        <v>0</v>
      </c>
      <c r="J33" s="2564">
        <v>153000000</v>
      </c>
      <c r="K33" s="2565" t="e">
        <f t="shared" si="5"/>
        <v>#DIV/0!</v>
      </c>
      <c r="L33" s="2563">
        <v>0</v>
      </c>
      <c r="M33" s="2564">
        <v>326000000</v>
      </c>
      <c r="N33" s="2565" t="e">
        <f t="shared" si="6"/>
        <v>#DIV/0!</v>
      </c>
      <c r="O33" s="2563">
        <v>0</v>
      </c>
      <c r="P33" s="2564">
        <v>392000000</v>
      </c>
      <c r="Q33" s="2565" t="e">
        <f t="shared" si="7"/>
        <v>#DIV/0!</v>
      </c>
      <c r="R33" s="2563">
        <v>0</v>
      </c>
      <c r="S33" s="2564">
        <v>121000000</v>
      </c>
      <c r="T33" s="2565" t="e">
        <f t="shared" si="8"/>
        <v>#DIV/0!</v>
      </c>
      <c r="U33" s="2563">
        <v>0</v>
      </c>
      <c r="V33" s="2564">
        <v>470000000</v>
      </c>
      <c r="W33" s="2565" t="e">
        <f t="shared" si="9"/>
        <v>#DIV/0!</v>
      </c>
      <c r="X33" s="2563">
        <v>0</v>
      </c>
      <c r="Y33" s="2564">
        <v>244000000</v>
      </c>
      <c r="Z33" s="2565" t="e">
        <f t="shared" si="15"/>
        <v>#DIV/0!</v>
      </c>
      <c r="AA33" s="2564">
        <f>X34</f>
        <v>991666667</v>
      </c>
      <c r="AB33" s="2565">
        <f t="shared" si="2"/>
        <v>2777777778.7114849</v>
      </c>
      <c r="AC33" s="2563">
        <v>0</v>
      </c>
      <c r="AD33" s="2564">
        <v>315000000</v>
      </c>
      <c r="AE33" s="2565" t="e">
        <f t="shared" si="10"/>
        <v>#DIV/0!</v>
      </c>
      <c r="AF33" s="2563">
        <v>0</v>
      </c>
      <c r="AG33" s="2564">
        <v>352000000</v>
      </c>
      <c r="AH33" s="2565" t="e">
        <f t="shared" si="11"/>
        <v>#DIV/0!</v>
      </c>
      <c r="AI33" s="2563">
        <v>0</v>
      </c>
      <c r="AJ33" s="2564">
        <v>201000000</v>
      </c>
      <c r="AK33" s="2565" t="e">
        <f t="shared" si="17"/>
        <v>#DIV/0!</v>
      </c>
      <c r="AL33" s="2563">
        <v>0</v>
      </c>
      <c r="AM33" s="2564">
        <v>323000000</v>
      </c>
      <c r="AN33" s="2565" t="e">
        <f t="shared" si="12"/>
        <v>#DIV/0!</v>
      </c>
      <c r="AO33" s="2563">
        <v>0</v>
      </c>
      <c r="AP33" s="2566">
        <v>304000000</v>
      </c>
      <c r="AQ33" s="2565" t="e">
        <f t="shared" si="13"/>
        <v>#DIV/0!</v>
      </c>
      <c r="AR33" s="2563">
        <v>0</v>
      </c>
      <c r="AS33" s="2567">
        <v>549000000</v>
      </c>
      <c r="AT33" s="2565" t="e">
        <f t="shared" si="18"/>
        <v>#DIV/0!</v>
      </c>
      <c r="AU33" s="2563">
        <f t="shared" si="19"/>
        <v>3750000000</v>
      </c>
      <c r="AV33" s="115">
        <v>1</v>
      </c>
    </row>
    <row r="34" spans="1:49" s="2540" customFormat="1" ht="77.45" customHeight="1" thickTop="1" thickBot="1">
      <c r="A34" s="3253"/>
      <c r="B34" s="3262" t="s">
        <v>137</v>
      </c>
      <c r="C34" s="1745" t="s">
        <v>1044</v>
      </c>
      <c r="D34" s="623" t="s">
        <v>227</v>
      </c>
      <c r="E34" s="561" t="s">
        <v>139</v>
      </c>
      <c r="F34" s="561" t="s">
        <v>101</v>
      </c>
      <c r="G34" s="679">
        <f>+'[18]FIS-24'!$BU$16</f>
        <v>6099999999.999999</v>
      </c>
      <c r="H34" s="95" t="s">
        <v>140</v>
      </c>
      <c r="I34" s="1692">
        <v>562500000</v>
      </c>
      <c r="J34" s="1693">
        <v>504820403</v>
      </c>
      <c r="K34" s="73">
        <f t="shared" si="5"/>
        <v>0.89745849422222224</v>
      </c>
      <c r="L34" s="1692">
        <v>375000000</v>
      </c>
      <c r="M34" s="1693">
        <v>578577450</v>
      </c>
      <c r="N34" s="73">
        <f t="shared" si="6"/>
        <v>1.5428732000000001</v>
      </c>
      <c r="O34" s="1692">
        <v>562500000</v>
      </c>
      <c r="P34" s="1693">
        <v>345233491</v>
      </c>
      <c r="Q34" s="73">
        <f t="shared" si="7"/>
        <v>0.61374842844444444</v>
      </c>
      <c r="R34" s="1692">
        <v>991666667</v>
      </c>
      <c r="S34" s="1693"/>
      <c r="T34" s="73">
        <f t="shared" si="8"/>
        <v>0</v>
      </c>
      <c r="U34" s="1692">
        <v>991666667</v>
      </c>
      <c r="V34" s="1693"/>
      <c r="W34" s="73">
        <f t="shared" si="9"/>
        <v>0</v>
      </c>
      <c r="X34" s="1692">
        <v>991666667</v>
      </c>
      <c r="Y34" s="2569">
        <v>500882454</v>
      </c>
      <c r="Z34" s="73">
        <f t="shared" si="15"/>
        <v>0.5050915500823222</v>
      </c>
      <c r="AA34" s="2570">
        <f t="shared" si="16"/>
        <v>1929513798</v>
      </c>
      <c r="AB34" s="73">
        <f t="shared" si="2"/>
        <v>0.31631373737704921</v>
      </c>
      <c r="AC34" s="1692">
        <v>991666667</v>
      </c>
      <c r="AD34" s="2569">
        <v>458276034</v>
      </c>
      <c r="AE34" s="73">
        <f t="shared" si="10"/>
        <v>0.46212709295390686</v>
      </c>
      <c r="AF34" s="1692">
        <v>145666666.35999978</v>
      </c>
      <c r="AG34" s="2569">
        <v>643492324</v>
      </c>
      <c r="AH34" s="73">
        <f t="shared" si="11"/>
        <v>4.4175674509477458</v>
      </c>
      <c r="AI34" s="1692">
        <v>145666666.35999978</v>
      </c>
      <c r="AJ34" s="2569">
        <v>5176718800</v>
      </c>
      <c r="AK34" s="73">
        <f t="shared" si="17"/>
        <v>35.538115406624918</v>
      </c>
      <c r="AL34" s="1692">
        <v>145666666.35999978</v>
      </c>
      <c r="AM34" s="1693">
        <v>558321639</v>
      </c>
      <c r="AN34" s="73">
        <f t="shared" si="12"/>
        <v>3.8328716716847699</v>
      </c>
      <c r="AO34" s="1692">
        <v>98166666.459999844</v>
      </c>
      <c r="AP34" s="2570">
        <v>1052047804</v>
      </c>
      <c r="AQ34" s="73">
        <f t="shared" si="13"/>
        <v>10.716955581135883</v>
      </c>
      <c r="AR34" s="1692">
        <v>98166666.459999844</v>
      </c>
      <c r="AS34" s="2555">
        <v>400443925</v>
      </c>
      <c r="AT34" s="73">
        <f t="shared" si="18"/>
        <v>4.0792250510326706</v>
      </c>
      <c r="AU34" s="2563">
        <v>5559767404</v>
      </c>
      <c r="AV34" s="73">
        <f>+AU34/G34</f>
        <v>0.91143727934426244</v>
      </c>
      <c r="AW34" s="2571"/>
    </row>
    <row r="35" spans="1:49" s="2540" customFormat="1" ht="96.75" customHeight="1" thickTop="1" thickBot="1">
      <c r="A35" s="3253"/>
      <c r="B35" s="3263"/>
      <c r="C35" s="23" t="s">
        <v>442</v>
      </c>
      <c r="D35" s="627" t="s">
        <v>1066</v>
      </c>
      <c r="E35" s="25" t="s">
        <v>469</v>
      </c>
      <c r="F35" s="25" t="s">
        <v>24</v>
      </c>
      <c r="G35" s="25">
        <v>115</v>
      </c>
      <c r="H35" s="211" t="s">
        <v>140</v>
      </c>
      <c r="I35" s="2572">
        <v>8.6300000000000008</v>
      </c>
      <c r="J35" s="606">
        <v>16</v>
      </c>
      <c r="K35" s="73">
        <f t="shared" si="5"/>
        <v>1.8539976825028968</v>
      </c>
      <c r="L35" s="2572">
        <v>5.75</v>
      </c>
      <c r="M35" s="606">
        <v>21</v>
      </c>
      <c r="N35" s="73">
        <f t="shared" si="6"/>
        <v>3.652173913043478</v>
      </c>
      <c r="O35" s="2572">
        <v>8.625</v>
      </c>
      <c r="P35" s="606">
        <v>13</v>
      </c>
      <c r="Q35" s="73">
        <f t="shared" si="7"/>
        <v>1.5072463768115942</v>
      </c>
      <c r="R35" s="2572">
        <v>11.5</v>
      </c>
      <c r="S35" s="606">
        <v>3</v>
      </c>
      <c r="T35" s="73">
        <f t="shared" si="8"/>
        <v>0.2608695652173913</v>
      </c>
      <c r="U35" s="2572">
        <v>11.5</v>
      </c>
      <c r="V35" s="606">
        <v>9</v>
      </c>
      <c r="W35" s="73">
        <f t="shared" si="9"/>
        <v>0.78260869565217395</v>
      </c>
      <c r="X35" s="2572">
        <v>11.5</v>
      </c>
      <c r="Y35" s="2573">
        <v>5</v>
      </c>
      <c r="Z35" s="73">
        <f t="shared" si="15"/>
        <v>0.43478260869565216</v>
      </c>
      <c r="AA35" s="2574">
        <f t="shared" si="16"/>
        <v>67</v>
      </c>
      <c r="AB35" s="73">
        <f t="shared" si="2"/>
        <v>0.58260869565217388</v>
      </c>
      <c r="AC35" s="2572">
        <v>11.5</v>
      </c>
      <c r="AD35" s="2575">
        <v>18</v>
      </c>
      <c r="AE35" s="73">
        <f t="shared" si="10"/>
        <v>1.5652173913043479</v>
      </c>
      <c r="AF35" s="2572">
        <v>11.5</v>
      </c>
      <c r="AG35" s="2575">
        <v>12</v>
      </c>
      <c r="AH35" s="73">
        <f t="shared" si="11"/>
        <v>1.0434782608695652</v>
      </c>
      <c r="AI35" s="2572">
        <v>11.5</v>
      </c>
      <c r="AJ35" s="606">
        <v>11</v>
      </c>
      <c r="AK35" s="73">
        <f t="shared" si="17"/>
        <v>0.95652173913043481</v>
      </c>
      <c r="AL35" s="2572">
        <v>8.625</v>
      </c>
      <c r="AM35" s="2575">
        <v>7</v>
      </c>
      <c r="AN35" s="73">
        <f t="shared" si="12"/>
        <v>0.81159420289855078</v>
      </c>
      <c r="AO35" s="2572">
        <v>5.75</v>
      </c>
      <c r="AP35" s="2576">
        <v>0</v>
      </c>
      <c r="AQ35" s="73">
        <f t="shared" si="13"/>
        <v>0</v>
      </c>
      <c r="AR35" s="2572">
        <v>8.625</v>
      </c>
      <c r="AS35" s="2577">
        <v>0.04</v>
      </c>
      <c r="AT35" s="73">
        <f t="shared" si="18"/>
        <v>4.6376811594202897E-3</v>
      </c>
      <c r="AU35" s="605">
        <f t="shared" si="19"/>
        <v>115.04</v>
      </c>
      <c r="AV35" s="73">
        <f>+AU35/G35</f>
        <v>1.0003478260869565</v>
      </c>
    </row>
    <row r="36" spans="1:49" s="2540" customFormat="1" ht="90" customHeight="1" thickTop="1" thickBot="1">
      <c r="A36" s="3253"/>
      <c r="B36" s="3263"/>
      <c r="C36" s="1051" t="s">
        <v>1067</v>
      </c>
      <c r="D36" s="2340" t="s">
        <v>224</v>
      </c>
      <c r="E36" s="1047" t="s">
        <v>421</v>
      </c>
      <c r="F36" s="1047" t="s">
        <v>515</v>
      </c>
      <c r="G36" s="1494">
        <v>1874</v>
      </c>
      <c r="H36" s="1047" t="s">
        <v>226</v>
      </c>
      <c r="I36" s="1116">
        <v>201</v>
      </c>
      <c r="J36" s="1725">
        <v>231</v>
      </c>
      <c r="K36" s="73">
        <f t="shared" si="5"/>
        <v>1.1492537313432836</v>
      </c>
      <c r="L36" s="1116">
        <v>164</v>
      </c>
      <c r="M36" s="1725">
        <v>190</v>
      </c>
      <c r="N36" s="73">
        <f t="shared" si="6"/>
        <v>1.1585365853658536</v>
      </c>
      <c r="O36" s="1116">
        <v>110</v>
      </c>
      <c r="P36" s="1725">
        <v>130</v>
      </c>
      <c r="Q36" s="73">
        <f t="shared" si="7"/>
        <v>1.1818181818181819</v>
      </c>
      <c r="R36" s="1116">
        <v>10</v>
      </c>
      <c r="S36" s="1725">
        <v>14</v>
      </c>
      <c r="T36" s="73">
        <f t="shared" si="8"/>
        <v>1.4</v>
      </c>
      <c r="U36" s="1116">
        <v>94</v>
      </c>
      <c r="V36" s="1725">
        <v>112</v>
      </c>
      <c r="W36" s="73">
        <f t="shared" si="9"/>
        <v>1.1914893617021276</v>
      </c>
      <c r="X36" s="1116">
        <v>106</v>
      </c>
      <c r="Y36" s="2578">
        <v>120</v>
      </c>
      <c r="Z36" s="73">
        <f t="shared" si="15"/>
        <v>1.1320754716981132</v>
      </c>
      <c r="AA36" s="2579">
        <f>+J36+M36+P36+S36+V36+Y36</f>
        <v>797</v>
      </c>
      <c r="AB36" s="73">
        <f t="shared" si="2"/>
        <v>0.42529348986125931</v>
      </c>
      <c r="AC36" s="1116">
        <v>133</v>
      </c>
      <c r="AD36" s="2580">
        <v>211</v>
      </c>
      <c r="AE36" s="73">
        <f t="shared" si="10"/>
        <v>1.5864661654135339</v>
      </c>
      <c r="AF36" s="1116">
        <v>171</v>
      </c>
      <c r="AG36" s="2580">
        <v>267</v>
      </c>
      <c r="AH36" s="73">
        <f t="shared" si="11"/>
        <v>1.5614035087719298</v>
      </c>
      <c r="AI36" s="1116">
        <v>211</v>
      </c>
      <c r="AJ36" s="2580">
        <v>220</v>
      </c>
      <c r="AK36" s="73">
        <f t="shared" si="17"/>
        <v>1.0426540284360191</v>
      </c>
      <c r="AL36" s="1116">
        <v>214</v>
      </c>
      <c r="AM36" s="2580">
        <v>247</v>
      </c>
      <c r="AN36" s="73">
        <f t="shared" si="12"/>
        <v>1.1542056074766356</v>
      </c>
      <c r="AO36" s="1116">
        <v>230</v>
      </c>
      <c r="AP36" s="2578">
        <v>290</v>
      </c>
      <c r="AQ36" s="73">
        <f t="shared" si="13"/>
        <v>1.2608695652173914</v>
      </c>
      <c r="AR36" s="1116">
        <v>230</v>
      </c>
      <c r="AS36" s="2558">
        <v>138</v>
      </c>
      <c r="AT36" s="73">
        <f t="shared" si="18"/>
        <v>0.6</v>
      </c>
      <c r="AU36" s="2581">
        <f t="shared" si="19"/>
        <v>2170</v>
      </c>
      <c r="AV36" s="73">
        <f>+AU36/G36</f>
        <v>1.1579509071504803</v>
      </c>
    </row>
    <row r="37" spans="1:49" s="2540" customFormat="1" ht="22.7" customHeight="1" thickTop="1" thickBot="1">
      <c r="A37" s="3264" t="s">
        <v>141</v>
      </c>
      <c r="B37" s="3264"/>
      <c r="C37" s="3264"/>
      <c r="D37" s="3264"/>
      <c r="E37" s="3264"/>
      <c r="F37" s="3264"/>
      <c r="G37" s="3264"/>
      <c r="H37" s="3264"/>
      <c r="I37" s="2582"/>
      <c r="J37" s="2583"/>
      <c r="K37" s="2583"/>
      <c r="L37" s="2583"/>
      <c r="M37" s="2583"/>
      <c r="N37" s="2583"/>
      <c r="O37" s="2583"/>
      <c r="P37" s="2583"/>
      <c r="Q37" s="2583"/>
      <c r="R37" s="2583"/>
      <c r="S37" s="2583"/>
      <c r="T37" s="2583"/>
      <c r="U37" s="2583"/>
      <c r="V37" s="2583"/>
      <c r="W37" s="2583"/>
      <c r="X37" s="2583"/>
      <c r="Y37" s="2583"/>
      <c r="Z37" s="2583"/>
      <c r="AA37" s="2583"/>
      <c r="AB37" s="2583"/>
      <c r="AC37" s="2583"/>
      <c r="AD37" s="2583"/>
      <c r="AE37" s="2583"/>
      <c r="AF37" s="2583"/>
      <c r="AG37" s="2583"/>
      <c r="AH37" s="2583"/>
      <c r="AI37" s="2583"/>
      <c r="AJ37" s="2583"/>
      <c r="AK37" s="2583"/>
      <c r="AL37" s="2583"/>
      <c r="AM37" s="2583"/>
      <c r="AN37" s="2583"/>
      <c r="AO37" s="2583"/>
      <c r="AP37" s="2583"/>
      <c r="AQ37" s="2583"/>
      <c r="AR37" s="2583"/>
      <c r="AS37" s="2583"/>
      <c r="AT37" s="2583"/>
      <c r="AU37" s="2583"/>
      <c r="AV37" s="2584"/>
    </row>
    <row r="38" spans="1:49" s="2540" customFormat="1" ht="129.75" customHeight="1" thickTop="1" thickBot="1">
      <c r="A38" s="3264" t="s">
        <v>142</v>
      </c>
      <c r="B38" s="3200" t="s">
        <v>143</v>
      </c>
      <c r="C38" s="878" t="s">
        <v>735</v>
      </c>
      <c r="D38" s="627" t="s">
        <v>144</v>
      </c>
      <c r="E38" s="25" t="s">
        <v>145</v>
      </c>
      <c r="F38" s="25" t="s">
        <v>17</v>
      </c>
      <c r="G38" s="2585">
        <v>320</v>
      </c>
      <c r="H38" s="25" t="s">
        <v>146</v>
      </c>
      <c r="I38" s="605">
        <v>0</v>
      </c>
      <c r="J38" s="606">
        <v>0</v>
      </c>
      <c r="K38" s="73" t="e">
        <f t="shared" si="5"/>
        <v>#DIV/0!</v>
      </c>
      <c r="L38" s="605">
        <v>0</v>
      </c>
      <c r="M38" s="606">
        <v>0</v>
      </c>
      <c r="N38" s="73" t="e">
        <f t="shared" si="6"/>
        <v>#DIV/0!</v>
      </c>
      <c r="O38" s="605">
        <v>90</v>
      </c>
      <c r="P38" s="606">
        <v>99</v>
      </c>
      <c r="Q38" s="73">
        <f t="shared" si="7"/>
        <v>1.1000000000000001</v>
      </c>
      <c r="R38" s="605">
        <v>0</v>
      </c>
      <c r="S38" s="606">
        <v>0</v>
      </c>
      <c r="T38" s="73" t="e">
        <f t="shared" si="8"/>
        <v>#DIV/0!</v>
      </c>
      <c r="U38" s="605">
        <v>0</v>
      </c>
      <c r="V38" s="606">
        <v>0</v>
      </c>
      <c r="W38" s="73" t="e">
        <f t="shared" si="9"/>
        <v>#DIV/0!</v>
      </c>
      <c r="X38" s="605">
        <v>0</v>
      </c>
      <c r="Y38" s="606">
        <v>0</v>
      </c>
      <c r="Z38" s="73" t="e">
        <f t="shared" si="15"/>
        <v>#DIV/0!</v>
      </c>
      <c r="AA38" s="606">
        <f t="shared" si="16"/>
        <v>99</v>
      </c>
      <c r="AB38" s="73">
        <f>AA38/G38</f>
        <v>0.30937500000000001</v>
      </c>
      <c r="AC38" s="605">
        <v>0</v>
      </c>
      <c r="AD38" s="606">
        <v>0</v>
      </c>
      <c r="AE38" s="73" t="e">
        <f t="shared" si="10"/>
        <v>#DIV/0!</v>
      </c>
      <c r="AF38" s="605">
        <v>106</v>
      </c>
      <c r="AG38" s="606">
        <v>96</v>
      </c>
      <c r="AH38" s="73">
        <f t="shared" si="11"/>
        <v>0.90566037735849059</v>
      </c>
      <c r="AI38" s="605">
        <v>0</v>
      </c>
      <c r="AJ38" s="606">
        <v>0</v>
      </c>
      <c r="AK38" s="73" t="e">
        <f t="shared" si="17"/>
        <v>#DIV/0!</v>
      </c>
      <c r="AL38" s="605">
        <v>0</v>
      </c>
      <c r="AM38" s="606">
        <v>0</v>
      </c>
      <c r="AN38" s="73" t="e">
        <f t="shared" si="12"/>
        <v>#DIV/0!</v>
      </c>
      <c r="AO38" s="605">
        <v>0</v>
      </c>
      <c r="AP38" s="606">
        <v>0</v>
      </c>
      <c r="AQ38" s="73" t="e">
        <f t="shared" si="13"/>
        <v>#DIV/0!</v>
      </c>
      <c r="AR38" s="605">
        <v>124</v>
      </c>
      <c r="AS38" s="2586">
        <v>266</v>
      </c>
      <c r="AT38" s="73">
        <f t="shared" si="18"/>
        <v>2.1451612903225805</v>
      </c>
      <c r="AU38" s="605">
        <f t="shared" si="19"/>
        <v>461</v>
      </c>
      <c r="AV38" s="73">
        <f>+AU38/G38</f>
        <v>1.440625</v>
      </c>
    </row>
    <row r="39" spans="1:49" s="2540" customFormat="1" ht="97.15" customHeight="1" thickTop="1" thickBot="1">
      <c r="A39" s="3264"/>
      <c r="B39" s="3200"/>
      <c r="C39" s="881" t="s">
        <v>147</v>
      </c>
      <c r="D39" s="623" t="s">
        <v>148</v>
      </c>
      <c r="E39" s="561" t="s">
        <v>1068</v>
      </c>
      <c r="F39" s="561" t="s">
        <v>8</v>
      </c>
      <c r="G39" s="85">
        <v>10.199999999999999</v>
      </c>
      <c r="H39" s="561" t="s">
        <v>9</v>
      </c>
      <c r="I39" s="1116">
        <v>10.199999999999999</v>
      </c>
      <c r="J39" s="1725">
        <v>10</v>
      </c>
      <c r="K39" s="73">
        <f>+I39/J39</f>
        <v>1.02</v>
      </c>
      <c r="L39" s="1116">
        <v>10.199999999999999</v>
      </c>
      <c r="M39" s="1725">
        <v>3.18</v>
      </c>
      <c r="N39" s="73">
        <f>+L39/M39</f>
        <v>3.2075471698113205</v>
      </c>
      <c r="O39" s="1116">
        <v>10.199999999999999</v>
      </c>
      <c r="P39" s="1725">
        <v>0</v>
      </c>
      <c r="Q39" s="73" t="e">
        <f>+O39/P39</f>
        <v>#DIV/0!</v>
      </c>
      <c r="R39" s="1116">
        <v>10.199999999999999</v>
      </c>
      <c r="S39" s="1725">
        <v>0</v>
      </c>
      <c r="T39" s="73" t="e">
        <f>+R39/S39</f>
        <v>#DIV/0!</v>
      </c>
      <c r="U39" s="1116">
        <v>10.199999999999999</v>
      </c>
      <c r="V39" s="1725">
        <v>0</v>
      </c>
      <c r="W39" s="73" t="e">
        <f>+U39/V39</f>
        <v>#DIV/0!</v>
      </c>
      <c r="X39" s="1116">
        <v>10.199999999999999</v>
      </c>
      <c r="Y39" s="1725">
        <v>0</v>
      </c>
      <c r="Z39" s="73" t="e">
        <f>+X39/Y39</f>
        <v>#DIV/0!</v>
      </c>
      <c r="AA39" s="1725">
        <f>(+J39+M39+P39+S39+V39+Y39)/6</f>
        <v>2.1966666666666668</v>
      </c>
      <c r="AB39" s="73">
        <f>G39/AA39</f>
        <v>4.6433990895295896</v>
      </c>
      <c r="AC39" s="1116">
        <v>10.199999999999999</v>
      </c>
      <c r="AD39" s="1725">
        <v>10.5</v>
      </c>
      <c r="AE39" s="73">
        <f>+AC39/AD39</f>
        <v>0.97142857142857131</v>
      </c>
      <c r="AF39" s="1116">
        <v>10.199999999999999</v>
      </c>
      <c r="AG39" s="1725">
        <v>0</v>
      </c>
      <c r="AH39" s="73" t="e">
        <f>+AF39/AG39</f>
        <v>#DIV/0!</v>
      </c>
      <c r="AI39" s="1116">
        <v>10.199999999999999</v>
      </c>
      <c r="AJ39" s="1725">
        <v>0</v>
      </c>
      <c r="AK39" s="73" t="e">
        <f>+AI39/AJ39</f>
        <v>#DIV/0!</v>
      </c>
      <c r="AL39" s="1116">
        <v>10.199999999999999</v>
      </c>
      <c r="AM39" s="1725">
        <v>0</v>
      </c>
      <c r="AN39" s="73" t="e">
        <f>+AL39/AM39</f>
        <v>#DIV/0!</v>
      </c>
      <c r="AO39" s="1116">
        <v>10.199999999999999</v>
      </c>
      <c r="AP39" s="1725">
        <v>0</v>
      </c>
      <c r="AQ39" s="73" t="e">
        <f>+AO39/AP39</f>
        <v>#DIV/0!</v>
      </c>
      <c r="AR39" s="1116">
        <v>10.199999999999999</v>
      </c>
      <c r="AS39" s="1725">
        <v>0</v>
      </c>
      <c r="AT39" s="73" t="e">
        <f>+AR39/AS39</f>
        <v>#DIV/0!</v>
      </c>
      <c r="AU39" s="1116">
        <f t="shared" si="19"/>
        <v>23.68</v>
      </c>
      <c r="AV39" s="73">
        <f>+G39/AU39</f>
        <v>0.4307432432432432</v>
      </c>
    </row>
    <row r="40" spans="1:49" s="2540" customFormat="1" ht="97.15" customHeight="1" thickTop="1" thickBot="1">
      <c r="A40" s="3264"/>
      <c r="B40" s="3200"/>
      <c r="C40" s="3008" t="s">
        <v>293</v>
      </c>
      <c r="D40" s="627" t="s">
        <v>261</v>
      </c>
      <c r="E40" s="25" t="s">
        <v>262</v>
      </c>
      <c r="F40" s="25" t="s">
        <v>10</v>
      </c>
      <c r="G40" s="43">
        <v>0.03</v>
      </c>
      <c r="H40" s="25" t="s">
        <v>226</v>
      </c>
      <c r="I40" s="655">
        <v>0</v>
      </c>
      <c r="J40" s="45"/>
      <c r="K40" s="73" t="e">
        <f t="shared" si="5"/>
        <v>#DIV/0!</v>
      </c>
      <c r="L40" s="655">
        <v>0</v>
      </c>
      <c r="M40" s="45"/>
      <c r="N40" s="73" t="e">
        <f t="shared" si="6"/>
        <v>#DIV/0!</v>
      </c>
      <c r="O40" s="655">
        <v>0</v>
      </c>
      <c r="P40" s="45"/>
      <c r="Q40" s="73" t="e">
        <f t="shared" si="7"/>
        <v>#DIV/0!</v>
      </c>
      <c r="R40" s="655">
        <v>0</v>
      </c>
      <c r="S40" s="45"/>
      <c r="T40" s="73" t="e">
        <f t="shared" si="8"/>
        <v>#DIV/0!</v>
      </c>
      <c r="U40" s="655">
        <v>0</v>
      </c>
      <c r="V40" s="45"/>
      <c r="W40" s="73" t="e">
        <f t="shared" si="9"/>
        <v>#DIV/0!</v>
      </c>
      <c r="X40" s="655">
        <v>0</v>
      </c>
      <c r="Y40" s="45"/>
      <c r="Z40" s="73" t="e">
        <f t="shared" si="15"/>
        <v>#DIV/0!</v>
      </c>
      <c r="AA40" s="45">
        <f t="shared" si="16"/>
        <v>0</v>
      </c>
      <c r="AB40" s="73">
        <f>AA40/G40</f>
        <v>0</v>
      </c>
      <c r="AC40" s="655">
        <v>0</v>
      </c>
      <c r="AD40" s="45"/>
      <c r="AE40" s="73" t="e">
        <f t="shared" si="10"/>
        <v>#DIV/0!</v>
      </c>
      <c r="AF40" s="655">
        <v>0</v>
      </c>
      <c r="AG40" s="45"/>
      <c r="AH40" s="73" t="e">
        <f t="shared" si="11"/>
        <v>#DIV/0!</v>
      </c>
      <c r="AI40" s="655">
        <v>0</v>
      </c>
      <c r="AJ40" s="45"/>
      <c r="AK40" s="73" t="e">
        <f t="shared" si="17"/>
        <v>#DIV/0!</v>
      </c>
      <c r="AL40" s="655">
        <v>0</v>
      </c>
      <c r="AM40" s="45"/>
      <c r="AN40" s="73" t="e">
        <f t="shared" si="12"/>
        <v>#DIV/0!</v>
      </c>
      <c r="AO40" s="655">
        <v>0</v>
      </c>
      <c r="AP40" s="45"/>
      <c r="AQ40" s="73" t="e">
        <f t="shared" si="13"/>
        <v>#DIV/0!</v>
      </c>
      <c r="AR40" s="655">
        <v>0.03</v>
      </c>
      <c r="AS40" s="45"/>
      <c r="AT40" s="73">
        <f t="shared" si="18"/>
        <v>0</v>
      </c>
      <c r="AU40" s="655">
        <f t="shared" si="19"/>
        <v>0</v>
      </c>
      <c r="AV40" s="73"/>
    </row>
    <row r="41" spans="1:49" s="2540" customFormat="1" ht="97.15" customHeight="1" thickTop="1" thickBot="1">
      <c r="A41" s="3264"/>
      <c r="B41" s="3200"/>
      <c r="C41" s="3008"/>
      <c r="D41" s="627" t="s">
        <v>263</v>
      </c>
      <c r="E41" s="25" t="s">
        <v>264</v>
      </c>
      <c r="F41" s="25" t="s">
        <v>10</v>
      </c>
      <c r="G41" s="43">
        <v>1</v>
      </c>
      <c r="H41" s="25" t="s">
        <v>226</v>
      </c>
      <c r="I41" s="655">
        <v>0</v>
      </c>
      <c r="J41" s="45"/>
      <c r="K41" s="73" t="e">
        <f t="shared" si="5"/>
        <v>#DIV/0!</v>
      </c>
      <c r="L41" s="655">
        <v>0</v>
      </c>
      <c r="M41" s="45">
        <v>0</v>
      </c>
      <c r="N41" s="73" t="e">
        <f t="shared" si="6"/>
        <v>#DIV/0!</v>
      </c>
      <c r="O41" s="655">
        <v>0</v>
      </c>
      <c r="P41" s="45">
        <v>0</v>
      </c>
      <c r="Q41" s="73" t="e">
        <f t="shared" si="7"/>
        <v>#DIV/0!</v>
      </c>
      <c r="R41" s="655">
        <v>0</v>
      </c>
      <c r="S41" s="45">
        <v>0</v>
      </c>
      <c r="T41" s="73" t="e">
        <f t="shared" si="8"/>
        <v>#DIV/0!</v>
      </c>
      <c r="U41" s="655">
        <v>0</v>
      </c>
      <c r="V41" s="45">
        <v>0</v>
      </c>
      <c r="W41" s="73" t="e">
        <f t="shared" si="9"/>
        <v>#DIV/0!</v>
      </c>
      <c r="X41" s="655">
        <v>0</v>
      </c>
      <c r="Y41" s="45">
        <v>0</v>
      </c>
      <c r="Z41" s="73" t="e">
        <f t="shared" si="15"/>
        <v>#DIV/0!</v>
      </c>
      <c r="AA41" s="45">
        <f t="shared" si="16"/>
        <v>0</v>
      </c>
      <c r="AB41" s="73">
        <f>AA41/G41</f>
        <v>0</v>
      </c>
      <c r="AC41" s="655">
        <v>0</v>
      </c>
      <c r="AD41" s="45">
        <v>0</v>
      </c>
      <c r="AE41" s="73" t="e">
        <f t="shared" si="10"/>
        <v>#DIV/0!</v>
      </c>
      <c r="AF41" s="655">
        <v>0</v>
      </c>
      <c r="AG41" s="45">
        <v>0</v>
      </c>
      <c r="AH41" s="73" t="e">
        <f t="shared" si="11"/>
        <v>#DIV/0!</v>
      </c>
      <c r="AI41" s="655">
        <v>0.5</v>
      </c>
      <c r="AJ41" s="45">
        <v>0</v>
      </c>
      <c r="AK41" s="73">
        <f t="shared" si="17"/>
        <v>0</v>
      </c>
      <c r="AL41" s="655">
        <v>0</v>
      </c>
      <c r="AM41" s="45">
        <v>0</v>
      </c>
      <c r="AN41" s="73" t="e">
        <f t="shared" si="12"/>
        <v>#DIV/0!</v>
      </c>
      <c r="AO41" s="655">
        <v>0</v>
      </c>
      <c r="AP41" s="45">
        <v>0</v>
      </c>
      <c r="AQ41" s="73" t="e">
        <f t="shared" si="13"/>
        <v>#DIV/0!</v>
      </c>
      <c r="AR41" s="655">
        <v>0.5</v>
      </c>
      <c r="AS41" s="45">
        <v>1</v>
      </c>
      <c r="AT41" s="73">
        <f t="shared" si="18"/>
        <v>2</v>
      </c>
      <c r="AU41" s="655">
        <f>+AS41+AJ41</f>
        <v>1</v>
      </c>
      <c r="AV41" s="73">
        <f>+AU41/G41</f>
        <v>1</v>
      </c>
    </row>
    <row r="42" spans="1:49" s="2540" customFormat="1" ht="97.15" customHeight="1" thickTop="1" thickBot="1">
      <c r="A42" s="3264"/>
      <c r="B42" s="2587" t="s">
        <v>1069</v>
      </c>
      <c r="C42" s="881" t="s">
        <v>379</v>
      </c>
      <c r="D42" s="623" t="s">
        <v>319</v>
      </c>
      <c r="E42" s="561" t="s">
        <v>339</v>
      </c>
      <c r="F42" s="561" t="s">
        <v>17</v>
      </c>
      <c r="G42" s="2588">
        <v>37</v>
      </c>
      <c r="H42" s="561" t="s">
        <v>21</v>
      </c>
      <c r="I42" s="1116">
        <v>0</v>
      </c>
      <c r="J42" s="1725">
        <v>0</v>
      </c>
      <c r="K42" s="73" t="e">
        <f>+I42/J42</f>
        <v>#DIV/0!</v>
      </c>
      <c r="L42" s="1116">
        <v>0</v>
      </c>
      <c r="M42" s="2589">
        <v>42</v>
      </c>
      <c r="N42" s="73">
        <f>+L42/M42</f>
        <v>0</v>
      </c>
      <c r="O42" s="402">
        <v>37</v>
      </c>
      <c r="P42" s="2589">
        <v>32</v>
      </c>
      <c r="Q42" s="73">
        <f>+O42/P42</f>
        <v>1.15625</v>
      </c>
      <c r="R42" s="402">
        <v>37</v>
      </c>
      <c r="S42" s="2589">
        <v>30</v>
      </c>
      <c r="T42" s="73">
        <f>+R42/S42</f>
        <v>1.2333333333333334</v>
      </c>
      <c r="U42" s="402">
        <v>37</v>
      </c>
      <c r="V42" s="2589">
        <v>12</v>
      </c>
      <c r="W42" s="73">
        <f>+U42/V42</f>
        <v>3.0833333333333335</v>
      </c>
      <c r="X42" s="402">
        <v>37</v>
      </c>
      <c r="Y42" s="2589">
        <v>13</v>
      </c>
      <c r="Z42" s="73">
        <f>+X42/Y42</f>
        <v>2.8461538461538463</v>
      </c>
      <c r="AA42" s="1725">
        <f t="shared" si="16"/>
        <v>129</v>
      </c>
      <c r="AB42" s="73">
        <f>G42/AA42</f>
        <v>0.2868217054263566</v>
      </c>
      <c r="AC42" s="402">
        <v>37</v>
      </c>
      <c r="AD42" s="2589">
        <v>13</v>
      </c>
      <c r="AE42" s="73">
        <f>+AC42/AD42</f>
        <v>2.8461538461538463</v>
      </c>
      <c r="AF42" s="402">
        <v>37</v>
      </c>
      <c r="AG42" s="2589">
        <v>25</v>
      </c>
      <c r="AH42" s="73">
        <f>+AF42/AG42</f>
        <v>1.48</v>
      </c>
      <c r="AI42" s="402">
        <v>37</v>
      </c>
      <c r="AJ42" s="2589">
        <v>40</v>
      </c>
      <c r="AK42" s="73">
        <f>+AI42/AJ42</f>
        <v>0.92500000000000004</v>
      </c>
      <c r="AL42" s="402">
        <v>37</v>
      </c>
      <c r="AM42" s="2589">
        <v>45</v>
      </c>
      <c r="AN42" s="73">
        <f>+AL42/AM42</f>
        <v>0.82222222222222219</v>
      </c>
      <c r="AO42" s="402">
        <v>37</v>
      </c>
      <c r="AP42" s="2589">
        <v>37</v>
      </c>
      <c r="AQ42" s="73">
        <f>+AO42/AP42</f>
        <v>1</v>
      </c>
      <c r="AR42" s="402">
        <v>37</v>
      </c>
      <c r="AS42" s="2590">
        <v>36</v>
      </c>
      <c r="AT42" s="73">
        <f>+AR42/AS42</f>
        <v>1.0277777777777777</v>
      </c>
      <c r="AU42" s="402">
        <f>32.5</f>
        <v>32.5</v>
      </c>
      <c r="AV42" s="73">
        <f>+AU42/G42</f>
        <v>0.8783783783783784</v>
      </c>
    </row>
    <row r="43" spans="1:49" s="2540" customFormat="1" ht="22.7" customHeight="1" thickTop="1" thickBot="1">
      <c r="A43" s="3250" t="s">
        <v>154</v>
      </c>
      <c r="B43" s="3250"/>
      <c r="C43" s="3250"/>
      <c r="D43" s="3250"/>
      <c r="E43" s="3250"/>
      <c r="F43" s="3250"/>
      <c r="G43" s="3250"/>
      <c r="H43" s="3250"/>
      <c r="I43" s="2591"/>
      <c r="J43" s="2592"/>
      <c r="K43" s="2593"/>
      <c r="L43" s="2592"/>
      <c r="M43" s="2592"/>
      <c r="N43" s="2593"/>
      <c r="O43" s="2592"/>
      <c r="P43" s="2592"/>
      <c r="Q43" s="2593"/>
      <c r="R43" s="2592"/>
      <c r="S43" s="2592"/>
      <c r="T43" s="2593"/>
      <c r="U43" s="2592"/>
      <c r="V43" s="2592"/>
      <c r="W43" s="2593"/>
      <c r="X43" s="2592"/>
      <c r="Y43" s="2592"/>
      <c r="Z43" s="2592"/>
      <c r="AA43" s="2592"/>
      <c r="AB43" s="2593"/>
      <c r="AC43" s="2592"/>
      <c r="AD43" s="2592"/>
      <c r="AE43" s="2593"/>
      <c r="AF43" s="2592"/>
      <c r="AG43" s="2592"/>
      <c r="AH43" s="2593"/>
      <c r="AI43" s="2592"/>
      <c r="AJ43" s="2592"/>
      <c r="AK43" s="2593"/>
      <c r="AL43" s="2592"/>
      <c r="AM43" s="2592"/>
      <c r="AN43" s="2593"/>
      <c r="AO43" s="2592"/>
      <c r="AP43" s="2592"/>
      <c r="AQ43" s="2593"/>
      <c r="AR43" s="2592"/>
      <c r="AS43" s="2592"/>
      <c r="AT43" s="2593"/>
      <c r="AU43" s="2592"/>
      <c r="AV43" s="2594"/>
    </row>
    <row r="44" spans="1:49" s="2542" customFormat="1" ht="97.15" customHeight="1" thickTop="1" thickBot="1">
      <c r="A44" s="2595" t="s">
        <v>155</v>
      </c>
      <c r="B44" s="2596" t="s">
        <v>156</v>
      </c>
      <c r="C44" s="636" t="s">
        <v>184</v>
      </c>
      <c r="D44" s="2316" t="s">
        <v>158</v>
      </c>
      <c r="E44" s="636" t="s">
        <v>159</v>
      </c>
      <c r="F44" s="636" t="s">
        <v>17</v>
      </c>
      <c r="G44" s="636">
        <v>10</v>
      </c>
      <c r="H44" s="636" t="s">
        <v>27</v>
      </c>
      <c r="I44" s="636">
        <v>0</v>
      </c>
      <c r="J44" s="736"/>
      <c r="K44" s="73" t="e">
        <f t="shared" si="5"/>
        <v>#DIV/0!</v>
      </c>
      <c r="L44" s="636">
        <v>0</v>
      </c>
      <c r="M44" s="736"/>
      <c r="N44" s="73" t="e">
        <f t="shared" si="6"/>
        <v>#DIV/0!</v>
      </c>
      <c r="O44" s="636">
        <v>0</v>
      </c>
      <c r="P44" s="736"/>
      <c r="Q44" s="73" t="e">
        <f t="shared" si="7"/>
        <v>#DIV/0!</v>
      </c>
      <c r="R44" s="636">
        <v>0</v>
      </c>
      <c r="S44" s="736"/>
      <c r="T44" s="73" t="e">
        <f t="shared" si="8"/>
        <v>#DIV/0!</v>
      </c>
      <c r="U44" s="636">
        <v>2</v>
      </c>
      <c r="V44" s="736">
        <v>2</v>
      </c>
      <c r="W44" s="73">
        <f t="shared" si="9"/>
        <v>1</v>
      </c>
      <c r="X44" s="636">
        <v>0</v>
      </c>
      <c r="Y44" s="736"/>
      <c r="Z44" s="73" t="e">
        <f t="shared" si="15"/>
        <v>#DIV/0!</v>
      </c>
      <c r="AA44" s="736">
        <f t="shared" si="16"/>
        <v>2</v>
      </c>
      <c r="AB44" s="73">
        <f>AA44/G44</f>
        <v>0.2</v>
      </c>
      <c r="AC44" s="636">
        <v>1</v>
      </c>
      <c r="AD44" s="736">
        <v>1</v>
      </c>
      <c r="AE44" s="73">
        <f t="shared" si="10"/>
        <v>1</v>
      </c>
      <c r="AF44" s="636">
        <v>3</v>
      </c>
      <c r="AG44" s="736">
        <v>3</v>
      </c>
      <c r="AH44" s="73">
        <f t="shared" si="11"/>
        <v>1</v>
      </c>
      <c r="AI44" s="636">
        <v>1</v>
      </c>
      <c r="AJ44" s="736">
        <v>1</v>
      </c>
      <c r="AK44" s="73">
        <f t="shared" si="17"/>
        <v>1</v>
      </c>
      <c r="AL44" s="636">
        <v>3</v>
      </c>
      <c r="AM44" s="736">
        <v>3</v>
      </c>
      <c r="AN44" s="73">
        <f t="shared" si="12"/>
        <v>1</v>
      </c>
      <c r="AO44" s="636">
        <v>0</v>
      </c>
      <c r="AP44" s="736"/>
      <c r="AQ44" s="73" t="e">
        <f t="shared" si="13"/>
        <v>#DIV/0!</v>
      </c>
      <c r="AR44" s="636">
        <v>0</v>
      </c>
      <c r="AS44" s="736"/>
      <c r="AT44" s="73" t="e">
        <f t="shared" ref="AT44" si="22">+AS44/AR44</f>
        <v>#DIV/0!</v>
      </c>
      <c r="AU44" s="1116">
        <f>+AM44+AJ44+AG44+AD44+V44</f>
        <v>10</v>
      </c>
      <c r="AV44" s="73">
        <f>+AU44/G44</f>
        <v>1</v>
      </c>
    </row>
    <row r="45" spans="1:49" ht="15.75" thickTop="1"/>
  </sheetData>
  <sheetProtection algorithmName="SHA-512" hashValue="PyVhUqNr8/3PsI9KPqzut5vLldLgK/ZpgfEBMev2dCoOFBiKIPhF4jSSY3WogeOewQEmeA0xe4rlRj1GARHqug==" saltValue="Oip58GhbbbYu43w71xPkWw==" spinCount="100000" sheet="1" objects="1" scenarios="1"/>
  <mergeCells count="38">
    <mergeCell ref="B34:B36"/>
    <mergeCell ref="A37:H37"/>
    <mergeCell ref="A38:A42"/>
    <mergeCell ref="B38:B41"/>
    <mergeCell ref="C40:C41"/>
    <mergeCell ref="A43:H43"/>
    <mergeCell ref="AO5:AQ7"/>
    <mergeCell ref="AR5:AT7"/>
    <mergeCell ref="AU5:AV7"/>
    <mergeCell ref="A8:H8"/>
    <mergeCell ref="A9:A36"/>
    <mergeCell ref="B9:B10"/>
    <mergeCell ref="B11:B33"/>
    <mergeCell ref="C12:C18"/>
    <mergeCell ref="C22:C24"/>
    <mergeCell ref="C26:C32"/>
    <mergeCell ref="X5:Z7"/>
    <mergeCell ref="AA5:AB7"/>
    <mergeCell ref="AC5:AE7"/>
    <mergeCell ref="AF5:AH7"/>
    <mergeCell ref="AI5:AK7"/>
    <mergeCell ref="AL5:AN7"/>
    <mergeCell ref="H5:H7"/>
    <mergeCell ref="I5:K7"/>
    <mergeCell ref="L5:N7"/>
    <mergeCell ref="O5:Q7"/>
    <mergeCell ref="R5:T7"/>
    <mergeCell ref="U5:W7"/>
    <mergeCell ref="C1:H1"/>
    <mergeCell ref="C2:H2"/>
    <mergeCell ref="C3:H3"/>
    <mergeCell ref="A5:A7"/>
    <mergeCell ref="B5:B7"/>
    <mergeCell ref="C5:C7"/>
    <mergeCell ref="D5:D7"/>
    <mergeCell ref="E5:E7"/>
    <mergeCell ref="F5:F7"/>
    <mergeCell ref="G5:G7"/>
  </mergeCells>
  <conditionalFormatting sqref="K38:K42 K44 K9:K36">
    <cfRule type="cellIs" dxfId="1649" priority="66" operator="greaterThan">
      <formula>110%</formula>
    </cfRule>
    <cfRule type="cellIs" dxfId="1648" priority="67" operator="between">
      <formula>100.001%</formula>
      <formula>110%</formula>
    </cfRule>
    <cfRule type="cellIs" dxfId="1647" priority="68" operator="between">
      <formula>70.001%</formula>
      <formula>100%</formula>
    </cfRule>
    <cfRule type="cellIs" dxfId="1646" priority="69" operator="between">
      <formula>0.00001%</formula>
      <formula>70%</formula>
    </cfRule>
    <cfRule type="cellIs" dxfId="1645" priority="70" operator="equal">
      <formula>0</formula>
    </cfRule>
  </conditionalFormatting>
  <conditionalFormatting sqref="N38:N42 N44 N9:N36">
    <cfRule type="cellIs" dxfId="1644" priority="61" operator="greaterThan">
      <formula>110%</formula>
    </cfRule>
    <cfRule type="cellIs" dxfId="1643" priority="62" operator="between">
      <formula>100.001%</formula>
      <formula>110%</formula>
    </cfRule>
    <cfRule type="cellIs" dxfId="1642" priority="63" operator="between">
      <formula>70.001%</formula>
      <formula>100%</formula>
    </cfRule>
    <cfRule type="cellIs" dxfId="1641" priority="64" operator="between">
      <formula>0.00001%</formula>
      <formula>70%</formula>
    </cfRule>
    <cfRule type="cellIs" dxfId="1640" priority="65" operator="equal">
      <formula>0</formula>
    </cfRule>
  </conditionalFormatting>
  <conditionalFormatting sqref="Q38:Q42 Q44 Q9:Q36">
    <cfRule type="cellIs" dxfId="1639" priority="56" operator="greaterThan">
      <formula>110%</formula>
    </cfRule>
    <cfRule type="cellIs" dxfId="1638" priority="57" operator="between">
      <formula>100.001%</formula>
      <formula>110%</formula>
    </cfRule>
    <cfRule type="cellIs" dxfId="1637" priority="58" operator="between">
      <formula>70.001%</formula>
      <formula>100%</formula>
    </cfRule>
    <cfRule type="cellIs" dxfId="1636" priority="59" operator="between">
      <formula>0.00001%</formula>
      <formula>70%</formula>
    </cfRule>
    <cfRule type="cellIs" dxfId="1635" priority="60" operator="equal">
      <formula>0</formula>
    </cfRule>
  </conditionalFormatting>
  <conditionalFormatting sqref="T38:T42 T44 T9:T36">
    <cfRule type="cellIs" dxfId="1634" priority="51" operator="greaterThan">
      <formula>110%</formula>
    </cfRule>
    <cfRule type="cellIs" dxfId="1633" priority="52" operator="between">
      <formula>100.001%</formula>
      <formula>110%</formula>
    </cfRule>
    <cfRule type="cellIs" dxfId="1632" priority="53" operator="between">
      <formula>70.001%</formula>
      <formula>100%</formula>
    </cfRule>
    <cfRule type="cellIs" dxfId="1631" priority="54" operator="between">
      <formula>0.00001%</formula>
      <formula>70%</formula>
    </cfRule>
    <cfRule type="cellIs" dxfId="1630" priority="55" operator="equal">
      <formula>0</formula>
    </cfRule>
  </conditionalFormatting>
  <conditionalFormatting sqref="W38:W42 W44 W9:W36">
    <cfRule type="cellIs" dxfId="1629" priority="46" operator="greaterThan">
      <formula>110%</formula>
    </cfRule>
    <cfRule type="cellIs" dxfId="1628" priority="47" operator="between">
      <formula>100.001%</formula>
      <formula>110%</formula>
    </cfRule>
    <cfRule type="cellIs" dxfId="1627" priority="48" operator="between">
      <formula>70.001%</formula>
      <formula>100%</formula>
    </cfRule>
    <cfRule type="cellIs" dxfId="1626" priority="49" operator="between">
      <formula>0.00001%</formula>
      <formula>70%</formula>
    </cfRule>
    <cfRule type="cellIs" dxfId="1625" priority="50" operator="equal">
      <formula>0</formula>
    </cfRule>
  </conditionalFormatting>
  <conditionalFormatting sqref="Z38:Z42 Z44 Z9:Z36">
    <cfRule type="cellIs" dxfId="1624" priority="41" operator="greaterThan">
      <formula>110%</formula>
    </cfRule>
    <cfRule type="cellIs" dxfId="1623" priority="42" operator="between">
      <formula>100.001%</formula>
      <formula>110%</formula>
    </cfRule>
    <cfRule type="cellIs" dxfId="1622" priority="43" operator="between">
      <formula>70.001%</formula>
      <formula>100%</formula>
    </cfRule>
    <cfRule type="cellIs" dxfId="1621" priority="44" operator="between">
      <formula>0.00001%</formula>
      <formula>70%</formula>
    </cfRule>
    <cfRule type="cellIs" dxfId="1620" priority="45" operator="equal">
      <formula>0</formula>
    </cfRule>
  </conditionalFormatting>
  <conditionalFormatting sqref="AE38:AE42 AE44 AE9:AE36">
    <cfRule type="cellIs" dxfId="1619" priority="36" operator="greaterThan">
      <formula>110%</formula>
    </cfRule>
    <cfRule type="cellIs" dxfId="1618" priority="37" operator="between">
      <formula>100.001%</formula>
      <formula>110%</formula>
    </cfRule>
    <cfRule type="cellIs" dxfId="1617" priority="38" operator="between">
      <formula>70.001%</formula>
      <formula>100%</formula>
    </cfRule>
    <cfRule type="cellIs" dxfId="1616" priority="39" operator="between">
      <formula>0.00001%</formula>
      <formula>70%</formula>
    </cfRule>
    <cfRule type="cellIs" dxfId="1615" priority="40" operator="equal">
      <formula>0</formula>
    </cfRule>
  </conditionalFormatting>
  <conditionalFormatting sqref="AH38:AH42 AH44 AH9:AH36">
    <cfRule type="cellIs" dxfId="1614" priority="31" operator="greaterThan">
      <formula>110%</formula>
    </cfRule>
    <cfRule type="cellIs" dxfId="1613" priority="32" operator="between">
      <formula>100.001%</formula>
      <formula>110%</formula>
    </cfRule>
    <cfRule type="cellIs" dxfId="1612" priority="33" operator="between">
      <formula>70.001%</formula>
      <formula>100%</formula>
    </cfRule>
    <cfRule type="cellIs" dxfId="1611" priority="34" operator="between">
      <formula>0.00001%</formula>
      <formula>70%</formula>
    </cfRule>
    <cfRule type="cellIs" dxfId="1610" priority="35" operator="equal">
      <formula>0</formula>
    </cfRule>
  </conditionalFormatting>
  <conditionalFormatting sqref="AK38:AK42 AK44 AK9:AK36">
    <cfRule type="cellIs" dxfId="1609" priority="26" operator="greaterThan">
      <formula>110%</formula>
    </cfRule>
    <cfRule type="cellIs" dxfId="1608" priority="27" operator="between">
      <formula>100.001%</formula>
      <formula>110%</formula>
    </cfRule>
    <cfRule type="cellIs" dxfId="1607" priority="28" operator="between">
      <formula>70.001%</formula>
      <formula>100%</formula>
    </cfRule>
    <cfRule type="cellIs" dxfId="1606" priority="29" operator="between">
      <formula>0.00001%</formula>
      <formula>70%</formula>
    </cfRule>
    <cfRule type="cellIs" dxfId="1605" priority="30" operator="equal">
      <formula>0</formula>
    </cfRule>
  </conditionalFormatting>
  <conditionalFormatting sqref="AN38:AN42 AN44 AN9:AN36">
    <cfRule type="cellIs" dxfId="1604" priority="21" operator="greaterThan">
      <formula>110%</formula>
    </cfRule>
    <cfRule type="cellIs" dxfId="1603" priority="22" operator="between">
      <formula>100.001%</formula>
      <formula>110%</formula>
    </cfRule>
    <cfRule type="cellIs" dxfId="1602" priority="23" operator="between">
      <formula>70.001%</formula>
      <formula>100%</formula>
    </cfRule>
    <cfRule type="cellIs" dxfId="1601" priority="24" operator="between">
      <formula>0.00001%</formula>
      <formula>70%</formula>
    </cfRule>
    <cfRule type="cellIs" dxfId="1600" priority="25" operator="equal">
      <formula>0</formula>
    </cfRule>
  </conditionalFormatting>
  <conditionalFormatting sqref="AQ38:AQ42 AQ44 AQ9:AQ36">
    <cfRule type="cellIs" dxfId="1599" priority="16" operator="greaterThan">
      <formula>110%</formula>
    </cfRule>
    <cfRule type="cellIs" dxfId="1598" priority="17" operator="between">
      <formula>100.001%</formula>
      <formula>110%</formula>
    </cfRule>
    <cfRule type="cellIs" dxfId="1597" priority="18" operator="between">
      <formula>70.001%</formula>
      <formula>100%</formula>
    </cfRule>
    <cfRule type="cellIs" dxfId="1596" priority="19" operator="between">
      <formula>0.00001%</formula>
      <formula>70%</formula>
    </cfRule>
    <cfRule type="cellIs" dxfId="1595" priority="20" operator="equal">
      <formula>0</formula>
    </cfRule>
  </conditionalFormatting>
  <conditionalFormatting sqref="AT38:AT42 AT44 AT9:AT36">
    <cfRule type="cellIs" dxfId="1594" priority="11" operator="greaterThan">
      <formula>110%</formula>
    </cfRule>
    <cfRule type="cellIs" dxfId="1593" priority="12" operator="between">
      <formula>100.001%</formula>
      <formula>110%</formula>
    </cfRule>
    <cfRule type="cellIs" dxfId="1592" priority="13" operator="between">
      <formula>70.001%</formula>
      <formula>100%</formula>
    </cfRule>
    <cfRule type="cellIs" dxfId="1591" priority="14" operator="between">
      <formula>0.00001%</formula>
      <formula>70%</formula>
    </cfRule>
    <cfRule type="cellIs" dxfId="1590" priority="15" operator="equal">
      <formula>0</formula>
    </cfRule>
  </conditionalFormatting>
  <conditionalFormatting sqref="AV38:AV42 AV44 AV9:AV36">
    <cfRule type="cellIs" dxfId="1589" priority="6" operator="greaterThan">
      <formula>110%</formula>
    </cfRule>
    <cfRule type="cellIs" dxfId="1588" priority="7" operator="between">
      <formula>100.001%</formula>
      <formula>110%</formula>
    </cfRule>
    <cfRule type="cellIs" dxfId="1587" priority="8" operator="between">
      <formula>70.001%</formula>
      <formula>100%</formula>
    </cfRule>
    <cfRule type="cellIs" dxfId="1586" priority="9" operator="between">
      <formula>0.00001%</formula>
      <formula>70%</formula>
    </cfRule>
    <cfRule type="cellIs" dxfId="1585" priority="10" operator="equal">
      <formula>0</formula>
    </cfRule>
  </conditionalFormatting>
  <conditionalFormatting sqref="AB38:AB42 AB44 AB9:AB36">
    <cfRule type="cellIs" dxfId="1584" priority="1" operator="greaterThan">
      <formula>110%</formula>
    </cfRule>
    <cfRule type="cellIs" dxfId="1583" priority="2" operator="between">
      <formula>100.001%</formula>
      <formula>110%</formula>
    </cfRule>
    <cfRule type="cellIs" dxfId="1582" priority="3" operator="between">
      <formula>70.001%</formula>
      <formula>100%</formula>
    </cfRule>
    <cfRule type="cellIs" dxfId="1581" priority="4" operator="between">
      <formula>0.00001%</formula>
      <formula>70%</formula>
    </cfRule>
    <cfRule type="cellIs" dxfId="1580" priority="5" operator="equal">
      <formula>0</formula>
    </cfRule>
  </conditionalFormatting>
  <hyperlinks>
    <hyperlink ref="D11" location="'IN1-3'!A1" display="IN1-3 Recaudo Bruto" xr:uid="{00000000-0004-0000-2900-000000000000}"/>
    <hyperlink ref="D12" location="'FIS-4'!A1" display="FIS-4 Gestión efectiva en fiscalización tributaria" xr:uid="{00000000-0004-0000-2900-000001000000}"/>
    <hyperlink ref="D13" location="'FIS-7'!A1" display="FIS-7 Gestión Efectiva de Control Cambiario" xr:uid="{00000000-0004-0000-2900-000002000000}"/>
    <hyperlink ref="D14" location="'FIS-10'!A1" display="FIS-10 Gestión aceptada en fiscalización tributaria" xr:uid="{00000000-0004-0000-2900-000003000000}"/>
    <hyperlink ref="D15" location="'FIS-11'!A1" display="'FIS-11'!A1" xr:uid="{00000000-0004-0000-2900-000004000000}"/>
    <hyperlink ref="D16" location="'FIS-12'!A1" display="'FIS-12'!A1" xr:uid="{00000000-0004-0000-2900-000005000000}"/>
    <hyperlink ref="D17" location="'FIS-27'!A1" display="FIS-27 Reclasificación de no responsables a responsables" xr:uid="{00000000-0004-0000-2900-000006000000}"/>
    <hyperlink ref="D18" location="'FIS-17'!A1" display="FIS-17 Evacuación de expedientes en fiscalización tributaria" xr:uid="{00000000-0004-0000-2900-000007000000}"/>
    <hyperlink ref="D19" location="'IN1-4'!A1" display="IN1-4 Recaudo por gestión de cartera" xr:uid="{00000000-0004-0000-2900-000008000000}"/>
    <hyperlink ref="D20" location="'IN1-5'!A1" display="IN1-5 Inscritos en el Régimen Simple de Tributación - RST" xr:uid="{00000000-0004-0000-2900-000009000000}"/>
    <hyperlink ref="D21" location="'IN1-6'!A1" display="IN1-6 Grado de cumplimiento del cronograma de campañas del RST" xr:uid="{00000000-0004-0000-2900-00000A000000}"/>
    <hyperlink ref="D22" location="'FIS-16'!A1" display="FIS-16 visitas de control a personas que hacen la venta y compra de divisas sin estar autorizados " xr:uid="{00000000-0004-0000-2900-00000B000000}"/>
    <hyperlink ref="D23" location="'FIS-15'!A1" display="FIS-15 Visitas de control a profesionales de cambio" xr:uid="{00000000-0004-0000-2900-00000C000000}"/>
    <hyperlink ref="D24" location="'FIS-18'!A1" display="FIS-18 Evacuación de expedientes en fiscalización cambiaria" xr:uid="{00000000-0004-0000-2900-00000D000000}"/>
    <hyperlink ref="D25" location="'IN1-8'!A1" display="IN1-8 Contribuyentes habilitados como facturadores electrónicos" xr:uid="{00000000-0004-0000-2900-00000E000000}"/>
    <hyperlink ref="D26" location="'JUR-3.1'!A1" display="JUR-3.1 Porcentaje de éxito de litigiosidad" xr:uid="{00000000-0004-0000-2900-00000F000000}"/>
    <hyperlink ref="D27" location="'JUR-3.2'!A1" display="JUR-3.2 Porcentaje  procesos judiciales revisados con mayor riesgo en Ekogui" xr:uid="{00000000-0004-0000-2900-000010000000}"/>
    <hyperlink ref="D28" location="'JUR-3.3'!A1" display="JUR-3.3 Porcentaje de análisis de jurisprudencia remitidos junto con la copia de la sentencia " xr:uid="{00000000-0004-0000-2900-000011000000}"/>
    <hyperlink ref="D29" location="'JUR-3.4'!A1" display="JUR-3.4 Porcentaje  de procesos revisados con VoBo del Jefe " xr:uid="{00000000-0004-0000-2900-000012000000}"/>
    <hyperlink ref="D30" location="'JUR-3.5'!A1" display="JUR-3.5 Porcentaje de requerimientos atendidos en oportunidad" xr:uid="{00000000-0004-0000-2900-000013000000}"/>
    <hyperlink ref="D31" location="'JUR-3.6'!A1" display="JUR-3.6 Porcentaje funcionarios capacitaciones en cursos virtuales de la ANDJE" xr:uid="{00000000-0004-0000-2900-000014000000}"/>
    <hyperlink ref="D32" location="'JUR-4'!A1" display="JUR-4 Porcentaje funcionarios que participaron en el concurso de escritura jurídica" xr:uid="{00000000-0004-0000-2900-000015000000}"/>
    <hyperlink ref="D33" location="'ADU-3'!A1" display="ADU-3 Monto de recaudación total de aduanas" xr:uid="{00000000-0004-0000-2900-000016000000}"/>
    <hyperlink ref="D34" location="'FIS-24'!A1" display="FIS-24 Valor Decomisos de mercancías en firme" xr:uid="{00000000-0004-0000-2900-000017000000}"/>
    <hyperlink ref="D35" location="'FIS-33'!A1" display="FIS-33 Cantidad de aprehensiones sectores de Licores, Cigarrillos, Hidrocarburos y Agropecuario" xr:uid="{00000000-0004-0000-2900-000018000000}"/>
    <hyperlink ref="D36" location="'POLFA-3'!A1" display="POLFA-3 Acciones de control de fiscalización contra el contrabando" xr:uid="{00000000-0004-0000-2900-000019000000}"/>
    <hyperlink ref="D38" location="'IN1-11'!A1" display="IN1-11  Nivel de cobertura de personas sensibilizadas por el plan de cultura. ACTUALMENTE. Cumplimiento al Plan de Acción de Cultura de la Contribución" xr:uid="{00000000-0004-0000-2900-00001A000000}"/>
    <hyperlink ref="D39" location="'JUR-7'!A1" display="JUR-7 Oportunidad en las decisiones de los recursos tributarios hasta su remisión a notificaciones" xr:uid="{00000000-0004-0000-2900-00001B000000}"/>
    <hyperlink ref="D40" location="'POLFA-7'!A1" display="POLFA-7 Implementación programa zonas de comercio legal (Formalización)" xr:uid="{00000000-0004-0000-2900-00001C000000}"/>
    <hyperlink ref="D41" location="'POLFA-8'!A1" display="POLFA-8 Porcentaje de cumplimiento programa semilleros de la legalidad" xr:uid="{00000000-0004-0000-2900-00001D000000}"/>
    <hyperlink ref="D42" location="'IN1-15'!A1" display="IN1-15 Días en devoluciones ordinarias" xr:uid="{00000000-0004-0000-2900-00001E000000}"/>
    <hyperlink ref="D9" location="'DGRAE-1'!Área_de_impresión" display="DGRAE-1 Nivel de Ejecución del presupuesto " xr:uid="{00000000-0004-0000-2900-00001F000000}"/>
    <hyperlink ref="D44" location="'DGRAE-25'!Área_de_impresión" display="DGRAE-25 Actividades que componen el  PIC para la Dirección de Gestión" xr:uid="{00000000-0004-0000-2900-000020000000}"/>
    <hyperlink ref="D10" location="'DGRAE-2'!A1" display="DGRAE-2 Nivel de ejecución del PAA de la Dirección" xr:uid="{00000000-0004-0000-2900-000021000000}"/>
    <hyperlink ref="AV2" location="'Consolidado '!A1" display="VOLVER" xr:uid="{00000000-0004-0000-2900-000022000000}"/>
  </hyperlinks>
  <pageMargins left="0.7" right="0.7" top="0.75" bottom="0.75" header="0.3" footer="0.3"/>
  <drawing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Z34"/>
  <sheetViews>
    <sheetView topLeftCell="C1" zoomScale="80" zoomScaleNormal="80" workbookViewId="0">
      <selection activeCell="AZ5" sqref="AZ5"/>
    </sheetView>
  </sheetViews>
  <sheetFormatPr baseColWidth="10" defaultColWidth="11.42578125" defaultRowHeight="16.5"/>
  <cols>
    <col min="1" max="1" width="20.5703125" style="8" customWidth="1"/>
    <col min="2" max="2" width="37" style="8" customWidth="1"/>
    <col min="3" max="3" width="56" style="63" customWidth="1"/>
    <col min="4" max="4" width="26.85546875" style="63" customWidth="1"/>
    <col min="5" max="5" width="67.42578125" style="8" hidden="1" customWidth="1"/>
    <col min="6" max="6" width="23.85546875" style="8" bestFit="1" customWidth="1"/>
    <col min="7" max="7" width="25.85546875" style="8" customWidth="1"/>
    <col min="8" max="8" width="12" style="8" hidden="1" customWidth="1"/>
    <col min="9" max="9" width="9.140625" style="8" hidden="1" customWidth="1"/>
    <col min="10" max="10" width="15" style="8" hidden="1" customWidth="1"/>
    <col min="11" max="11" width="29.140625" style="8" customWidth="1"/>
    <col min="12" max="13" width="21.7109375" style="8" hidden="1" customWidth="1"/>
    <col min="14" max="14" width="21.7109375" style="69" hidden="1" customWidth="1"/>
    <col min="15" max="16" width="21.7109375" style="8" hidden="1" customWidth="1"/>
    <col min="17" max="17" width="21.7109375" style="69" hidden="1" customWidth="1"/>
    <col min="18" max="19" width="21.7109375" style="8" hidden="1" customWidth="1"/>
    <col min="20" max="20" width="21.7109375" style="69" hidden="1" customWidth="1"/>
    <col min="21" max="22" width="21.7109375" style="8" hidden="1" customWidth="1"/>
    <col min="23" max="23" width="21.7109375" style="69" hidden="1" customWidth="1"/>
    <col min="24" max="25" width="21.7109375" style="8" hidden="1" customWidth="1"/>
    <col min="26" max="26" width="21.7109375" style="69" hidden="1" customWidth="1"/>
    <col min="27" max="28" width="21.7109375" style="8" hidden="1" customWidth="1"/>
    <col min="29" max="29" width="21.7109375" style="69" hidden="1" customWidth="1"/>
    <col min="30" max="30" width="21.7109375" style="8" hidden="1" customWidth="1"/>
    <col min="31" max="31" width="21.7109375" style="69" hidden="1" customWidth="1"/>
    <col min="32" max="33" width="21.7109375" style="8" hidden="1" customWidth="1"/>
    <col min="34" max="34" width="21.7109375" style="69" hidden="1" customWidth="1"/>
    <col min="35" max="36" width="21.7109375" style="8" hidden="1" customWidth="1"/>
    <col min="37" max="37" width="21.7109375" style="69" hidden="1" customWidth="1"/>
    <col min="38" max="39" width="21.7109375" style="8" hidden="1" customWidth="1"/>
    <col min="40" max="40" width="21.7109375" style="69" hidden="1" customWidth="1"/>
    <col min="41" max="42" width="21.7109375" style="8" hidden="1" customWidth="1"/>
    <col min="43" max="43" width="21.7109375" style="69" hidden="1" customWidth="1"/>
    <col min="44" max="45" width="21.7109375" style="8" hidden="1" customWidth="1"/>
    <col min="46" max="46" width="21.7109375" style="69" hidden="1" customWidth="1"/>
    <col min="47" max="48" width="21.7109375" style="8" hidden="1" customWidth="1"/>
    <col min="49" max="49" width="21.7109375" style="69" hidden="1" customWidth="1"/>
    <col min="50" max="50" width="21.7109375" style="8" customWidth="1"/>
    <col min="51" max="51" width="21.7109375" style="2365" customWidth="1"/>
    <col min="52" max="16384" width="11.42578125" style="8"/>
  </cols>
  <sheetData>
    <row r="1" spans="1:52" ht="26.25">
      <c r="A1" s="109"/>
      <c r="B1" s="101"/>
      <c r="C1" s="101" t="s">
        <v>1070</v>
      </c>
      <c r="D1" s="101"/>
      <c r="E1" s="101"/>
      <c r="F1" s="101"/>
      <c r="G1" s="101"/>
      <c r="H1" s="101"/>
      <c r="I1" s="101"/>
      <c r="J1" s="101"/>
      <c r="K1" s="101"/>
    </row>
    <row r="2" spans="1:52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AY2" s="2402" t="s">
        <v>185</v>
      </c>
    </row>
    <row r="3" spans="1:52">
      <c r="A3" s="2866" t="s">
        <v>1071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  <c r="AZ4" s="69">
        <f>+(AY9+AY10+AY11+AY12+AY13+AY14+AY15+AY16+AY17+AY18+AY19+AY20+AY21+AY22+AY23+AY24+AY25+AY26+AY27+AY29+AY30+AY31+AY33)/23</f>
        <v>1.0867888144434001</v>
      </c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160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729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989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990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165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2366" t="s">
        <v>84</v>
      </c>
      <c r="M8" s="14" t="s">
        <v>85</v>
      </c>
      <c r="N8" s="71" t="s">
        <v>86</v>
      </c>
      <c r="O8" s="16" t="s">
        <v>84</v>
      </c>
      <c r="P8" s="16" t="s">
        <v>85</v>
      </c>
      <c r="Q8" s="71" t="s">
        <v>86</v>
      </c>
      <c r="R8" s="13" t="s">
        <v>84</v>
      </c>
      <c r="S8" s="14" t="s">
        <v>85</v>
      </c>
      <c r="T8" s="71" t="s">
        <v>86</v>
      </c>
      <c r="U8" s="13" t="s">
        <v>84</v>
      </c>
      <c r="V8" s="14" t="s">
        <v>85</v>
      </c>
      <c r="W8" s="71" t="s">
        <v>86</v>
      </c>
      <c r="X8" s="16" t="s">
        <v>84</v>
      </c>
      <c r="Y8" s="13" t="s">
        <v>85</v>
      </c>
      <c r="Z8" s="71" t="s">
        <v>86</v>
      </c>
      <c r="AA8" s="14" t="s">
        <v>84</v>
      </c>
      <c r="AB8" s="16" t="s">
        <v>85</v>
      </c>
      <c r="AC8" s="71" t="s">
        <v>86</v>
      </c>
      <c r="AD8" s="16" t="s">
        <v>87</v>
      </c>
      <c r="AE8" s="71" t="s">
        <v>6</v>
      </c>
      <c r="AF8" s="16" t="s">
        <v>84</v>
      </c>
      <c r="AG8" s="16" t="s">
        <v>85</v>
      </c>
      <c r="AH8" s="71" t="s">
        <v>86</v>
      </c>
      <c r="AI8" s="13" t="s">
        <v>84</v>
      </c>
      <c r="AJ8" s="14" t="s">
        <v>85</v>
      </c>
      <c r="AK8" s="71" t="s">
        <v>86</v>
      </c>
      <c r="AL8" s="16" t="s">
        <v>84</v>
      </c>
      <c r="AM8" s="13" t="s">
        <v>85</v>
      </c>
      <c r="AN8" s="71" t="s">
        <v>86</v>
      </c>
      <c r="AO8" s="14" t="s">
        <v>84</v>
      </c>
      <c r="AP8" s="16" t="s">
        <v>85</v>
      </c>
      <c r="AQ8" s="71" t="s">
        <v>86</v>
      </c>
      <c r="AR8" s="13" t="s">
        <v>84</v>
      </c>
      <c r="AS8" s="14" t="s">
        <v>85</v>
      </c>
      <c r="AT8" s="71" t="s">
        <v>86</v>
      </c>
      <c r="AU8" s="13" t="s">
        <v>84</v>
      </c>
      <c r="AV8" s="14" t="s">
        <v>85</v>
      </c>
      <c r="AW8" s="71" t="s">
        <v>86</v>
      </c>
      <c r="AX8" s="16" t="s">
        <v>87</v>
      </c>
      <c r="AY8" s="71" t="s">
        <v>6</v>
      </c>
    </row>
    <row r="9" spans="1:52" s="534" customFormat="1" ht="31.5" thickTop="1" thickBot="1">
      <c r="A9" s="2943" t="s">
        <v>88</v>
      </c>
      <c r="B9" s="3009" t="s">
        <v>166</v>
      </c>
      <c r="C9" s="72" t="s">
        <v>167</v>
      </c>
      <c r="D9" s="1422" t="s">
        <v>90</v>
      </c>
      <c r="E9" s="1407" t="s">
        <v>91</v>
      </c>
      <c r="F9" s="1407" t="s">
        <v>168</v>
      </c>
      <c r="G9" s="2367">
        <f>1755377355/1000000</f>
        <v>1755.3773550000001</v>
      </c>
      <c r="H9" s="1407"/>
      <c r="I9" s="1407"/>
      <c r="J9" s="1407"/>
      <c r="K9" s="1407" t="s">
        <v>25</v>
      </c>
      <c r="L9" s="2597">
        <v>1142.1191779999999</v>
      </c>
      <c r="M9" s="2598">
        <v>1055.42</v>
      </c>
      <c r="N9" s="73">
        <f>+M9/L9</f>
        <v>0.92408920218656909</v>
      </c>
      <c r="O9" s="2597">
        <v>27.233000000000001</v>
      </c>
      <c r="P9" s="2598">
        <v>56.3</v>
      </c>
      <c r="Q9" s="73">
        <f>+P9/O9</f>
        <v>2.0673447655418058</v>
      </c>
      <c r="R9" s="2597">
        <v>45.732999999999997</v>
      </c>
      <c r="S9" s="2598">
        <v>62.27</v>
      </c>
      <c r="T9" s="73">
        <f>+S9/R9</f>
        <v>1.3615988454726349</v>
      </c>
      <c r="U9" s="2597">
        <v>49.732999999999997</v>
      </c>
      <c r="V9" s="2598">
        <v>19.579999999999998</v>
      </c>
      <c r="W9" s="73">
        <f>+V9/U9</f>
        <v>0.39370237065932079</v>
      </c>
      <c r="X9" s="2597">
        <v>42.732999999999997</v>
      </c>
      <c r="Y9" s="2598">
        <v>29.61</v>
      </c>
      <c r="Z9" s="73">
        <f>+Y9/X9</f>
        <v>0.69290712096038198</v>
      </c>
      <c r="AA9" s="2597">
        <v>27.733000000000001</v>
      </c>
      <c r="AB9" s="2598">
        <v>20.440000000000001</v>
      </c>
      <c r="AC9" s="73">
        <f>+AB9/AA9</f>
        <v>0.73702808927991925</v>
      </c>
      <c r="AD9" s="2369">
        <f>+M9+P9+S9+V9+Y9+AB9</f>
        <v>1243.6199999999999</v>
      </c>
      <c r="AE9" s="73">
        <f>AD9/G9</f>
        <v>0.70846305294852108</v>
      </c>
      <c r="AF9" s="2597">
        <v>27.733000000000001</v>
      </c>
      <c r="AG9" s="2598">
        <v>38.770000000000003</v>
      </c>
      <c r="AH9" s="73">
        <f>+AG9/AF9</f>
        <v>1.3979735333357373</v>
      </c>
      <c r="AI9" s="2597">
        <v>27.733000000000001</v>
      </c>
      <c r="AJ9" s="2598">
        <v>20.45</v>
      </c>
      <c r="AK9" s="73">
        <f>+AJ9/AI9</f>
        <v>0.73738867053690549</v>
      </c>
      <c r="AL9" s="2597">
        <v>27.433</v>
      </c>
      <c r="AM9" s="2598">
        <v>17.91</v>
      </c>
      <c r="AN9" s="73">
        <f>+AM9/AL9</f>
        <v>0.65286333977326583</v>
      </c>
      <c r="AO9" s="2597">
        <v>32.283000000000001</v>
      </c>
      <c r="AP9" s="2598">
        <v>179.59</v>
      </c>
      <c r="AQ9" s="73">
        <f>+AP9/AO9</f>
        <v>5.5629898088777372</v>
      </c>
      <c r="AR9" s="2597">
        <v>23.483000000000001</v>
      </c>
      <c r="AS9" s="2598">
        <v>199.58</v>
      </c>
      <c r="AT9" s="73">
        <f>+AS9/AR9</f>
        <v>8.4989141080781838</v>
      </c>
      <c r="AU9" s="2597">
        <v>29.210910999999999</v>
      </c>
      <c r="AV9" s="2598">
        <v>16</v>
      </c>
      <c r="AW9" s="73">
        <f>+AV9/AU9</f>
        <v>0.54774053435033232</v>
      </c>
      <c r="AX9" s="2368">
        <f>1725666898.87/1000000</f>
        <v>1725.6668988699998</v>
      </c>
      <c r="AY9" s="73">
        <f>+AX9/G9</f>
        <v>0.9830746044174643</v>
      </c>
    </row>
    <row r="10" spans="1:52" s="2602" customFormat="1" ht="31.5" thickTop="1" thickBot="1">
      <c r="A10" s="2944"/>
      <c r="B10" s="3010"/>
      <c r="C10" s="74" t="s">
        <v>169</v>
      </c>
      <c r="D10" s="2196" t="s">
        <v>92</v>
      </c>
      <c r="E10" s="1149" t="s">
        <v>170</v>
      </c>
      <c r="F10" s="1149" t="s">
        <v>17</v>
      </c>
      <c r="G10" s="75">
        <v>21</v>
      </c>
      <c r="H10" s="75" t="s">
        <v>26</v>
      </c>
      <c r="I10" s="75"/>
      <c r="J10" s="75"/>
      <c r="K10" s="1149" t="s">
        <v>26</v>
      </c>
      <c r="L10" s="2599">
        <v>7</v>
      </c>
      <c r="M10" s="2600">
        <v>5</v>
      </c>
      <c r="N10" s="73">
        <f t="shared" ref="N10" si="0">+M10/L10</f>
        <v>0.7142857142857143</v>
      </c>
      <c r="O10" s="2599">
        <v>4</v>
      </c>
      <c r="P10" s="2600">
        <v>4</v>
      </c>
      <c r="Q10" s="73">
        <f t="shared" ref="Q10" si="1">+P10/O10</f>
        <v>1</v>
      </c>
      <c r="R10" s="2599">
        <v>3</v>
      </c>
      <c r="S10" s="2600">
        <v>3</v>
      </c>
      <c r="T10" s="73">
        <f t="shared" ref="T10" si="2">+S10/R10</f>
        <v>1</v>
      </c>
      <c r="U10" s="2599">
        <v>1</v>
      </c>
      <c r="V10" s="2600">
        <v>0</v>
      </c>
      <c r="W10" s="73">
        <f t="shared" ref="W10" si="3">+V10/U10</f>
        <v>0</v>
      </c>
      <c r="X10" s="2599">
        <v>1</v>
      </c>
      <c r="Y10" s="2600">
        <v>1</v>
      </c>
      <c r="Z10" s="73">
        <f t="shared" ref="Z10" si="4">+Y10/X10</f>
        <v>1</v>
      </c>
      <c r="AA10" s="2599">
        <v>1</v>
      </c>
      <c r="AB10" s="2600">
        <v>1</v>
      </c>
      <c r="AC10" s="73">
        <f t="shared" ref="AC10" si="5">+AB10/AA10</f>
        <v>1</v>
      </c>
      <c r="AD10" s="2075">
        <f t="shared" ref="AD10" si="6">+M10+P10+S10+V10+Y10+AB10</f>
        <v>14</v>
      </c>
      <c r="AE10" s="73">
        <f t="shared" ref="AE10" si="7">AD10/G10</f>
        <v>0.66666666666666663</v>
      </c>
      <c r="AF10" s="2599">
        <v>1</v>
      </c>
      <c r="AG10" s="2600">
        <v>4</v>
      </c>
      <c r="AH10" s="73">
        <f t="shared" ref="AH10" si="8">+AG10/AF10</f>
        <v>4</v>
      </c>
      <c r="AI10" s="2599">
        <v>0</v>
      </c>
      <c r="AJ10" s="2600"/>
      <c r="AK10" s="73" t="e">
        <f t="shared" ref="AK10" si="9">+AJ10/AI10</f>
        <v>#DIV/0!</v>
      </c>
      <c r="AL10" s="2599">
        <v>0</v>
      </c>
      <c r="AM10" s="2600"/>
      <c r="AN10" s="73" t="e">
        <f t="shared" ref="AN10" si="10">+AM10/AL10</f>
        <v>#DIV/0!</v>
      </c>
      <c r="AO10" s="2599">
        <v>2</v>
      </c>
      <c r="AP10" s="2600">
        <v>1</v>
      </c>
      <c r="AQ10" s="73">
        <f t="shared" ref="AQ10" si="11">+AP10/AO10</f>
        <v>0.5</v>
      </c>
      <c r="AR10" s="2599">
        <v>0</v>
      </c>
      <c r="AS10" s="2600">
        <v>1</v>
      </c>
      <c r="AT10" s="73" t="e">
        <f t="shared" ref="AT10" si="12">+AS10/AR10</f>
        <v>#DIV/0!</v>
      </c>
      <c r="AU10" s="2599">
        <v>0</v>
      </c>
      <c r="AV10" s="2600">
        <v>1</v>
      </c>
      <c r="AW10" s="73" t="e">
        <f t="shared" ref="AW10" si="13">+AV10/AU10</f>
        <v>#DIV/0!</v>
      </c>
      <c r="AX10" s="2601">
        <f t="shared" ref="AX10" si="14">+M10+P10+S10+V10+Y10+AB10+AG10+AJ10+AM10+AP10+AS10+AV10</f>
        <v>21</v>
      </c>
      <c r="AY10" s="73">
        <f t="shared" ref="AY10:AY11" si="15">+AX10/G10</f>
        <v>1</v>
      </c>
    </row>
    <row r="11" spans="1:52" s="80" customFormat="1" ht="31.5" thickTop="1" thickBot="1">
      <c r="A11" s="2944"/>
      <c r="B11" s="2848" t="s">
        <v>171</v>
      </c>
      <c r="C11" s="76" t="s">
        <v>1015</v>
      </c>
      <c r="D11" s="17" t="s">
        <v>673</v>
      </c>
      <c r="E11" s="76" t="s">
        <v>97</v>
      </c>
      <c r="F11" s="76" t="s">
        <v>168</v>
      </c>
      <c r="G11" s="2375">
        <v>507436</v>
      </c>
      <c r="H11" s="78"/>
      <c r="I11" s="79"/>
      <c r="J11" s="78"/>
      <c r="K11" s="76" t="s">
        <v>20</v>
      </c>
      <c r="L11" s="2368" t="s">
        <v>98</v>
      </c>
      <c r="M11" s="2369"/>
      <c r="N11" s="73" t="e">
        <f>+M11/L11</f>
        <v>#VALUE!</v>
      </c>
      <c r="O11" s="2368" t="s">
        <v>98</v>
      </c>
      <c r="P11" s="2369"/>
      <c r="Q11" s="73" t="e">
        <f>+P11/O11</f>
        <v>#VALUE!</v>
      </c>
      <c r="R11" s="2368" t="s">
        <v>98</v>
      </c>
      <c r="S11" s="2369"/>
      <c r="T11" s="73" t="e">
        <f>+S11/R11</f>
        <v>#VALUE!</v>
      </c>
      <c r="U11" s="2368" t="s">
        <v>98</v>
      </c>
      <c r="V11" s="2369"/>
      <c r="W11" s="73" t="e">
        <f>+V11/U11</f>
        <v>#VALUE!</v>
      </c>
      <c r="X11" s="2368" t="s">
        <v>98</v>
      </c>
      <c r="Y11" s="2369"/>
      <c r="Z11" s="73" t="e">
        <f>+Y11/X11</f>
        <v>#VALUE!</v>
      </c>
      <c r="AA11" s="2368" t="s">
        <v>98</v>
      </c>
      <c r="AB11" s="2369"/>
      <c r="AC11" s="73" t="e">
        <f>+AB11/AA11</f>
        <v>#VALUE!</v>
      </c>
      <c r="AD11" s="2369">
        <f>+M11+P11+S11+V11+Y11+AB11</f>
        <v>0</v>
      </c>
      <c r="AE11" s="73">
        <f>AD11/G11</f>
        <v>0</v>
      </c>
      <c r="AF11" s="2368" t="s">
        <v>98</v>
      </c>
      <c r="AG11" s="2369"/>
      <c r="AH11" s="73" t="e">
        <f>+AG11/AF11</f>
        <v>#VALUE!</v>
      </c>
      <c r="AI11" s="2368" t="s">
        <v>98</v>
      </c>
      <c r="AJ11" s="2369"/>
      <c r="AK11" s="73" t="e">
        <f>+AJ11/AI11</f>
        <v>#VALUE!</v>
      </c>
      <c r="AL11" s="2368" t="s">
        <v>98</v>
      </c>
      <c r="AM11" s="2369"/>
      <c r="AN11" s="73" t="e">
        <f>+AM11/AL11</f>
        <v>#VALUE!</v>
      </c>
      <c r="AO11" s="2368" t="s">
        <v>98</v>
      </c>
      <c r="AP11" s="2369"/>
      <c r="AQ11" s="73" t="e">
        <f>+AP11/AO11</f>
        <v>#VALUE!</v>
      </c>
      <c r="AR11" s="2368" t="s">
        <v>98</v>
      </c>
      <c r="AS11" s="2369"/>
      <c r="AT11" s="73" t="e">
        <f>+AS11/AR11</f>
        <v>#VALUE!</v>
      </c>
      <c r="AU11" s="2368" t="s">
        <v>98</v>
      </c>
      <c r="AV11" s="2369"/>
      <c r="AW11" s="73" t="e">
        <f>+AV11/AU11</f>
        <v>#VALUE!</v>
      </c>
      <c r="AX11" s="2603">
        <v>507436</v>
      </c>
      <c r="AY11" s="73">
        <f t="shared" si="15"/>
        <v>1</v>
      </c>
    </row>
    <row r="12" spans="1:52" s="80" customFormat="1" ht="76.5" thickTop="1" thickBot="1">
      <c r="A12" s="2944"/>
      <c r="B12" s="2849"/>
      <c r="C12" s="3223" t="s">
        <v>623</v>
      </c>
      <c r="D12" s="24" t="s">
        <v>926</v>
      </c>
      <c r="E12" s="81" t="s">
        <v>100</v>
      </c>
      <c r="F12" s="81" t="s">
        <v>101</v>
      </c>
      <c r="G12" s="2374">
        <f t="shared" ref="G12:G16" si="16">SUM(L12,O12,R12,U12,X12,AA12,AF12,AI12,AL12,AO12,AR12,AU12)</f>
        <v>50470000000</v>
      </c>
      <c r="H12" s="715"/>
      <c r="I12" s="629"/>
      <c r="J12" s="715"/>
      <c r="K12" s="81" t="s">
        <v>172</v>
      </c>
      <c r="L12" s="880">
        <v>4037600000</v>
      </c>
      <c r="M12" s="2370">
        <v>7835598130</v>
      </c>
      <c r="N12" s="73">
        <f t="shared" ref="N12:N29" si="17">+M12/L12</f>
        <v>1.9406573533782445</v>
      </c>
      <c r="O12" s="880">
        <v>4037600000</v>
      </c>
      <c r="P12" s="2370">
        <v>2478389580</v>
      </c>
      <c r="Q12" s="73">
        <f t="shared" ref="Q12:Q29" si="18">+P12/O12</f>
        <v>0.6138274172775906</v>
      </c>
      <c r="R12" s="880">
        <v>4037600000</v>
      </c>
      <c r="S12" s="2370">
        <v>2818206000</v>
      </c>
      <c r="T12" s="73">
        <f t="shared" ref="T12:T29" si="19">+S12/R12</f>
        <v>0.69799039033088961</v>
      </c>
      <c r="U12" s="880">
        <v>4542300000</v>
      </c>
      <c r="V12" s="2370">
        <v>265160000</v>
      </c>
      <c r="W12" s="73">
        <f t="shared" ref="W12:W29" si="20">+V12/U12</f>
        <v>5.8375712744644787E-2</v>
      </c>
      <c r="X12" s="880">
        <v>5047000000</v>
      </c>
      <c r="Y12" s="2370">
        <v>161754000</v>
      </c>
      <c r="Z12" s="73">
        <f t="shared" ref="Z12:Z33" si="21">+Y12/X12</f>
        <v>3.2049534376857536E-2</v>
      </c>
      <c r="AA12" s="880">
        <v>5047000000</v>
      </c>
      <c r="AB12" s="2370">
        <v>7046424780</v>
      </c>
      <c r="AC12" s="73">
        <f t="shared" ref="AC12:AC29" si="22">+AB12/AA12</f>
        <v>1.3961610422032891</v>
      </c>
      <c r="AD12" s="2370">
        <f t="shared" ref="AD12:AD29" si="23">+M12+P12+S12+V12+Y12+AB12</f>
        <v>20605532490</v>
      </c>
      <c r="AE12" s="73">
        <f t="shared" ref="AE12:AE29" si="24">AD12/G12</f>
        <v>0.40827288468397066</v>
      </c>
      <c r="AF12" s="880">
        <v>5047000000</v>
      </c>
      <c r="AG12" s="2370">
        <v>4632772360</v>
      </c>
      <c r="AH12" s="73">
        <f t="shared" ref="AH12:AH33" si="25">+AG12/AF12</f>
        <v>0.91792596790172376</v>
      </c>
      <c r="AI12" s="880">
        <v>5047000000</v>
      </c>
      <c r="AJ12" s="2370">
        <v>2071757140</v>
      </c>
      <c r="AK12" s="73">
        <f t="shared" ref="AK12:AK33" si="26">+AJ12/AI12</f>
        <v>0.41049279572022984</v>
      </c>
      <c r="AL12" s="880">
        <v>5047000000</v>
      </c>
      <c r="AM12" s="2370">
        <v>2467124250</v>
      </c>
      <c r="AN12" s="73">
        <f t="shared" ref="AN12:AN33" si="27">+AM12/AL12</f>
        <v>0.48882984941549434</v>
      </c>
      <c r="AO12" s="880">
        <v>5047000000</v>
      </c>
      <c r="AP12" s="2370">
        <v>11874709309</v>
      </c>
      <c r="AQ12" s="73">
        <f t="shared" ref="AQ12:AQ33" si="28">+AP12/AO12</f>
        <v>2.3528253039429363</v>
      </c>
      <c r="AR12" s="880">
        <v>2018800000</v>
      </c>
      <c r="AS12" s="2370">
        <v>13298492553</v>
      </c>
      <c r="AT12" s="73">
        <f t="shared" ref="AT12:AT33" si="29">+AS12/AR12</f>
        <v>6.5873254175747968</v>
      </c>
      <c r="AU12" s="880">
        <v>1514100000</v>
      </c>
      <c r="AV12" s="2370">
        <v>4767764000</v>
      </c>
      <c r="AW12" s="73">
        <f t="shared" ref="AW12:AW33" si="30">+AV12/AU12</f>
        <v>3.1489095832507759</v>
      </c>
      <c r="AX12" s="880">
        <f>+M12+P12+S12+V12+Y12+AB12+AG12+AJ12+AM12+AP12+AS12+AV12</f>
        <v>59718152102</v>
      </c>
      <c r="AY12" s="73">
        <f>+AX12/G12</f>
        <v>1.1832405805825243</v>
      </c>
    </row>
    <row r="13" spans="1:52" s="22" customFormat="1" ht="76.5" thickTop="1" thickBot="1">
      <c r="A13" s="2944"/>
      <c r="B13" s="2849"/>
      <c r="C13" s="3224"/>
      <c r="D13" s="17" t="s">
        <v>927</v>
      </c>
      <c r="E13" s="76" t="s">
        <v>527</v>
      </c>
      <c r="F13" s="76" t="s">
        <v>101</v>
      </c>
      <c r="G13" s="2375">
        <f t="shared" si="16"/>
        <v>38000000000</v>
      </c>
      <c r="H13" s="78"/>
      <c r="I13" s="79"/>
      <c r="J13" s="78"/>
      <c r="K13" s="76" t="s">
        <v>172</v>
      </c>
      <c r="L13" s="2368">
        <v>3040000000</v>
      </c>
      <c r="M13" s="2369">
        <v>431525000</v>
      </c>
      <c r="N13" s="73">
        <f t="shared" si="17"/>
        <v>0.14194901315789474</v>
      </c>
      <c r="O13" s="2368">
        <v>3040000000</v>
      </c>
      <c r="P13" s="2369">
        <v>7140696000</v>
      </c>
      <c r="Q13" s="73">
        <f t="shared" si="18"/>
        <v>2.3489131578947369</v>
      </c>
      <c r="R13" s="2368">
        <v>3040000000</v>
      </c>
      <c r="S13" s="2369">
        <v>1988040000</v>
      </c>
      <c r="T13" s="73">
        <f t="shared" si="19"/>
        <v>0.65396052631578949</v>
      </c>
      <c r="U13" s="2368">
        <v>3420000000</v>
      </c>
      <c r="V13" s="2369">
        <v>1200461000</v>
      </c>
      <c r="W13" s="73">
        <f t="shared" si="20"/>
        <v>0.35101198830409358</v>
      </c>
      <c r="X13" s="2368">
        <v>3800000000</v>
      </c>
      <c r="Y13" s="2369">
        <v>482088000</v>
      </c>
      <c r="Z13" s="73">
        <f t="shared" si="21"/>
        <v>0.12686526315789473</v>
      </c>
      <c r="AA13" s="2368">
        <v>3800000000</v>
      </c>
      <c r="AB13" s="2369">
        <v>683600000</v>
      </c>
      <c r="AC13" s="73">
        <f t="shared" si="22"/>
        <v>0.17989473684210527</v>
      </c>
      <c r="AD13" s="2369">
        <f t="shared" si="23"/>
        <v>11926410000</v>
      </c>
      <c r="AE13" s="73">
        <f t="shared" si="24"/>
        <v>0.31385289473684208</v>
      </c>
      <c r="AF13" s="2368">
        <v>3800000000</v>
      </c>
      <c r="AG13" s="2369">
        <v>2215672000</v>
      </c>
      <c r="AH13" s="73">
        <f t="shared" si="25"/>
        <v>0.58307157894736839</v>
      </c>
      <c r="AI13" s="2368">
        <v>3800000000</v>
      </c>
      <c r="AJ13" s="2369">
        <v>6260095000</v>
      </c>
      <c r="AK13" s="73">
        <f t="shared" si="26"/>
        <v>1.6473934210526315</v>
      </c>
      <c r="AL13" s="2368">
        <v>3800000000</v>
      </c>
      <c r="AM13" s="2369">
        <v>1392298250</v>
      </c>
      <c r="AN13" s="73">
        <f t="shared" si="27"/>
        <v>0.36639427631578947</v>
      </c>
      <c r="AO13" s="2368">
        <v>3800000000</v>
      </c>
      <c r="AP13" s="2369">
        <v>2875357731</v>
      </c>
      <c r="AQ13" s="73">
        <f t="shared" si="28"/>
        <v>0.75667308710526315</v>
      </c>
      <c r="AR13" s="2368">
        <v>1520000000</v>
      </c>
      <c r="AS13" s="2369">
        <v>2875357731</v>
      </c>
      <c r="AT13" s="73">
        <f t="shared" si="29"/>
        <v>1.8916827177631579</v>
      </c>
      <c r="AU13" s="2368">
        <v>1140000000</v>
      </c>
      <c r="AV13" s="2369">
        <v>4035911507</v>
      </c>
      <c r="AW13" s="73">
        <f t="shared" si="30"/>
        <v>3.5402732517543858</v>
      </c>
      <c r="AX13" s="2368">
        <f t="shared" ref="AX13:AX27" si="31">+M13+P13+S13+V13+Y13+AB13+AG13+AJ13+AM13+AP13+AS13+AV13</f>
        <v>31581102219</v>
      </c>
      <c r="AY13" s="73">
        <f t="shared" ref="AY13:AY27" si="32">+AX13/G13</f>
        <v>0.83108163734210527</v>
      </c>
    </row>
    <row r="14" spans="1:52" s="22" customFormat="1" ht="76.5" thickTop="1" thickBot="1">
      <c r="A14" s="2944"/>
      <c r="B14" s="2849"/>
      <c r="C14" s="3224"/>
      <c r="D14" s="24" t="s">
        <v>928</v>
      </c>
      <c r="E14" s="81" t="s">
        <v>105</v>
      </c>
      <c r="F14" s="81" t="s">
        <v>24</v>
      </c>
      <c r="G14" s="634">
        <f t="shared" si="16"/>
        <v>60</v>
      </c>
      <c r="H14" s="82"/>
      <c r="I14" s="629"/>
      <c r="J14" s="82"/>
      <c r="K14" s="81" t="s">
        <v>172</v>
      </c>
      <c r="L14" s="2376">
        <v>0</v>
      </c>
      <c r="M14" s="2377"/>
      <c r="N14" s="73" t="e">
        <f t="shared" si="17"/>
        <v>#DIV/0!</v>
      </c>
      <c r="O14" s="2376">
        <v>0</v>
      </c>
      <c r="P14" s="2377"/>
      <c r="Q14" s="73" t="e">
        <f t="shared" si="18"/>
        <v>#DIV/0!</v>
      </c>
      <c r="R14" s="2376">
        <v>15</v>
      </c>
      <c r="S14" s="2377">
        <v>7</v>
      </c>
      <c r="T14" s="73">
        <f t="shared" si="19"/>
        <v>0.46666666666666667</v>
      </c>
      <c r="U14" s="2376">
        <v>0</v>
      </c>
      <c r="V14" s="2377"/>
      <c r="W14" s="73" t="e">
        <f t="shared" si="20"/>
        <v>#DIV/0!</v>
      </c>
      <c r="X14" s="2376">
        <v>0</v>
      </c>
      <c r="Y14" s="2377"/>
      <c r="Z14" s="73" t="e">
        <f t="shared" si="21"/>
        <v>#DIV/0!</v>
      </c>
      <c r="AA14" s="2376">
        <v>15</v>
      </c>
      <c r="AB14" s="2377"/>
      <c r="AC14" s="73">
        <f t="shared" si="22"/>
        <v>0</v>
      </c>
      <c r="AD14" s="2377">
        <f t="shared" si="23"/>
        <v>7</v>
      </c>
      <c r="AE14" s="73">
        <f t="shared" si="24"/>
        <v>0.11666666666666667</v>
      </c>
      <c r="AF14" s="2376">
        <v>0</v>
      </c>
      <c r="AG14" s="2377"/>
      <c r="AH14" s="73" t="e">
        <f t="shared" si="25"/>
        <v>#DIV/0!</v>
      </c>
      <c r="AI14" s="2376">
        <v>0</v>
      </c>
      <c r="AJ14" s="2377"/>
      <c r="AK14" s="73" t="e">
        <f t="shared" si="26"/>
        <v>#DIV/0!</v>
      </c>
      <c r="AL14" s="2376">
        <v>15</v>
      </c>
      <c r="AM14" s="2377">
        <v>11</v>
      </c>
      <c r="AN14" s="73">
        <f t="shared" si="27"/>
        <v>0.73333333333333328</v>
      </c>
      <c r="AO14" s="2376">
        <v>0</v>
      </c>
      <c r="AP14" s="2377"/>
      <c r="AQ14" s="73" t="e">
        <f t="shared" si="28"/>
        <v>#DIV/0!</v>
      </c>
      <c r="AR14" s="2376">
        <v>0</v>
      </c>
      <c r="AS14" s="2377"/>
      <c r="AT14" s="73" t="e">
        <f t="shared" si="29"/>
        <v>#DIV/0!</v>
      </c>
      <c r="AU14" s="2376">
        <v>15</v>
      </c>
      <c r="AV14" s="2377">
        <v>43</v>
      </c>
      <c r="AW14" s="73">
        <f t="shared" si="30"/>
        <v>2.8666666666666667</v>
      </c>
      <c r="AX14" s="2376">
        <f>+AV14+AM14+AB14+S14</f>
        <v>61</v>
      </c>
      <c r="AY14" s="73">
        <f t="shared" si="32"/>
        <v>1.0166666666666666</v>
      </c>
    </row>
    <row r="15" spans="1:52" s="22" customFormat="1" ht="76.5" thickTop="1" thickBot="1">
      <c r="A15" s="2944"/>
      <c r="B15" s="2849"/>
      <c r="C15" s="3225"/>
      <c r="D15" s="17" t="s">
        <v>106</v>
      </c>
      <c r="E15" s="76" t="s">
        <v>173</v>
      </c>
      <c r="F15" s="76" t="s">
        <v>24</v>
      </c>
      <c r="G15" s="2379">
        <f t="shared" si="16"/>
        <v>77</v>
      </c>
      <c r="H15" s="710"/>
      <c r="I15" s="2212"/>
      <c r="J15" s="710"/>
      <c r="K15" s="76" t="s">
        <v>172</v>
      </c>
      <c r="L15" s="2380">
        <v>0</v>
      </c>
      <c r="M15" s="2378"/>
      <c r="N15" s="73" t="e">
        <f t="shared" si="17"/>
        <v>#DIV/0!</v>
      </c>
      <c r="O15" s="2380">
        <v>0</v>
      </c>
      <c r="P15" s="2378"/>
      <c r="Q15" s="73" t="e">
        <f t="shared" si="18"/>
        <v>#DIV/0!</v>
      </c>
      <c r="R15" s="2380">
        <v>0</v>
      </c>
      <c r="S15" s="2378"/>
      <c r="T15" s="73" t="e">
        <f t="shared" si="19"/>
        <v>#DIV/0!</v>
      </c>
      <c r="U15" s="2380">
        <v>0</v>
      </c>
      <c r="V15" s="2378"/>
      <c r="W15" s="73" t="e">
        <f t="shared" si="20"/>
        <v>#DIV/0!</v>
      </c>
      <c r="X15" s="2380">
        <v>0</v>
      </c>
      <c r="Y15" s="2378"/>
      <c r="Z15" s="73" t="e">
        <f t="shared" si="21"/>
        <v>#DIV/0!</v>
      </c>
      <c r="AA15" s="2380">
        <v>0</v>
      </c>
      <c r="AB15" s="2378"/>
      <c r="AC15" s="73" t="e">
        <f t="shared" si="22"/>
        <v>#DIV/0!</v>
      </c>
      <c r="AD15" s="2378">
        <f t="shared" si="23"/>
        <v>0</v>
      </c>
      <c r="AE15" s="73">
        <f t="shared" si="24"/>
        <v>0</v>
      </c>
      <c r="AF15" s="2380">
        <v>39</v>
      </c>
      <c r="AG15" s="2378">
        <v>34</v>
      </c>
      <c r="AH15" s="73">
        <f t="shared" si="25"/>
        <v>0.87179487179487181</v>
      </c>
      <c r="AI15" s="2380">
        <v>0</v>
      </c>
      <c r="AJ15" s="2378"/>
      <c r="AK15" s="73" t="e">
        <f t="shared" si="26"/>
        <v>#DIV/0!</v>
      </c>
      <c r="AL15" s="2380">
        <v>0</v>
      </c>
      <c r="AM15" s="2378"/>
      <c r="AN15" s="73" t="e">
        <f t="shared" si="27"/>
        <v>#DIV/0!</v>
      </c>
      <c r="AO15" s="2380">
        <v>0</v>
      </c>
      <c r="AP15" s="2378"/>
      <c r="AQ15" s="73" t="e">
        <f t="shared" si="28"/>
        <v>#DIV/0!</v>
      </c>
      <c r="AR15" s="2380">
        <v>0</v>
      </c>
      <c r="AS15" s="2378"/>
      <c r="AT15" s="73" t="e">
        <f t="shared" si="29"/>
        <v>#DIV/0!</v>
      </c>
      <c r="AU15" s="2380">
        <v>38</v>
      </c>
      <c r="AV15" s="2378">
        <v>38</v>
      </c>
      <c r="AW15" s="73">
        <f>+AV15/AU15</f>
        <v>1</v>
      </c>
      <c r="AX15" s="2380">
        <f>+AV15+AG15</f>
        <v>72</v>
      </c>
      <c r="AY15" s="73">
        <f t="shared" si="32"/>
        <v>0.93506493506493504</v>
      </c>
    </row>
    <row r="16" spans="1:52" s="22" customFormat="1" ht="46.5" thickTop="1" thickBot="1">
      <c r="A16" s="2944"/>
      <c r="B16" s="2849"/>
      <c r="C16" s="2381" t="s">
        <v>1002</v>
      </c>
      <c r="D16" s="24" t="s">
        <v>568</v>
      </c>
      <c r="E16" s="81" t="s">
        <v>110</v>
      </c>
      <c r="F16" s="81" t="s">
        <v>18</v>
      </c>
      <c r="G16" s="2375">
        <f t="shared" si="16"/>
        <v>165588.43512872304</v>
      </c>
      <c r="H16" s="715"/>
      <c r="I16" s="2216"/>
      <c r="J16" s="715"/>
      <c r="K16" s="81" t="s">
        <v>21</v>
      </c>
      <c r="L16" s="2382">
        <v>0</v>
      </c>
      <c r="M16" s="2383"/>
      <c r="N16" s="73" t="e">
        <f t="shared" si="17"/>
        <v>#DIV/0!</v>
      </c>
      <c r="O16" s="2382">
        <v>0</v>
      </c>
      <c r="P16" s="2383"/>
      <c r="Q16" s="73" t="e">
        <f t="shared" si="18"/>
        <v>#DIV/0!</v>
      </c>
      <c r="R16" s="2382">
        <v>41473.93952959172</v>
      </c>
      <c r="S16" s="2383">
        <v>49637</v>
      </c>
      <c r="T16" s="73">
        <f t="shared" si="19"/>
        <v>1.196823850422599</v>
      </c>
      <c r="U16" s="2382">
        <v>14277.025451282576</v>
      </c>
      <c r="V16" s="2383">
        <v>6569.1</v>
      </c>
      <c r="W16" s="73">
        <f t="shared" si="20"/>
        <v>0.46011685153995896</v>
      </c>
      <c r="X16" s="2382">
        <v>17014.204119589944</v>
      </c>
      <c r="Y16" s="2383">
        <v>12306.6</v>
      </c>
      <c r="Z16" s="73">
        <f t="shared" si="21"/>
        <v>0.72331329244077502</v>
      </c>
      <c r="AA16" s="2382">
        <v>13911.071997362717</v>
      </c>
      <c r="AB16" s="2383">
        <v>10016.9</v>
      </c>
      <c r="AC16" s="73">
        <f t="shared" si="22"/>
        <v>0.72006672109087067</v>
      </c>
      <c r="AD16" s="2383">
        <f t="shared" si="23"/>
        <v>78529.599999999991</v>
      </c>
      <c r="AE16" s="73">
        <f>AD16/G16</f>
        <v>0.47424567989276334</v>
      </c>
      <c r="AF16" s="2382">
        <v>12015.596197741921</v>
      </c>
      <c r="AG16" s="2383">
        <v>8812.7999999999993</v>
      </c>
      <c r="AH16" s="73">
        <f t="shared" si="25"/>
        <v>0.73344675161904826</v>
      </c>
      <c r="AI16" s="2382">
        <v>11894.739735805573</v>
      </c>
      <c r="AJ16" s="2383">
        <v>8012.5</v>
      </c>
      <c r="AK16" s="73">
        <f t="shared" si="26"/>
        <v>0.67361709276250525</v>
      </c>
      <c r="AL16" s="2382">
        <v>16760.386337486329</v>
      </c>
      <c r="AM16" s="2383">
        <v>14380.8</v>
      </c>
      <c r="AN16" s="73">
        <f t="shared" si="27"/>
        <v>0.85802318099528885</v>
      </c>
      <c r="AO16" s="2382">
        <v>16246.477560041205</v>
      </c>
      <c r="AP16" s="2383">
        <v>12930</v>
      </c>
      <c r="AQ16" s="73">
        <f t="shared" si="28"/>
        <v>0.79586482375735401</v>
      </c>
      <c r="AR16" s="2382">
        <v>12104.913896558344</v>
      </c>
      <c r="AS16" s="2383">
        <v>14538.3</v>
      </c>
      <c r="AT16" s="73">
        <f t="shared" si="29"/>
        <v>1.2010246519914125</v>
      </c>
      <c r="AU16" s="2382">
        <v>9890.0803032627009</v>
      </c>
      <c r="AV16" s="2383">
        <v>12511</v>
      </c>
      <c r="AW16" s="73">
        <f t="shared" si="30"/>
        <v>1.265004895447883</v>
      </c>
      <c r="AX16" s="2382">
        <f t="shared" si="31"/>
        <v>149715</v>
      </c>
      <c r="AY16" s="73">
        <f t="shared" si="32"/>
        <v>0.90413922858571882</v>
      </c>
    </row>
    <row r="17" spans="1:51" s="22" customFormat="1" ht="46.5" thickTop="1" thickBot="1">
      <c r="A17" s="2944"/>
      <c r="B17" s="2849"/>
      <c r="C17" s="2384" t="s">
        <v>659</v>
      </c>
      <c r="D17" s="17" t="s">
        <v>660</v>
      </c>
      <c r="E17" s="76" t="s">
        <v>112</v>
      </c>
      <c r="F17" s="76" t="s">
        <v>17</v>
      </c>
      <c r="G17" s="2379">
        <v>411</v>
      </c>
      <c r="H17" s="710"/>
      <c r="I17" s="2173"/>
      <c r="J17" s="710"/>
      <c r="K17" s="76" t="s">
        <v>20</v>
      </c>
      <c r="L17" s="2385">
        <v>0</v>
      </c>
      <c r="M17" s="2386"/>
      <c r="N17" s="73" t="e">
        <f t="shared" si="17"/>
        <v>#DIV/0!</v>
      </c>
      <c r="O17" s="2385">
        <v>0</v>
      </c>
      <c r="P17" s="2386"/>
      <c r="Q17" s="73" t="e">
        <f t="shared" si="18"/>
        <v>#DIV/0!</v>
      </c>
      <c r="R17" s="2385">
        <v>59</v>
      </c>
      <c r="S17" s="2386">
        <v>176</v>
      </c>
      <c r="T17" s="73">
        <f t="shared" si="19"/>
        <v>2.9830508474576272</v>
      </c>
      <c r="U17" s="2385">
        <v>79</v>
      </c>
      <c r="V17" s="2386">
        <v>27</v>
      </c>
      <c r="W17" s="73">
        <f t="shared" si="20"/>
        <v>0.34177215189873417</v>
      </c>
      <c r="X17" s="2385">
        <v>86</v>
      </c>
      <c r="Y17" s="2386">
        <v>155</v>
      </c>
      <c r="Z17" s="73">
        <f t="shared" si="21"/>
        <v>1.8023255813953489</v>
      </c>
      <c r="AA17" s="2385">
        <v>93</v>
      </c>
      <c r="AB17" s="2386">
        <v>24</v>
      </c>
      <c r="AC17" s="73">
        <f t="shared" si="22"/>
        <v>0.25806451612903225</v>
      </c>
      <c r="AD17" s="2386">
        <f>+M17+P17+S17+V17+Y17+AB17</f>
        <v>382</v>
      </c>
      <c r="AE17" s="73">
        <f t="shared" si="24"/>
        <v>0.92944038929440387</v>
      </c>
      <c r="AF17" s="2385">
        <v>245</v>
      </c>
      <c r="AG17" s="2386">
        <v>57</v>
      </c>
      <c r="AH17" s="73">
        <f t="shared" si="25"/>
        <v>0.23265306122448978</v>
      </c>
      <c r="AI17" s="2385">
        <v>22</v>
      </c>
      <c r="AJ17" s="2386">
        <v>42</v>
      </c>
      <c r="AK17" s="73">
        <f t="shared" si="26"/>
        <v>1.9090909090909092</v>
      </c>
      <c r="AL17" s="2385">
        <v>18</v>
      </c>
      <c r="AM17" s="2386">
        <v>49</v>
      </c>
      <c r="AN17" s="73">
        <f t="shared" si="27"/>
        <v>2.7222222222222223</v>
      </c>
      <c r="AO17" s="2385">
        <v>12</v>
      </c>
      <c r="AP17" s="2386">
        <v>21</v>
      </c>
      <c r="AQ17" s="73">
        <f t="shared" si="28"/>
        <v>1.75</v>
      </c>
      <c r="AR17" s="2385">
        <v>8</v>
      </c>
      <c r="AS17" s="2386">
        <v>10</v>
      </c>
      <c r="AT17" s="73">
        <f t="shared" si="29"/>
        <v>1.25</v>
      </c>
      <c r="AU17" s="2385">
        <v>7</v>
      </c>
      <c r="AV17" s="2386">
        <v>6</v>
      </c>
      <c r="AW17" s="73">
        <f t="shared" si="30"/>
        <v>0.8571428571428571</v>
      </c>
      <c r="AX17" s="2385">
        <f t="shared" si="31"/>
        <v>567</v>
      </c>
      <c r="AY17" s="73">
        <f t="shared" si="32"/>
        <v>1.3795620437956204</v>
      </c>
    </row>
    <row r="18" spans="1:51" s="22" customFormat="1" ht="61.5" thickTop="1" thickBot="1">
      <c r="A18" s="2944"/>
      <c r="B18" s="2849"/>
      <c r="C18" s="81" t="s">
        <v>1016</v>
      </c>
      <c r="D18" s="24" t="s">
        <v>114</v>
      </c>
      <c r="E18" s="81" t="s">
        <v>115</v>
      </c>
      <c r="F18" s="81" t="s">
        <v>10</v>
      </c>
      <c r="G18" s="2387">
        <v>1</v>
      </c>
      <c r="H18" s="82"/>
      <c r="I18" s="629"/>
      <c r="J18" s="82"/>
      <c r="K18" s="81" t="s">
        <v>20</v>
      </c>
      <c r="L18" s="83">
        <v>0</v>
      </c>
      <c r="M18" s="84"/>
      <c r="N18" s="73" t="e">
        <f t="shared" si="17"/>
        <v>#DIV/0!</v>
      </c>
      <c r="O18" s="83">
        <v>0</v>
      </c>
      <c r="P18" s="84"/>
      <c r="Q18" s="73" t="e">
        <f t="shared" si="18"/>
        <v>#DIV/0!</v>
      </c>
      <c r="R18" s="83">
        <v>0.25</v>
      </c>
      <c r="S18" s="84">
        <v>0.25</v>
      </c>
      <c r="T18" s="73">
        <f t="shared" si="19"/>
        <v>1</v>
      </c>
      <c r="U18" s="83">
        <v>0</v>
      </c>
      <c r="V18" s="84"/>
      <c r="W18" s="73" t="e">
        <f t="shared" si="20"/>
        <v>#DIV/0!</v>
      </c>
      <c r="X18" s="83">
        <v>0</v>
      </c>
      <c r="Y18" s="84"/>
      <c r="Z18" s="73" t="e">
        <f t="shared" si="21"/>
        <v>#DIV/0!</v>
      </c>
      <c r="AA18" s="83">
        <v>0.25</v>
      </c>
      <c r="AB18" s="84">
        <v>0.25</v>
      </c>
      <c r="AC18" s="73">
        <f t="shared" si="22"/>
        <v>1</v>
      </c>
      <c r="AD18" s="84">
        <f t="shared" si="23"/>
        <v>0.5</v>
      </c>
      <c r="AE18" s="73">
        <f t="shared" si="24"/>
        <v>0.5</v>
      </c>
      <c r="AF18" s="83">
        <v>0</v>
      </c>
      <c r="AG18" s="84"/>
      <c r="AH18" s="73" t="e">
        <f t="shared" si="25"/>
        <v>#DIV/0!</v>
      </c>
      <c r="AI18" s="83">
        <v>0</v>
      </c>
      <c r="AJ18" s="84"/>
      <c r="AK18" s="73" t="e">
        <f t="shared" si="26"/>
        <v>#DIV/0!</v>
      </c>
      <c r="AL18" s="83">
        <v>0.25</v>
      </c>
      <c r="AM18" s="84">
        <v>0.25</v>
      </c>
      <c r="AN18" s="73">
        <f t="shared" si="27"/>
        <v>1</v>
      </c>
      <c r="AO18" s="83">
        <v>0</v>
      </c>
      <c r="AP18" s="84"/>
      <c r="AQ18" s="73" t="e">
        <f t="shared" si="28"/>
        <v>#DIV/0!</v>
      </c>
      <c r="AR18" s="83">
        <v>0</v>
      </c>
      <c r="AS18" s="84"/>
      <c r="AT18" s="73" t="e">
        <f t="shared" si="29"/>
        <v>#DIV/0!</v>
      </c>
      <c r="AU18" s="83">
        <v>0.25</v>
      </c>
      <c r="AV18" s="84">
        <v>0.25</v>
      </c>
      <c r="AW18" s="73">
        <f t="shared" si="30"/>
        <v>1</v>
      </c>
      <c r="AX18" s="83">
        <f t="shared" si="31"/>
        <v>1</v>
      </c>
      <c r="AY18" s="73">
        <f t="shared" si="32"/>
        <v>1</v>
      </c>
    </row>
    <row r="19" spans="1:51" s="22" customFormat="1" ht="46.5" thickTop="1" thickBot="1">
      <c r="A19" s="2944"/>
      <c r="B19" s="2849"/>
      <c r="C19" s="1745" t="s">
        <v>174</v>
      </c>
      <c r="D19" s="2388" t="s">
        <v>116</v>
      </c>
      <c r="E19" s="727" t="s">
        <v>117</v>
      </c>
      <c r="F19" s="85" t="s">
        <v>17</v>
      </c>
      <c r="G19" s="2379">
        <f>SUM(L19,O19,R19,U19,X19,AA19,AF19,AI19,AL19,AO19,AR19,AU19)</f>
        <v>8183</v>
      </c>
      <c r="H19" s="85"/>
      <c r="I19" s="18"/>
      <c r="J19" s="85"/>
      <c r="K19" s="561" t="s">
        <v>118</v>
      </c>
      <c r="L19" s="2389">
        <v>0</v>
      </c>
      <c r="M19" s="2390"/>
      <c r="N19" s="73" t="e">
        <f t="shared" si="17"/>
        <v>#DIV/0!</v>
      </c>
      <c r="O19" s="2389">
        <v>0</v>
      </c>
      <c r="P19" s="2390"/>
      <c r="Q19" s="73" t="e">
        <f t="shared" si="18"/>
        <v>#DIV/0!</v>
      </c>
      <c r="R19" s="2389">
        <v>1555</v>
      </c>
      <c r="S19" s="2390">
        <v>618</v>
      </c>
      <c r="T19" s="73">
        <f t="shared" si="19"/>
        <v>0.39742765273311897</v>
      </c>
      <c r="U19" s="2389">
        <v>1263</v>
      </c>
      <c r="V19" s="2390">
        <v>90</v>
      </c>
      <c r="W19" s="73">
        <f t="shared" si="20"/>
        <v>7.1258907363420429E-2</v>
      </c>
      <c r="X19" s="2389">
        <v>367</v>
      </c>
      <c r="Y19" s="2390">
        <v>122</v>
      </c>
      <c r="Z19" s="73">
        <f t="shared" si="21"/>
        <v>0.33242506811989103</v>
      </c>
      <c r="AA19" s="2389">
        <v>413</v>
      </c>
      <c r="AB19" s="2390">
        <v>155</v>
      </c>
      <c r="AC19" s="73">
        <f t="shared" si="22"/>
        <v>0.37530266343825663</v>
      </c>
      <c r="AD19" s="2390">
        <f t="shared" si="23"/>
        <v>985</v>
      </c>
      <c r="AE19" s="73">
        <f t="shared" si="24"/>
        <v>0.12037150189417084</v>
      </c>
      <c r="AF19" s="2389">
        <v>761</v>
      </c>
      <c r="AG19" s="2390">
        <v>415</v>
      </c>
      <c r="AH19" s="73">
        <f t="shared" si="25"/>
        <v>0.54533508541392905</v>
      </c>
      <c r="AI19" s="2389">
        <v>1162</v>
      </c>
      <c r="AJ19" s="2390">
        <v>596</v>
      </c>
      <c r="AK19" s="73">
        <f t="shared" si="26"/>
        <v>0.5129087779690189</v>
      </c>
      <c r="AL19" s="2389">
        <v>1577</v>
      </c>
      <c r="AM19" s="2390">
        <v>851</v>
      </c>
      <c r="AN19" s="73">
        <f t="shared" si="27"/>
        <v>0.53963221306277742</v>
      </c>
      <c r="AO19" s="2389">
        <v>616</v>
      </c>
      <c r="AP19" s="2390">
        <v>1314</v>
      </c>
      <c r="AQ19" s="73">
        <f t="shared" si="28"/>
        <v>2.133116883116883</v>
      </c>
      <c r="AR19" s="2389">
        <v>423</v>
      </c>
      <c r="AS19" s="2390">
        <v>3553</v>
      </c>
      <c r="AT19" s="73">
        <f t="shared" si="29"/>
        <v>8.3995271867612296</v>
      </c>
      <c r="AU19" s="2389">
        <v>46</v>
      </c>
      <c r="AV19" s="2390">
        <v>2894</v>
      </c>
      <c r="AW19" s="73">
        <f t="shared" si="30"/>
        <v>62.913043478260867</v>
      </c>
      <c r="AX19" s="2389">
        <f t="shared" si="31"/>
        <v>10608</v>
      </c>
      <c r="AY19" s="73">
        <f t="shared" si="32"/>
        <v>1.296346083343517</v>
      </c>
    </row>
    <row r="20" spans="1:51" s="22" customFormat="1" ht="61.5" thickTop="1" thickBot="1">
      <c r="A20" s="2944"/>
      <c r="B20" s="2849"/>
      <c r="C20" s="2911" t="s">
        <v>119</v>
      </c>
      <c r="D20" s="86" t="s">
        <v>120</v>
      </c>
      <c r="E20" s="87" t="s">
        <v>121</v>
      </c>
      <c r="F20" s="81" t="s">
        <v>10</v>
      </c>
      <c r="G20" s="1995">
        <v>0.64100000000000001</v>
      </c>
      <c r="H20" s="82"/>
      <c r="I20" s="88"/>
      <c r="J20" s="82"/>
      <c r="K20" s="81" t="s">
        <v>7</v>
      </c>
      <c r="L20" s="83">
        <v>0</v>
      </c>
      <c r="M20" s="84"/>
      <c r="N20" s="73" t="e">
        <f t="shared" si="17"/>
        <v>#DIV/0!</v>
      </c>
      <c r="O20" s="83">
        <v>0</v>
      </c>
      <c r="P20" s="84"/>
      <c r="Q20" s="73" t="e">
        <f t="shared" si="18"/>
        <v>#DIV/0!</v>
      </c>
      <c r="R20" s="83">
        <v>0</v>
      </c>
      <c r="S20" s="84"/>
      <c r="T20" s="73" t="e">
        <f t="shared" si="19"/>
        <v>#DIV/0!</v>
      </c>
      <c r="U20" s="83">
        <v>0</v>
      </c>
      <c r="V20" s="84"/>
      <c r="W20" s="73" t="e">
        <f t="shared" si="20"/>
        <v>#DIV/0!</v>
      </c>
      <c r="X20" s="83">
        <v>0</v>
      </c>
      <c r="Y20" s="84"/>
      <c r="Z20" s="73" t="e">
        <f t="shared" si="21"/>
        <v>#DIV/0!</v>
      </c>
      <c r="AA20" s="83">
        <v>0</v>
      </c>
      <c r="AB20" s="84"/>
      <c r="AC20" s="73" t="e">
        <f t="shared" si="22"/>
        <v>#DIV/0!</v>
      </c>
      <c r="AD20" s="84">
        <f t="shared" si="23"/>
        <v>0</v>
      </c>
      <c r="AE20" s="73">
        <f t="shared" si="24"/>
        <v>0</v>
      </c>
      <c r="AF20" s="83">
        <v>0</v>
      </c>
      <c r="AG20" s="84"/>
      <c r="AH20" s="73" t="e">
        <f t="shared" si="25"/>
        <v>#DIV/0!</v>
      </c>
      <c r="AI20" s="83">
        <v>0</v>
      </c>
      <c r="AJ20" s="84"/>
      <c r="AK20" s="73" t="e">
        <f t="shared" si="26"/>
        <v>#DIV/0!</v>
      </c>
      <c r="AL20" s="83">
        <v>0</v>
      </c>
      <c r="AM20" s="84"/>
      <c r="AN20" s="73" t="e">
        <f t="shared" si="27"/>
        <v>#DIV/0!</v>
      </c>
      <c r="AO20" s="83">
        <v>0</v>
      </c>
      <c r="AP20" s="84"/>
      <c r="AQ20" s="73" t="e">
        <f t="shared" si="28"/>
        <v>#DIV/0!</v>
      </c>
      <c r="AR20" s="83">
        <v>0</v>
      </c>
      <c r="AS20" s="84"/>
      <c r="AT20" s="73" t="e">
        <f t="shared" si="29"/>
        <v>#DIV/0!</v>
      </c>
      <c r="AU20" s="83">
        <v>0.64100000000000001</v>
      </c>
      <c r="AV20" s="84">
        <v>0.64100000000000001</v>
      </c>
      <c r="AW20" s="73">
        <f t="shared" si="30"/>
        <v>1</v>
      </c>
      <c r="AX20" s="83">
        <f>+AV20</f>
        <v>0.64100000000000001</v>
      </c>
      <c r="AY20" s="73">
        <f t="shared" si="32"/>
        <v>1</v>
      </c>
    </row>
    <row r="21" spans="1:51" s="22" customFormat="1" ht="46.5" thickTop="1" thickBot="1">
      <c r="A21" s="2944"/>
      <c r="B21" s="2849"/>
      <c r="C21" s="2912"/>
      <c r="D21" s="89" t="s">
        <v>175</v>
      </c>
      <c r="E21" s="90" t="s">
        <v>123</v>
      </c>
      <c r="F21" s="76" t="s">
        <v>10</v>
      </c>
      <c r="G21" s="91">
        <v>1</v>
      </c>
      <c r="H21" s="78"/>
      <c r="I21" s="91"/>
      <c r="J21" s="78"/>
      <c r="K21" s="76" t="s">
        <v>7</v>
      </c>
      <c r="L21" s="2391">
        <v>0</v>
      </c>
      <c r="M21" s="2392"/>
      <c r="N21" s="73" t="e">
        <f t="shared" si="17"/>
        <v>#DIV/0!</v>
      </c>
      <c r="O21" s="2391">
        <v>0</v>
      </c>
      <c r="P21" s="2392"/>
      <c r="Q21" s="73" t="e">
        <f t="shared" si="18"/>
        <v>#DIV/0!</v>
      </c>
      <c r="R21" s="2391">
        <v>0</v>
      </c>
      <c r="S21" s="2392"/>
      <c r="T21" s="73" t="e">
        <f t="shared" si="19"/>
        <v>#DIV/0!</v>
      </c>
      <c r="U21" s="2391">
        <v>1</v>
      </c>
      <c r="V21" s="2392">
        <v>1</v>
      </c>
      <c r="W21" s="73">
        <f t="shared" si="20"/>
        <v>1</v>
      </c>
      <c r="X21" s="2391">
        <v>0</v>
      </c>
      <c r="Y21" s="2392"/>
      <c r="Z21" s="73" t="e">
        <f t="shared" si="21"/>
        <v>#DIV/0!</v>
      </c>
      <c r="AA21" s="2391">
        <v>0</v>
      </c>
      <c r="AB21" s="2392"/>
      <c r="AC21" s="73" t="e">
        <f t="shared" si="22"/>
        <v>#DIV/0!</v>
      </c>
      <c r="AD21" s="2392">
        <f>+V21</f>
        <v>1</v>
      </c>
      <c r="AE21" s="73">
        <f t="shared" si="24"/>
        <v>1</v>
      </c>
      <c r="AF21" s="2391">
        <v>0</v>
      </c>
      <c r="AG21" s="2392"/>
      <c r="AH21" s="73" t="e">
        <f t="shared" si="25"/>
        <v>#DIV/0!</v>
      </c>
      <c r="AI21" s="2391">
        <v>0</v>
      </c>
      <c r="AJ21" s="2392"/>
      <c r="AK21" s="73" t="e">
        <f t="shared" si="26"/>
        <v>#DIV/0!</v>
      </c>
      <c r="AL21" s="2391">
        <v>0</v>
      </c>
      <c r="AM21" s="2392"/>
      <c r="AN21" s="73" t="e">
        <f t="shared" si="27"/>
        <v>#DIV/0!</v>
      </c>
      <c r="AO21" s="2391">
        <v>1</v>
      </c>
      <c r="AP21" s="2392">
        <v>1</v>
      </c>
      <c r="AQ21" s="73">
        <f t="shared" si="28"/>
        <v>1</v>
      </c>
      <c r="AR21" s="2391">
        <v>0</v>
      </c>
      <c r="AS21" s="2392"/>
      <c r="AT21" s="73" t="e">
        <f t="shared" si="29"/>
        <v>#DIV/0!</v>
      </c>
      <c r="AU21" s="2391">
        <v>0</v>
      </c>
      <c r="AV21" s="2392"/>
      <c r="AW21" s="73" t="e">
        <f t="shared" si="30"/>
        <v>#DIV/0!</v>
      </c>
      <c r="AX21" s="2391">
        <f>(+AP21+V21)/2</f>
        <v>1</v>
      </c>
      <c r="AY21" s="73">
        <f t="shared" si="32"/>
        <v>1</v>
      </c>
    </row>
    <row r="22" spans="1:51" s="22" customFormat="1" ht="61.5" thickTop="1" thickBot="1">
      <c r="A22" s="2944"/>
      <c r="B22" s="2849"/>
      <c r="C22" s="2912"/>
      <c r="D22" s="86" t="s">
        <v>124</v>
      </c>
      <c r="E22" s="87" t="s">
        <v>176</v>
      </c>
      <c r="F22" s="81" t="s">
        <v>10</v>
      </c>
      <c r="G22" s="88">
        <v>1</v>
      </c>
      <c r="H22" s="82"/>
      <c r="I22" s="88"/>
      <c r="J22" s="82"/>
      <c r="K22" s="81" t="s">
        <v>7</v>
      </c>
      <c r="L22" s="83">
        <v>0</v>
      </c>
      <c r="M22" s="84"/>
      <c r="N22" s="73" t="e">
        <f t="shared" si="17"/>
        <v>#DIV/0!</v>
      </c>
      <c r="O22" s="83">
        <v>0</v>
      </c>
      <c r="P22" s="84"/>
      <c r="Q22" s="73" t="e">
        <f t="shared" si="18"/>
        <v>#DIV/0!</v>
      </c>
      <c r="R22" s="83">
        <v>1</v>
      </c>
      <c r="S22" s="84">
        <v>1</v>
      </c>
      <c r="T22" s="73">
        <f t="shared" si="19"/>
        <v>1</v>
      </c>
      <c r="U22" s="83">
        <v>0</v>
      </c>
      <c r="V22" s="84"/>
      <c r="W22" s="73" t="e">
        <f t="shared" si="20"/>
        <v>#DIV/0!</v>
      </c>
      <c r="X22" s="83">
        <v>0</v>
      </c>
      <c r="Y22" s="84"/>
      <c r="Z22" s="73" t="e">
        <f t="shared" si="21"/>
        <v>#DIV/0!</v>
      </c>
      <c r="AA22" s="83">
        <v>1</v>
      </c>
      <c r="AB22" s="84">
        <v>1</v>
      </c>
      <c r="AC22" s="73">
        <f t="shared" si="22"/>
        <v>1</v>
      </c>
      <c r="AD22" s="84">
        <f>(+AB22+S22)/2</f>
        <v>1</v>
      </c>
      <c r="AE22" s="73">
        <f t="shared" si="24"/>
        <v>1</v>
      </c>
      <c r="AF22" s="83">
        <v>0</v>
      </c>
      <c r="AG22" s="84"/>
      <c r="AH22" s="73" t="e">
        <f t="shared" si="25"/>
        <v>#DIV/0!</v>
      </c>
      <c r="AI22" s="83">
        <v>0</v>
      </c>
      <c r="AJ22" s="84"/>
      <c r="AK22" s="73" t="e">
        <f t="shared" si="26"/>
        <v>#DIV/0!</v>
      </c>
      <c r="AL22" s="83">
        <v>1</v>
      </c>
      <c r="AM22" s="84">
        <v>1</v>
      </c>
      <c r="AN22" s="73">
        <f t="shared" si="27"/>
        <v>1</v>
      </c>
      <c r="AO22" s="83">
        <v>0</v>
      </c>
      <c r="AP22" s="84"/>
      <c r="AQ22" s="73" t="e">
        <f t="shared" si="28"/>
        <v>#DIV/0!</v>
      </c>
      <c r="AR22" s="83">
        <v>0</v>
      </c>
      <c r="AS22" s="84"/>
      <c r="AT22" s="73" t="e">
        <f t="shared" si="29"/>
        <v>#DIV/0!</v>
      </c>
      <c r="AU22" s="83">
        <v>1</v>
      </c>
      <c r="AV22" s="84">
        <v>1</v>
      </c>
      <c r="AW22" s="73">
        <f t="shared" si="30"/>
        <v>1</v>
      </c>
      <c r="AX22" s="83">
        <f>(+AV22+AM22+AB22+S22)/4</f>
        <v>1</v>
      </c>
      <c r="AY22" s="73">
        <f t="shared" si="32"/>
        <v>1</v>
      </c>
    </row>
    <row r="23" spans="1:51" s="22" customFormat="1" ht="46.5" thickTop="1" thickBot="1">
      <c r="A23" s="2944"/>
      <c r="B23" s="2849"/>
      <c r="C23" s="2912"/>
      <c r="D23" s="89" t="s">
        <v>177</v>
      </c>
      <c r="E23" s="90" t="s">
        <v>127</v>
      </c>
      <c r="F23" s="76" t="s">
        <v>10</v>
      </c>
      <c r="G23" s="91">
        <v>0.6</v>
      </c>
      <c r="H23" s="78"/>
      <c r="I23" s="91"/>
      <c r="J23" s="78"/>
      <c r="K23" s="76" t="s">
        <v>7</v>
      </c>
      <c r="L23" s="92">
        <v>0.6</v>
      </c>
      <c r="M23" s="2097">
        <v>0.6</v>
      </c>
      <c r="N23" s="73">
        <f t="shared" si="17"/>
        <v>1</v>
      </c>
      <c r="O23" s="92">
        <v>0.6</v>
      </c>
      <c r="P23" s="2097">
        <v>0.6</v>
      </c>
      <c r="Q23" s="73">
        <f t="shared" si="18"/>
        <v>1</v>
      </c>
      <c r="R23" s="92">
        <v>0.6</v>
      </c>
      <c r="S23" s="2097">
        <v>0.6</v>
      </c>
      <c r="T23" s="73">
        <f t="shared" si="19"/>
        <v>1</v>
      </c>
      <c r="U23" s="92">
        <v>0.6</v>
      </c>
      <c r="V23" s="2097">
        <v>0.6</v>
      </c>
      <c r="W23" s="73">
        <f t="shared" si="20"/>
        <v>1</v>
      </c>
      <c r="X23" s="92">
        <v>0.6</v>
      </c>
      <c r="Y23" s="2097">
        <v>0.6</v>
      </c>
      <c r="Z23" s="73">
        <f t="shared" si="21"/>
        <v>1</v>
      </c>
      <c r="AA23" s="92">
        <v>0.6</v>
      </c>
      <c r="AB23" s="2097">
        <v>0.6</v>
      </c>
      <c r="AC23" s="73">
        <f t="shared" si="22"/>
        <v>1</v>
      </c>
      <c r="AD23" s="2097">
        <f>(+M23+P23+S23+V23+Y23+AB23)/6</f>
        <v>0.6</v>
      </c>
      <c r="AE23" s="73">
        <f t="shared" si="24"/>
        <v>1</v>
      </c>
      <c r="AF23" s="92">
        <v>0.6</v>
      </c>
      <c r="AG23" s="2097">
        <v>0.6</v>
      </c>
      <c r="AH23" s="73">
        <f t="shared" si="25"/>
        <v>1</v>
      </c>
      <c r="AI23" s="92">
        <v>0.6</v>
      </c>
      <c r="AJ23" s="2097">
        <v>0.6</v>
      </c>
      <c r="AK23" s="73">
        <f t="shared" si="26"/>
        <v>1</v>
      </c>
      <c r="AL23" s="92">
        <v>0.6</v>
      </c>
      <c r="AM23" s="2097">
        <v>0.6</v>
      </c>
      <c r="AN23" s="73">
        <f t="shared" si="27"/>
        <v>1</v>
      </c>
      <c r="AO23" s="92">
        <v>0.6</v>
      </c>
      <c r="AP23" s="2097">
        <v>0.6</v>
      </c>
      <c r="AQ23" s="73">
        <f t="shared" si="28"/>
        <v>1</v>
      </c>
      <c r="AR23" s="92">
        <v>0.6</v>
      </c>
      <c r="AS23" s="2097">
        <v>0.6</v>
      </c>
      <c r="AT23" s="73">
        <f t="shared" si="29"/>
        <v>1</v>
      </c>
      <c r="AU23" s="92">
        <v>0.6</v>
      </c>
      <c r="AV23" s="2097">
        <v>0.6</v>
      </c>
      <c r="AW23" s="73">
        <f t="shared" si="30"/>
        <v>1</v>
      </c>
      <c r="AX23" s="92">
        <f>(+M23+P23+S23+V23+Y23+AB23+AG23+AJ23+AM23+AP23+AS23+AV23)/12</f>
        <v>0.59999999999999987</v>
      </c>
      <c r="AY23" s="73">
        <f t="shared" si="32"/>
        <v>0.99999999999999978</v>
      </c>
    </row>
    <row r="24" spans="1:51" s="22" customFormat="1" ht="61.5" thickTop="1" thickBot="1">
      <c r="A24" s="2944"/>
      <c r="B24" s="2849"/>
      <c r="C24" s="2912"/>
      <c r="D24" s="86" t="s">
        <v>128</v>
      </c>
      <c r="E24" s="87" t="s">
        <v>178</v>
      </c>
      <c r="F24" s="81" t="s">
        <v>10</v>
      </c>
      <c r="G24" s="88">
        <v>1</v>
      </c>
      <c r="H24" s="82"/>
      <c r="I24" s="88"/>
      <c r="J24" s="82"/>
      <c r="K24" s="81" t="s">
        <v>7</v>
      </c>
      <c r="L24" s="83">
        <v>1</v>
      </c>
      <c r="M24" s="84">
        <v>1</v>
      </c>
      <c r="N24" s="73">
        <f t="shared" si="17"/>
        <v>1</v>
      </c>
      <c r="O24" s="83">
        <v>1</v>
      </c>
      <c r="P24" s="84">
        <v>1</v>
      </c>
      <c r="Q24" s="73">
        <f t="shared" si="18"/>
        <v>1</v>
      </c>
      <c r="R24" s="83">
        <v>1</v>
      </c>
      <c r="S24" s="84">
        <v>1</v>
      </c>
      <c r="T24" s="73">
        <f t="shared" si="19"/>
        <v>1</v>
      </c>
      <c r="U24" s="83">
        <v>1</v>
      </c>
      <c r="V24" s="84">
        <v>1</v>
      </c>
      <c r="W24" s="73">
        <f t="shared" si="20"/>
        <v>1</v>
      </c>
      <c r="X24" s="83">
        <v>1</v>
      </c>
      <c r="Y24" s="84">
        <v>1</v>
      </c>
      <c r="Z24" s="73">
        <f t="shared" si="21"/>
        <v>1</v>
      </c>
      <c r="AA24" s="83">
        <v>1</v>
      </c>
      <c r="AB24" s="84">
        <v>1</v>
      </c>
      <c r="AC24" s="73">
        <f t="shared" si="22"/>
        <v>1</v>
      </c>
      <c r="AD24" s="84">
        <f>(+M24+P24+S24+V24+Y24+AB24)/6</f>
        <v>1</v>
      </c>
      <c r="AE24" s="73">
        <f t="shared" si="24"/>
        <v>1</v>
      </c>
      <c r="AF24" s="83">
        <v>1</v>
      </c>
      <c r="AG24" s="84">
        <v>1</v>
      </c>
      <c r="AH24" s="73">
        <f t="shared" si="25"/>
        <v>1</v>
      </c>
      <c r="AI24" s="83">
        <v>1</v>
      </c>
      <c r="AJ24" s="84">
        <v>1</v>
      </c>
      <c r="AK24" s="73">
        <f t="shared" si="26"/>
        <v>1</v>
      </c>
      <c r="AL24" s="83">
        <v>1</v>
      </c>
      <c r="AM24" s="84">
        <v>1</v>
      </c>
      <c r="AN24" s="73">
        <f t="shared" si="27"/>
        <v>1</v>
      </c>
      <c r="AO24" s="83">
        <v>1</v>
      </c>
      <c r="AP24" s="84">
        <v>1</v>
      </c>
      <c r="AQ24" s="73">
        <f t="shared" si="28"/>
        <v>1</v>
      </c>
      <c r="AR24" s="83">
        <v>1</v>
      </c>
      <c r="AS24" s="84">
        <v>1</v>
      </c>
      <c r="AT24" s="73">
        <f t="shared" si="29"/>
        <v>1</v>
      </c>
      <c r="AU24" s="83">
        <v>1</v>
      </c>
      <c r="AV24" s="84">
        <v>1</v>
      </c>
      <c r="AW24" s="73">
        <f t="shared" si="30"/>
        <v>1</v>
      </c>
      <c r="AX24" s="83">
        <f>(+M24+P24+S24+V24+Y24+AB24+AG24+AJ24+AM24+AP24+AS24+AV24)/12</f>
        <v>1</v>
      </c>
      <c r="AY24" s="73">
        <f t="shared" si="32"/>
        <v>1</v>
      </c>
    </row>
    <row r="25" spans="1:51" s="22" customFormat="1" ht="61.5" thickTop="1" thickBot="1">
      <c r="A25" s="2944"/>
      <c r="B25" s="2849"/>
      <c r="C25" s="2912"/>
      <c r="D25" s="89" t="s">
        <v>179</v>
      </c>
      <c r="E25" s="90" t="s">
        <v>131</v>
      </c>
      <c r="F25" s="76" t="s">
        <v>10</v>
      </c>
      <c r="G25" s="91">
        <v>1</v>
      </c>
      <c r="H25" s="78"/>
      <c r="I25" s="91"/>
      <c r="J25" s="78"/>
      <c r="K25" s="76" t="s">
        <v>7</v>
      </c>
      <c r="L25" s="92">
        <v>1</v>
      </c>
      <c r="M25" s="2097"/>
      <c r="N25" s="73">
        <f t="shared" si="17"/>
        <v>0</v>
      </c>
      <c r="O25" s="92">
        <v>1</v>
      </c>
      <c r="P25" s="2097"/>
      <c r="Q25" s="73">
        <f t="shared" si="18"/>
        <v>0</v>
      </c>
      <c r="R25" s="92">
        <v>1</v>
      </c>
      <c r="S25" s="2097"/>
      <c r="T25" s="73">
        <f t="shared" si="19"/>
        <v>0</v>
      </c>
      <c r="U25" s="92">
        <v>1</v>
      </c>
      <c r="V25" s="2097">
        <v>0.05</v>
      </c>
      <c r="W25" s="73">
        <f t="shared" si="20"/>
        <v>0.05</v>
      </c>
      <c r="X25" s="92">
        <v>1</v>
      </c>
      <c r="Y25" s="2097">
        <v>0.3</v>
      </c>
      <c r="Z25" s="73">
        <f t="shared" si="21"/>
        <v>0.3</v>
      </c>
      <c r="AA25" s="92">
        <v>1</v>
      </c>
      <c r="AB25" s="2097">
        <v>0.35</v>
      </c>
      <c r="AC25" s="73">
        <f t="shared" si="22"/>
        <v>0.35</v>
      </c>
      <c r="AD25" s="2097">
        <f>(+M25+P25+S25+V25+Y25+AB25)/6</f>
        <v>0.11666666666666665</v>
      </c>
      <c r="AE25" s="73">
        <f t="shared" si="24"/>
        <v>0.11666666666666665</v>
      </c>
      <c r="AF25" s="92">
        <v>1</v>
      </c>
      <c r="AG25" s="2097">
        <v>0.5</v>
      </c>
      <c r="AH25" s="73">
        <f t="shared" si="25"/>
        <v>0.5</v>
      </c>
      <c r="AI25" s="92">
        <v>1</v>
      </c>
      <c r="AJ25" s="2097">
        <v>0.6</v>
      </c>
      <c r="AK25" s="73">
        <f t="shared" si="26"/>
        <v>0.6</v>
      </c>
      <c r="AL25" s="92">
        <v>1</v>
      </c>
      <c r="AM25" s="2097">
        <v>0.7</v>
      </c>
      <c r="AN25" s="73">
        <f t="shared" si="27"/>
        <v>0.7</v>
      </c>
      <c r="AO25" s="92">
        <v>1</v>
      </c>
      <c r="AP25" s="2097">
        <v>0.7</v>
      </c>
      <c r="AQ25" s="73">
        <f t="shared" si="28"/>
        <v>0.7</v>
      </c>
      <c r="AR25" s="92">
        <v>1</v>
      </c>
      <c r="AS25" s="2097">
        <v>0.75</v>
      </c>
      <c r="AT25" s="73">
        <f t="shared" si="29"/>
        <v>0.75</v>
      </c>
      <c r="AU25" s="92">
        <v>1</v>
      </c>
      <c r="AV25" s="2097">
        <v>0.2</v>
      </c>
      <c r="AW25" s="73">
        <f t="shared" si="30"/>
        <v>0.2</v>
      </c>
      <c r="AX25" s="92">
        <f>(+M25+P25+S25+V25+Y25+AB25+AG25+AJ25+AM25+AP25+AS25+AV25)/12</f>
        <v>0.34583333333333338</v>
      </c>
      <c r="AY25" s="73">
        <f t="shared" si="32"/>
        <v>0.34583333333333338</v>
      </c>
    </row>
    <row r="26" spans="1:51" s="22" customFormat="1" ht="61.5" thickTop="1" thickBot="1">
      <c r="A26" s="2944"/>
      <c r="B26" s="2850"/>
      <c r="C26" s="2913"/>
      <c r="D26" s="86" t="s">
        <v>132</v>
      </c>
      <c r="E26" s="87" t="s">
        <v>133</v>
      </c>
      <c r="F26" s="81" t="s">
        <v>10</v>
      </c>
      <c r="G26" s="88">
        <v>1</v>
      </c>
      <c r="H26" s="81"/>
      <c r="I26" s="88"/>
      <c r="J26" s="2604"/>
      <c r="K26" s="81" t="s">
        <v>7</v>
      </c>
      <c r="L26" s="2605">
        <v>0</v>
      </c>
      <c r="M26" s="84"/>
      <c r="N26" s="73" t="e">
        <f t="shared" si="17"/>
        <v>#DIV/0!</v>
      </c>
      <c r="O26" s="83">
        <v>0</v>
      </c>
      <c r="P26" s="84"/>
      <c r="Q26" s="73" t="e">
        <f t="shared" si="18"/>
        <v>#DIV/0!</v>
      </c>
      <c r="R26" s="83">
        <v>0</v>
      </c>
      <c r="S26" s="84"/>
      <c r="T26" s="73" t="e">
        <f t="shared" si="19"/>
        <v>#DIV/0!</v>
      </c>
      <c r="U26" s="83">
        <v>0</v>
      </c>
      <c r="V26" s="84"/>
      <c r="W26" s="73" t="e">
        <f t="shared" si="20"/>
        <v>#DIV/0!</v>
      </c>
      <c r="X26" s="83">
        <v>0</v>
      </c>
      <c r="Y26" s="84"/>
      <c r="Z26" s="73" t="e">
        <f t="shared" si="21"/>
        <v>#DIV/0!</v>
      </c>
      <c r="AA26" s="83">
        <v>0</v>
      </c>
      <c r="AB26" s="84"/>
      <c r="AC26" s="73" t="e">
        <f t="shared" si="22"/>
        <v>#DIV/0!</v>
      </c>
      <c r="AD26" s="84">
        <f t="shared" si="23"/>
        <v>0</v>
      </c>
      <c r="AE26" s="73">
        <f t="shared" si="24"/>
        <v>0</v>
      </c>
      <c r="AF26" s="83">
        <v>0</v>
      </c>
      <c r="AG26" s="84"/>
      <c r="AH26" s="73" t="e">
        <f t="shared" si="25"/>
        <v>#DIV/0!</v>
      </c>
      <c r="AI26" s="83">
        <v>1</v>
      </c>
      <c r="AJ26" s="84">
        <v>1</v>
      </c>
      <c r="AK26" s="73">
        <f t="shared" si="26"/>
        <v>1</v>
      </c>
      <c r="AL26" s="83">
        <v>0</v>
      </c>
      <c r="AM26" s="84"/>
      <c r="AN26" s="73" t="e">
        <f t="shared" si="27"/>
        <v>#DIV/0!</v>
      </c>
      <c r="AO26" s="83">
        <v>0</v>
      </c>
      <c r="AP26" s="84"/>
      <c r="AQ26" s="73" t="e">
        <f t="shared" si="28"/>
        <v>#DIV/0!</v>
      </c>
      <c r="AR26" s="83">
        <v>0</v>
      </c>
      <c r="AS26" s="84"/>
      <c r="AT26" s="73" t="e">
        <f t="shared" si="29"/>
        <v>#DIV/0!</v>
      </c>
      <c r="AU26" s="83">
        <v>0</v>
      </c>
      <c r="AV26" s="84"/>
      <c r="AW26" s="73" t="e">
        <f t="shared" si="30"/>
        <v>#DIV/0!</v>
      </c>
      <c r="AX26" s="83">
        <f>+AJ26</f>
        <v>1</v>
      </c>
      <c r="AY26" s="73">
        <f t="shared" si="32"/>
        <v>1</v>
      </c>
    </row>
    <row r="27" spans="1:51" s="22" customFormat="1" ht="114" thickTop="1" thickBot="1">
      <c r="A27" s="1046"/>
      <c r="B27" s="1169" t="s">
        <v>137</v>
      </c>
      <c r="C27" s="76" t="s">
        <v>180</v>
      </c>
      <c r="D27" s="17" t="s">
        <v>138</v>
      </c>
      <c r="E27" s="76" t="s">
        <v>139</v>
      </c>
      <c r="F27" s="76" t="s">
        <v>101</v>
      </c>
      <c r="G27" s="2375">
        <f>SUM(L27,O27,R27,U27,X27,AA27,AF27,AI27,AL27,AO27,AR27,AU27)</f>
        <v>229999998.22222215</v>
      </c>
      <c r="H27" s="78"/>
      <c r="I27" s="79"/>
      <c r="J27" s="2606"/>
      <c r="K27" s="76" t="s">
        <v>140</v>
      </c>
      <c r="L27" s="2607">
        <v>16666666.666666664</v>
      </c>
      <c r="M27" s="2369">
        <v>46442770</v>
      </c>
      <c r="N27" s="73">
        <f t="shared" si="17"/>
        <v>2.7865662000000002</v>
      </c>
      <c r="O27" s="2368">
        <v>16666666.666666664</v>
      </c>
      <c r="P27" s="2369">
        <v>20054957</v>
      </c>
      <c r="Q27" s="73">
        <f t="shared" si="18"/>
        <v>1.2032974200000002</v>
      </c>
      <c r="R27" s="2368">
        <v>16666666.666666664</v>
      </c>
      <c r="S27" s="2369">
        <v>33220324</v>
      </c>
      <c r="T27" s="73">
        <f t="shared" si="19"/>
        <v>1.9932194400000003</v>
      </c>
      <c r="U27" s="2368">
        <v>33055555.555555549</v>
      </c>
      <c r="V27" s="2369">
        <v>2116045</v>
      </c>
      <c r="W27" s="73">
        <f t="shared" si="20"/>
        <v>6.4014806722689083E-2</v>
      </c>
      <c r="X27" s="2368">
        <v>33055555.555555549</v>
      </c>
      <c r="Y27" s="2369"/>
      <c r="Z27" s="73">
        <f t="shared" si="21"/>
        <v>0</v>
      </c>
      <c r="AA27" s="2368">
        <v>33055555.555555549</v>
      </c>
      <c r="AB27" s="2369">
        <v>973710</v>
      </c>
      <c r="AC27" s="73">
        <f t="shared" si="22"/>
        <v>2.9456773109243703E-2</v>
      </c>
      <c r="AD27" s="2369">
        <f t="shared" si="23"/>
        <v>102807806</v>
      </c>
      <c r="AE27" s="73">
        <f t="shared" si="24"/>
        <v>0.44699046432456413</v>
      </c>
      <c r="AF27" s="2368">
        <v>33055555.555555549</v>
      </c>
      <c r="AG27" s="2369">
        <v>3277231</v>
      </c>
      <c r="AH27" s="73">
        <f t="shared" si="25"/>
        <v>9.9143122689075658E-2</v>
      </c>
      <c r="AI27" s="2368">
        <v>10988888.479999993</v>
      </c>
      <c r="AJ27" s="2369">
        <v>9291719</v>
      </c>
      <c r="AK27" s="73">
        <f t="shared" si="26"/>
        <v>0.84555585552725587</v>
      </c>
      <c r="AL27" s="2368">
        <v>10988888.479999993</v>
      </c>
      <c r="AM27" s="2369">
        <v>9203806</v>
      </c>
      <c r="AN27" s="73">
        <f t="shared" si="27"/>
        <v>0.83755568333877617</v>
      </c>
      <c r="AO27" s="2368">
        <v>10988888.479999993</v>
      </c>
      <c r="AP27" s="2369">
        <v>32281000</v>
      </c>
      <c r="AQ27" s="73">
        <f t="shared" si="28"/>
        <v>2.9376037493466329</v>
      </c>
      <c r="AR27" s="2368">
        <v>7405555.2799999956</v>
      </c>
      <c r="AS27" s="2369">
        <v>17121939</v>
      </c>
      <c r="AT27" s="73">
        <f t="shared" si="29"/>
        <v>2.3120398609731274</v>
      </c>
      <c r="AU27" s="2368">
        <v>7405555.2799999956</v>
      </c>
      <c r="AV27" s="2369">
        <v>73776650</v>
      </c>
      <c r="AW27" s="73">
        <f t="shared" si="30"/>
        <v>9.9623387052753252</v>
      </c>
      <c r="AX27" s="2368">
        <f t="shared" si="31"/>
        <v>247760151</v>
      </c>
      <c r="AY27" s="73">
        <f t="shared" si="32"/>
        <v>1.0772180561524105</v>
      </c>
    </row>
    <row r="28" spans="1:51" ht="22.5" thickTop="1" thickBot="1">
      <c r="A28" s="2904" t="s">
        <v>141</v>
      </c>
      <c r="B28" s="2904"/>
      <c r="C28" s="2904"/>
      <c r="D28" s="2904"/>
      <c r="E28" s="2904"/>
      <c r="F28" s="2904"/>
      <c r="G28" s="2904"/>
      <c r="H28" s="2904"/>
      <c r="I28" s="2904"/>
      <c r="J28" s="2904"/>
      <c r="K28" s="2941"/>
      <c r="L28" s="93"/>
      <c r="M28" s="896"/>
      <c r="N28" s="1095"/>
      <c r="O28" s="896"/>
      <c r="P28" s="896"/>
      <c r="Q28" s="1095"/>
      <c r="R28" s="896"/>
      <c r="S28" s="896"/>
      <c r="T28" s="1095"/>
      <c r="U28" s="896"/>
      <c r="V28" s="896"/>
      <c r="W28" s="1095"/>
      <c r="X28" s="896"/>
      <c r="Y28" s="896"/>
      <c r="Z28" s="1095"/>
      <c r="AA28" s="896"/>
      <c r="AB28" s="896"/>
      <c r="AC28" s="1095"/>
      <c r="AD28" s="896"/>
      <c r="AE28" s="1095"/>
      <c r="AF28" s="896"/>
      <c r="AG28" s="896"/>
      <c r="AH28" s="1095"/>
      <c r="AI28" s="896"/>
      <c r="AJ28" s="896"/>
      <c r="AK28" s="1095"/>
      <c r="AL28" s="896"/>
      <c r="AM28" s="896"/>
      <c r="AN28" s="1095"/>
      <c r="AO28" s="896"/>
      <c r="AP28" s="896"/>
      <c r="AQ28" s="1095"/>
      <c r="AR28" s="896"/>
      <c r="AS28" s="896"/>
      <c r="AT28" s="1095"/>
      <c r="AU28" s="896"/>
      <c r="AV28" s="896"/>
      <c r="AW28" s="1095"/>
      <c r="AX28" s="896"/>
      <c r="AY28" s="1095"/>
    </row>
    <row r="29" spans="1:51" ht="106.5" thickTop="1" thickBot="1">
      <c r="A29" s="2905" t="s">
        <v>181</v>
      </c>
      <c r="B29" s="2981" t="s">
        <v>143</v>
      </c>
      <c r="C29" s="418" t="s">
        <v>1019</v>
      </c>
      <c r="D29" s="24" t="s">
        <v>144</v>
      </c>
      <c r="E29" s="81" t="s">
        <v>145</v>
      </c>
      <c r="F29" s="81" t="s">
        <v>17</v>
      </c>
      <c r="G29" s="634">
        <f>SUM(L29,O29,R29,U29,X29,AA29,AF29,AI29,AL29,AO29,AR29,AU29)</f>
        <v>320</v>
      </c>
      <c r="H29" s="94"/>
      <c r="I29" s="94"/>
      <c r="J29" s="2608"/>
      <c r="K29" s="25" t="s">
        <v>146</v>
      </c>
      <c r="L29" s="2609">
        <v>0</v>
      </c>
      <c r="M29" s="2610"/>
      <c r="N29" s="73" t="e">
        <f t="shared" si="17"/>
        <v>#DIV/0!</v>
      </c>
      <c r="O29" s="2609">
        <v>0</v>
      </c>
      <c r="P29" s="2610"/>
      <c r="Q29" s="73" t="e">
        <f t="shared" si="18"/>
        <v>#DIV/0!</v>
      </c>
      <c r="R29" s="2609">
        <v>0</v>
      </c>
      <c r="S29" s="2610"/>
      <c r="T29" s="73" t="e">
        <f t="shared" si="19"/>
        <v>#DIV/0!</v>
      </c>
      <c r="U29" s="2609">
        <v>64</v>
      </c>
      <c r="V29" s="2610">
        <v>77</v>
      </c>
      <c r="W29" s="73">
        <f t="shared" si="20"/>
        <v>1.203125</v>
      </c>
      <c r="X29" s="2609">
        <v>0</v>
      </c>
      <c r="Y29" s="2610"/>
      <c r="Z29" s="73" t="e">
        <f t="shared" si="21"/>
        <v>#DIV/0!</v>
      </c>
      <c r="AA29" s="2609">
        <v>0</v>
      </c>
      <c r="AB29" s="2610"/>
      <c r="AC29" s="73" t="e">
        <f t="shared" si="22"/>
        <v>#DIV/0!</v>
      </c>
      <c r="AD29" s="2611">
        <f t="shared" si="23"/>
        <v>77</v>
      </c>
      <c r="AE29" s="73">
        <f t="shared" si="24"/>
        <v>0.24062500000000001</v>
      </c>
      <c r="AF29" s="2609">
        <v>0</v>
      </c>
      <c r="AG29" s="2610"/>
      <c r="AH29" s="73" t="e">
        <f t="shared" si="25"/>
        <v>#DIV/0!</v>
      </c>
      <c r="AI29" s="2609">
        <v>96</v>
      </c>
      <c r="AJ29" s="2610">
        <v>223</v>
      </c>
      <c r="AK29" s="73">
        <f t="shared" si="26"/>
        <v>2.3229166666666665</v>
      </c>
      <c r="AL29" s="2609">
        <v>0</v>
      </c>
      <c r="AM29" s="2610"/>
      <c r="AN29" s="73" t="e">
        <f t="shared" si="27"/>
        <v>#DIV/0!</v>
      </c>
      <c r="AO29" s="2609">
        <v>0</v>
      </c>
      <c r="AP29" s="2610"/>
      <c r="AQ29" s="73" t="e">
        <f t="shared" si="28"/>
        <v>#DIV/0!</v>
      </c>
      <c r="AR29" s="2609">
        <v>0</v>
      </c>
      <c r="AS29" s="2610"/>
      <c r="AT29" s="73" t="e">
        <f t="shared" si="29"/>
        <v>#DIV/0!</v>
      </c>
      <c r="AU29" s="2609">
        <v>160</v>
      </c>
      <c r="AV29" s="2612">
        <v>602</v>
      </c>
      <c r="AW29" s="73">
        <f t="shared" si="30"/>
        <v>3.7625000000000002</v>
      </c>
      <c r="AX29" s="2611">
        <f t="shared" ref="AX29" si="33">+M29+P29+S29+V29+Y29+AB29+AG29+AJ29+AM29+AP29+AS29+AV29</f>
        <v>902</v>
      </c>
      <c r="AY29" s="73">
        <f t="shared" ref="AY29" si="34">+AX29/G29</f>
        <v>2.8187500000000001</v>
      </c>
    </row>
    <row r="30" spans="1:51" ht="61.5" thickTop="1" thickBot="1">
      <c r="A30" s="2906"/>
      <c r="B30" s="3162"/>
      <c r="C30" s="95" t="s">
        <v>1020</v>
      </c>
      <c r="D30" s="1962" t="s">
        <v>182</v>
      </c>
      <c r="E30" s="1745" t="s">
        <v>149</v>
      </c>
      <c r="F30" s="85" t="s">
        <v>8</v>
      </c>
      <c r="G30" s="85">
        <v>10.199999999999999</v>
      </c>
      <c r="H30" s="96"/>
      <c r="I30" s="33"/>
      <c r="J30" s="2613"/>
      <c r="K30" s="561" t="s">
        <v>9</v>
      </c>
      <c r="L30" s="2614">
        <v>10.199999999999999</v>
      </c>
      <c r="M30" s="2615">
        <v>10.199999999999999</v>
      </c>
      <c r="N30" s="73">
        <f>+L30/M30</f>
        <v>1</v>
      </c>
      <c r="O30" s="2614">
        <v>10.199999999999999</v>
      </c>
      <c r="P30" s="2615">
        <v>10.199999999999999</v>
      </c>
      <c r="Q30" s="73">
        <f>+O30/P30</f>
        <v>1</v>
      </c>
      <c r="R30" s="2614">
        <v>10.199999999999999</v>
      </c>
      <c r="S30" s="2615">
        <v>10.199999999999999</v>
      </c>
      <c r="T30" s="73">
        <f>+R30/S30</f>
        <v>1</v>
      </c>
      <c r="U30" s="2614">
        <v>10.199999999999999</v>
      </c>
      <c r="V30" s="2615">
        <v>10.199999999999999</v>
      </c>
      <c r="W30" s="73">
        <f>+U30/V30</f>
        <v>1</v>
      </c>
      <c r="X30" s="2614">
        <v>10.199999999999999</v>
      </c>
      <c r="Y30" s="2615">
        <v>10.199999999999999</v>
      </c>
      <c r="Z30" s="73">
        <f>+X30/Y30</f>
        <v>1</v>
      </c>
      <c r="AA30" s="2614">
        <v>10.199999999999999</v>
      </c>
      <c r="AB30" s="2615">
        <v>10.199999999999999</v>
      </c>
      <c r="AC30" s="73">
        <f>+AA30/AB30</f>
        <v>1</v>
      </c>
      <c r="AD30" s="2614">
        <f>+(M30+P30+S30+V30+Y30+AB30)/6</f>
        <v>10.200000000000001</v>
      </c>
      <c r="AE30" s="73">
        <f>+G30/AD30</f>
        <v>0.99999999999999978</v>
      </c>
      <c r="AF30" s="2614">
        <v>10.199999999999999</v>
      </c>
      <c r="AG30" s="2615">
        <v>10.199999999999999</v>
      </c>
      <c r="AH30" s="73">
        <f>+AF30/AG30</f>
        <v>1</v>
      </c>
      <c r="AI30" s="2614">
        <v>10.199999999999999</v>
      </c>
      <c r="AJ30" s="2615">
        <v>10.199999999999999</v>
      </c>
      <c r="AK30" s="73">
        <f>+AI30/AJ30</f>
        <v>1</v>
      </c>
      <c r="AL30" s="2614">
        <v>10.199999999999999</v>
      </c>
      <c r="AM30" s="2615">
        <v>10.199999999999999</v>
      </c>
      <c r="AN30" s="73">
        <f>+AL30/AM30</f>
        <v>1</v>
      </c>
      <c r="AO30" s="2614">
        <v>10.199999999999999</v>
      </c>
      <c r="AP30" s="2615">
        <v>10.199999999999999</v>
      </c>
      <c r="AQ30" s="73">
        <f>+AO30/AP30</f>
        <v>1</v>
      </c>
      <c r="AR30" s="2614">
        <v>10.199999999999999</v>
      </c>
      <c r="AS30" s="2615">
        <v>10.199999999999999</v>
      </c>
      <c r="AT30" s="73">
        <f>+AR30/AS30</f>
        <v>1</v>
      </c>
      <c r="AU30" s="2614">
        <v>10.199999999999999</v>
      </c>
      <c r="AV30" s="2615">
        <v>10.199999999999999</v>
      </c>
      <c r="AW30" s="73">
        <f>+AU30/AV30</f>
        <v>1</v>
      </c>
      <c r="AX30" s="2614">
        <f>(+M30+P30+S30+V30+Y30+AB30+AG30+AJ30+AM30+AP30+AS30+AV30)/12</f>
        <v>10.200000000000001</v>
      </c>
      <c r="AY30" s="73">
        <f>+G30/AX30</f>
        <v>0.99999999999999978</v>
      </c>
    </row>
    <row r="31" spans="1:51" customFormat="1" ht="57.75" thickTop="1" thickBot="1">
      <c r="A31" s="2906"/>
      <c r="B31" s="97" t="s">
        <v>150</v>
      </c>
      <c r="C31" s="25" t="s">
        <v>1021</v>
      </c>
      <c r="D31" s="2616" t="s">
        <v>152</v>
      </c>
      <c r="E31" s="25" t="s">
        <v>183</v>
      </c>
      <c r="F31" s="98" t="s">
        <v>17</v>
      </c>
      <c r="G31" s="99">
        <v>37</v>
      </c>
      <c r="H31" s="2617"/>
      <c r="I31" s="2617"/>
      <c r="J31" s="2618"/>
      <c r="K31" s="25" t="s">
        <v>21</v>
      </c>
      <c r="L31" s="2619">
        <v>0</v>
      </c>
      <c r="M31" s="2620"/>
      <c r="N31" s="73" t="e">
        <f>+L31/M31</f>
        <v>#DIV/0!</v>
      </c>
      <c r="O31" s="1946">
        <v>0</v>
      </c>
      <c r="P31" s="2620"/>
      <c r="Q31" s="73" t="e">
        <f>+O31/P31</f>
        <v>#DIV/0!</v>
      </c>
      <c r="R31" s="1946">
        <v>37</v>
      </c>
      <c r="S31" s="2620">
        <v>41</v>
      </c>
      <c r="T31" s="73">
        <f>+R31/S31</f>
        <v>0.90243902439024393</v>
      </c>
      <c r="U31" s="1946">
        <v>37</v>
      </c>
      <c r="V31" s="2620">
        <v>41</v>
      </c>
      <c r="W31" s="73">
        <f>+U31/V31</f>
        <v>0.90243902439024393</v>
      </c>
      <c r="X31" s="1946">
        <v>37</v>
      </c>
      <c r="Y31" s="2620">
        <v>17</v>
      </c>
      <c r="Z31" s="73">
        <f>+X31/Y31</f>
        <v>2.1764705882352939</v>
      </c>
      <c r="AA31" s="1946">
        <v>37</v>
      </c>
      <c r="AB31" s="2620">
        <v>13</v>
      </c>
      <c r="AC31" s="73">
        <f>+AA31/AB31</f>
        <v>2.8461538461538463</v>
      </c>
      <c r="AD31" s="2620">
        <f>(+M31+P31+S31+V31+Y31+AB31)/4</f>
        <v>28</v>
      </c>
      <c r="AE31" s="73">
        <f>+G31/AD31</f>
        <v>1.3214285714285714</v>
      </c>
      <c r="AF31" s="1946">
        <v>37</v>
      </c>
      <c r="AG31" s="2620">
        <v>20</v>
      </c>
      <c r="AH31" s="73">
        <f>+AF31/AG31</f>
        <v>1.85</v>
      </c>
      <c r="AI31" s="1946">
        <v>37</v>
      </c>
      <c r="AJ31" s="2620">
        <v>31</v>
      </c>
      <c r="AK31" s="73">
        <f>+AI31/AJ31</f>
        <v>1.1935483870967742</v>
      </c>
      <c r="AL31" s="1946">
        <v>37</v>
      </c>
      <c r="AM31" s="2620">
        <v>34</v>
      </c>
      <c r="AN31" s="73">
        <f>+AL31/AM31</f>
        <v>1.088235294117647</v>
      </c>
      <c r="AO31" s="1946">
        <v>37</v>
      </c>
      <c r="AP31" s="2620">
        <v>37</v>
      </c>
      <c r="AQ31" s="73">
        <f>+AO31/AP31</f>
        <v>1</v>
      </c>
      <c r="AR31" s="1946">
        <v>37</v>
      </c>
      <c r="AS31" s="2620">
        <v>34</v>
      </c>
      <c r="AT31" s="73">
        <f>+AR31/AS31</f>
        <v>1.088235294117647</v>
      </c>
      <c r="AU31" s="1946">
        <v>37</v>
      </c>
      <c r="AV31" s="2621">
        <v>34</v>
      </c>
      <c r="AW31" s="73">
        <f>+AU31/AV31</f>
        <v>1.088235294117647</v>
      </c>
      <c r="AX31" s="1721">
        <f>(+M31+P31+S31+V31+Y31+AB31+AG31+AJ31+AM31+AP31+AS31+AV31)/10</f>
        <v>30.2</v>
      </c>
      <c r="AY31" s="73">
        <f>+G31/AX31</f>
        <v>1.2251655629139073</v>
      </c>
    </row>
    <row r="32" spans="1:51" s="22" customFormat="1" ht="22.5" thickTop="1" thickBot="1">
      <c r="A32" s="2842" t="s">
        <v>154</v>
      </c>
      <c r="B32" s="2843"/>
      <c r="C32" s="2843"/>
      <c r="D32" s="2843"/>
      <c r="E32" s="2843"/>
      <c r="F32" s="2843"/>
      <c r="G32" s="2843"/>
      <c r="H32" s="2843"/>
      <c r="I32" s="2843"/>
      <c r="J32" s="2843"/>
      <c r="K32" s="2844"/>
      <c r="L32" s="61"/>
      <c r="M32" s="2622"/>
      <c r="N32" s="2470"/>
      <c r="O32" s="2471"/>
      <c r="P32" s="2471"/>
      <c r="Q32" s="2470"/>
      <c r="R32" s="2471"/>
      <c r="S32" s="2471"/>
      <c r="T32" s="2470"/>
      <c r="U32" s="2471"/>
      <c r="V32" s="2471"/>
      <c r="W32" s="2470"/>
      <c r="X32" s="2471"/>
      <c r="Y32" s="2471"/>
      <c r="Z32" s="2470"/>
      <c r="AA32" s="2471"/>
      <c r="AB32" s="2471"/>
      <c r="AC32" s="2470"/>
      <c r="AD32" s="2471"/>
      <c r="AE32" s="2470"/>
      <c r="AF32" s="2471"/>
      <c r="AG32" s="2471"/>
      <c r="AH32" s="2470"/>
      <c r="AI32" s="2471"/>
      <c r="AJ32" s="2471"/>
      <c r="AK32" s="2470"/>
      <c r="AL32" s="2471"/>
      <c r="AM32" s="2471"/>
      <c r="AN32" s="2470"/>
      <c r="AO32" s="2471"/>
      <c r="AP32" s="2471"/>
      <c r="AQ32" s="2470"/>
      <c r="AR32" s="2471"/>
      <c r="AS32" s="2471"/>
      <c r="AT32" s="2470"/>
      <c r="AU32" s="2471"/>
      <c r="AV32" s="2471"/>
      <c r="AW32" s="2470"/>
      <c r="AX32" s="2471"/>
      <c r="AY32" s="2498"/>
    </row>
    <row r="33" spans="1:51" s="899" customFormat="1" ht="64.5" thickTop="1" thickBot="1">
      <c r="A33" s="100" t="s">
        <v>155</v>
      </c>
      <c r="B33" s="1101" t="s">
        <v>156</v>
      </c>
      <c r="C33" s="1106" t="s">
        <v>184</v>
      </c>
      <c r="D33" s="1107" t="s">
        <v>158</v>
      </c>
      <c r="E33" s="1106" t="s">
        <v>159</v>
      </c>
      <c r="F33" s="1106" t="s">
        <v>17</v>
      </c>
      <c r="G33" s="634">
        <f>SUM(L33,O33,R33,U33,X33,AA33,AF33,AI33,AL33,AO33,AR33,AU33)</f>
        <v>10</v>
      </c>
      <c r="H33" s="1106"/>
      <c r="I33" s="1108"/>
      <c r="J33" s="1106"/>
      <c r="K33" s="72" t="s">
        <v>27</v>
      </c>
      <c r="L33" s="2623">
        <v>0</v>
      </c>
      <c r="M33" s="2624"/>
      <c r="N33" s="73" t="e">
        <f>+L33/M33</f>
        <v>#DIV/0!</v>
      </c>
      <c r="O33" s="2623">
        <v>0</v>
      </c>
      <c r="P33" s="2624"/>
      <c r="Q33" s="73" t="e">
        <f>+O33/P33</f>
        <v>#DIV/0!</v>
      </c>
      <c r="R33" s="2623">
        <v>0</v>
      </c>
      <c r="S33" s="2624"/>
      <c r="T33" s="73" t="e">
        <f>+R33/S33</f>
        <v>#DIV/0!</v>
      </c>
      <c r="U33" s="2623">
        <v>0</v>
      </c>
      <c r="V33" s="2624"/>
      <c r="W33" s="73" t="e">
        <f>+U33/V33</f>
        <v>#DIV/0!</v>
      </c>
      <c r="X33" s="2625">
        <v>2</v>
      </c>
      <c r="Y33" s="2626">
        <v>2</v>
      </c>
      <c r="Z33" s="73">
        <f t="shared" si="21"/>
        <v>1</v>
      </c>
      <c r="AA33" s="2623">
        <v>0</v>
      </c>
      <c r="AB33" s="2624"/>
      <c r="AC33" s="73" t="e">
        <f>+AA33/AB33</f>
        <v>#DIV/0!</v>
      </c>
      <c r="AD33" s="2624">
        <f>+M33+P33+S33+V33+Y33+AB33</f>
        <v>2</v>
      </c>
      <c r="AE33" s="73">
        <f>AD33/G33</f>
        <v>0.2</v>
      </c>
      <c r="AF33" s="2625">
        <v>1</v>
      </c>
      <c r="AG33" s="2626">
        <v>1</v>
      </c>
      <c r="AH33" s="73">
        <f t="shared" si="25"/>
        <v>1</v>
      </c>
      <c r="AI33" s="2625">
        <v>3</v>
      </c>
      <c r="AJ33" s="2626">
        <v>3</v>
      </c>
      <c r="AK33" s="73">
        <f t="shared" si="26"/>
        <v>1</v>
      </c>
      <c r="AL33" s="2625">
        <v>1</v>
      </c>
      <c r="AM33" s="2626">
        <v>1</v>
      </c>
      <c r="AN33" s="73">
        <f t="shared" si="27"/>
        <v>1</v>
      </c>
      <c r="AO33" s="2625">
        <v>3</v>
      </c>
      <c r="AP33" s="2626">
        <v>3</v>
      </c>
      <c r="AQ33" s="73">
        <f t="shared" si="28"/>
        <v>1</v>
      </c>
      <c r="AR33" s="2625">
        <v>0</v>
      </c>
      <c r="AS33" s="2626"/>
      <c r="AT33" s="2627" t="e">
        <f t="shared" si="29"/>
        <v>#DIV/0!</v>
      </c>
      <c r="AU33" s="2625">
        <v>0</v>
      </c>
      <c r="AV33" s="2626"/>
      <c r="AW33" s="73" t="e">
        <f t="shared" si="30"/>
        <v>#DIV/0!</v>
      </c>
      <c r="AX33" s="2400">
        <f>+AP33+AM33+AJ33+AG33+Y33</f>
        <v>10</v>
      </c>
      <c r="AY33" s="73">
        <f t="shared" ref="AY33" si="35">+AX33/G33</f>
        <v>1</v>
      </c>
    </row>
    <row r="34" spans="1:51" ht="17.25" thickTop="1"/>
  </sheetData>
  <sheetProtection algorithmName="SHA-512" hashValue="54ggYEApB7X+qLR3eoRm2qr3n4kzwhHhjsDnU1NA+2rIF0SLyDbPJbjMN75FJoy4Ymj8O0B9BMWpNRkRbAr3Zg==" saltValue="pJ6245rRLkfJjoLdZ0lKJg==" spinCount="100000" sheet="1" objects="1" scenarios="1"/>
  <mergeCells count="35">
    <mergeCell ref="A2:K2"/>
    <mergeCell ref="A3:K3"/>
    <mergeCell ref="A5:A7"/>
    <mergeCell ref="B5:B7"/>
    <mergeCell ref="C5:C7"/>
    <mergeCell ref="D5:D7"/>
    <mergeCell ref="E5:E7"/>
    <mergeCell ref="F5:F7"/>
    <mergeCell ref="G5:G7"/>
    <mergeCell ref="H5:J6"/>
    <mergeCell ref="AU5:AW7"/>
    <mergeCell ref="AX5:AY7"/>
    <mergeCell ref="A8:K8"/>
    <mergeCell ref="A9:A26"/>
    <mergeCell ref="B9:B10"/>
    <mergeCell ref="B11:B26"/>
    <mergeCell ref="C12:C15"/>
    <mergeCell ref="C20:C26"/>
    <mergeCell ref="AA5:AC7"/>
    <mergeCell ref="AD5:AE7"/>
    <mergeCell ref="AF5:AH7"/>
    <mergeCell ref="AI5:AK7"/>
    <mergeCell ref="AL5:AN7"/>
    <mergeCell ref="AO5:AQ7"/>
    <mergeCell ref="K5:K7"/>
    <mergeCell ref="L5:N7"/>
    <mergeCell ref="A28:K28"/>
    <mergeCell ref="A29:A31"/>
    <mergeCell ref="B29:B30"/>
    <mergeCell ref="A32:K32"/>
    <mergeCell ref="AR5:AT7"/>
    <mergeCell ref="O5:Q7"/>
    <mergeCell ref="R5:T7"/>
    <mergeCell ref="U5:W7"/>
    <mergeCell ref="X5:Z7"/>
  </mergeCells>
  <conditionalFormatting sqref="N9 N29:N31 N11:N27">
    <cfRule type="cellIs" dxfId="1579" priority="161" operator="greaterThan">
      <formula>110%</formula>
    </cfRule>
    <cfRule type="cellIs" dxfId="1578" priority="162" operator="between">
      <formula>100.001%</formula>
      <formula>110%</formula>
    </cfRule>
    <cfRule type="cellIs" dxfId="1577" priority="163" operator="between">
      <formula>70.001%</formula>
      <formula>100%</formula>
    </cfRule>
    <cfRule type="cellIs" dxfId="1576" priority="164" operator="between">
      <formula>0.00001%</formula>
      <formula>70%</formula>
    </cfRule>
    <cfRule type="cellIs" dxfId="1575" priority="165" operator="equal">
      <formula>0</formula>
    </cfRule>
  </conditionalFormatting>
  <conditionalFormatting sqref="Q9 Q29:Q31 Q11:Q27">
    <cfRule type="cellIs" dxfId="1574" priority="156" operator="greaterThan">
      <formula>110%</formula>
    </cfRule>
    <cfRule type="cellIs" dxfId="1573" priority="157" operator="between">
      <formula>100.001%</formula>
      <formula>110%</formula>
    </cfRule>
    <cfRule type="cellIs" dxfId="1572" priority="158" operator="between">
      <formula>70.001%</formula>
      <formula>100%</formula>
    </cfRule>
    <cfRule type="cellIs" dxfId="1571" priority="159" operator="between">
      <formula>0.00001%</formula>
      <formula>70%</formula>
    </cfRule>
    <cfRule type="cellIs" dxfId="1570" priority="160" operator="equal">
      <formula>0</formula>
    </cfRule>
  </conditionalFormatting>
  <conditionalFormatting sqref="T9 T29:T31 T11:T27">
    <cfRule type="cellIs" dxfId="1569" priority="151" operator="greaterThan">
      <formula>110%</formula>
    </cfRule>
    <cfRule type="cellIs" dxfId="1568" priority="152" operator="between">
      <formula>100.001%</formula>
      <formula>110%</formula>
    </cfRule>
    <cfRule type="cellIs" dxfId="1567" priority="153" operator="between">
      <formula>70.001%</formula>
      <formula>100%</formula>
    </cfRule>
    <cfRule type="cellIs" dxfId="1566" priority="154" operator="between">
      <formula>0.00001%</formula>
      <formula>70%</formula>
    </cfRule>
    <cfRule type="cellIs" dxfId="1565" priority="155" operator="equal">
      <formula>0</formula>
    </cfRule>
  </conditionalFormatting>
  <conditionalFormatting sqref="W9 W29:W31 W11:W27">
    <cfRule type="cellIs" dxfId="1564" priority="146" operator="greaterThan">
      <formula>110%</formula>
    </cfRule>
    <cfRule type="cellIs" dxfId="1563" priority="147" operator="between">
      <formula>100.001%</formula>
      <formula>110%</formula>
    </cfRule>
    <cfRule type="cellIs" dxfId="1562" priority="148" operator="between">
      <formula>70.001%</formula>
      <formula>100%</formula>
    </cfRule>
    <cfRule type="cellIs" dxfId="1561" priority="149" operator="between">
      <formula>0.00001%</formula>
      <formula>70%</formula>
    </cfRule>
    <cfRule type="cellIs" dxfId="1560" priority="150" operator="equal">
      <formula>0</formula>
    </cfRule>
  </conditionalFormatting>
  <conditionalFormatting sqref="Z9 Z33 Z29:Z31 Z11:Z27">
    <cfRule type="cellIs" dxfId="1559" priority="141" operator="greaterThan">
      <formula>110%</formula>
    </cfRule>
    <cfRule type="cellIs" dxfId="1558" priority="142" operator="between">
      <formula>100.001%</formula>
      <formula>110%</formula>
    </cfRule>
    <cfRule type="cellIs" dxfId="1557" priority="143" operator="between">
      <formula>70.001%</formula>
      <formula>100%</formula>
    </cfRule>
    <cfRule type="cellIs" dxfId="1556" priority="144" operator="between">
      <formula>0.00001%</formula>
      <formula>70%</formula>
    </cfRule>
    <cfRule type="cellIs" dxfId="1555" priority="145" operator="equal">
      <formula>0</formula>
    </cfRule>
  </conditionalFormatting>
  <conditionalFormatting sqref="AC9 AC29:AC31 AC11:AC27">
    <cfRule type="cellIs" dxfId="1554" priority="136" operator="greaterThan">
      <formula>110%</formula>
    </cfRule>
    <cfRule type="cellIs" dxfId="1553" priority="137" operator="between">
      <formula>100.001%</formula>
      <formula>110%</formula>
    </cfRule>
    <cfRule type="cellIs" dxfId="1552" priority="138" operator="between">
      <formula>70.001%</formula>
      <formula>100%</formula>
    </cfRule>
    <cfRule type="cellIs" dxfId="1551" priority="139" operator="between">
      <formula>0.00001%</formula>
      <formula>70%</formula>
    </cfRule>
    <cfRule type="cellIs" dxfId="1550" priority="140" operator="equal">
      <formula>0</formula>
    </cfRule>
  </conditionalFormatting>
  <conditionalFormatting sqref="AH9 AH33 AH29:AH31 AH11:AH27">
    <cfRule type="cellIs" dxfId="1549" priority="131" operator="greaterThan">
      <formula>110%</formula>
    </cfRule>
    <cfRule type="cellIs" dxfId="1548" priority="132" operator="between">
      <formula>100.001%</formula>
      <formula>110%</formula>
    </cfRule>
    <cfRule type="cellIs" dxfId="1547" priority="133" operator="between">
      <formula>70.001%</formula>
      <formula>100%</formula>
    </cfRule>
    <cfRule type="cellIs" dxfId="1546" priority="134" operator="between">
      <formula>0.00001%</formula>
      <formula>70%</formula>
    </cfRule>
    <cfRule type="cellIs" dxfId="1545" priority="135" operator="equal">
      <formula>0</formula>
    </cfRule>
  </conditionalFormatting>
  <conditionalFormatting sqref="AK9 AK33 AK29:AK31 AK11:AK27">
    <cfRule type="cellIs" dxfId="1544" priority="126" operator="greaterThan">
      <formula>110%</formula>
    </cfRule>
    <cfRule type="cellIs" dxfId="1543" priority="127" operator="between">
      <formula>100.001%</formula>
      <formula>110%</formula>
    </cfRule>
    <cfRule type="cellIs" dxfId="1542" priority="128" operator="between">
      <formula>70.001%</formula>
      <formula>100%</formula>
    </cfRule>
    <cfRule type="cellIs" dxfId="1541" priority="129" operator="between">
      <formula>0.00001%</formula>
      <formula>70%</formula>
    </cfRule>
    <cfRule type="cellIs" dxfId="1540" priority="130" operator="equal">
      <formula>0</formula>
    </cfRule>
  </conditionalFormatting>
  <conditionalFormatting sqref="AN9 AN33 AN29:AN31 AN11:AN27">
    <cfRule type="cellIs" dxfId="1539" priority="121" operator="greaterThan">
      <formula>110%</formula>
    </cfRule>
    <cfRule type="cellIs" dxfId="1538" priority="122" operator="between">
      <formula>100.001%</formula>
      <formula>110%</formula>
    </cfRule>
    <cfRule type="cellIs" dxfId="1537" priority="123" operator="between">
      <formula>70.001%</formula>
      <formula>100%</formula>
    </cfRule>
    <cfRule type="cellIs" dxfId="1536" priority="124" operator="between">
      <formula>0.00001%</formula>
      <formula>70%</formula>
    </cfRule>
    <cfRule type="cellIs" dxfId="1535" priority="125" operator="equal">
      <formula>0</formula>
    </cfRule>
  </conditionalFormatting>
  <conditionalFormatting sqref="AQ9 AQ33 AQ29:AQ31 AQ11:AQ27">
    <cfRule type="cellIs" dxfId="1534" priority="116" operator="greaterThan">
      <formula>110%</formula>
    </cfRule>
    <cfRule type="cellIs" dxfId="1533" priority="117" operator="between">
      <formula>100.001%</formula>
      <formula>110%</formula>
    </cfRule>
    <cfRule type="cellIs" dxfId="1532" priority="118" operator="between">
      <formula>70.001%</formula>
      <formula>100%</formula>
    </cfRule>
    <cfRule type="cellIs" dxfId="1531" priority="119" operator="between">
      <formula>0.00001%</formula>
      <formula>70%</formula>
    </cfRule>
    <cfRule type="cellIs" dxfId="1530" priority="120" operator="equal">
      <formula>0</formula>
    </cfRule>
  </conditionalFormatting>
  <conditionalFormatting sqref="AT9 AT33 AT29:AT31 AT11:AT27">
    <cfRule type="cellIs" dxfId="1529" priority="111" operator="greaterThan">
      <formula>110%</formula>
    </cfRule>
    <cfRule type="cellIs" dxfId="1528" priority="112" operator="between">
      <formula>100.001%</formula>
      <formula>110%</formula>
    </cfRule>
    <cfRule type="cellIs" dxfId="1527" priority="113" operator="between">
      <formula>70.001%</formula>
      <formula>100%</formula>
    </cfRule>
    <cfRule type="cellIs" dxfId="1526" priority="114" operator="between">
      <formula>0.00001%</formula>
      <formula>70%</formula>
    </cfRule>
    <cfRule type="cellIs" dxfId="1525" priority="115" operator="equal">
      <formula>0</formula>
    </cfRule>
  </conditionalFormatting>
  <conditionalFormatting sqref="AW9 AW33 AW29:AW31 AW11:AW27">
    <cfRule type="cellIs" dxfId="1524" priority="106" operator="greaterThan">
      <formula>110%</formula>
    </cfRule>
    <cfRule type="cellIs" dxfId="1523" priority="107" operator="between">
      <formula>100.001%</formula>
      <formula>110%</formula>
    </cfRule>
    <cfRule type="cellIs" dxfId="1522" priority="108" operator="between">
      <formula>70.001%</formula>
      <formula>100%</formula>
    </cfRule>
    <cfRule type="cellIs" dxfId="1521" priority="109" operator="between">
      <formula>0.00001%</formula>
      <formula>70%</formula>
    </cfRule>
    <cfRule type="cellIs" dxfId="1520" priority="110" operator="equal">
      <formula>0</formula>
    </cfRule>
  </conditionalFormatting>
  <conditionalFormatting sqref="AY9 AY33 AY29:AY31 AY12:AY27">
    <cfRule type="cellIs" dxfId="1519" priority="101" operator="greaterThan">
      <formula>110%</formula>
    </cfRule>
    <cfRule type="cellIs" dxfId="1518" priority="102" operator="between">
      <formula>100.001%</formula>
      <formula>110%</formula>
    </cfRule>
    <cfRule type="cellIs" dxfId="1517" priority="103" operator="between">
      <formula>70.001%</formula>
      <formula>100%</formula>
    </cfRule>
    <cfRule type="cellIs" dxfId="1516" priority="104" operator="between">
      <formula>0.00001%</formula>
      <formula>70%</formula>
    </cfRule>
    <cfRule type="cellIs" dxfId="1515" priority="105" operator="equal">
      <formula>0</formula>
    </cfRule>
  </conditionalFormatting>
  <conditionalFormatting sqref="AE9 AE33 AE29:AE31 AE11:AE27">
    <cfRule type="cellIs" dxfId="1514" priority="96" operator="greaterThan">
      <formula>110%</formula>
    </cfRule>
    <cfRule type="cellIs" dxfId="1513" priority="97" operator="between">
      <formula>100.001%</formula>
      <formula>110%</formula>
    </cfRule>
    <cfRule type="cellIs" dxfId="1512" priority="98" operator="between">
      <formula>70.001%</formula>
      <formula>100%</formula>
    </cfRule>
    <cfRule type="cellIs" dxfId="1511" priority="99" operator="between">
      <formula>0.00001%</formula>
      <formula>70%</formula>
    </cfRule>
    <cfRule type="cellIs" dxfId="1510" priority="100" operator="equal">
      <formula>0</formula>
    </cfRule>
  </conditionalFormatting>
  <conditionalFormatting sqref="N33">
    <cfRule type="cellIs" dxfId="1509" priority="91" operator="greaterThan">
      <formula>110%</formula>
    </cfRule>
    <cfRule type="cellIs" dxfId="1508" priority="92" operator="between">
      <formula>100.001%</formula>
      <formula>110%</formula>
    </cfRule>
    <cfRule type="cellIs" dxfId="1507" priority="93" operator="between">
      <formula>70.001%</formula>
      <formula>100%</formula>
    </cfRule>
    <cfRule type="cellIs" dxfId="1506" priority="94" operator="between">
      <formula>0.00001%</formula>
      <formula>70%</formula>
    </cfRule>
    <cfRule type="cellIs" dxfId="1505" priority="95" operator="equal">
      <formula>0</formula>
    </cfRule>
  </conditionalFormatting>
  <conditionalFormatting sqref="Q33">
    <cfRule type="cellIs" dxfId="1504" priority="86" operator="greaterThan">
      <formula>110%</formula>
    </cfRule>
    <cfRule type="cellIs" dxfId="1503" priority="87" operator="between">
      <formula>100.001%</formula>
      <formula>110%</formula>
    </cfRule>
    <cfRule type="cellIs" dxfId="1502" priority="88" operator="between">
      <formula>70.001%</formula>
      <formula>100%</formula>
    </cfRule>
    <cfRule type="cellIs" dxfId="1501" priority="89" operator="between">
      <formula>0.00001%</formula>
      <formula>70%</formula>
    </cfRule>
    <cfRule type="cellIs" dxfId="1500" priority="90" operator="equal">
      <formula>0</formula>
    </cfRule>
  </conditionalFormatting>
  <conditionalFormatting sqref="T33">
    <cfRule type="cellIs" dxfId="1499" priority="81" operator="greaterThan">
      <formula>110%</formula>
    </cfRule>
    <cfRule type="cellIs" dxfId="1498" priority="82" operator="between">
      <formula>100.001%</formula>
      <formula>110%</formula>
    </cfRule>
    <cfRule type="cellIs" dxfId="1497" priority="83" operator="between">
      <formula>70.001%</formula>
      <formula>100%</formula>
    </cfRule>
    <cfRule type="cellIs" dxfId="1496" priority="84" operator="between">
      <formula>0.00001%</formula>
      <formula>70%</formula>
    </cfRule>
    <cfRule type="cellIs" dxfId="1495" priority="85" operator="equal">
      <formula>0</formula>
    </cfRule>
  </conditionalFormatting>
  <conditionalFormatting sqref="W33">
    <cfRule type="cellIs" dxfId="1494" priority="76" operator="greaterThan">
      <formula>110%</formula>
    </cfRule>
    <cfRule type="cellIs" dxfId="1493" priority="77" operator="between">
      <formula>100.001%</formula>
      <formula>110%</formula>
    </cfRule>
    <cfRule type="cellIs" dxfId="1492" priority="78" operator="between">
      <formula>70.001%</formula>
      <formula>100%</formula>
    </cfRule>
    <cfRule type="cellIs" dxfId="1491" priority="79" operator="between">
      <formula>0.00001%</formula>
      <formula>70%</formula>
    </cfRule>
    <cfRule type="cellIs" dxfId="1490" priority="80" operator="equal">
      <formula>0</formula>
    </cfRule>
  </conditionalFormatting>
  <conditionalFormatting sqref="AC33">
    <cfRule type="cellIs" dxfId="1489" priority="71" operator="greaterThan">
      <formula>110%</formula>
    </cfRule>
    <cfRule type="cellIs" dxfId="1488" priority="72" operator="between">
      <formula>100.001%</formula>
      <formula>110%</formula>
    </cfRule>
    <cfRule type="cellIs" dxfId="1487" priority="73" operator="between">
      <formula>70.001%</formula>
      <formula>100%</formula>
    </cfRule>
    <cfRule type="cellIs" dxfId="1486" priority="74" operator="between">
      <formula>0.00001%</formula>
      <formula>70%</formula>
    </cfRule>
    <cfRule type="cellIs" dxfId="1485" priority="75" operator="equal">
      <formula>0</formula>
    </cfRule>
  </conditionalFormatting>
  <conditionalFormatting sqref="N10">
    <cfRule type="cellIs" dxfId="1484" priority="66" operator="greaterThan">
      <formula>110%</formula>
    </cfRule>
    <cfRule type="cellIs" dxfId="1483" priority="67" operator="between">
      <formula>100.001%</formula>
      <formula>110%</formula>
    </cfRule>
    <cfRule type="cellIs" dxfId="1482" priority="68" operator="between">
      <formula>70.001%</formula>
      <formula>100%</formula>
    </cfRule>
    <cfRule type="cellIs" dxfId="1481" priority="69" operator="between">
      <formula>0.00001%</formula>
      <formula>70%</formula>
    </cfRule>
    <cfRule type="cellIs" dxfId="1480" priority="70" operator="equal">
      <formula>0</formula>
    </cfRule>
  </conditionalFormatting>
  <conditionalFormatting sqref="Q10">
    <cfRule type="cellIs" dxfId="1479" priority="61" operator="greaterThan">
      <formula>110%</formula>
    </cfRule>
    <cfRule type="cellIs" dxfId="1478" priority="62" operator="between">
      <formula>100.001%</formula>
      <formula>110%</formula>
    </cfRule>
    <cfRule type="cellIs" dxfId="1477" priority="63" operator="between">
      <formula>70.001%</formula>
      <formula>100%</formula>
    </cfRule>
    <cfRule type="cellIs" dxfId="1476" priority="64" operator="between">
      <formula>0.00001%</formula>
      <formula>70%</formula>
    </cfRule>
    <cfRule type="cellIs" dxfId="1475" priority="65" operator="equal">
      <formula>0</formula>
    </cfRule>
  </conditionalFormatting>
  <conditionalFormatting sqref="T10">
    <cfRule type="cellIs" dxfId="1474" priority="56" operator="greaterThan">
      <formula>110%</formula>
    </cfRule>
    <cfRule type="cellIs" dxfId="1473" priority="57" operator="between">
      <formula>100.001%</formula>
      <formula>110%</formula>
    </cfRule>
    <cfRule type="cellIs" dxfId="1472" priority="58" operator="between">
      <formula>70.001%</formula>
      <formula>100%</formula>
    </cfRule>
    <cfRule type="cellIs" dxfId="1471" priority="59" operator="between">
      <formula>0.00001%</formula>
      <formula>70%</formula>
    </cfRule>
    <cfRule type="cellIs" dxfId="1470" priority="60" operator="equal">
      <formula>0</formula>
    </cfRule>
  </conditionalFormatting>
  <conditionalFormatting sqref="W10">
    <cfRule type="cellIs" dxfId="1469" priority="51" operator="greaterThan">
      <formula>110%</formula>
    </cfRule>
    <cfRule type="cellIs" dxfId="1468" priority="52" operator="between">
      <formula>100.001%</formula>
      <formula>110%</formula>
    </cfRule>
    <cfRule type="cellIs" dxfId="1467" priority="53" operator="between">
      <formula>70.001%</formula>
      <formula>100%</formula>
    </cfRule>
    <cfRule type="cellIs" dxfId="1466" priority="54" operator="between">
      <formula>0.00001%</formula>
      <formula>70%</formula>
    </cfRule>
    <cfRule type="cellIs" dxfId="1465" priority="55" operator="equal">
      <formula>0</formula>
    </cfRule>
  </conditionalFormatting>
  <conditionalFormatting sqref="Z10">
    <cfRule type="cellIs" dxfId="1464" priority="46" operator="greaterThan">
      <formula>110%</formula>
    </cfRule>
    <cfRule type="cellIs" dxfId="1463" priority="47" operator="between">
      <formula>100.001%</formula>
      <formula>110%</formula>
    </cfRule>
    <cfRule type="cellIs" dxfId="1462" priority="48" operator="between">
      <formula>70.001%</formula>
      <formula>100%</formula>
    </cfRule>
    <cfRule type="cellIs" dxfId="1461" priority="49" operator="between">
      <formula>0.00001%</formula>
      <formula>70%</formula>
    </cfRule>
    <cfRule type="cellIs" dxfId="1460" priority="50" operator="equal">
      <formula>0</formula>
    </cfRule>
  </conditionalFormatting>
  <conditionalFormatting sqref="AC10">
    <cfRule type="cellIs" dxfId="1459" priority="41" operator="greaterThan">
      <formula>110%</formula>
    </cfRule>
    <cfRule type="cellIs" dxfId="1458" priority="42" operator="between">
      <formula>100.001%</formula>
      <formula>110%</formula>
    </cfRule>
    <cfRule type="cellIs" dxfId="1457" priority="43" operator="between">
      <formula>70.001%</formula>
      <formula>100%</formula>
    </cfRule>
    <cfRule type="cellIs" dxfId="1456" priority="44" operator="between">
      <formula>0.00001%</formula>
      <formula>70%</formula>
    </cfRule>
    <cfRule type="cellIs" dxfId="1455" priority="45" operator="equal">
      <formula>0</formula>
    </cfRule>
  </conditionalFormatting>
  <conditionalFormatting sqref="AH10">
    <cfRule type="cellIs" dxfId="1454" priority="36" operator="greaterThan">
      <formula>110%</formula>
    </cfRule>
    <cfRule type="cellIs" dxfId="1453" priority="37" operator="between">
      <formula>100.001%</formula>
      <formula>110%</formula>
    </cfRule>
    <cfRule type="cellIs" dxfId="1452" priority="38" operator="between">
      <formula>70.001%</formula>
      <formula>100%</formula>
    </cfRule>
    <cfRule type="cellIs" dxfId="1451" priority="39" operator="between">
      <formula>0.00001%</formula>
      <formula>70%</formula>
    </cfRule>
    <cfRule type="cellIs" dxfId="1450" priority="40" operator="equal">
      <formula>0</formula>
    </cfRule>
  </conditionalFormatting>
  <conditionalFormatting sqref="AK10">
    <cfRule type="cellIs" dxfId="1449" priority="31" operator="greaterThan">
      <formula>110%</formula>
    </cfRule>
    <cfRule type="cellIs" dxfId="1448" priority="32" operator="between">
      <formula>100.001%</formula>
      <formula>110%</formula>
    </cfRule>
    <cfRule type="cellIs" dxfId="1447" priority="33" operator="between">
      <formula>70.001%</formula>
      <formula>100%</formula>
    </cfRule>
    <cfRule type="cellIs" dxfId="1446" priority="34" operator="between">
      <formula>0.00001%</formula>
      <formula>70%</formula>
    </cfRule>
    <cfRule type="cellIs" dxfId="1445" priority="35" operator="equal">
      <formula>0</formula>
    </cfRule>
  </conditionalFormatting>
  <conditionalFormatting sqref="AN10">
    <cfRule type="cellIs" dxfId="1444" priority="26" operator="greaterThan">
      <formula>110%</formula>
    </cfRule>
    <cfRule type="cellIs" dxfId="1443" priority="27" operator="between">
      <formula>100.001%</formula>
      <formula>110%</formula>
    </cfRule>
    <cfRule type="cellIs" dxfId="1442" priority="28" operator="between">
      <formula>70.001%</formula>
      <formula>100%</formula>
    </cfRule>
    <cfRule type="cellIs" dxfId="1441" priority="29" operator="between">
      <formula>0.00001%</formula>
      <formula>70%</formula>
    </cfRule>
    <cfRule type="cellIs" dxfId="1440" priority="30" operator="equal">
      <formula>0</formula>
    </cfRule>
  </conditionalFormatting>
  <conditionalFormatting sqref="AQ10">
    <cfRule type="cellIs" dxfId="1439" priority="21" operator="greaterThan">
      <formula>110%</formula>
    </cfRule>
    <cfRule type="cellIs" dxfId="1438" priority="22" operator="between">
      <formula>100.001%</formula>
      <formula>110%</formula>
    </cfRule>
    <cfRule type="cellIs" dxfId="1437" priority="23" operator="between">
      <formula>70.001%</formula>
      <formula>100%</formula>
    </cfRule>
    <cfRule type="cellIs" dxfId="1436" priority="24" operator="between">
      <formula>0.00001%</formula>
      <formula>70%</formula>
    </cfRule>
    <cfRule type="cellIs" dxfId="1435" priority="25" operator="equal">
      <formula>0</formula>
    </cfRule>
  </conditionalFormatting>
  <conditionalFormatting sqref="AT10">
    <cfRule type="cellIs" dxfId="1434" priority="16" operator="greaterThan">
      <formula>110%</formula>
    </cfRule>
    <cfRule type="cellIs" dxfId="1433" priority="17" operator="between">
      <formula>100.001%</formula>
      <formula>110%</formula>
    </cfRule>
    <cfRule type="cellIs" dxfId="1432" priority="18" operator="between">
      <formula>70.001%</formula>
      <formula>100%</formula>
    </cfRule>
    <cfRule type="cellIs" dxfId="1431" priority="19" operator="between">
      <formula>0.00001%</formula>
      <formula>70%</formula>
    </cfRule>
    <cfRule type="cellIs" dxfId="1430" priority="20" operator="equal">
      <formula>0</formula>
    </cfRule>
  </conditionalFormatting>
  <conditionalFormatting sqref="AW10">
    <cfRule type="cellIs" dxfId="1429" priority="11" operator="greaterThan">
      <formula>110%</formula>
    </cfRule>
    <cfRule type="cellIs" dxfId="1428" priority="12" operator="between">
      <formula>100.001%</formula>
      <formula>110%</formula>
    </cfRule>
    <cfRule type="cellIs" dxfId="1427" priority="13" operator="between">
      <formula>70.001%</formula>
      <formula>100%</formula>
    </cfRule>
    <cfRule type="cellIs" dxfId="1426" priority="14" operator="between">
      <formula>0.00001%</formula>
      <formula>70%</formula>
    </cfRule>
    <cfRule type="cellIs" dxfId="1425" priority="15" operator="equal">
      <formula>0</formula>
    </cfRule>
  </conditionalFormatting>
  <conditionalFormatting sqref="AY10:AY11">
    <cfRule type="cellIs" dxfId="1424" priority="6" operator="greaterThan">
      <formula>110%</formula>
    </cfRule>
    <cfRule type="cellIs" dxfId="1423" priority="7" operator="between">
      <formula>100.001%</formula>
      <formula>110%</formula>
    </cfRule>
    <cfRule type="cellIs" dxfId="1422" priority="8" operator="between">
      <formula>70.001%</formula>
      <formula>100%</formula>
    </cfRule>
    <cfRule type="cellIs" dxfId="1421" priority="9" operator="between">
      <formula>0.00001%</formula>
      <formula>70%</formula>
    </cfRule>
    <cfRule type="cellIs" dxfId="1420" priority="10" operator="equal">
      <formula>0</formula>
    </cfRule>
  </conditionalFormatting>
  <conditionalFormatting sqref="AE10">
    <cfRule type="cellIs" dxfId="1419" priority="1" operator="greaterThan">
      <formula>110%</formula>
    </cfRule>
    <cfRule type="cellIs" dxfId="1418" priority="2" operator="between">
      <formula>100.001%</formula>
      <formula>110%</formula>
    </cfRule>
    <cfRule type="cellIs" dxfId="1417" priority="3" operator="between">
      <formula>70.001%</formula>
      <formula>100%</formula>
    </cfRule>
    <cfRule type="cellIs" dxfId="1416" priority="4" operator="between">
      <formula>0.00001%</formula>
      <formula>70%</formula>
    </cfRule>
    <cfRule type="cellIs" dxfId="1415" priority="5" operator="equal">
      <formula>0</formula>
    </cfRule>
  </conditionalFormatting>
  <hyperlinks>
    <hyperlink ref="D11" location="'IN1-3'!A1" display="IN1-3  Recaudo Bruto" xr:uid="{00000000-0004-0000-2A00-000000000000}"/>
    <hyperlink ref="D12" location="'FIS-4'!A1" display="FIS-4  Gestión efectiva en fiscalización tributaria" xr:uid="{00000000-0004-0000-2A00-000001000000}"/>
    <hyperlink ref="D13" location="'FIS-10'!A1" display="FIS-10  Gestión aceptada en fiscalización tributaria" xr:uid="{00000000-0004-0000-2A00-000002000000}"/>
    <hyperlink ref="D14" location="'FIS-27'!A1" display="FIS-27  Reclasificación de no responsables a responsables" xr:uid="{00000000-0004-0000-2A00-000003000000}"/>
    <hyperlink ref="D15" location="'FIS-17'!A1" display="FIS-17 Evacuación de expedientes en fiscalización tributaria" xr:uid="{00000000-0004-0000-2A00-000004000000}"/>
    <hyperlink ref="D16" location="'IN1-4'!A1" display="IN1-4  Recaudo por gestión de cartera" xr:uid="{00000000-0004-0000-2A00-000005000000}"/>
    <hyperlink ref="D17" location="'IN1-5'!A1" display="IN1-5  Inscritos en el Régimen Simple de Tributación - RST" xr:uid="{00000000-0004-0000-2A00-000006000000}"/>
    <hyperlink ref="D18" location="'IN1-6.1'!A1" display="IN1-6.1 Grado de cumplimiento del cronograma de campañas del RST" xr:uid="{00000000-0004-0000-2A00-000007000000}"/>
    <hyperlink ref="D19" location="'IN1-8'!A1" display="IN1-8 Contribuyentes habilitados como facturadores electrónicos" xr:uid="{00000000-0004-0000-2A00-000008000000}"/>
    <hyperlink ref="D20" location="'JUR-3.1'!A1" display="JUR-3.1 Porcentaje de éxito de litigiosidad" xr:uid="{00000000-0004-0000-2A00-000009000000}"/>
    <hyperlink ref="D21" location="'JUR-3.2'!A1" display="JUR-3.2 Porcentaje  procesos judiciales revisados con mayor riesgo en Ekogui" xr:uid="{00000000-0004-0000-2A00-00000A000000}"/>
    <hyperlink ref="D22" location="'JUR-3.3'!A1" display="JUR-3.3 Porcentaje de análisis de jurisprudencia remitidos junto con la copia de la sentencia " xr:uid="{00000000-0004-0000-2A00-00000B000000}"/>
    <hyperlink ref="D23" location="'JUR-3.4'!A1" display="JUR-3.4 Porcentaje  de procesos revisados con VoBo del Jefe " xr:uid="{00000000-0004-0000-2A00-00000C000000}"/>
    <hyperlink ref="D24" location="'JUR-3.5'!A1" display="JUR-3.5 Porcentaje de requerimientos atendidos en oportunidad" xr:uid="{00000000-0004-0000-2A00-00000D000000}"/>
    <hyperlink ref="D25" location="'JUR-3.6'!A1" display="JUR-3.6 Porcentaje funcionarios capacitaciones en cursos virtuales de la ANDJE" xr:uid="{00000000-0004-0000-2A00-00000E000000}"/>
    <hyperlink ref="D26" location="'JUR-4'!A1" display="JUR-4 Porcentaje funcionarios que participaron en el concurso de escritura jurídica" xr:uid="{00000000-0004-0000-2A00-00000F000000}"/>
    <hyperlink ref="D27" location="'FIS-24'!A1" display="FIS-24  Valor Decomisos de mercancías en firme" xr:uid="{00000000-0004-0000-2A00-000010000000}"/>
    <hyperlink ref="D29" location="'IN1-11'!A1" display="IN1-11  Nivel de cobertura de personas sensibilizadas por el plan de cultura. ACTUALMENTE. Cumplimiento al Plan de Acción de Cultura de la Contribución" xr:uid="{00000000-0004-0000-2A00-000011000000}"/>
    <hyperlink ref="D30" location="'JUR-7'!A1" display="JUR-7  Oportunidad en las decisiones de los recursos Tributarios hasta su remisión a notificaciones" xr:uid="{00000000-0004-0000-2A00-000012000000}"/>
    <hyperlink ref="D31" location="'IN1-15'!A1" display="'IN1-15'!A1" xr:uid="{00000000-0004-0000-2A00-000013000000}"/>
    <hyperlink ref="D9" location="'DGRAE-1'!Área_de_impresión" display="DGRAE-1 Nivel de Ejecución del presupuesto " xr:uid="{00000000-0004-0000-2A00-000014000000}"/>
    <hyperlink ref="D33" location="'DGRAE-25'!Área_de_impresión" display="DGRAE-25 Actividades que componen el  PIC para la Dirección de Gestión" xr:uid="{00000000-0004-0000-2A00-000015000000}"/>
    <hyperlink ref="D10" location="'DGRAE-2'!A1" display="DGRAE-2 Nivel de ejecución del PAA de la Dirección" xr:uid="{00000000-0004-0000-2A00-000016000000}"/>
    <hyperlink ref="AY2" location="'Consolidado '!A1" display="VOLVER" xr:uid="{00000000-0004-0000-2A00-000017000000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I40"/>
  <sheetViews>
    <sheetView topLeftCell="E1" zoomScale="80" zoomScaleNormal="80" workbookViewId="0">
      <selection activeCell="AX10" sqref="AX10"/>
    </sheetView>
  </sheetViews>
  <sheetFormatPr baseColWidth="10" defaultColWidth="11.42578125" defaultRowHeight="16.5"/>
  <cols>
    <col min="1" max="1" width="26" style="8" customWidth="1"/>
    <col min="2" max="2" width="30.7109375" style="8" customWidth="1"/>
    <col min="3" max="3" width="46.42578125" style="63" customWidth="1"/>
    <col min="4" max="4" width="25.7109375" style="8" customWidth="1"/>
    <col min="5" max="5" width="71.42578125" style="8" bestFit="1" customWidth="1"/>
    <col min="6" max="6" width="23.85546875" style="8" bestFit="1" customWidth="1"/>
    <col min="7" max="7" width="27.140625" style="8" customWidth="1"/>
    <col min="8" max="8" width="14" style="8" hidden="1" customWidth="1"/>
    <col min="9" max="9" width="18" style="8" hidden="1" customWidth="1"/>
    <col min="10" max="10" width="10.28515625" style="8" hidden="1" customWidth="1"/>
    <col min="11" max="11" width="25.85546875" style="8" customWidth="1"/>
    <col min="12" max="13" width="20.7109375" style="8" hidden="1" customWidth="1"/>
    <col min="14" max="14" width="20.7109375" style="444" hidden="1" customWidth="1"/>
    <col min="15" max="30" width="20.7109375" style="8" hidden="1" customWidth="1"/>
    <col min="31" max="31" width="20.7109375" style="620" hidden="1" customWidth="1"/>
    <col min="32" max="49" width="20.7109375" style="8" hidden="1" customWidth="1"/>
    <col min="50" max="50" width="20.7109375" style="8" customWidth="1"/>
    <col min="51" max="51" width="11.42578125" style="620"/>
    <col min="52" max="16384" width="11.42578125" style="8"/>
  </cols>
  <sheetData>
    <row r="1" spans="1:113" ht="29.25" customHeight="1">
      <c r="A1" s="101"/>
      <c r="B1" s="101"/>
      <c r="C1" s="2885" t="s">
        <v>1072</v>
      </c>
      <c r="D1" s="2885"/>
      <c r="E1" s="2885"/>
      <c r="F1" s="2885"/>
      <c r="G1" s="2885"/>
      <c r="H1" s="2885"/>
      <c r="I1" s="2885"/>
      <c r="J1" s="2885"/>
      <c r="K1" s="2885"/>
      <c r="AY1" s="621"/>
    </row>
    <row r="2" spans="1:113" ht="18.75" customHeight="1">
      <c r="A2" s="2628"/>
      <c r="B2" s="2628"/>
      <c r="C2" s="3002" t="s">
        <v>69</v>
      </c>
      <c r="D2" s="3002"/>
      <c r="E2" s="3002"/>
      <c r="F2" s="3002"/>
      <c r="G2" s="3002"/>
      <c r="H2" s="3002"/>
      <c r="I2" s="3002"/>
      <c r="J2" s="3002"/>
      <c r="K2" s="3002"/>
      <c r="AY2" s="2364" t="s">
        <v>185</v>
      </c>
    </row>
    <row r="3" spans="1:113">
      <c r="A3" s="107"/>
      <c r="B3" s="108"/>
      <c r="C3" s="2866" t="s">
        <v>1073</v>
      </c>
      <c r="D3" s="2867"/>
      <c r="E3" s="2867"/>
      <c r="F3" s="2867"/>
      <c r="G3" s="2867"/>
      <c r="H3" s="2867"/>
      <c r="I3" s="2867"/>
      <c r="J3" s="2867"/>
      <c r="K3" s="2867"/>
      <c r="AY3" s="621"/>
    </row>
    <row r="4" spans="1:113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AY4" s="621"/>
      <c r="AZ4" s="2696">
        <f>+(AY9+AY10+AY11+AY12+AY13+AY14+AY15+AY16+AY17+AY18+AY19+AY20+AY21+AY24+AY25+AY27+AY29+AY30+AY31+AY33+AY35+AY36+AY37+AY39)/24</f>
        <v>1.7321673946365383</v>
      </c>
    </row>
    <row r="5" spans="1:113" ht="16.5" customHeight="1" thickTop="1" thickBot="1">
      <c r="A5" s="2823" t="s">
        <v>0</v>
      </c>
      <c r="B5" s="2823" t="s">
        <v>15</v>
      </c>
      <c r="C5" s="2830" t="s">
        <v>1</v>
      </c>
      <c r="D5" s="2830" t="s">
        <v>2</v>
      </c>
      <c r="E5" s="2830" t="s">
        <v>19</v>
      </c>
      <c r="F5" s="2830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113" s="1057" customFormat="1" ht="18" thickTop="1" thickBot="1">
      <c r="A6" s="2823"/>
      <c r="B6" s="2823"/>
      <c r="C6" s="2831"/>
      <c r="D6" s="2831"/>
      <c r="E6" s="2831"/>
      <c r="F6" s="2831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</row>
    <row r="7" spans="1:113" s="2629" customFormat="1" ht="18.75" thickTop="1" thickBot="1">
      <c r="A7" s="2823"/>
      <c r="B7" s="2823"/>
      <c r="C7" s="2832"/>
      <c r="D7" s="2832"/>
      <c r="E7" s="2832"/>
      <c r="F7" s="2832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</row>
    <row r="8" spans="1:113" s="2630" customFormat="1" ht="29.25" customHeight="1" thickTop="1" thickBot="1">
      <c r="A8" s="2870" t="s">
        <v>83</v>
      </c>
      <c r="B8" s="2870"/>
      <c r="C8" s="2870"/>
      <c r="D8" s="2870"/>
      <c r="E8" s="2870"/>
      <c r="F8" s="2870"/>
      <c r="G8" s="2870"/>
      <c r="H8" s="2870"/>
      <c r="I8" s="2870"/>
      <c r="J8" s="2870"/>
      <c r="K8" s="2870"/>
      <c r="L8" s="13" t="s">
        <v>84</v>
      </c>
      <c r="M8" s="13" t="s">
        <v>85</v>
      </c>
      <c r="N8" s="71" t="s">
        <v>86</v>
      </c>
      <c r="O8" s="13" t="s">
        <v>84</v>
      </c>
      <c r="P8" s="13" t="s">
        <v>85</v>
      </c>
      <c r="Q8" s="16" t="s">
        <v>86</v>
      </c>
      <c r="R8" s="13" t="s">
        <v>84</v>
      </c>
      <c r="S8" s="13" t="s">
        <v>85</v>
      </c>
      <c r="T8" s="16" t="s">
        <v>86</v>
      </c>
      <c r="U8" s="13" t="s">
        <v>84</v>
      </c>
      <c r="V8" s="13" t="s">
        <v>85</v>
      </c>
      <c r="W8" s="16" t="s">
        <v>86</v>
      </c>
      <c r="X8" s="13" t="s">
        <v>84</v>
      </c>
      <c r="Y8" s="13" t="s">
        <v>85</v>
      </c>
      <c r="Z8" s="16" t="s">
        <v>86</v>
      </c>
      <c r="AA8" s="13" t="s">
        <v>84</v>
      </c>
      <c r="AB8" s="13" t="s">
        <v>85</v>
      </c>
      <c r="AC8" s="16" t="s">
        <v>86</v>
      </c>
      <c r="AD8" s="16" t="s">
        <v>87</v>
      </c>
      <c r="AE8" s="71" t="s">
        <v>6</v>
      </c>
      <c r="AF8" s="13" t="s">
        <v>84</v>
      </c>
      <c r="AG8" s="13" t="s">
        <v>85</v>
      </c>
      <c r="AH8" s="16" t="s">
        <v>86</v>
      </c>
      <c r="AI8" s="13" t="s">
        <v>84</v>
      </c>
      <c r="AJ8" s="13" t="s">
        <v>85</v>
      </c>
      <c r="AK8" s="16" t="s">
        <v>86</v>
      </c>
      <c r="AL8" s="13" t="s">
        <v>84</v>
      </c>
      <c r="AM8" s="13" t="s">
        <v>85</v>
      </c>
      <c r="AN8" s="16" t="s">
        <v>86</v>
      </c>
      <c r="AO8" s="13" t="s">
        <v>84</v>
      </c>
      <c r="AP8" s="13" t="s">
        <v>85</v>
      </c>
      <c r="AQ8" s="16" t="s">
        <v>86</v>
      </c>
      <c r="AR8" s="13" t="s">
        <v>84</v>
      </c>
      <c r="AS8" s="13" t="s">
        <v>85</v>
      </c>
      <c r="AT8" s="16" t="s">
        <v>86</v>
      </c>
      <c r="AU8" s="13" t="s">
        <v>84</v>
      </c>
      <c r="AV8" s="13" t="s">
        <v>85</v>
      </c>
      <c r="AW8" s="16" t="s">
        <v>86</v>
      </c>
      <c r="AX8" s="13" t="s">
        <v>87</v>
      </c>
      <c r="AY8" s="447" t="s">
        <v>6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</row>
    <row r="9" spans="1:113" customFormat="1" ht="39.75" customHeight="1" thickTop="1" thickBot="1">
      <c r="A9" s="2870" t="s">
        <v>88</v>
      </c>
      <c r="B9" s="3265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764">
        <f>156630918/1000000</f>
        <v>156.63091800000001</v>
      </c>
      <c r="H9" s="74" t="s">
        <v>25</v>
      </c>
      <c r="I9" s="79"/>
      <c r="J9" s="78"/>
      <c r="K9" s="76" t="s">
        <v>25</v>
      </c>
      <c r="L9" s="765">
        <v>13.25</v>
      </c>
      <c r="M9" s="567">
        <v>21.091000000000001</v>
      </c>
      <c r="N9" s="19">
        <f>+M9/L9</f>
        <v>1.5917735849056605</v>
      </c>
      <c r="O9" s="765">
        <v>54.371077999999997</v>
      </c>
      <c r="P9" s="567">
        <v>47.3</v>
      </c>
      <c r="Q9" s="19">
        <f>+P9/O9</f>
        <v>0.86994780570655594</v>
      </c>
      <c r="R9" s="765">
        <v>20.68</v>
      </c>
      <c r="S9" s="567">
        <v>12.204000000000001</v>
      </c>
      <c r="T9" s="19">
        <f>+S9/R9</f>
        <v>0.59013539651837532</v>
      </c>
      <c r="U9" s="765">
        <v>31.23</v>
      </c>
      <c r="V9" s="567">
        <v>12.977</v>
      </c>
      <c r="W9" s="19">
        <f>+V9/U9</f>
        <v>0.41552993916106307</v>
      </c>
      <c r="X9" s="765">
        <v>16.23</v>
      </c>
      <c r="Y9" s="567">
        <v>10.722</v>
      </c>
      <c r="Z9" s="19">
        <f>+Y9/X9</f>
        <v>0.66062846580406653</v>
      </c>
      <c r="AA9" s="765">
        <v>16.18</v>
      </c>
      <c r="AB9" s="567">
        <v>4.875</v>
      </c>
      <c r="AC9" s="19">
        <f>+AB9/AA9</f>
        <v>0.30129789864029666</v>
      </c>
      <c r="AD9" s="566">
        <f>+AB9+Y9+V9+S9+P9+M9</f>
        <v>109.16900000000001</v>
      </c>
      <c r="AE9" s="19">
        <f>+AD9/G9</f>
        <v>0.69698244378546004</v>
      </c>
      <c r="AF9" s="765">
        <v>18.046665999999998</v>
      </c>
      <c r="AG9" s="567">
        <v>7.78</v>
      </c>
      <c r="AH9" s="19">
        <f>+AG9/AF9</f>
        <v>0.43110455970094425</v>
      </c>
      <c r="AI9" s="765">
        <v>17.046665999999998</v>
      </c>
      <c r="AJ9" s="567">
        <v>5.3140000000000001</v>
      </c>
      <c r="AK9" s="19">
        <f>+AJ9/AI9</f>
        <v>0.31173251121362971</v>
      </c>
      <c r="AL9" s="765">
        <v>18.066666000000001</v>
      </c>
      <c r="AM9" s="567">
        <v>5.923</v>
      </c>
      <c r="AN9" s="19">
        <f>+AM9/AL9</f>
        <v>0.32784134051075053</v>
      </c>
      <c r="AO9" s="765">
        <v>17.593568000000001</v>
      </c>
      <c r="AP9" s="567">
        <v>9.0359999999999996</v>
      </c>
      <c r="AQ9" s="19">
        <f>+AP9/AO9</f>
        <v>0.51359678718950008</v>
      </c>
      <c r="AR9" s="765">
        <v>15.066666</v>
      </c>
      <c r="AS9" s="567">
        <v>10.676</v>
      </c>
      <c r="AT9" s="19">
        <f>+AS9/AR9</f>
        <v>0.7085841021497391</v>
      </c>
      <c r="AU9" s="765">
        <v>20.919768000000001</v>
      </c>
      <c r="AV9" s="567">
        <v>12.382999999999999</v>
      </c>
      <c r="AW9" s="19">
        <f>+AV9/AU9</f>
        <v>0.59192817052273228</v>
      </c>
      <c r="AX9" s="747">
        <f>147117273/1000000</f>
        <v>147.11727300000001</v>
      </c>
      <c r="AY9" s="19">
        <f>+AX9/G9</f>
        <v>0.93926074671923976</v>
      </c>
    </row>
    <row r="10" spans="1:113" customFormat="1" ht="47.25" customHeight="1" thickTop="1" thickBot="1">
      <c r="A10" s="2870"/>
      <c r="B10" s="3265"/>
      <c r="C10" s="74" t="s">
        <v>169</v>
      </c>
      <c r="D10" s="111" t="s">
        <v>92</v>
      </c>
      <c r="E10" s="74" t="s">
        <v>170</v>
      </c>
      <c r="F10" s="74" t="s">
        <v>17</v>
      </c>
      <c r="G10" s="117">
        <v>2</v>
      </c>
      <c r="H10" s="118" t="s">
        <v>26</v>
      </c>
      <c r="I10" s="79"/>
      <c r="J10" s="78"/>
      <c r="K10" s="76" t="s">
        <v>26</v>
      </c>
      <c r="L10" s="119">
        <v>0</v>
      </c>
      <c r="M10" s="120">
        <v>0</v>
      </c>
      <c r="N10" s="19" t="e">
        <f>+M10/L10</f>
        <v>#DIV/0!</v>
      </c>
      <c r="O10" s="119">
        <v>0</v>
      </c>
      <c r="P10" s="120">
        <v>2</v>
      </c>
      <c r="Q10" s="19" t="e">
        <f>+P10/O10</f>
        <v>#DIV/0!</v>
      </c>
      <c r="R10" s="119">
        <v>0</v>
      </c>
      <c r="S10" s="120">
        <v>0</v>
      </c>
      <c r="T10" s="19" t="e">
        <f>+S10/R10</f>
        <v>#DIV/0!</v>
      </c>
      <c r="U10" s="119">
        <v>0</v>
      </c>
      <c r="V10" s="120">
        <v>0</v>
      </c>
      <c r="W10" s="19" t="e">
        <f>+V10/U10</f>
        <v>#DIV/0!</v>
      </c>
      <c r="X10" s="119">
        <v>0</v>
      </c>
      <c r="Y10" s="120">
        <v>0</v>
      </c>
      <c r="Z10" s="121" t="e">
        <f>+Y10/X10</f>
        <v>#DIV/0!</v>
      </c>
      <c r="AA10" s="119">
        <v>0</v>
      </c>
      <c r="AB10" s="120">
        <v>0</v>
      </c>
      <c r="AC10" s="19" t="e">
        <f>+AB10/AA10</f>
        <v>#DIV/0!</v>
      </c>
      <c r="AD10" s="122">
        <f>+AB10+Y10+V10+S10+P10+M10</f>
        <v>2</v>
      </c>
      <c r="AE10" s="19">
        <f t="shared" ref="AE10" si="0">+AD10/G10</f>
        <v>1</v>
      </c>
      <c r="AF10" s="119">
        <v>0</v>
      </c>
      <c r="AG10" s="120">
        <v>0</v>
      </c>
      <c r="AH10" s="19" t="e">
        <f>+AG10/AF10</f>
        <v>#DIV/0!</v>
      </c>
      <c r="AI10" s="119">
        <v>0</v>
      </c>
      <c r="AJ10" s="120">
        <v>0</v>
      </c>
      <c r="AK10" s="19" t="e">
        <f>+AJ10/AI10</f>
        <v>#DIV/0!</v>
      </c>
      <c r="AL10" s="119">
        <v>0</v>
      </c>
      <c r="AM10" s="120">
        <v>0</v>
      </c>
      <c r="AN10" s="19" t="e">
        <f>+AM10/AL10</f>
        <v>#DIV/0!</v>
      </c>
      <c r="AO10" s="119">
        <v>0</v>
      </c>
      <c r="AP10" s="120">
        <v>0</v>
      </c>
      <c r="AQ10" s="121" t="e">
        <f>+AP10/AO10</f>
        <v>#DIV/0!</v>
      </c>
      <c r="AR10" s="119">
        <v>0</v>
      </c>
      <c r="AS10" s="120">
        <v>0</v>
      </c>
      <c r="AT10" s="19" t="e">
        <f>+AS10/AR10</f>
        <v>#DIV/0!</v>
      </c>
      <c r="AU10" s="119">
        <v>0</v>
      </c>
      <c r="AV10" s="120">
        <v>0</v>
      </c>
      <c r="AW10" s="19" t="e">
        <f>+AV10/AU10</f>
        <v>#DIV/0!</v>
      </c>
      <c r="AX10" s="123">
        <f t="shared" ref="AX10" si="1">+M10+P10+S10+V10+Y10+AB10+AG10+AJ10+AM10+AP10+AS10+AV10</f>
        <v>2</v>
      </c>
      <c r="AY10" s="19">
        <f t="shared" ref="AY10" si="2">+AX10/G10</f>
        <v>1</v>
      </c>
    </row>
    <row r="11" spans="1:113" s="2639" customFormat="1" ht="39.75" customHeight="1" thickTop="1" thickBot="1">
      <c r="A11" s="2870"/>
      <c r="B11" s="2956" t="s">
        <v>94</v>
      </c>
      <c r="C11" s="125" t="s">
        <v>356</v>
      </c>
      <c r="D11" s="124" t="s">
        <v>96</v>
      </c>
      <c r="E11" s="125" t="s">
        <v>97</v>
      </c>
      <c r="F11" s="125" t="s">
        <v>168</v>
      </c>
      <c r="G11" s="2631">
        <v>211952</v>
      </c>
      <c r="H11" s="125"/>
      <c r="I11" s="125" t="s">
        <v>98</v>
      </c>
      <c r="J11" s="125"/>
      <c r="K11" s="125" t="s">
        <v>20</v>
      </c>
      <c r="L11" s="2632">
        <v>0</v>
      </c>
      <c r="M11" s="2633">
        <v>0</v>
      </c>
      <c r="N11" s="73" t="e">
        <f>+M11/L11</f>
        <v>#DIV/0!</v>
      </c>
      <c r="O11" s="2632">
        <v>0</v>
      </c>
      <c r="P11" s="2633">
        <v>0</v>
      </c>
      <c r="Q11" s="73" t="e">
        <f>+P11/O11</f>
        <v>#DIV/0!</v>
      </c>
      <c r="R11" s="2632">
        <v>0</v>
      </c>
      <c r="S11" s="2633">
        <v>0</v>
      </c>
      <c r="T11" s="73" t="e">
        <f>+S11/R11</f>
        <v>#DIV/0!</v>
      </c>
      <c r="U11" s="2632">
        <v>0</v>
      </c>
      <c r="V11" s="2634">
        <v>0</v>
      </c>
      <c r="W11" s="73" t="e">
        <f>+V11/U11</f>
        <v>#DIV/0!</v>
      </c>
      <c r="X11" s="2632">
        <v>0</v>
      </c>
      <c r="Y11" s="2634">
        <v>0</v>
      </c>
      <c r="Z11" s="73" t="e">
        <f>+Y11/X11</f>
        <v>#DIV/0!</v>
      </c>
      <c r="AA11" s="2635">
        <v>0</v>
      </c>
      <c r="AB11" s="2634">
        <v>0</v>
      </c>
      <c r="AC11" s="73" t="e">
        <f>+AB11/AA11</f>
        <v>#DIV/0!</v>
      </c>
      <c r="AD11" s="2634">
        <f>+M11+P11+S11+V11+Y11+AB11</f>
        <v>0</v>
      </c>
      <c r="AE11" s="73">
        <f>+AD11/G11</f>
        <v>0</v>
      </c>
      <c r="AF11" s="2632">
        <v>0</v>
      </c>
      <c r="AG11" s="2634">
        <v>0</v>
      </c>
      <c r="AH11" s="73" t="e">
        <f>+AG11/AF11</f>
        <v>#DIV/0!</v>
      </c>
      <c r="AI11" s="2632">
        <v>0</v>
      </c>
      <c r="AJ11" s="2634">
        <v>0</v>
      </c>
      <c r="AK11" s="73" t="e">
        <f>+AJ11/AI11</f>
        <v>#DIV/0!</v>
      </c>
      <c r="AL11" s="2632">
        <v>0</v>
      </c>
      <c r="AM11" s="2634">
        <v>0</v>
      </c>
      <c r="AN11" s="73" t="e">
        <f>+AM11/AL11</f>
        <v>#DIV/0!</v>
      </c>
      <c r="AO11" s="2632">
        <v>0</v>
      </c>
      <c r="AP11" s="2634">
        <v>0</v>
      </c>
      <c r="AQ11" s="73" t="e">
        <f>+AP11/AO11</f>
        <v>#DIV/0!</v>
      </c>
      <c r="AR11" s="2632">
        <v>0</v>
      </c>
      <c r="AS11" s="2634">
        <v>0</v>
      </c>
      <c r="AT11" s="73" t="e">
        <f>+AS11/AR11</f>
        <v>#DIV/0!</v>
      </c>
      <c r="AU11" s="2632">
        <v>0</v>
      </c>
      <c r="AV11" s="2636">
        <v>0.211952</v>
      </c>
      <c r="AW11" s="1606" t="e">
        <f>+AV11/AU11</f>
        <v>#DIV/0!</v>
      </c>
      <c r="AX11" s="2637">
        <v>211952</v>
      </c>
      <c r="AY11" s="2638">
        <f>+AX11/G11</f>
        <v>1</v>
      </c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</row>
    <row r="12" spans="1:113" s="2643" customFormat="1" ht="77.25" customHeight="1" thickTop="1" thickBot="1">
      <c r="A12" s="2870"/>
      <c r="B12" s="2956"/>
      <c r="C12" s="3124" t="s">
        <v>328</v>
      </c>
      <c r="D12" s="129" t="s">
        <v>99</v>
      </c>
      <c r="E12" s="137" t="s">
        <v>100</v>
      </c>
      <c r="F12" s="2640" t="s">
        <v>101</v>
      </c>
      <c r="G12" s="751">
        <v>17150000000</v>
      </c>
      <c r="H12" s="2640"/>
      <c r="I12" s="2640">
        <v>17150000000</v>
      </c>
      <c r="J12" s="2640"/>
      <c r="K12" s="137" t="s">
        <v>172</v>
      </c>
      <c r="L12" s="1438">
        <v>1372000000</v>
      </c>
      <c r="M12" s="2641">
        <v>3336530000</v>
      </c>
      <c r="N12" s="73">
        <f t="shared" ref="N12:N35" si="3">+M12/L12</f>
        <v>2.4318731778425655</v>
      </c>
      <c r="O12" s="1438">
        <v>1372000000</v>
      </c>
      <c r="P12" s="2641">
        <v>2153407000</v>
      </c>
      <c r="Q12" s="73">
        <f>+P12/O12</f>
        <v>1.5695386297376093</v>
      </c>
      <c r="R12" s="1438">
        <v>1372000000</v>
      </c>
      <c r="S12" s="2641">
        <v>2488439000</v>
      </c>
      <c r="T12" s="73">
        <f>+S12/R12</f>
        <v>1.8137310495626822</v>
      </c>
      <c r="U12" s="1438">
        <v>1543500000</v>
      </c>
      <c r="V12" s="2642">
        <v>339759000</v>
      </c>
      <c r="W12" s="73">
        <f>+V12/U12</f>
        <v>0.22012244897959185</v>
      </c>
      <c r="X12" s="1438">
        <v>1715000000</v>
      </c>
      <c r="Y12" s="2642">
        <v>127233000</v>
      </c>
      <c r="Z12" s="73">
        <f>+Y12/X12</f>
        <v>7.4188338192419823E-2</v>
      </c>
      <c r="AA12" s="1438">
        <v>1715000000</v>
      </c>
      <c r="AB12" s="2642">
        <v>1838524000</v>
      </c>
      <c r="AC12" s="73">
        <f>+AB12/AA12</f>
        <v>1.0720256559766763</v>
      </c>
      <c r="AD12" s="2642">
        <f t="shared" ref="AD12:AD35" si="4">+M12+P12+S12+V12+Y12+AB12</f>
        <v>10283892000</v>
      </c>
      <c r="AE12" s="73">
        <f t="shared" ref="AE12:AE35" si="5">+AD12/G12</f>
        <v>0.59964384839650142</v>
      </c>
      <c r="AF12" s="1438">
        <v>1715000000</v>
      </c>
      <c r="AG12" s="2642">
        <v>3569746021</v>
      </c>
      <c r="AH12" s="73">
        <f>+AG12/AF12</f>
        <v>2.0814845603498542</v>
      </c>
      <c r="AI12" s="1438">
        <v>1715000000</v>
      </c>
      <c r="AJ12" s="2642">
        <v>1522194155</v>
      </c>
      <c r="AK12" s="73">
        <f>+AJ12/AI12</f>
        <v>0.88757676676384845</v>
      </c>
      <c r="AL12" s="1438">
        <v>1715000000</v>
      </c>
      <c r="AM12" s="2642">
        <v>1161978752</v>
      </c>
      <c r="AN12" s="73">
        <f>+AM12/AL12</f>
        <v>0.67753863090379007</v>
      </c>
      <c r="AO12" s="1438">
        <v>1715000000</v>
      </c>
      <c r="AP12" s="2642">
        <v>2817112937</v>
      </c>
      <c r="AQ12" s="73">
        <f>+AP12/AO12</f>
        <v>1.6426314501457726</v>
      </c>
      <c r="AR12" s="1438">
        <v>686000000</v>
      </c>
      <c r="AS12" s="2642">
        <v>1590197000</v>
      </c>
      <c r="AT12" s="73">
        <f>+AS12/AR12</f>
        <v>2.3180714285714288</v>
      </c>
      <c r="AU12" s="1438">
        <v>514500000</v>
      </c>
      <c r="AV12" s="2642">
        <v>1276461251</v>
      </c>
      <c r="AW12" s="73">
        <f>+AV12/AU12</f>
        <v>2.4809742487852282</v>
      </c>
      <c r="AX12" s="2642">
        <f t="shared" ref="AX12:AX35" si="6">+M12+P12+S12+V12+Y12+AB12+AG12+AJ12+AM12+AP12+AS12+AV12</f>
        <v>22221582116</v>
      </c>
      <c r="AY12" s="73">
        <f t="shared" ref="AY12:AY35" si="7">+AX12/G12</f>
        <v>1.2957190738192419</v>
      </c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</row>
    <row r="13" spans="1:113" s="2639" customFormat="1" ht="31.5" thickTop="1" thickBot="1">
      <c r="A13" s="2870"/>
      <c r="B13" s="2956"/>
      <c r="C13" s="3124"/>
      <c r="D13" s="124" t="s">
        <v>456</v>
      </c>
      <c r="E13" s="125" t="s">
        <v>302</v>
      </c>
      <c r="F13" s="125" t="s">
        <v>101</v>
      </c>
      <c r="G13" s="754">
        <v>23946429</v>
      </c>
      <c r="H13" s="1647"/>
      <c r="I13" s="1647">
        <v>23946429</v>
      </c>
      <c r="J13" s="125"/>
      <c r="K13" s="125" t="s">
        <v>196</v>
      </c>
      <c r="L13" s="2632">
        <v>798215</v>
      </c>
      <c r="M13" s="2633">
        <v>0</v>
      </c>
      <c r="N13" s="73">
        <f t="shared" si="3"/>
        <v>0</v>
      </c>
      <c r="O13" s="2632">
        <v>798215</v>
      </c>
      <c r="P13" s="2633">
        <v>0</v>
      </c>
      <c r="Q13" s="73">
        <f t="shared" ref="Q13:Q35" si="8">+P13/O13</f>
        <v>0</v>
      </c>
      <c r="R13" s="2632">
        <v>798215</v>
      </c>
      <c r="S13" s="2633">
        <v>0</v>
      </c>
      <c r="T13" s="73">
        <f t="shared" ref="T13:T35" si="9">+S13/R13</f>
        <v>0</v>
      </c>
      <c r="U13" s="2632">
        <v>3192857</v>
      </c>
      <c r="V13" s="2634">
        <v>0</v>
      </c>
      <c r="W13" s="73">
        <f t="shared" ref="W13:W35" si="10">+V13/U13</f>
        <v>0</v>
      </c>
      <c r="X13" s="2632">
        <v>3192857</v>
      </c>
      <c r="Y13" s="2634">
        <v>0</v>
      </c>
      <c r="Z13" s="73">
        <f t="shared" ref="Z13:Z35" si="11">+Y13/X13</f>
        <v>0</v>
      </c>
      <c r="AA13" s="2632">
        <v>3192857</v>
      </c>
      <c r="AB13" s="2634">
        <v>0</v>
      </c>
      <c r="AC13" s="73">
        <f t="shared" ref="AC13:AC33" si="12">+AB13/AA13</f>
        <v>0</v>
      </c>
      <c r="AD13" s="2634">
        <f t="shared" si="4"/>
        <v>0</v>
      </c>
      <c r="AE13" s="73">
        <f t="shared" si="5"/>
        <v>0</v>
      </c>
      <c r="AF13" s="2632">
        <v>3192857</v>
      </c>
      <c r="AG13" s="2634">
        <v>5668000</v>
      </c>
      <c r="AH13" s="73">
        <f t="shared" ref="AH13:AH35" si="13">+AG13/AF13</f>
        <v>1.7752126073920629</v>
      </c>
      <c r="AI13" s="2632">
        <v>3192857</v>
      </c>
      <c r="AJ13" s="2634">
        <v>0</v>
      </c>
      <c r="AK13" s="73">
        <f t="shared" ref="AK13:AK35" si="14">+AJ13/AI13</f>
        <v>0</v>
      </c>
      <c r="AL13" s="2632">
        <v>3192857</v>
      </c>
      <c r="AM13" s="2634">
        <v>0</v>
      </c>
      <c r="AN13" s="73">
        <f t="shared" ref="AN13:AN35" si="15">+AM13/AL13</f>
        <v>0</v>
      </c>
      <c r="AO13" s="2632">
        <v>798214</v>
      </c>
      <c r="AP13" s="2634">
        <v>0</v>
      </c>
      <c r="AQ13" s="73">
        <f t="shared" ref="AQ13:AQ35" si="16">+AP13/AO13</f>
        <v>0</v>
      </c>
      <c r="AR13" s="2632">
        <v>798214</v>
      </c>
      <c r="AS13" s="2634">
        <v>0</v>
      </c>
      <c r="AT13" s="73">
        <f t="shared" ref="AT13:AT35" si="17">+AS13/AR13</f>
        <v>0</v>
      </c>
      <c r="AU13" s="2632">
        <v>798214</v>
      </c>
      <c r="AV13" s="2634">
        <v>13262400</v>
      </c>
      <c r="AW13" s="73">
        <f t="shared" ref="AW13:AW35" si="18">+AV13/AU13</f>
        <v>16.615093195559087</v>
      </c>
      <c r="AX13" s="2634">
        <f t="shared" si="6"/>
        <v>18930400</v>
      </c>
      <c r="AY13" s="73">
        <f t="shared" si="7"/>
        <v>0.79053123119108903</v>
      </c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</row>
    <row r="14" spans="1:113" s="2643" customFormat="1" ht="110.25" customHeight="1" thickTop="1" thickBot="1">
      <c r="A14" s="2870"/>
      <c r="B14" s="2956"/>
      <c r="C14" s="3124"/>
      <c r="D14" s="129" t="s">
        <v>102</v>
      </c>
      <c r="E14" s="137" t="s">
        <v>103</v>
      </c>
      <c r="F14" s="2640" t="s">
        <v>101</v>
      </c>
      <c r="G14" s="751">
        <v>12900000000</v>
      </c>
      <c r="H14" s="2644"/>
      <c r="I14" s="2644">
        <v>12900000000</v>
      </c>
      <c r="J14" s="2640"/>
      <c r="K14" s="137" t="s">
        <v>172</v>
      </c>
      <c r="L14" s="1438">
        <v>1032000000</v>
      </c>
      <c r="M14" s="2641">
        <v>453685000</v>
      </c>
      <c r="N14" s="73">
        <f t="shared" si="3"/>
        <v>0.43961724806201552</v>
      </c>
      <c r="O14" s="1438">
        <v>1032000000</v>
      </c>
      <c r="P14" s="2641">
        <v>4155959000</v>
      </c>
      <c r="Q14" s="73">
        <f t="shared" si="8"/>
        <v>4.0270920542635658</v>
      </c>
      <c r="R14" s="1438">
        <v>1032000000</v>
      </c>
      <c r="S14" s="2641">
        <v>1094961000</v>
      </c>
      <c r="T14" s="73">
        <f t="shared" si="9"/>
        <v>1.0610087209302326</v>
      </c>
      <c r="U14" s="1438">
        <v>1161000000</v>
      </c>
      <c r="V14" s="2642">
        <v>339759000</v>
      </c>
      <c r="W14" s="73">
        <f t="shared" si="10"/>
        <v>0.29264341085271317</v>
      </c>
      <c r="X14" s="1438">
        <v>1290000000</v>
      </c>
      <c r="Y14" s="2642">
        <v>127233000</v>
      </c>
      <c r="Z14" s="73">
        <f t="shared" si="11"/>
        <v>9.8630232558139533E-2</v>
      </c>
      <c r="AA14" s="1438">
        <v>1290000000</v>
      </c>
      <c r="AB14" s="2642">
        <v>394438000</v>
      </c>
      <c r="AC14" s="73">
        <f t="shared" si="12"/>
        <v>0.3057658914728682</v>
      </c>
      <c r="AD14" s="2642">
        <f t="shared" si="4"/>
        <v>6566035000</v>
      </c>
      <c r="AE14" s="73">
        <f t="shared" si="5"/>
        <v>0.50899496124031007</v>
      </c>
      <c r="AF14" s="1438">
        <v>1290000000</v>
      </c>
      <c r="AG14" s="2642">
        <v>690781000</v>
      </c>
      <c r="AH14" s="73">
        <f t="shared" si="13"/>
        <v>0.53548914728682173</v>
      </c>
      <c r="AI14" s="1438">
        <v>1290000000</v>
      </c>
      <c r="AJ14" s="2642">
        <v>716874000</v>
      </c>
      <c r="AK14" s="73">
        <f t="shared" si="14"/>
        <v>0.55571627906976739</v>
      </c>
      <c r="AL14" s="1438">
        <v>1290000000</v>
      </c>
      <c r="AM14" s="2642">
        <v>335743000</v>
      </c>
      <c r="AN14" s="73">
        <f t="shared" si="15"/>
        <v>0.26026589147286822</v>
      </c>
      <c r="AO14" s="1438">
        <v>1290000000</v>
      </c>
      <c r="AP14" s="2642">
        <v>709183000</v>
      </c>
      <c r="AQ14" s="73">
        <f t="shared" si="16"/>
        <v>0.54975426356589152</v>
      </c>
      <c r="AR14" s="1438">
        <v>516000000</v>
      </c>
      <c r="AS14" s="2642">
        <v>442105000</v>
      </c>
      <c r="AT14" s="73">
        <f t="shared" si="17"/>
        <v>0.85679263565891473</v>
      </c>
      <c r="AU14" s="1438">
        <v>387000000</v>
      </c>
      <c r="AV14" s="2642">
        <v>760405000</v>
      </c>
      <c r="AW14" s="73">
        <f t="shared" si="18"/>
        <v>1.9648708010335918</v>
      </c>
      <c r="AX14" s="2642">
        <f t="shared" si="6"/>
        <v>10221126000</v>
      </c>
      <c r="AY14" s="73">
        <f t="shared" si="7"/>
        <v>0.79233534883720935</v>
      </c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</row>
    <row r="15" spans="1:113" s="2639" customFormat="1" ht="77.25" customHeight="1" thickTop="1" thickBot="1">
      <c r="A15" s="2870"/>
      <c r="B15" s="2956"/>
      <c r="C15" s="3124"/>
      <c r="D15" s="124" t="s">
        <v>459</v>
      </c>
      <c r="E15" s="125" t="s">
        <v>274</v>
      </c>
      <c r="F15" s="125" t="s">
        <v>101</v>
      </c>
      <c r="G15" s="754">
        <v>1200000</v>
      </c>
      <c r="H15" s="1647"/>
      <c r="I15" s="1647">
        <v>1200000</v>
      </c>
      <c r="J15" s="125"/>
      <c r="K15" s="125" t="s">
        <v>196</v>
      </c>
      <c r="L15" s="2632">
        <v>40000</v>
      </c>
      <c r="M15" s="2633"/>
      <c r="N15" s="73">
        <f t="shared" si="3"/>
        <v>0</v>
      </c>
      <c r="O15" s="2632">
        <v>40000</v>
      </c>
      <c r="P15" s="2633"/>
      <c r="Q15" s="73">
        <f t="shared" si="8"/>
        <v>0</v>
      </c>
      <c r="R15" s="2632">
        <v>40000</v>
      </c>
      <c r="S15" s="2633"/>
      <c r="T15" s="73">
        <f t="shared" si="9"/>
        <v>0</v>
      </c>
      <c r="U15" s="2632">
        <v>160000</v>
      </c>
      <c r="V15" s="2634">
        <v>0</v>
      </c>
      <c r="W15" s="73">
        <f t="shared" si="10"/>
        <v>0</v>
      </c>
      <c r="X15" s="2632">
        <v>160000</v>
      </c>
      <c r="Y15" s="2634">
        <v>0</v>
      </c>
      <c r="Z15" s="73">
        <f t="shared" si="11"/>
        <v>0</v>
      </c>
      <c r="AA15" s="2632">
        <v>160000</v>
      </c>
      <c r="AB15" s="2634">
        <v>2742000</v>
      </c>
      <c r="AC15" s="73">
        <f t="shared" si="12"/>
        <v>17.137499999999999</v>
      </c>
      <c r="AD15" s="2634">
        <f t="shared" si="4"/>
        <v>2742000</v>
      </c>
      <c r="AE15" s="73">
        <f t="shared" si="5"/>
        <v>2.2850000000000001</v>
      </c>
      <c r="AF15" s="2632">
        <v>160000</v>
      </c>
      <c r="AG15" s="2634">
        <v>5484000</v>
      </c>
      <c r="AH15" s="73">
        <f t="shared" si="13"/>
        <v>34.274999999999999</v>
      </c>
      <c r="AI15" s="2632">
        <v>160000</v>
      </c>
      <c r="AJ15" s="2634">
        <v>17423000</v>
      </c>
      <c r="AK15" s="73">
        <f t="shared" si="14"/>
        <v>108.89375</v>
      </c>
      <c r="AL15" s="2632">
        <v>160000</v>
      </c>
      <c r="AM15" s="2634">
        <v>0</v>
      </c>
      <c r="AN15" s="73">
        <f t="shared" si="15"/>
        <v>0</v>
      </c>
      <c r="AO15" s="2632">
        <v>40000</v>
      </c>
      <c r="AP15" s="2634">
        <v>0</v>
      </c>
      <c r="AQ15" s="73">
        <f t="shared" si="16"/>
        <v>0</v>
      </c>
      <c r="AR15" s="2632">
        <v>40000</v>
      </c>
      <c r="AS15" s="2634">
        <v>0</v>
      </c>
      <c r="AT15" s="73">
        <f t="shared" si="17"/>
        <v>0</v>
      </c>
      <c r="AU15" s="2632">
        <v>40000</v>
      </c>
      <c r="AV15" s="2634">
        <v>0</v>
      </c>
      <c r="AW15" s="73">
        <f t="shared" si="18"/>
        <v>0</v>
      </c>
      <c r="AX15" s="2634">
        <f t="shared" si="6"/>
        <v>25649000</v>
      </c>
      <c r="AY15" s="73">
        <f t="shared" si="7"/>
        <v>21.374166666666667</v>
      </c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</row>
    <row r="16" spans="1:113" s="2643" customFormat="1" ht="77.25" customHeight="1" thickTop="1" thickBot="1">
      <c r="A16" s="2870"/>
      <c r="B16" s="2956"/>
      <c r="C16" s="3124"/>
      <c r="D16" s="129" t="s">
        <v>203</v>
      </c>
      <c r="E16" s="137" t="s">
        <v>274</v>
      </c>
      <c r="F16" s="2640" t="s">
        <v>101</v>
      </c>
      <c r="G16" s="751">
        <v>5520000</v>
      </c>
      <c r="H16" s="2644"/>
      <c r="I16" s="2644">
        <v>5520000</v>
      </c>
      <c r="J16" s="2640"/>
      <c r="K16" s="137" t="s">
        <v>196</v>
      </c>
      <c r="L16" s="1438">
        <v>184000</v>
      </c>
      <c r="M16" s="2641"/>
      <c r="N16" s="73">
        <f t="shared" si="3"/>
        <v>0</v>
      </c>
      <c r="O16" s="1438">
        <v>184000</v>
      </c>
      <c r="P16" s="2641"/>
      <c r="Q16" s="73">
        <f t="shared" si="8"/>
        <v>0</v>
      </c>
      <c r="R16" s="1438">
        <v>184000</v>
      </c>
      <c r="S16" s="2641"/>
      <c r="T16" s="73">
        <f t="shared" si="9"/>
        <v>0</v>
      </c>
      <c r="U16" s="1438">
        <v>736000</v>
      </c>
      <c r="V16" s="2642">
        <v>0</v>
      </c>
      <c r="W16" s="73">
        <f t="shared" si="10"/>
        <v>0</v>
      </c>
      <c r="X16" s="1438">
        <v>736000</v>
      </c>
      <c r="Y16" s="2642">
        <v>0</v>
      </c>
      <c r="Z16" s="73">
        <f t="shared" si="11"/>
        <v>0</v>
      </c>
      <c r="AA16" s="1438">
        <v>736000</v>
      </c>
      <c r="AB16" s="2642">
        <v>0</v>
      </c>
      <c r="AC16" s="73">
        <f t="shared" si="12"/>
        <v>0</v>
      </c>
      <c r="AD16" s="2642">
        <f t="shared" si="4"/>
        <v>0</v>
      </c>
      <c r="AE16" s="73">
        <f t="shared" si="5"/>
        <v>0</v>
      </c>
      <c r="AF16" s="1438">
        <v>736000</v>
      </c>
      <c r="AG16" s="2642">
        <v>0</v>
      </c>
      <c r="AH16" s="73">
        <f t="shared" si="13"/>
        <v>0</v>
      </c>
      <c r="AI16" s="1438">
        <v>736000</v>
      </c>
      <c r="AJ16" s="2642">
        <v>0</v>
      </c>
      <c r="AK16" s="73">
        <f t="shared" si="14"/>
        <v>0</v>
      </c>
      <c r="AL16" s="1438">
        <v>736000</v>
      </c>
      <c r="AM16" s="2642">
        <v>0</v>
      </c>
      <c r="AN16" s="73">
        <f t="shared" si="15"/>
        <v>0</v>
      </c>
      <c r="AO16" s="1438">
        <v>184000</v>
      </c>
      <c r="AP16" s="2642">
        <v>0</v>
      </c>
      <c r="AQ16" s="73">
        <f t="shared" si="16"/>
        <v>0</v>
      </c>
      <c r="AR16" s="1438">
        <v>184000</v>
      </c>
      <c r="AS16" s="2642">
        <v>5668000</v>
      </c>
      <c r="AT16" s="73">
        <f t="shared" si="17"/>
        <v>30.804347826086957</v>
      </c>
      <c r="AU16" s="1438">
        <v>184000</v>
      </c>
      <c r="AV16" s="2642">
        <v>0</v>
      </c>
      <c r="AW16" s="73">
        <f t="shared" si="18"/>
        <v>0</v>
      </c>
      <c r="AX16" s="2642">
        <f t="shared" si="6"/>
        <v>5668000</v>
      </c>
      <c r="AY16" s="73">
        <f t="shared" si="7"/>
        <v>1.0268115942028986</v>
      </c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</row>
    <row r="17" spans="1:113" s="2639" customFormat="1" ht="77.25" customHeight="1" thickTop="1" thickBot="1">
      <c r="A17" s="2870"/>
      <c r="B17" s="2956"/>
      <c r="C17" s="3124"/>
      <c r="D17" s="124" t="s">
        <v>104</v>
      </c>
      <c r="E17" s="125" t="s">
        <v>105</v>
      </c>
      <c r="F17" s="125" t="s">
        <v>24</v>
      </c>
      <c r="G17" s="125">
        <v>16</v>
      </c>
      <c r="H17" s="125"/>
      <c r="I17" s="125">
        <v>16</v>
      </c>
      <c r="J17" s="125"/>
      <c r="K17" s="125" t="s">
        <v>172</v>
      </c>
      <c r="L17" s="2645">
        <v>0</v>
      </c>
      <c r="M17" s="2646"/>
      <c r="N17" s="73" t="e">
        <f t="shared" si="3"/>
        <v>#DIV/0!</v>
      </c>
      <c r="O17" s="2645">
        <v>0</v>
      </c>
      <c r="P17" s="2646">
        <v>0</v>
      </c>
      <c r="Q17" s="73" t="e">
        <f t="shared" si="8"/>
        <v>#DIV/0!</v>
      </c>
      <c r="R17" s="2645">
        <v>4</v>
      </c>
      <c r="S17" s="2646">
        <v>0</v>
      </c>
      <c r="T17" s="73">
        <f t="shared" si="9"/>
        <v>0</v>
      </c>
      <c r="U17" s="2645">
        <v>0</v>
      </c>
      <c r="V17" s="2647">
        <v>0</v>
      </c>
      <c r="W17" s="73" t="e">
        <f t="shared" si="10"/>
        <v>#DIV/0!</v>
      </c>
      <c r="X17" s="2645">
        <v>0</v>
      </c>
      <c r="Y17" s="2647">
        <v>0</v>
      </c>
      <c r="Z17" s="73" t="e">
        <f t="shared" si="11"/>
        <v>#DIV/0!</v>
      </c>
      <c r="AA17" s="2645">
        <v>4</v>
      </c>
      <c r="AB17" s="2647">
        <v>0</v>
      </c>
      <c r="AC17" s="73">
        <f t="shared" si="12"/>
        <v>0</v>
      </c>
      <c r="AD17" s="2647">
        <f t="shared" si="4"/>
        <v>0</v>
      </c>
      <c r="AE17" s="73">
        <f t="shared" si="5"/>
        <v>0</v>
      </c>
      <c r="AF17" s="2645">
        <v>0</v>
      </c>
      <c r="AG17" s="2647">
        <v>0</v>
      </c>
      <c r="AH17" s="73" t="e">
        <f t="shared" si="13"/>
        <v>#DIV/0!</v>
      </c>
      <c r="AI17" s="2645">
        <v>0</v>
      </c>
      <c r="AJ17" s="2647">
        <v>0</v>
      </c>
      <c r="AK17" s="73" t="e">
        <f t="shared" si="14"/>
        <v>#DIV/0!</v>
      </c>
      <c r="AL17" s="2645">
        <v>4</v>
      </c>
      <c r="AM17" s="2647">
        <v>0</v>
      </c>
      <c r="AN17" s="73">
        <f t="shared" si="15"/>
        <v>0</v>
      </c>
      <c r="AO17" s="2645">
        <v>0</v>
      </c>
      <c r="AP17" s="2647">
        <v>0</v>
      </c>
      <c r="AQ17" s="73" t="e">
        <f t="shared" si="16"/>
        <v>#DIV/0!</v>
      </c>
      <c r="AR17" s="2645">
        <v>0</v>
      </c>
      <c r="AS17" s="2647">
        <v>0</v>
      </c>
      <c r="AT17" s="73" t="e">
        <f t="shared" si="17"/>
        <v>#DIV/0!</v>
      </c>
      <c r="AU17" s="2645">
        <v>4</v>
      </c>
      <c r="AV17" s="2647">
        <v>9</v>
      </c>
      <c r="AW17" s="73">
        <f t="shared" si="18"/>
        <v>2.25</v>
      </c>
      <c r="AX17" s="2648">
        <f t="shared" si="6"/>
        <v>9</v>
      </c>
      <c r="AY17" s="73">
        <f t="shared" si="7"/>
        <v>0.5625</v>
      </c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</row>
    <row r="18" spans="1:113" s="132" customFormat="1" ht="77.25" customHeight="1" thickTop="1" thickBot="1">
      <c r="A18" s="2870"/>
      <c r="B18" s="2956"/>
      <c r="C18" s="3124"/>
      <c r="D18" s="129" t="s">
        <v>106</v>
      </c>
      <c r="E18" s="137" t="s">
        <v>1074</v>
      </c>
      <c r="F18" s="137" t="s">
        <v>24</v>
      </c>
      <c r="G18" s="137">
        <v>51</v>
      </c>
      <c r="H18" s="137"/>
      <c r="I18" s="137">
        <v>51</v>
      </c>
      <c r="J18" s="137"/>
      <c r="K18" s="137" t="s">
        <v>172</v>
      </c>
      <c r="L18" s="2649">
        <v>0</v>
      </c>
      <c r="M18" s="2650"/>
      <c r="N18" s="73" t="e">
        <f t="shared" si="3"/>
        <v>#DIV/0!</v>
      </c>
      <c r="O18" s="2649">
        <v>0</v>
      </c>
      <c r="P18" s="2650">
        <v>0</v>
      </c>
      <c r="Q18" s="73" t="e">
        <f t="shared" si="8"/>
        <v>#DIV/0!</v>
      </c>
      <c r="R18" s="2649">
        <v>0</v>
      </c>
      <c r="S18" s="2650">
        <v>0</v>
      </c>
      <c r="T18" s="73" t="e">
        <f t="shared" si="9"/>
        <v>#DIV/0!</v>
      </c>
      <c r="U18" s="2649">
        <v>0</v>
      </c>
      <c r="V18" s="2651">
        <v>0</v>
      </c>
      <c r="W18" s="73" t="e">
        <f t="shared" si="10"/>
        <v>#DIV/0!</v>
      </c>
      <c r="X18" s="2649">
        <v>0</v>
      </c>
      <c r="Y18" s="2651">
        <v>0</v>
      </c>
      <c r="Z18" s="73" t="e">
        <f t="shared" si="11"/>
        <v>#DIV/0!</v>
      </c>
      <c r="AA18" s="2649">
        <v>0</v>
      </c>
      <c r="AB18" s="2651">
        <v>0</v>
      </c>
      <c r="AC18" s="73" t="e">
        <f t="shared" si="12"/>
        <v>#DIV/0!</v>
      </c>
      <c r="AD18" s="2651">
        <f t="shared" si="4"/>
        <v>0</v>
      </c>
      <c r="AE18" s="73">
        <f t="shared" si="5"/>
        <v>0</v>
      </c>
      <c r="AF18" s="2649">
        <v>26</v>
      </c>
      <c r="AG18" s="2651">
        <v>35</v>
      </c>
      <c r="AH18" s="73">
        <f t="shared" si="13"/>
        <v>1.3461538461538463</v>
      </c>
      <c r="AI18" s="2649">
        <v>0</v>
      </c>
      <c r="AJ18" s="2651">
        <v>0</v>
      </c>
      <c r="AK18" s="73" t="e">
        <f t="shared" si="14"/>
        <v>#DIV/0!</v>
      </c>
      <c r="AL18" s="2649">
        <v>0</v>
      </c>
      <c r="AM18" s="2651">
        <v>11</v>
      </c>
      <c r="AN18" s="73" t="e">
        <f t="shared" si="15"/>
        <v>#DIV/0!</v>
      </c>
      <c r="AO18" s="2649">
        <v>0</v>
      </c>
      <c r="AP18" s="2651">
        <v>2</v>
      </c>
      <c r="AQ18" s="73" t="e">
        <f t="shared" si="16"/>
        <v>#DIV/0!</v>
      </c>
      <c r="AR18" s="2649">
        <v>0</v>
      </c>
      <c r="AS18" s="2651">
        <v>7</v>
      </c>
      <c r="AT18" s="73" t="e">
        <f t="shared" si="17"/>
        <v>#DIV/0!</v>
      </c>
      <c r="AU18" s="2649">
        <v>25</v>
      </c>
      <c r="AV18" s="2651">
        <v>0</v>
      </c>
      <c r="AW18" s="73">
        <f t="shared" si="18"/>
        <v>0</v>
      </c>
      <c r="AX18" s="2652">
        <f>+M18+P18+S18+V18+Y18+AB18+AG18+AJ18+AM18+AP18+AS18+AV18</f>
        <v>55</v>
      </c>
      <c r="AY18" s="73">
        <f t="shared" si="7"/>
        <v>1.0784313725490196</v>
      </c>
    </row>
    <row r="19" spans="1:113" s="128" customFormat="1" ht="77.25" customHeight="1" thickTop="1" thickBot="1">
      <c r="A19" s="2870"/>
      <c r="B19" s="2956"/>
      <c r="C19" s="190" t="s">
        <v>626</v>
      </c>
      <c r="D19" s="124" t="s">
        <v>568</v>
      </c>
      <c r="E19" s="125" t="s">
        <v>110</v>
      </c>
      <c r="F19" s="125" t="s">
        <v>168</v>
      </c>
      <c r="G19" s="2653">
        <v>74226</v>
      </c>
      <c r="H19" s="1647"/>
      <c r="I19" s="1647">
        <v>74226</v>
      </c>
      <c r="J19" s="125"/>
      <c r="K19" s="125" t="s">
        <v>21</v>
      </c>
      <c r="L19" s="749">
        <v>7952</v>
      </c>
      <c r="M19" s="2654">
        <v>12970</v>
      </c>
      <c r="N19" s="73">
        <f t="shared" si="3"/>
        <v>1.6310362173038229</v>
      </c>
      <c r="O19" s="749">
        <v>6453</v>
      </c>
      <c r="P19" s="2654">
        <v>4594</v>
      </c>
      <c r="Q19" s="73">
        <f t="shared" si="8"/>
        <v>0.71191693785836041</v>
      </c>
      <c r="R19" s="749">
        <v>5080</v>
      </c>
      <c r="S19" s="2654">
        <v>5491</v>
      </c>
      <c r="T19" s="73">
        <f t="shared" si="9"/>
        <v>1.0809055118110236</v>
      </c>
      <c r="U19" s="749">
        <v>6023</v>
      </c>
      <c r="V19" s="2655">
        <v>3711.3</v>
      </c>
      <c r="W19" s="73">
        <f t="shared" si="10"/>
        <v>0.61618794620620954</v>
      </c>
      <c r="X19" s="749">
        <v>7699.1043874207462</v>
      </c>
      <c r="Y19" s="2655">
        <v>5999</v>
      </c>
      <c r="Z19" s="73">
        <f t="shared" si="11"/>
        <v>0.77918153828405323</v>
      </c>
      <c r="AA19" s="749">
        <v>6148.3842812245175</v>
      </c>
      <c r="AB19" s="2655">
        <v>4622.2</v>
      </c>
      <c r="AC19" s="73">
        <f t="shared" si="12"/>
        <v>0.75177474090468499</v>
      </c>
      <c r="AD19" s="2655">
        <f>S19+V19+Y19+AB19</f>
        <v>19823.5</v>
      </c>
      <c r="AE19" s="73">
        <f t="shared" si="5"/>
        <v>0.2670694904750357</v>
      </c>
      <c r="AF19" s="749">
        <v>6068</v>
      </c>
      <c r="AG19" s="2655">
        <v>4531.7</v>
      </c>
      <c r="AH19" s="73">
        <f t="shared" si="13"/>
        <v>0.74681938035596573</v>
      </c>
      <c r="AI19" s="749">
        <v>5428.0003347913889</v>
      </c>
      <c r="AJ19" s="2655">
        <v>3510.3</v>
      </c>
      <c r="AK19" s="73">
        <f t="shared" si="14"/>
        <v>0.64670224456331205</v>
      </c>
      <c r="AL19" s="749">
        <v>8088</v>
      </c>
      <c r="AM19" s="2655">
        <v>7583</v>
      </c>
      <c r="AN19" s="73">
        <f t="shared" si="15"/>
        <v>0.93756181998021759</v>
      </c>
      <c r="AO19" s="749">
        <v>6070.4618896845441</v>
      </c>
      <c r="AP19" s="2655">
        <v>5341</v>
      </c>
      <c r="AQ19" s="73">
        <f t="shared" si="16"/>
        <v>0.87983420323845385</v>
      </c>
      <c r="AR19" s="749">
        <v>5376.0881853854644</v>
      </c>
      <c r="AS19" s="2655">
        <v>5459.9</v>
      </c>
      <c r="AT19" s="73">
        <f t="shared" si="17"/>
        <v>1.0155897395512172</v>
      </c>
      <c r="AU19" s="749">
        <v>3841.3072090824453</v>
      </c>
      <c r="AV19" s="2655">
        <v>6190</v>
      </c>
      <c r="AW19" s="73">
        <f t="shared" si="18"/>
        <v>1.611430605020153</v>
      </c>
      <c r="AX19" s="2634">
        <f>M19+P19+S19+V19+Y19+AB19+AG19+AJ19+AM19+AP19+AS19+AV19</f>
        <v>70003.399999999994</v>
      </c>
      <c r="AY19" s="73">
        <f t="shared" si="7"/>
        <v>0.94311157815320767</v>
      </c>
    </row>
    <row r="20" spans="1:113" s="132" customFormat="1" ht="77.25" customHeight="1" thickTop="1" thickBot="1">
      <c r="A20" s="2870"/>
      <c r="B20" s="2956"/>
      <c r="C20" s="72" t="s">
        <v>733</v>
      </c>
      <c r="D20" s="129" t="s">
        <v>660</v>
      </c>
      <c r="E20" s="137" t="s">
        <v>112</v>
      </c>
      <c r="F20" s="137" t="s">
        <v>17</v>
      </c>
      <c r="G20" s="137">
        <v>190</v>
      </c>
      <c r="H20" s="137"/>
      <c r="I20" s="137">
        <v>285</v>
      </c>
      <c r="J20" s="137"/>
      <c r="K20" s="137" t="s">
        <v>20</v>
      </c>
      <c r="L20" s="1011">
        <v>0</v>
      </c>
      <c r="M20" s="2656">
        <v>0</v>
      </c>
      <c r="N20" s="73" t="e">
        <f t="shared" si="3"/>
        <v>#DIV/0!</v>
      </c>
      <c r="O20" s="1011">
        <v>0</v>
      </c>
      <c r="P20" s="2656">
        <v>0</v>
      </c>
      <c r="Q20" s="73" t="e">
        <f t="shared" si="8"/>
        <v>#DIV/0!</v>
      </c>
      <c r="R20" s="1011">
        <v>0</v>
      </c>
      <c r="S20" s="2656">
        <v>9</v>
      </c>
      <c r="T20" s="73" t="e">
        <f t="shared" si="9"/>
        <v>#DIV/0!</v>
      </c>
      <c r="U20" s="1011">
        <v>0</v>
      </c>
      <c r="V20" s="2657">
        <v>0</v>
      </c>
      <c r="W20" s="73" t="e">
        <f t="shared" si="10"/>
        <v>#DIV/0!</v>
      </c>
      <c r="X20" s="1011">
        <v>0</v>
      </c>
      <c r="Y20" s="2657">
        <v>1</v>
      </c>
      <c r="Z20" s="73" t="e">
        <f t="shared" si="11"/>
        <v>#DIV/0!</v>
      </c>
      <c r="AA20" s="1011">
        <v>0</v>
      </c>
      <c r="AB20" s="2657">
        <v>6</v>
      </c>
      <c r="AC20" s="73" t="e">
        <f t="shared" si="12"/>
        <v>#DIV/0!</v>
      </c>
      <c r="AD20" s="2657">
        <f>S20+V20+Y20+AB20</f>
        <v>16</v>
      </c>
      <c r="AE20" s="73">
        <f t="shared" si="5"/>
        <v>8.4210526315789472E-2</v>
      </c>
      <c r="AF20" s="1011">
        <v>0</v>
      </c>
      <c r="AG20" s="2657">
        <v>11</v>
      </c>
      <c r="AH20" s="73" t="e">
        <f t="shared" si="13"/>
        <v>#DIV/0!</v>
      </c>
      <c r="AI20" s="1011">
        <v>0</v>
      </c>
      <c r="AJ20" s="2657">
        <v>7</v>
      </c>
      <c r="AK20" s="73" t="e">
        <f t="shared" si="14"/>
        <v>#DIV/0!</v>
      </c>
      <c r="AL20" s="1011">
        <v>0</v>
      </c>
      <c r="AM20" s="2657">
        <v>10</v>
      </c>
      <c r="AN20" s="73" t="e">
        <f t="shared" si="15"/>
        <v>#DIV/0!</v>
      </c>
      <c r="AO20" s="1011">
        <v>185</v>
      </c>
      <c r="AP20" s="2657">
        <v>8</v>
      </c>
      <c r="AQ20" s="73">
        <f t="shared" si="16"/>
        <v>4.3243243243243246E-2</v>
      </c>
      <c r="AR20" s="1011">
        <v>0</v>
      </c>
      <c r="AS20" s="2657">
        <v>6</v>
      </c>
      <c r="AT20" s="73" t="e">
        <f t="shared" si="17"/>
        <v>#DIV/0!</v>
      </c>
      <c r="AU20" s="1011">
        <v>5</v>
      </c>
      <c r="AV20" s="2657">
        <v>6</v>
      </c>
      <c r="AW20" s="73">
        <f t="shared" si="18"/>
        <v>1.2</v>
      </c>
      <c r="AX20" s="2658">
        <f>S20+V20+Y20+AB20+AG20+AJ20+AM20+AP20+AS20+AV20</f>
        <v>64</v>
      </c>
      <c r="AY20" s="73">
        <f t="shared" si="7"/>
        <v>0.33684210526315789</v>
      </c>
    </row>
    <row r="21" spans="1:113" s="128" customFormat="1" ht="77.25" customHeight="1" thickTop="1" thickBot="1">
      <c r="A21" s="2870"/>
      <c r="B21" s="2956"/>
      <c r="C21" s="190" t="s">
        <v>308</v>
      </c>
      <c r="D21" s="124" t="s">
        <v>114</v>
      </c>
      <c r="E21" s="125" t="s">
        <v>115</v>
      </c>
      <c r="F21" s="2659" t="s">
        <v>10</v>
      </c>
      <c r="G21" s="2660">
        <v>1</v>
      </c>
      <c r="H21" s="2659"/>
      <c r="I21" s="2660">
        <v>1</v>
      </c>
      <c r="J21" s="2659"/>
      <c r="K21" s="2661" t="s">
        <v>20</v>
      </c>
      <c r="L21" s="198">
        <v>0</v>
      </c>
      <c r="M21" s="2662">
        <v>0</v>
      </c>
      <c r="N21" s="73" t="e">
        <f t="shared" si="3"/>
        <v>#DIV/0!</v>
      </c>
      <c r="O21" s="198">
        <v>0</v>
      </c>
      <c r="P21" s="2662">
        <v>0</v>
      </c>
      <c r="Q21" s="73" t="e">
        <f t="shared" si="8"/>
        <v>#DIV/0!</v>
      </c>
      <c r="R21" s="198">
        <v>0.25</v>
      </c>
      <c r="S21" s="2662">
        <v>0</v>
      </c>
      <c r="T21" s="73">
        <f t="shared" si="9"/>
        <v>0</v>
      </c>
      <c r="U21" s="198">
        <v>0</v>
      </c>
      <c r="V21" s="2663">
        <v>0</v>
      </c>
      <c r="W21" s="73" t="e">
        <f t="shared" si="10"/>
        <v>#DIV/0!</v>
      </c>
      <c r="X21" s="198">
        <v>0</v>
      </c>
      <c r="Y21" s="2663">
        <v>0</v>
      </c>
      <c r="Z21" s="73" t="e">
        <f t="shared" si="11"/>
        <v>#DIV/0!</v>
      </c>
      <c r="AA21" s="198">
        <v>0.25</v>
      </c>
      <c r="AB21" s="2663">
        <v>0.5</v>
      </c>
      <c r="AC21" s="73">
        <f t="shared" si="12"/>
        <v>2</v>
      </c>
      <c r="AD21" s="2663">
        <f>+S21+AB21</f>
        <v>0.5</v>
      </c>
      <c r="AE21" s="73">
        <f t="shared" si="5"/>
        <v>0.5</v>
      </c>
      <c r="AF21" s="198">
        <v>0</v>
      </c>
      <c r="AG21" s="2663">
        <v>0</v>
      </c>
      <c r="AH21" s="73" t="e">
        <f t="shared" si="13"/>
        <v>#DIV/0!</v>
      </c>
      <c r="AI21" s="198">
        <v>0</v>
      </c>
      <c r="AJ21" s="2663">
        <v>0</v>
      </c>
      <c r="AK21" s="73" t="e">
        <f t="shared" si="14"/>
        <v>#DIV/0!</v>
      </c>
      <c r="AL21" s="198">
        <v>0.25</v>
      </c>
      <c r="AM21" s="2663">
        <v>0.25</v>
      </c>
      <c r="AN21" s="73">
        <f t="shared" si="15"/>
        <v>1</v>
      </c>
      <c r="AO21" s="198">
        <v>0</v>
      </c>
      <c r="AP21" s="2663">
        <v>0</v>
      </c>
      <c r="AQ21" s="73" t="e">
        <f t="shared" si="16"/>
        <v>#DIV/0!</v>
      </c>
      <c r="AR21" s="198">
        <v>0</v>
      </c>
      <c r="AS21" s="2663">
        <v>0</v>
      </c>
      <c r="AT21" s="73" t="e">
        <f t="shared" si="17"/>
        <v>#DIV/0!</v>
      </c>
      <c r="AU21" s="146">
        <v>0.25</v>
      </c>
      <c r="AV21" s="2664">
        <v>0</v>
      </c>
      <c r="AW21" s="73">
        <f t="shared" si="18"/>
        <v>0</v>
      </c>
      <c r="AX21" s="2665">
        <f>+AV21+AM21+AB21+S21</f>
        <v>0.75</v>
      </c>
      <c r="AY21" s="73">
        <f t="shared" si="7"/>
        <v>0.75</v>
      </c>
    </row>
    <row r="22" spans="1:113" s="132" customFormat="1" ht="77.25" customHeight="1" thickTop="1" thickBot="1">
      <c r="A22" s="2870"/>
      <c r="B22" s="2956"/>
      <c r="C22" s="3266" t="s">
        <v>432</v>
      </c>
      <c r="D22" s="129" t="s">
        <v>205</v>
      </c>
      <c r="E22" s="137" t="s">
        <v>206</v>
      </c>
      <c r="F22" s="137" t="s">
        <v>24</v>
      </c>
      <c r="G22" s="137">
        <v>2</v>
      </c>
      <c r="H22" s="137"/>
      <c r="I22" s="137">
        <v>2</v>
      </c>
      <c r="J22" s="137"/>
      <c r="K22" s="137" t="s">
        <v>196</v>
      </c>
      <c r="L22" s="119">
        <v>0</v>
      </c>
      <c r="M22" s="2666">
        <v>0</v>
      </c>
      <c r="N22" s="73" t="e">
        <f t="shared" si="3"/>
        <v>#DIV/0!</v>
      </c>
      <c r="O22" s="119">
        <v>0</v>
      </c>
      <c r="P22" s="2666">
        <v>0</v>
      </c>
      <c r="Q22" s="73" t="e">
        <f t="shared" si="8"/>
        <v>#DIV/0!</v>
      </c>
      <c r="R22" s="119">
        <v>0</v>
      </c>
      <c r="S22" s="2666">
        <v>0</v>
      </c>
      <c r="T22" s="73" t="e">
        <f t="shared" si="9"/>
        <v>#DIV/0!</v>
      </c>
      <c r="U22" s="119">
        <v>0</v>
      </c>
      <c r="V22" s="2667">
        <v>0</v>
      </c>
      <c r="W22" s="73" t="e">
        <f t="shared" si="10"/>
        <v>#DIV/0!</v>
      </c>
      <c r="X22" s="119">
        <v>1</v>
      </c>
      <c r="Y22" s="2667">
        <v>0</v>
      </c>
      <c r="Z22" s="73">
        <f t="shared" si="11"/>
        <v>0</v>
      </c>
      <c r="AA22" s="119">
        <v>0</v>
      </c>
      <c r="AB22" s="2667">
        <v>0</v>
      </c>
      <c r="AC22" s="73" t="e">
        <f t="shared" si="12"/>
        <v>#DIV/0!</v>
      </c>
      <c r="AD22" s="2667">
        <f>+Y22</f>
        <v>0</v>
      </c>
      <c r="AE22" s="73">
        <f t="shared" si="5"/>
        <v>0</v>
      </c>
      <c r="AF22" s="119">
        <v>0</v>
      </c>
      <c r="AG22" s="2667">
        <v>0</v>
      </c>
      <c r="AH22" s="73" t="e">
        <f t="shared" si="13"/>
        <v>#DIV/0!</v>
      </c>
      <c r="AI22" s="119">
        <v>0</v>
      </c>
      <c r="AJ22" s="2667">
        <v>0</v>
      </c>
      <c r="AK22" s="73" t="e">
        <f t="shared" si="14"/>
        <v>#DIV/0!</v>
      </c>
      <c r="AL22" s="119">
        <v>1</v>
      </c>
      <c r="AM22" s="2667">
        <v>0</v>
      </c>
      <c r="AN22" s="73">
        <f t="shared" si="15"/>
        <v>0</v>
      </c>
      <c r="AO22" s="119">
        <v>0</v>
      </c>
      <c r="AP22" s="2667">
        <v>0</v>
      </c>
      <c r="AQ22" s="73" t="e">
        <f t="shared" si="16"/>
        <v>#DIV/0!</v>
      </c>
      <c r="AR22" s="119">
        <v>0</v>
      </c>
      <c r="AS22" s="2667">
        <v>0</v>
      </c>
      <c r="AT22" s="73" t="e">
        <f t="shared" si="17"/>
        <v>#DIV/0!</v>
      </c>
      <c r="AU22" s="119">
        <v>0</v>
      </c>
      <c r="AV22" s="2667">
        <v>0</v>
      </c>
      <c r="AW22" s="73" t="e">
        <f t="shared" si="18"/>
        <v>#DIV/0!</v>
      </c>
      <c r="AX22" s="2668">
        <f>+AM22+Y22</f>
        <v>0</v>
      </c>
      <c r="AY22" s="73"/>
    </row>
    <row r="23" spans="1:113" s="128" customFormat="1" ht="52.5" customHeight="1" thickTop="1" thickBot="1">
      <c r="A23" s="2870"/>
      <c r="B23" s="2956"/>
      <c r="C23" s="2960"/>
      <c r="D23" s="124" t="s">
        <v>207</v>
      </c>
      <c r="E23" s="125" t="s">
        <v>206</v>
      </c>
      <c r="F23" s="2659" t="s">
        <v>24</v>
      </c>
      <c r="G23" s="2669">
        <v>1</v>
      </c>
      <c r="H23" s="2659"/>
      <c r="I23" s="2670">
        <v>1</v>
      </c>
      <c r="J23" s="2659"/>
      <c r="K23" s="125" t="s">
        <v>196</v>
      </c>
      <c r="L23" s="141">
        <v>0</v>
      </c>
      <c r="M23" s="2671">
        <v>0</v>
      </c>
      <c r="N23" s="73" t="e">
        <f t="shared" si="3"/>
        <v>#DIV/0!</v>
      </c>
      <c r="O23" s="141">
        <v>0</v>
      </c>
      <c r="P23" s="2671">
        <v>0</v>
      </c>
      <c r="Q23" s="73" t="e">
        <f t="shared" si="8"/>
        <v>#DIV/0!</v>
      </c>
      <c r="R23" s="141">
        <v>0</v>
      </c>
      <c r="S23" s="2671">
        <v>0</v>
      </c>
      <c r="T23" s="73" t="e">
        <f t="shared" si="9"/>
        <v>#DIV/0!</v>
      </c>
      <c r="U23" s="141">
        <v>0</v>
      </c>
      <c r="V23" s="2672">
        <v>0</v>
      </c>
      <c r="W23" s="73" t="e">
        <f t="shared" si="10"/>
        <v>#DIV/0!</v>
      </c>
      <c r="X23" s="141">
        <v>1</v>
      </c>
      <c r="Y23" s="2672">
        <v>0</v>
      </c>
      <c r="Z23" s="73">
        <f t="shared" si="11"/>
        <v>0</v>
      </c>
      <c r="AA23" s="141">
        <v>0</v>
      </c>
      <c r="AB23" s="2672">
        <v>0</v>
      </c>
      <c r="AC23" s="73" t="e">
        <f t="shared" si="12"/>
        <v>#DIV/0!</v>
      </c>
      <c r="AD23" s="2672">
        <f>+Y23</f>
        <v>0</v>
      </c>
      <c r="AE23" s="73">
        <f t="shared" si="5"/>
        <v>0</v>
      </c>
      <c r="AF23" s="141">
        <v>0</v>
      </c>
      <c r="AG23" s="2672">
        <v>0</v>
      </c>
      <c r="AH23" s="73" t="e">
        <f t="shared" si="13"/>
        <v>#DIV/0!</v>
      </c>
      <c r="AI23" s="141">
        <v>0</v>
      </c>
      <c r="AJ23" s="2672">
        <v>0</v>
      </c>
      <c r="AK23" s="73" t="e">
        <f t="shared" si="14"/>
        <v>#DIV/0!</v>
      </c>
      <c r="AL23" s="141">
        <v>0</v>
      </c>
      <c r="AM23" s="2672">
        <v>0</v>
      </c>
      <c r="AN23" s="73" t="e">
        <f t="shared" si="15"/>
        <v>#DIV/0!</v>
      </c>
      <c r="AO23" s="141">
        <v>0</v>
      </c>
      <c r="AP23" s="2672">
        <v>0</v>
      </c>
      <c r="AQ23" s="73" t="e">
        <f t="shared" si="16"/>
        <v>#DIV/0!</v>
      </c>
      <c r="AR23" s="141">
        <v>0</v>
      </c>
      <c r="AS23" s="2672">
        <v>0</v>
      </c>
      <c r="AT23" s="73" t="e">
        <f t="shared" si="17"/>
        <v>#DIV/0!</v>
      </c>
      <c r="AU23" s="141">
        <v>0</v>
      </c>
      <c r="AV23" s="2672">
        <v>0</v>
      </c>
      <c r="AW23" s="73" t="e">
        <f t="shared" si="18"/>
        <v>#DIV/0!</v>
      </c>
      <c r="AX23" s="2673">
        <f>+Y23</f>
        <v>0</v>
      </c>
      <c r="AY23" s="73"/>
    </row>
    <row r="24" spans="1:113" s="132" customFormat="1" ht="55.5" customHeight="1" thickTop="1" thickBot="1">
      <c r="A24" s="2870"/>
      <c r="B24" s="2956"/>
      <c r="C24" s="2960"/>
      <c r="D24" s="129" t="s">
        <v>433</v>
      </c>
      <c r="E24" s="137" t="s">
        <v>209</v>
      </c>
      <c r="F24" s="137" t="s">
        <v>10</v>
      </c>
      <c r="G24" s="1406">
        <v>1</v>
      </c>
      <c r="H24" s="137"/>
      <c r="I24" s="1406">
        <v>1</v>
      </c>
      <c r="J24" s="137"/>
      <c r="K24" s="137" t="s">
        <v>196</v>
      </c>
      <c r="L24" s="1450">
        <v>1</v>
      </c>
      <c r="M24" s="2674">
        <v>0</v>
      </c>
      <c r="N24" s="73">
        <f t="shared" si="3"/>
        <v>0</v>
      </c>
      <c r="O24" s="1450">
        <v>1</v>
      </c>
      <c r="P24" s="2674">
        <v>0</v>
      </c>
      <c r="Q24" s="73">
        <f t="shared" si="8"/>
        <v>0</v>
      </c>
      <c r="R24" s="1450">
        <v>1</v>
      </c>
      <c r="S24" s="2674">
        <v>0</v>
      </c>
      <c r="T24" s="73">
        <f t="shared" si="9"/>
        <v>0</v>
      </c>
      <c r="U24" s="1450">
        <v>1</v>
      </c>
      <c r="V24" s="2675">
        <v>0</v>
      </c>
      <c r="W24" s="73">
        <f t="shared" si="10"/>
        <v>0</v>
      </c>
      <c r="X24" s="1450">
        <v>1</v>
      </c>
      <c r="Y24" s="2675">
        <v>0</v>
      </c>
      <c r="Z24" s="73">
        <f t="shared" si="11"/>
        <v>0</v>
      </c>
      <c r="AA24" s="1450">
        <v>1</v>
      </c>
      <c r="AB24" s="2675">
        <v>0</v>
      </c>
      <c r="AC24" s="73">
        <f t="shared" si="12"/>
        <v>0</v>
      </c>
      <c r="AD24" s="2675">
        <f>(M24+P24+S24+V24+Y24+AB24)/6</f>
        <v>0</v>
      </c>
      <c r="AE24" s="73">
        <f t="shared" si="5"/>
        <v>0</v>
      </c>
      <c r="AF24" s="1450">
        <v>1</v>
      </c>
      <c r="AG24" s="2675">
        <v>0</v>
      </c>
      <c r="AH24" s="73">
        <f t="shared" si="13"/>
        <v>0</v>
      </c>
      <c r="AI24" s="1450">
        <v>1</v>
      </c>
      <c r="AJ24" s="2675">
        <v>0</v>
      </c>
      <c r="AK24" s="73">
        <f t="shared" si="14"/>
        <v>0</v>
      </c>
      <c r="AL24" s="1450">
        <v>1</v>
      </c>
      <c r="AM24" s="2675">
        <v>1</v>
      </c>
      <c r="AN24" s="73">
        <f t="shared" si="15"/>
        <v>1</v>
      </c>
      <c r="AO24" s="1450">
        <v>1</v>
      </c>
      <c r="AP24" s="2675">
        <v>0</v>
      </c>
      <c r="AQ24" s="73">
        <f t="shared" si="16"/>
        <v>0</v>
      </c>
      <c r="AR24" s="1450">
        <v>1</v>
      </c>
      <c r="AS24" s="2675">
        <v>0</v>
      </c>
      <c r="AT24" s="73">
        <f t="shared" si="17"/>
        <v>0</v>
      </c>
      <c r="AU24" s="1450">
        <v>1</v>
      </c>
      <c r="AV24" s="2675">
        <v>1</v>
      </c>
      <c r="AW24" s="73">
        <f t="shared" si="18"/>
        <v>1</v>
      </c>
      <c r="AX24" s="2676">
        <f>(M24+P24+S24+V24+Y24+AB24+AG24+AJ24+AM24+AP24+AS24+AV24)/12</f>
        <v>0.16666666666666666</v>
      </c>
      <c r="AY24" s="73">
        <f t="shared" si="7"/>
        <v>0.16666666666666666</v>
      </c>
    </row>
    <row r="25" spans="1:113" s="128" customFormat="1" ht="71.25" customHeight="1" thickTop="1" thickBot="1">
      <c r="A25" s="2870"/>
      <c r="B25" s="2956"/>
      <c r="C25" s="190" t="s">
        <v>375</v>
      </c>
      <c r="D25" s="124" t="s">
        <v>573</v>
      </c>
      <c r="E25" s="125" t="s">
        <v>117</v>
      </c>
      <c r="F25" s="2659" t="s">
        <v>17</v>
      </c>
      <c r="G25" s="2677">
        <v>3522</v>
      </c>
      <c r="H25" s="2659"/>
      <c r="I25" s="2677">
        <v>3522</v>
      </c>
      <c r="J25" s="2659"/>
      <c r="K25" s="2661" t="s">
        <v>118</v>
      </c>
      <c r="L25" s="2678">
        <v>0</v>
      </c>
      <c r="M25" s="2679">
        <v>0</v>
      </c>
      <c r="N25" s="73" t="e">
        <f t="shared" si="3"/>
        <v>#DIV/0!</v>
      </c>
      <c r="O25" s="2678">
        <v>0</v>
      </c>
      <c r="P25" s="2679">
        <v>0</v>
      </c>
      <c r="Q25" s="73" t="e">
        <f t="shared" si="8"/>
        <v>#DIV/0!</v>
      </c>
      <c r="R25" s="2678">
        <v>669</v>
      </c>
      <c r="S25" s="2679">
        <v>428</v>
      </c>
      <c r="T25" s="73">
        <f t="shared" si="9"/>
        <v>0.63976083707025411</v>
      </c>
      <c r="U25" s="2678">
        <v>543</v>
      </c>
      <c r="V25" s="2680">
        <v>30</v>
      </c>
      <c r="W25" s="73">
        <f t="shared" si="10"/>
        <v>5.5248618784530384E-2</v>
      </c>
      <c r="X25" s="2678">
        <v>158</v>
      </c>
      <c r="Y25" s="2680">
        <v>36</v>
      </c>
      <c r="Z25" s="73">
        <f t="shared" si="11"/>
        <v>0.22784810126582278</v>
      </c>
      <c r="AA25" s="2678">
        <v>178</v>
      </c>
      <c r="AB25" s="2680">
        <v>74</v>
      </c>
      <c r="AC25" s="73">
        <f t="shared" si="12"/>
        <v>0.4157303370786517</v>
      </c>
      <c r="AD25" s="2680">
        <f>S25+V25+Y25+AB25</f>
        <v>568</v>
      </c>
      <c r="AE25" s="73">
        <f t="shared" si="5"/>
        <v>0.16127200454287335</v>
      </c>
      <c r="AF25" s="2678">
        <v>328</v>
      </c>
      <c r="AG25" s="2680">
        <v>184</v>
      </c>
      <c r="AH25" s="73">
        <f t="shared" si="13"/>
        <v>0.56097560975609762</v>
      </c>
      <c r="AI25" s="2678">
        <v>500</v>
      </c>
      <c r="AJ25" s="2680">
        <v>278</v>
      </c>
      <c r="AK25" s="73">
        <f t="shared" si="14"/>
        <v>0.55600000000000005</v>
      </c>
      <c r="AL25" s="2678">
        <v>679</v>
      </c>
      <c r="AM25" s="2680">
        <v>305</v>
      </c>
      <c r="AN25" s="73">
        <f t="shared" si="15"/>
        <v>0.44918998527245951</v>
      </c>
      <c r="AO25" s="2678">
        <v>265</v>
      </c>
      <c r="AP25" s="2680">
        <v>377</v>
      </c>
      <c r="AQ25" s="73">
        <f t="shared" si="16"/>
        <v>1.4226415094339622</v>
      </c>
      <c r="AR25" s="2678">
        <v>182</v>
      </c>
      <c r="AS25" s="2680">
        <v>2359</v>
      </c>
      <c r="AT25" s="73">
        <f t="shared" si="17"/>
        <v>12.961538461538462</v>
      </c>
      <c r="AU25" s="2678">
        <v>20</v>
      </c>
      <c r="AV25" s="2680">
        <v>1884</v>
      </c>
      <c r="AW25" s="73">
        <f t="shared" si="18"/>
        <v>94.2</v>
      </c>
      <c r="AX25" s="2681">
        <f>+S25+V25+Y25+AB25+AG25+AJ25+AM25+AP25+AS25+AV25</f>
        <v>5955</v>
      </c>
      <c r="AY25" s="73">
        <f t="shared" si="7"/>
        <v>1.690800681431005</v>
      </c>
    </row>
    <row r="26" spans="1:113" s="128" customFormat="1" ht="77.25" customHeight="1" thickTop="1" thickBot="1">
      <c r="A26" s="2870"/>
      <c r="B26" s="2956"/>
      <c r="C26" s="3267" t="s">
        <v>335</v>
      </c>
      <c r="D26" s="1107" t="s">
        <v>120</v>
      </c>
      <c r="E26" s="1672" t="s">
        <v>218</v>
      </c>
      <c r="F26" s="1672" t="s">
        <v>10</v>
      </c>
      <c r="G26" s="2682">
        <v>0.64100000000000001</v>
      </c>
      <c r="H26" s="1672"/>
      <c r="I26" s="2682">
        <v>0.64100000000000001</v>
      </c>
      <c r="J26" s="1672"/>
      <c r="K26" s="1672" t="s">
        <v>7</v>
      </c>
      <c r="L26" s="146">
        <v>0</v>
      </c>
      <c r="M26" s="2683">
        <v>0</v>
      </c>
      <c r="N26" s="73" t="e">
        <f t="shared" si="3"/>
        <v>#DIV/0!</v>
      </c>
      <c r="O26" s="146">
        <v>0</v>
      </c>
      <c r="P26" s="2683">
        <v>0</v>
      </c>
      <c r="Q26" s="73" t="e">
        <f t="shared" si="8"/>
        <v>#DIV/0!</v>
      </c>
      <c r="R26" s="146">
        <v>0</v>
      </c>
      <c r="S26" s="2683">
        <v>0</v>
      </c>
      <c r="T26" s="73" t="e">
        <f t="shared" si="9"/>
        <v>#DIV/0!</v>
      </c>
      <c r="U26" s="146">
        <v>0</v>
      </c>
      <c r="V26" s="2664">
        <v>0</v>
      </c>
      <c r="W26" s="73" t="e">
        <f t="shared" si="10"/>
        <v>#DIV/0!</v>
      </c>
      <c r="X26" s="146">
        <v>0</v>
      </c>
      <c r="Y26" s="2664">
        <v>0</v>
      </c>
      <c r="Z26" s="73" t="e">
        <f t="shared" si="11"/>
        <v>#DIV/0!</v>
      </c>
      <c r="AA26" s="146">
        <v>0</v>
      </c>
      <c r="AB26" s="2664">
        <v>0</v>
      </c>
      <c r="AC26" s="73" t="e">
        <f t="shared" si="12"/>
        <v>#DIV/0!</v>
      </c>
      <c r="AD26" s="2664">
        <f t="shared" si="4"/>
        <v>0</v>
      </c>
      <c r="AE26" s="73">
        <f t="shared" si="5"/>
        <v>0</v>
      </c>
      <c r="AF26" s="146">
        <v>0</v>
      </c>
      <c r="AG26" s="2664">
        <v>0</v>
      </c>
      <c r="AH26" s="73" t="e">
        <f t="shared" si="13"/>
        <v>#DIV/0!</v>
      </c>
      <c r="AI26" s="146">
        <v>0</v>
      </c>
      <c r="AJ26" s="2664">
        <v>0</v>
      </c>
      <c r="AK26" s="73" t="e">
        <f t="shared" si="14"/>
        <v>#DIV/0!</v>
      </c>
      <c r="AL26" s="146">
        <v>0</v>
      </c>
      <c r="AM26" s="2664">
        <v>0</v>
      </c>
      <c r="AN26" s="73" t="e">
        <f t="shared" si="15"/>
        <v>#DIV/0!</v>
      </c>
      <c r="AO26" s="146">
        <v>0</v>
      </c>
      <c r="AP26" s="2664">
        <v>0</v>
      </c>
      <c r="AQ26" s="73" t="e">
        <f t="shared" si="16"/>
        <v>#DIV/0!</v>
      </c>
      <c r="AR26" s="146">
        <v>0</v>
      </c>
      <c r="AS26" s="2664">
        <v>0</v>
      </c>
      <c r="AT26" s="73" t="e">
        <f t="shared" si="17"/>
        <v>#DIV/0!</v>
      </c>
      <c r="AU26" s="146">
        <v>0.64100000000000001</v>
      </c>
      <c r="AV26" s="2664">
        <v>0</v>
      </c>
      <c r="AW26" s="73">
        <f t="shared" si="18"/>
        <v>0</v>
      </c>
      <c r="AX26" s="2665">
        <f>+AV26</f>
        <v>0</v>
      </c>
      <c r="AY26" s="73">
        <f t="shared" si="7"/>
        <v>0</v>
      </c>
    </row>
    <row r="27" spans="1:113" s="132" customFormat="1" ht="77.25" customHeight="1" thickTop="1" thickBot="1">
      <c r="A27" s="2870"/>
      <c r="B27" s="2956"/>
      <c r="C27" s="3267"/>
      <c r="D27" s="2684" t="s">
        <v>175</v>
      </c>
      <c r="E27" s="125" t="s">
        <v>123</v>
      </c>
      <c r="F27" s="125" t="s">
        <v>10</v>
      </c>
      <c r="G27" s="1691">
        <v>1</v>
      </c>
      <c r="H27" s="125"/>
      <c r="I27" s="1691">
        <v>1</v>
      </c>
      <c r="J27" s="125"/>
      <c r="K27" s="125" t="s">
        <v>7</v>
      </c>
      <c r="L27" s="144">
        <v>0</v>
      </c>
      <c r="M27" s="2685">
        <v>0</v>
      </c>
      <c r="N27" s="73" t="e">
        <f t="shared" si="3"/>
        <v>#DIV/0!</v>
      </c>
      <c r="O27" s="144">
        <v>0</v>
      </c>
      <c r="P27" s="2685">
        <v>0</v>
      </c>
      <c r="Q27" s="73" t="e">
        <f t="shared" si="8"/>
        <v>#DIV/0!</v>
      </c>
      <c r="R27" s="144">
        <v>0</v>
      </c>
      <c r="S27" s="2685">
        <v>0</v>
      </c>
      <c r="T27" s="73" t="e">
        <f t="shared" si="9"/>
        <v>#DIV/0!</v>
      </c>
      <c r="U27" s="144">
        <v>1</v>
      </c>
      <c r="V27" s="2686">
        <v>1</v>
      </c>
      <c r="W27" s="73">
        <f t="shared" si="10"/>
        <v>1</v>
      </c>
      <c r="X27" s="144">
        <v>0</v>
      </c>
      <c r="Y27" s="2686">
        <v>0</v>
      </c>
      <c r="Z27" s="73" t="e">
        <f t="shared" si="11"/>
        <v>#DIV/0!</v>
      </c>
      <c r="AA27" s="144">
        <v>0</v>
      </c>
      <c r="AB27" s="2686">
        <v>0</v>
      </c>
      <c r="AC27" s="73" t="e">
        <f t="shared" si="12"/>
        <v>#DIV/0!</v>
      </c>
      <c r="AD27" s="2686">
        <f>+V27</f>
        <v>1</v>
      </c>
      <c r="AE27" s="73">
        <f t="shared" si="5"/>
        <v>1</v>
      </c>
      <c r="AF27" s="144">
        <v>0</v>
      </c>
      <c r="AG27" s="2686">
        <v>0</v>
      </c>
      <c r="AH27" s="73" t="e">
        <f t="shared" si="13"/>
        <v>#DIV/0!</v>
      </c>
      <c r="AI27" s="144">
        <v>0</v>
      </c>
      <c r="AJ27" s="2686">
        <v>0</v>
      </c>
      <c r="AK27" s="73" t="e">
        <f t="shared" si="14"/>
        <v>#DIV/0!</v>
      </c>
      <c r="AL27" s="144">
        <v>0</v>
      </c>
      <c r="AM27" s="2686">
        <v>0</v>
      </c>
      <c r="AN27" s="73" t="e">
        <f t="shared" si="15"/>
        <v>#DIV/0!</v>
      </c>
      <c r="AO27" s="144">
        <v>1</v>
      </c>
      <c r="AP27" s="2686">
        <v>1</v>
      </c>
      <c r="AQ27" s="73">
        <f t="shared" si="16"/>
        <v>1</v>
      </c>
      <c r="AR27" s="144">
        <v>0</v>
      </c>
      <c r="AS27" s="2686">
        <v>0</v>
      </c>
      <c r="AT27" s="73" t="e">
        <f t="shared" si="17"/>
        <v>#DIV/0!</v>
      </c>
      <c r="AU27" s="144">
        <v>0</v>
      </c>
      <c r="AV27" s="2686">
        <v>0</v>
      </c>
      <c r="AW27" s="73" t="e">
        <f t="shared" si="18"/>
        <v>#DIV/0!</v>
      </c>
      <c r="AX27" s="2676">
        <f>+(AP27+V27)/2</f>
        <v>1</v>
      </c>
      <c r="AY27" s="73">
        <f t="shared" si="7"/>
        <v>1</v>
      </c>
    </row>
    <row r="28" spans="1:113" s="128" customFormat="1" ht="81" customHeight="1" thickTop="1" thickBot="1">
      <c r="A28" s="2870"/>
      <c r="B28" s="2956"/>
      <c r="C28" s="3267"/>
      <c r="D28" s="1107" t="s">
        <v>124</v>
      </c>
      <c r="E28" s="1672" t="s">
        <v>176</v>
      </c>
      <c r="F28" s="1672" t="s">
        <v>10</v>
      </c>
      <c r="G28" s="1406">
        <v>1</v>
      </c>
      <c r="H28" s="1672"/>
      <c r="I28" s="1672">
        <v>1</v>
      </c>
      <c r="J28" s="1672"/>
      <c r="K28" s="1672" t="s">
        <v>7</v>
      </c>
      <c r="L28" s="146">
        <v>0</v>
      </c>
      <c r="M28" s="2683">
        <v>0</v>
      </c>
      <c r="N28" s="73" t="e">
        <f t="shared" si="3"/>
        <v>#DIV/0!</v>
      </c>
      <c r="O28" s="146">
        <v>0</v>
      </c>
      <c r="P28" s="2683">
        <v>0</v>
      </c>
      <c r="Q28" s="73" t="e">
        <f t="shared" si="8"/>
        <v>#DIV/0!</v>
      </c>
      <c r="R28" s="146">
        <v>1</v>
      </c>
      <c r="S28" s="2683">
        <v>0</v>
      </c>
      <c r="T28" s="73">
        <f t="shared" si="9"/>
        <v>0</v>
      </c>
      <c r="U28" s="146">
        <v>0</v>
      </c>
      <c r="V28" s="2664">
        <v>0</v>
      </c>
      <c r="W28" s="73" t="e">
        <f t="shared" si="10"/>
        <v>#DIV/0!</v>
      </c>
      <c r="X28" s="146">
        <v>0</v>
      </c>
      <c r="Y28" s="2664">
        <v>0</v>
      </c>
      <c r="Z28" s="73" t="e">
        <f t="shared" si="11"/>
        <v>#DIV/0!</v>
      </c>
      <c r="AA28" s="146">
        <v>1</v>
      </c>
      <c r="AB28" s="2664">
        <v>0</v>
      </c>
      <c r="AC28" s="73">
        <f t="shared" si="12"/>
        <v>0</v>
      </c>
      <c r="AD28" s="2664">
        <f>+(S28+AB28)/2</f>
        <v>0</v>
      </c>
      <c r="AE28" s="73">
        <f t="shared" si="5"/>
        <v>0</v>
      </c>
      <c r="AF28" s="146">
        <v>0</v>
      </c>
      <c r="AG28" s="2664">
        <v>0</v>
      </c>
      <c r="AH28" s="73" t="e">
        <f t="shared" si="13"/>
        <v>#DIV/0!</v>
      </c>
      <c r="AI28" s="146">
        <v>0</v>
      </c>
      <c r="AJ28" s="2664">
        <v>0</v>
      </c>
      <c r="AK28" s="73" t="e">
        <f t="shared" si="14"/>
        <v>#DIV/0!</v>
      </c>
      <c r="AL28" s="146">
        <v>1</v>
      </c>
      <c r="AM28" s="2664">
        <v>0</v>
      </c>
      <c r="AN28" s="73">
        <f t="shared" si="15"/>
        <v>0</v>
      </c>
      <c r="AO28" s="146">
        <v>0</v>
      </c>
      <c r="AP28" s="2664">
        <v>0</v>
      </c>
      <c r="AQ28" s="73" t="e">
        <f t="shared" si="16"/>
        <v>#DIV/0!</v>
      </c>
      <c r="AR28" s="146">
        <v>0</v>
      </c>
      <c r="AS28" s="2664">
        <v>0</v>
      </c>
      <c r="AT28" s="73" t="e">
        <f t="shared" si="17"/>
        <v>#DIV/0!</v>
      </c>
      <c r="AU28" s="146">
        <v>1</v>
      </c>
      <c r="AV28" s="2664">
        <v>0</v>
      </c>
      <c r="AW28" s="73">
        <f t="shared" si="18"/>
        <v>0</v>
      </c>
      <c r="AX28" s="2665">
        <f>+(AV28+AM28+AB28+S28)/4</f>
        <v>0</v>
      </c>
      <c r="AY28" s="73"/>
    </row>
    <row r="29" spans="1:113" s="132" customFormat="1" ht="77.25" customHeight="1" thickTop="1" thickBot="1">
      <c r="A29" s="2870"/>
      <c r="B29" s="2956"/>
      <c r="C29" s="3267"/>
      <c r="D29" s="2684" t="s">
        <v>177</v>
      </c>
      <c r="E29" s="125" t="s">
        <v>127</v>
      </c>
      <c r="F29" s="125" t="s">
        <v>10</v>
      </c>
      <c r="G29" s="1427">
        <v>1</v>
      </c>
      <c r="H29" s="125"/>
      <c r="I29" s="1691">
        <v>1</v>
      </c>
      <c r="J29" s="125"/>
      <c r="K29" s="125" t="s">
        <v>7</v>
      </c>
      <c r="L29" s="144">
        <v>1</v>
      </c>
      <c r="M29" s="2685">
        <v>0</v>
      </c>
      <c r="N29" s="73">
        <f t="shared" si="3"/>
        <v>0</v>
      </c>
      <c r="O29" s="144">
        <v>1</v>
      </c>
      <c r="P29" s="2685">
        <v>0</v>
      </c>
      <c r="Q29" s="73">
        <f t="shared" si="8"/>
        <v>0</v>
      </c>
      <c r="R29" s="144">
        <v>1</v>
      </c>
      <c r="S29" s="2685">
        <v>0</v>
      </c>
      <c r="T29" s="73">
        <f t="shared" si="9"/>
        <v>0</v>
      </c>
      <c r="U29" s="144">
        <v>1</v>
      </c>
      <c r="V29" s="2686">
        <v>0</v>
      </c>
      <c r="W29" s="73">
        <f t="shared" si="10"/>
        <v>0</v>
      </c>
      <c r="X29" s="144">
        <v>1</v>
      </c>
      <c r="Y29" s="2686">
        <v>0</v>
      </c>
      <c r="Z29" s="73">
        <f t="shared" si="11"/>
        <v>0</v>
      </c>
      <c r="AA29" s="144">
        <v>1</v>
      </c>
      <c r="AB29" s="2686">
        <v>0</v>
      </c>
      <c r="AC29" s="73">
        <f t="shared" si="12"/>
        <v>0</v>
      </c>
      <c r="AD29" s="2686">
        <f>(M29+P29+S29+V29+Y29+AB29)/6</f>
        <v>0</v>
      </c>
      <c r="AE29" s="73">
        <f t="shared" si="5"/>
        <v>0</v>
      </c>
      <c r="AF29" s="144">
        <v>1</v>
      </c>
      <c r="AG29" s="2686">
        <v>1</v>
      </c>
      <c r="AH29" s="73">
        <f t="shared" si="13"/>
        <v>1</v>
      </c>
      <c r="AI29" s="144">
        <v>0</v>
      </c>
      <c r="AJ29" s="2686">
        <v>0</v>
      </c>
      <c r="AK29" s="73" t="e">
        <f t="shared" si="14"/>
        <v>#DIV/0!</v>
      </c>
      <c r="AL29" s="144">
        <v>1</v>
      </c>
      <c r="AM29" s="2686">
        <v>1</v>
      </c>
      <c r="AN29" s="73">
        <f t="shared" si="15"/>
        <v>1</v>
      </c>
      <c r="AO29" s="144">
        <v>1</v>
      </c>
      <c r="AP29" s="2686">
        <v>1</v>
      </c>
      <c r="AQ29" s="73">
        <f t="shared" si="16"/>
        <v>1</v>
      </c>
      <c r="AR29" s="144">
        <v>1</v>
      </c>
      <c r="AS29" s="2686">
        <v>1</v>
      </c>
      <c r="AT29" s="73">
        <f t="shared" si="17"/>
        <v>1</v>
      </c>
      <c r="AU29" s="144">
        <v>1</v>
      </c>
      <c r="AV29" s="2686">
        <v>1</v>
      </c>
      <c r="AW29" s="73">
        <f t="shared" si="18"/>
        <v>1</v>
      </c>
      <c r="AX29" s="2676">
        <f>(M29+P29+S29+V29+Y29+AB29+AG29+AJ29+AM29+AP29+AS29+AV29)/12</f>
        <v>0.41666666666666669</v>
      </c>
      <c r="AY29" s="73">
        <f t="shared" si="7"/>
        <v>0.41666666666666669</v>
      </c>
    </row>
    <row r="30" spans="1:113" s="128" customFormat="1" ht="77.25" customHeight="1" thickTop="1" thickBot="1">
      <c r="A30" s="2870"/>
      <c r="B30" s="2956"/>
      <c r="C30" s="3267"/>
      <c r="D30" s="1107" t="s">
        <v>128</v>
      </c>
      <c r="E30" s="1672" t="s">
        <v>220</v>
      </c>
      <c r="F30" s="1672" t="s">
        <v>10</v>
      </c>
      <c r="G30" s="1406">
        <v>1</v>
      </c>
      <c r="H30" s="1672"/>
      <c r="I30" s="1672">
        <v>1</v>
      </c>
      <c r="J30" s="1672"/>
      <c r="K30" s="1672" t="s">
        <v>7</v>
      </c>
      <c r="L30" s="146">
        <v>1</v>
      </c>
      <c r="M30" s="2683">
        <v>0</v>
      </c>
      <c r="N30" s="73">
        <f t="shared" si="3"/>
        <v>0</v>
      </c>
      <c r="O30" s="146">
        <v>1</v>
      </c>
      <c r="P30" s="2683">
        <v>0</v>
      </c>
      <c r="Q30" s="73">
        <f t="shared" si="8"/>
        <v>0</v>
      </c>
      <c r="R30" s="146">
        <v>1</v>
      </c>
      <c r="S30" s="2683">
        <v>0</v>
      </c>
      <c r="T30" s="73">
        <f t="shared" si="9"/>
        <v>0</v>
      </c>
      <c r="U30" s="146">
        <v>1</v>
      </c>
      <c r="V30" s="2664">
        <v>0</v>
      </c>
      <c r="W30" s="73">
        <f t="shared" si="10"/>
        <v>0</v>
      </c>
      <c r="X30" s="146">
        <v>1</v>
      </c>
      <c r="Y30" s="2664">
        <v>0</v>
      </c>
      <c r="Z30" s="73">
        <f t="shared" si="11"/>
        <v>0</v>
      </c>
      <c r="AA30" s="146">
        <v>1</v>
      </c>
      <c r="AB30" s="2664">
        <v>0</v>
      </c>
      <c r="AC30" s="73">
        <f t="shared" si="12"/>
        <v>0</v>
      </c>
      <c r="AD30" s="2664">
        <f>(M30+P30+S30+V30+Y30+AB30)/6</f>
        <v>0</v>
      </c>
      <c r="AE30" s="73">
        <f t="shared" si="5"/>
        <v>0</v>
      </c>
      <c r="AF30" s="146">
        <v>1</v>
      </c>
      <c r="AG30" s="2664">
        <v>0</v>
      </c>
      <c r="AH30" s="73">
        <f t="shared" si="13"/>
        <v>0</v>
      </c>
      <c r="AI30" s="146">
        <v>1</v>
      </c>
      <c r="AJ30" s="2664">
        <v>1</v>
      </c>
      <c r="AK30" s="73">
        <f t="shared" si="14"/>
        <v>1</v>
      </c>
      <c r="AL30" s="146">
        <v>1</v>
      </c>
      <c r="AM30" s="2664">
        <v>0</v>
      </c>
      <c r="AN30" s="73">
        <f t="shared" si="15"/>
        <v>0</v>
      </c>
      <c r="AO30" s="146">
        <v>1</v>
      </c>
      <c r="AP30" s="2664">
        <v>0</v>
      </c>
      <c r="AQ30" s="73">
        <f t="shared" si="16"/>
        <v>0</v>
      </c>
      <c r="AR30" s="146">
        <v>1</v>
      </c>
      <c r="AS30" s="2664">
        <v>0</v>
      </c>
      <c r="AT30" s="73">
        <f t="shared" si="17"/>
        <v>0</v>
      </c>
      <c r="AU30" s="146">
        <v>1</v>
      </c>
      <c r="AV30" s="2664">
        <v>1</v>
      </c>
      <c r="AW30" s="73">
        <f t="shared" si="18"/>
        <v>1</v>
      </c>
      <c r="AX30" s="2665">
        <f>(M30+P30+S30+V30+Y30+AB30+AG30+AJ30+AM30+AP30+AS30+AV30)/12</f>
        <v>0.16666666666666666</v>
      </c>
      <c r="AY30" s="73">
        <f t="shared" si="7"/>
        <v>0.16666666666666666</v>
      </c>
    </row>
    <row r="31" spans="1:113" s="2643" customFormat="1" ht="77.25" customHeight="1" thickTop="1" thickBot="1">
      <c r="A31" s="2870"/>
      <c r="B31" s="2956"/>
      <c r="C31" s="3267"/>
      <c r="D31" s="2684" t="s">
        <v>179</v>
      </c>
      <c r="E31" s="125" t="s">
        <v>131</v>
      </c>
      <c r="F31" s="125" t="s">
        <v>10</v>
      </c>
      <c r="G31" s="1427">
        <v>1</v>
      </c>
      <c r="H31" s="125"/>
      <c r="I31" s="1691">
        <v>1</v>
      </c>
      <c r="J31" s="125"/>
      <c r="K31" s="125" t="s">
        <v>7</v>
      </c>
      <c r="L31" s="144">
        <v>1</v>
      </c>
      <c r="M31" s="2685">
        <v>0</v>
      </c>
      <c r="N31" s="73">
        <f t="shared" si="3"/>
        <v>0</v>
      </c>
      <c r="O31" s="144">
        <v>1</v>
      </c>
      <c r="P31" s="2685">
        <v>0</v>
      </c>
      <c r="Q31" s="73">
        <f t="shared" si="8"/>
        <v>0</v>
      </c>
      <c r="R31" s="144">
        <v>1</v>
      </c>
      <c r="S31" s="2685"/>
      <c r="T31" s="73">
        <f t="shared" si="9"/>
        <v>0</v>
      </c>
      <c r="U31" s="144">
        <v>1</v>
      </c>
      <c r="V31" s="2686">
        <v>0</v>
      </c>
      <c r="W31" s="73">
        <f t="shared" si="10"/>
        <v>0</v>
      </c>
      <c r="X31" s="144">
        <v>1</v>
      </c>
      <c r="Y31" s="2686">
        <v>0.05</v>
      </c>
      <c r="Z31" s="73">
        <f t="shared" si="11"/>
        <v>0.05</v>
      </c>
      <c r="AA31" s="144">
        <v>1</v>
      </c>
      <c r="AB31" s="2686">
        <v>0.05</v>
      </c>
      <c r="AC31" s="73">
        <f t="shared" si="12"/>
        <v>0.05</v>
      </c>
      <c r="AD31" s="2686">
        <f>(M31+P31+S31+V31+Y31+AB31)/6</f>
        <v>1.6666666666666666E-2</v>
      </c>
      <c r="AE31" s="73">
        <f t="shared" si="5"/>
        <v>1.6666666666666666E-2</v>
      </c>
      <c r="AF31" s="144">
        <v>1</v>
      </c>
      <c r="AG31" s="2686">
        <v>0.05</v>
      </c>
      <c r="AH31" s="73">
        <f t="shared" si="13"/>
        <v>0.05</v>
      </c>
      <c r="AI31" s="144">
        <v>1</v>
      </c>
      <c r="AJ31" s="2686">
        <v>0.1</v>
      </c>
      <c r="AK31" s="73">
        <f t="shared" si="14"/>
        <v>0.1</v>
      </c>
      <c r="AL31" s="144">
        <v>1</v>
      </c>
      <c r="AM31" s="2686">
        <v>0.15</v>
      </c>
      <c r="AN31" s="73">
        <f t="shared" si="15"/>
        <v>0.15</v>
      </c>
      <c r="AO31" s="144">
        <v>1</v>
      </c>
      <c r="AP31" s="2686">
        <v>0.15</v>
      </c>
      <c r="AQ31" s="73">
        <f t="shared" si="16"/>
        <v>0.15</v>
      </c>
      <c r="AR31" s="144">
        <v>1</v>
      </c>
      <c r="AS31" s="2686">
        <v>0.25</v>
      </c>
      <c r="AT31" s="73">
        <f t="shared" si="17"/>
        <v>0.25</v>
      </c>
      <c r="AU31" s="144">
        <v>1</v>
      </c>
      <c r="AV31" s="2686">
        <v>0.45</v>
      </c>
      <c r="AW31" s="73">
        <f t="shared" si="18"/>
        <v>0.45</v>
      </c>
      <c r="AX31" s="2676">
        <f>+AV31</f>
        <v>0.45</v>
      </c>
      <c r="AY31" s="73">
        <f t="shared" si="7"/>
        <v>0.45</v>
      </c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</row>
    <row r="32" spans="1:113" s="2639" customFormat="1" ht="77.25" customHeight="1" thickTop="1" thickBot="1">
      <c r="A32" s="2870"/>
      <c r="B32" s="2956"/>
      <c r="C32" s="3267"/>
      <c r="D32" s="1107" t="s">
        <v>132</v>
      </c>
      <c r="E32" s="1672" t="s">
        <v>133</v>
      </c>
      <c r="F32" s="1672" t="s">
        <v>10</v>
      </c>
      <c r="G32" s="1406">
        <v>1</v>
      </c>
      <c r="H32" s="1672"/>
      <c r="I32" s="1672">
        <v>1</v>
      </c>
      <c r="J32" s="1672"/>
      <c r="K32" s="1672" t="s">
        <v>7</v>
      </c>
      <c r="L32" s="146">
        <v>0</v>
      </c>
      <c r="M32" s="2683">
        <v>0</v>
      </c>
      <c r="N32" s="73" t="e">
        <f>+M32/L32</f>
        <v>#DIV/0!</v>
      </c>
      <c r="O32" s="146">
        <v>0</v>
      </c>
      <c r="P32" s="2683">
        <v>0</v>
      </c>
      <c r="Q32" s="73" t="e">
        <f>+P32/O32</f>
        <v>#DIV/0!</v>
      </c>
      <c r="R32" s="146">
        <v>0</v>
      </c>
      <c r="S32" s="2683">
        <v>0</v>
      </c>
      <c r="T32" s="73" t="e">
        <f>+S32/R32</f>
        <v>#DIV/0!</v>
      </c>
      <c r="U32" s="146">
        <v>0</v>
      </c>
      <c r="V32" s="2664">
        <v>0</v>
      </c>
      <c r="W32" s="73" t="e">
        <f>+V32/U32</f>
        <v>#DIV/0!</v>
      </c>
      <c r="X32" s="146">
        <v>0</v>
      </c>
      <c r="Y32" s="2664">
        <v>0</v>
      </c>
      <c r="Z32" s="73" t="e">
        <f>+Y32/X32</f>
        <v>#DIV/0!</v>
      </c>
      <c r="AA32" s="146">
        <v>0</v>
      </c>
      <c r="AB32" s="2664">
        <v>0</v>
      </c>
      <c r="AC32" s="73" t="e">
        <f>+AB32/AA32</f>
        <v>#DIV/0!</v>
      </c>
      <c r="AD32" s="2664">
        <f t="shared" si="4"/>
        <v>0</v>
      </c>
      <c r="AE32" s="73">
        <f t="shared" si="5"/>
        <v>0</v>
      </c>
      <c r="AF32" s="146">
        <v>0</v>
      </c>
      <c r="AG32" s="2664">
        <v>0</v>
      </c>
      <c r="AH32" s="73" t="e">
        <f>+AG32/AF32</f>
        <v>#DIV/0!</v>
      </c>
      <c r="AI32" s="146">
        <v>1</v>
      </c>
      <c r="AJ32" s="2664">
        <v>0</v>
      </c>
      <c r="AK32" s="73">
        <f>+AJ32/AI32</f>
        <v>0</v>
      </c>
      <c r="AL32" s="146">
        <v>0</v>
      </c>
      <c r="AM32" s="2664">
        <v>0</v>
      </c>
      <c r="AN32" s="73" t="e">
        <f>+AM32/AL32</f>
        <v>#DIV/0!</v>
      </c>
      <c r="AO32" s="146">
        <v>0</v>
      </c>
      <c r="AP32" s="2664">
        <v>0</v>
      </c>
      <c r="AQ32" s="73" t="e">
        <f>+AP32/AO32</f>
        <v>#DIV/0!</v>
      </c>
      <c r="AR32" s="146">
        <v>0</v>
      </c>
      <c r="AS32" s="2664">
        <v>0</v>
      </c>
      <c r="AT32" s="73" t="e">
        <f>+AS32/AR32</f>
        <v>#DIV/0!</v>
      </c>
      <c r="AU32" s="146">
        <v>0</v>
      </c>
      <c r="AV32" s="2664">
        <v>0</v>
      </c>
      <c r="AW32" s="73" t="e">
        <f>+AV32/AU32</f>
        <v>#DIV/0!</v>
      </c>
      <c r="AX32" s="2665">
        <f>+AJ32</f>
        <v>0</v>
      </c>
      <c r="AY32" s="73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</row>
    <row r="33" spans="1:113" s="2643" customFormat="1" ht="188.25" customHeight="1" thickTop="1" thickBot="1">
      <c r="A33" s="2870"/>
      <c r="B33" s="1101" t="s">
        <v>222</v>
      </c>
      <c r="C33" s="72" t="s">
        <v>1075</v>
      </c>
      <c r="D33" s="2684" t="s">
        <v>227</v>
      </c>
      <c r="E33" s="125" t="s">
        <v>228</v>
      </c>
      <c r="F33" s="125" t="s">
        <v>101</v>
      </c>
      <c r="G33" s="1647">
        <v>400000000</v>
      </c>
      <c r="H33" s="125"/>
      <c r="I33" s="1691">
        <v>600000000</v>
      </c>
      <c r="J33" s="125"/>
      <c r="K33" s="125" t="s">
        <v>140</v>
      </c>
      <c r="L33" s="752">
        <v>30000000</v>
      </c>
      <c r="M33" s="2687">
        <v>52760978</v>
      </c>
      <c r="N33" s="73">
        <f t="shared" si="3"/>
        <v>1.7586992666666668</v>
      </c>
      <c r="O33" s="752">
        <v>30000000</v>
      </c>
      <c r="P33" s="2687">
        <v>0</v>
      </c>
      <c r="Q33" s="73">
        <f t="shared" si="8"/>
        <v>0</v>
      </c>
      <c r="R33" s="752">
        <v>30000000</v>
      </c>
      <c r="S33" s="2687">
        <v>20885325</v>
      </c>
      <c r="T33" s="73">
        <f t="shared" si="9"/>
        <v>0.6961775</v>
      </c>
      <c r="U33" s="752">
        <v>59500000</v>
      </c>
      <c r="V33" s="2688">
        <v>0</v>
      </c>
      <c r="W33" s="73">
        <f t="shared" si="10"/>
        <v>0</v>
      </c>
      <c r="X33" s="752">
        <v>59500000</v>
      </c>
      <c r="Y33" s="2688">
        <v>0</v>
      </c>
      <c r="Z33" s="73">
        <f t="shared" si="11"/>
        <v>0</v>
      </c>
      <c r="AA33" s="752">
        <v>59500000</v>
      </c>
      <c r="AB33" s="2688">
        <v>51981250</v>
      </c>
      <c r="AC33" s="73">
        <f t="shared" si="12"/>
        <v>0.87363445378151261</v>
      </c>
      <c r="AD33" s="2688">
        <f t="shared" si="4"/>
        <v>125627553</v>
      </c>
      <c r="AE33" s="73">
        <f t="shared" si="5"/>
        <v>0.31406888249999998</v>
      </c>
      <c r="AF33" s="752">
        <v>59500000</v>
      </c>
      <c r="AG33" s="2688">
        <v>6781968</v>
      </c>
      <c r="AH33" s="73">
        <f t="shared" si="13"/>
        <v>0.11398265546218488</v>
      </c>
      <c r="AI33" s="752">
        <v>16560000</v>
      </c>
      <c r="AJ33" s="2688">
        <v>77807835</v>
      </c>
      <c r="AK33" s="73">
        <f t="shared" si="14"/>
        <v>4.6985407608695651</v>
      </c>
      <c r="AL33" s="752">
        <v>16560000</v>
      </c>
      <c r="AM33" s="2688">
        <v>9557174</v>
      </c>
      <c r="AN33" s="73">
        <f t="shared" si="15"/>
        <v>0.57712403381642507</v>
      </c>
      <c r="AO33" s="752">
        <v>16560000</v>
      </c>
      <c r="AP33" s="2688">
        <v>10081540</v>
      </c>
      <c r="AQ33" s="73">
        <f t="shared" si="16"/>
        <v>0.6087886473429952</v>
      </c>
      <c r="AR33" s="752">
        <v>11160000</v>
      </c>
      <c r="AS33" s="2688">
        <v>67433246</v>
      </c>
      <c r="AT33" s="73">
        <f t="shared" si="17"/>
        <v>6.0424055555555558</v>
      </c>
      <c r="AU33" s="752">
        <v>11160000</v>
      </c>
      <c r="AV33" s="2688">
        <v>1800000</v>
      </c>
      <c r="AW33" s="73">
        <f t="shared" si="18"/>
        <v>0.16129032258064516</v>
      </c>
      <c r="AX33" s="2642">
        <f t="shared" si="6"/>
        <v>299089316</v>
      </c>
      <c r="AY33" s="73">
        <f t="shared" si="7"/>
        <v>0.74772329000000004</v>
      </c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</row>
    <row r="34" spans="1:113" s="2691" customFormat="1" ht="25.5" customHeight="1" thickTop="1" thickBot="1">
      <c r="A34" s="2904" t="s">
        <v>141</v>
      </c>
      <c r="B34" s="2904"/>
      <c r="C34" s="2904"/>
      <c r="D34" s="2904"/>
      <c r="E34" s="2904"/>
      <c r="F34" s="2904"/>
      <c r="G34" s="2904"/>
      <c r="H34" s="2904"/>
      <c r="I34" s="2904"/>
      <c r="J34" s="2904"/>
      <c r="K34" s="2904"/>
      <c r="L34" s="2689"/>
      <c r="M34" s="2690"/>
      <c r="N34" s="2690"/>
      <c r="O34" s="2690"/>
      <c r="P34" s="2690"/>
      <c r="Q34" s="2690"/>
      <c r="R34" s="2690"/>
      <c r="S34" s="2690"/>
      <c r="T34" s="2690"/>
      <c r="U34" s="2690"/>
      <c r="V34" s="2690"/>
      <c r="W34" s="2690"/>
      <c r="X34" s="2690"/>
      <c r="Y34" s="2690"/>
      <c r="Z34" s="2690"/>
      <c r="AA34" s="2690"/>
      <c r="AB34" s="2690"/>
      <c r="AC34" s="2690"/>
      <c r="AD34" s="2690"/>
      <c r="AE34" s="2690"/>
      <c r="AF34" s="2690"/>
      <c r="AG34" s="2690"/>
      <c r="AH34" s="2690"/>
      <c r="AI34" s="2690"/>
      <c r="AJ34" s="2690"/>
      <c r="AK34" s="2690"/>
      <c r="AL34" s="2690"/>
      <c r="AM34" s="2690"/>
      <c r="AN34" s="2690"/>
      <c r="AO34" s="2690"/>
      <c r="AP34" s="2690"/>
      <c r="AQ34" s="2690"/>
      <c r="AR34" s="2690"/>
      <c r="AS34" s="2690"/>
      <c r="AT34" s="2690"/>
      <c r="AU34" s="2690"/>
      <c r="AV34" s="2690"/>
      <c r="AW34" s="2690"/>
      <c r="AX34" s="2690"/>
      <c r="AY34" s="2690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</row>
    <row r="35" spans="1:113" s="128" customFormat="1" ht="140.25" customHeight="1" thickTop="1" thickBot="1">
      <c r="A35" s="2904" t="s">
        <v>181</v>
      </c>
      <c r="B35" s="2971" t="s">
        <v>314</v>
      </c>
      <c r="C35" s="190" t="s">
        <v>353</v>
      </c>
      <c r="D35" s="124" t="s">
        <v>144</v>
      </c>
      <c r="E35" s="125" t="s">
        <v>145</v>
      </c>
      <c r="F35" s="2659" t="s">
        <v>17</v>
      </c>
      <c r="G35" s="2692">
        <v>205</v>
      </c>
      <c r="H35" s="2659"/>
      <c r="I35" s="2661" t="s">
        <v>316</v>
      </c>
      <c r="J35" s="2659"/>
      <c r="K35" s="2661" t="s">
        <v>146</v>
      </c>
      <c r="L35" s="2521">
        <v>0</v>
      </c>
      <c r="M35" s="2693">
        <v>0</v>
      </c>
      <c r="N35" s="73" t="e">
        <f t="shared" si="3"/>
        <v>#DIV/0!</v>
      </c>
      <c r="O35" s="2521">
        <v>0</v>
      </c>
      <c r="P35" s="2693">
        <v>0</v>
      </c>
      <c r="Q35" s="73" t="e">
        <f t="shared" si="8"/>
        <v>#DIV/0!</v>
      </c>
      <c r="R35" s="2521">
        <v>0</v>
      </c>
      <c r="S35" s="2693">
        <v>0</v>
      </c>
      <c r="T35" s="73" t="e">
        <f t="shared" si="9"/>
        <v>#DIV/0!</v>
      </c>
      <c r="U35" s="2521">
        <v>41</v>
      </c>
      <c r="V35" s="2694">
        <v>0</v>
      </c>
      <c r="W35" s="73">
        <f t="shared" si="10"/>
        <v>0</v>
      </c>
      <c r="X35" s="2521">
        <v>0</v>
      </c>
      <c r="Y35" s="2694">
        <v>0</v>
      </c>
      <c r="Z35" s="73" t="e">
        <f t="shared" si="11"/>
        <v>#DIV/0!</v>
      </c>
      <c r="AA35" s="2521">
        <v>0</v>
      </c>
      <c r="AB35" s="2694">
        <v>146</v>
      </c>
      <c r="AC35" s="1606" t="e">
        <f>+AB35/AA35</f>
        <v>#DIV/0!</v>
      </c>
      <c r="AD35" s="2694">
        <f t="shared" si="4"/>
        <v>146</v>
      </c>
      <c r="AE35" s="73">
        <f t="shared" si="5"/>
        <v>0.71219512195121948</v>
      </c>
      <c r="AF35" s="2521">
        <v>0</v>
      </c>
      <c r="AG35" s="2694">
        <v>0</v>
      </c>
      <c r="AH35" s="73" t="e">
        <f t="shared" si="13"/>
        <v>#DIV/0!</v>
      </c>
      <c r="AI35" s="2521">
        <v>61</v>
      </c>
      <c r="AJ35" s="2694">
        <v>0</v>
      </c>
      <c r="AK35" s="73">
        <f t="shared" si="14"/>
        <v>0</v>
      </c>
      <c r="AL35" s="2521">
        <v>0</v>
      </c>
      <c r="AM35" s="2694">
        <v>0</v>
      </c>
      <c r="AN35" s="73" t="e">
        <f t="shared" si="15"/>
        <v>#DIV/0!</v>
      </c>
      <c r="AO35" s="2521">
        <v>0</v>
      </c>
      <c r="AP35" s="2694">
        <v>0</v>
      </c>
      <c r="AQ35" s="73" t="e">
        <f t="shared" si="16"/>
        <v>#DIV/0!</v>
      </c>
      <c r="AR35" s="2521">
        <v>0</v>
      </c>
      <c r="AS35" s="2694">
        <v>0</v>
      </c>
      <c r="AT35" s="73" t="e">
        <f t="shared" si="17"/>
        <v>#DIV/0!</v>
      </c>
      <c r="AU35" s="2521">
        <v>103</v>
      </c>
      <c r="AV35" s="2694">
        <v>0</v>
      </c>
      <c r="AW35" s="73">
        <f t="shared" si="18"/>
        <v>0</v>
      </c>
      <c r="AX35" s="2673">
        <f t="shared" si="6"/>
        <v>146</v>
      </c>
      <c r="AY35" s="73">
        <f t="shared" si="7"/>
        <v>0.71219512195121948</v>
      </c>
    </row>
    <row r="36" spans="1:113" s="128" customFormat="1" ht="96" customHeight="1" thickTop="1" thickBot="1">
      <c r="A36" s="2904"/>
      <c r="B36" s="2971"/>
      <c r="C36" s="137" t="s">
        <v>665</v>
      </c>
      <c r="D36" s="129" t="s">
        <v>666</v>
      </c>
      <c r="E36" s="137" t="s">
        <v>149</v>
      </c>
      <c r="F36" s="137" t="s">
        <v>8</v>
      </c>
      <c r="G36" s="137">
        <v>10.199999999999999</v>
      </c>
      <c r="H36" s="137"/>
      <c r="I36" s="137">
        <v>10.199999999999999</v>
      </c>
      <c r="J36" s="2695"/>
      <c r="K36" s="137" t="s">
        <v>9</v>
      </c>
      <c r="L36" s="2521">
        <v>10.199999999999999</v>
      </c>
      <c r="M36" s="2693">
        <v>9</v>
      </c>
      <c r="N36" s="304">
        <f>+L36/M36</f>
        <v>1.1333333333333333</v>
      </c>
      <c r="O36" s="2521">
        <v>10.199999999999999</v>
      </c>
      <c r="P36" s="2693">
        <v>9</v>
      </c>
      <c r="Q36" s="304">
        <f>+O36/P36</f>
        <v>1.1333333333333333</v>
      </c>
      <c r="R36" s="2521">
        <v>10.199999999999999</v>
      </c>
      <c r="S36" s="2693">
        <v>0</v>
      </c>
      <c r="T36" s="304" t="e">
        <f>+R36/S36</f>
        <v>#DIV/0!</v>
      </c>
      <c r="U36" s="2521">
        <v>10.199999999999999</v>
      </c>
      <c r="V36" s="2694">
        <v>0</v>
      </c>
      <c r="W36" s="304" t="e">
        <f>+U36/V36</f>
        <v>#DIV/0!</v>
      </c>
      <c r="X36" s="2521">
        <v>10.199999999999999</v>
      </c>
      <c r="Y36" s="2694">
        <v>0</v>
      </c>
      <c r="Z36" s="304" t="e">
        <f>+X36/Y36</f>
        <v>#DIV/0!</v>
      </c>
      <c r="AA36" s="2521">
        <v>10.199999999999999</v>
      </c>
      <c r="AB36" s="2694">
        <v>0</v>
      </c>
      <c r="AC36" s="304" t="e">
        <f>+AA36/AB36</f>
        <v>#DIV/0!</v>
      </c>
      <c r="AD36" s="2694">
        <f>(M36+P36+S36+V36+Y36+AB36)/6</f>
        <v>3</v>
      </c>
      <c r="AE36" s="304">
        <f>+G36/AD36</f>
        <v>3.4</v>
      </c>
      <c r="AF36" s="2521">
        <v>10.199999999999999</v>
      </c>
      <c r="AG36" s="2694">
        <v>9.5</v>
      </c>
      <c r="AH36" s="304">
        <f>+AF36/AG36</f>
        <v>1.0736842105263158</v>
      </c>
      <c r="AI36" s="2521">
        <v>10.199999999999999</v>
      </c>
      <c r="AJ36" s="2694">
        <v>9.5</v>
      </c>
      <c r="AK36" s="304">
        <f>+AI36/AJ36</f>
        <v>1.0736842105263158</v>
      </c>
      <c r="AL36" s="2521">
        <v>10.199999999999999</v>
      </c>
      <c r="AM36" s="2694">
        <v>9</v>
      </c>
      <c r="AN36" s="304">
        <f>+AL36/AM36</f>
        <v>1.1333333333333333</v>
      </c>
      <c r="AO36" s="2521">
        <v>10.199999999999999</v>
      </c>
      <c r="AP36" s="2694">
        <v>9.5</v>
      </c>
      <c r="AQ36" s="304">
        <f>+AO36/AP36</f>
        <v>1.0736842105263158</v>
      </c>
      <c r="AR36" s="2521">
        <v>10.199999999999999</v>
      </c>
      <c r="AS36" s="2694">
        <v>0</v>
      </c>
      <c r="AT36" s="1606" t="e">
        <f>+AR36/AS36</f>
        <v>#DIV/0!</v>
      </c>
      <c r="AU36" s="2521">
        <v>10.199999999999999</v>
      </c>
      <c r="AV36" s="2694">
        <v>6.28</v>
      </c>
      <c r="AW36" s="304">
        <f>+AU36/AV36</f>
        <v>1.6242038216560508</v>
      </c>
      <c r="AX36" s="2673">
        <f>(M36+P36+S36+V36+Y36+AB36+AG36+AJ36+AM36+AP36+AS36+AV36)/12</f>
        <v>5.1483333333333334</v>
      </c>
      <c r="AY36" s="304">
        <f>G36/AX36</f>
        <v>1.9812236969893167</v>
      </c>
    </row>
    <row r="37" spans="1:113" s="132" customFormat="1" ht="114.75" customHeight="1" thickTop="1" thickBot="1">
      <c r="A37" s="2904"/>
      <c r="B37" s="1050" t="s">
        <v>150</v>
      </c>
      <c r="C37" s="190" t="s">
        <v>951</v>
      </c>
      <c r="D37" s="124" t="s">
        <v>1076</v>
      </c>
      <c r="E37" s="125" t="s">
        <v>339</v>
      </c>
      <c r="F37" s="2659" t="s">
        <v>17</v>
      </c>
      <c r="G37" s="2677">
        <v>37</v>
      </c>
      <c r="H37" s="2659"/>
      <c r="I37" s="2677">
        <v>37</v>
      </c>
      <c r="J37" s="2659"/>
      <c r="K37" s="2661" t="s">
        <v>21</v>
      </c>
      <c r="L37" s="119">
        <v>37</v>
      </c>
      <c r="M37" s="2666">
        <v>38</v>
      </c>
      <c r="N37" s="304">
        <f>+L37/M37</f>
        <v>0.97368421052631582</v>
      </c>
      <c r="O37" s="119">
        <v>37</v>
      </c>
      <c r="P37" s="2666">
        <v>45</v>
      </c>
      <c r="Q37" s="304">
        <f>+O37/P37</f>
        <v>0.82222222222222219</v>
      </c>
      <c r="R37" s="119">
        <v>37</v>
      </c>
      <c r="S37" s="2666">
        <v>32</v>
      </c>
      <c r="T37" s="304">
        <f>+R37/S37</f>
        <v>1.15625</v>
      </c>
      <c r="U37" s="119">
        <v>15</v>
      </c>
      <c r="V37" s="2667">
        <v>15</v>
      </c>
      <c r="W37" s="304">
        <f>+U37/V37</f>
        <v>1</v>
      </c>
      <c r="X37" s="119">
        <v>15</v>
      </c>
      <c r="Y37" s="2667">
        <v>15</v>
      </c>
      <c r="Z37" s="304">
        <f>+X37/Y37</f>
        <v>1</v>
      </c>
      <c r="AA37" s="119">
        <v>15</v>
      </c>
      <c r="AB37" s="2667">
        <v>15</v>
      </c>
      <c r="AC37" s="304">
        <f>+AA37/AB37</f>
        <v>1</v>
      </c>
      <c r="AD37" s="2667">
        <f>(S37+V37+Y37+AB37)/4</f>
        <v>19.25</v>
      </c>
      <c r="AE37" s="304">
        <f>G37/AD37</f>
        <v>1.9220779220779221</v>
      </c>
      <c r="AF37" s="119">
        <v>15</v>
      </c>
      <c r="AG37" s="2667">
        <v>15</v>
      </c>
      <c r="AH37" s="304">
        <f>+AF37/AG37</f>
        <v>1</v>
      </c>
      <c r="AI37" s="119">
        <v>37</v>
      </c>
      <c r="AJ37" s="2667">
        <v>24</v>
      </c>
      <c r="AK37" s="304">
        <f>+AI37/AJ37</f>
        <v>1.5416666666666667</v>
      </c>
      <c r="AL37" s="119">
        <v>37</v>
      </c>
      <c r="AM37" s="2667">
        <v>39</v>
      </c>
      <c r="AN37" s="304">
        <f>+AL37/AM37</f>
        <v>0.94871794871794868</v>
      </c>
      <c r="AO37" s="119">
        <v>37</v>
      </c>
      <c r="AP37" s="2667">
        <v>44</v>
      </c>
      <c r="AQ37" s="304">
        <f>+AO37/AP37</f>
        <v>0.84090909090909094</v>
      </c>
      <c r="AR37" s="119">
        <v>37</v>
      </c>
      <c r="AS37" s="2667">
        <v>37</v>
      </c>
      <c r="AT37" s="304">
        <f>+AR37/AS37</f>
        <v>1</v>
      </c>
      <c r="AU37" s="119">
        <v>37</v>
      </c>
      <c r="AV37" s="2667">
        <v>38</v>
      </c>
      <c r="AW37" s="304">
        <f>+AU37/AV37</f>
        <v>0.97368421052631582</v>
      </c>
      <c r="AX37" s="2668">
        <f>(S37+V37+Y37+AB37+AG37+AJ37+AM37+AP37+AS37+AV37)/10</f>
        <v>27.4</v>
      </c>
      <c r="AY37" s="304">
        <f>+G37/AX37</f>
        <v>1.3503649635036497</v>
      </c>
    </row>
    <row r="38" spans="1:113" ht="22.5" customHeight="1" thickTop="1" thickBot="1">
      <c r="A38" s="2903" t="s">
        <v>154</v>
      </c>
      <c r="B38" s="2903"/>
      <c r="C38" s="2903"/>
      <c r="D38" s="2903"/>
      <c r="E38" s="2903"/>
      <c r="F38" s="2903"/>
      <c r="G38" s="2903"/>
      <c r="H38" s="2903"/>
      <c r="I38" s="2903"/>
      <c r="J38" s="2903"/>
      <c r="K38" s="2903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</row>
    <row r="39" spans="1:113" ht="83.25" customHeight="1" thickTop="1" thickBot="1">
      <c r="A39" s="202" t="s">
        <v>155</v>
      </c>
      <c r="B39" s="97" t="s">
        <v>156</v>
      </c>
      <c r="C39" s="74" t="s">
        <v>157</v>
      </c>
      <c r="D39" s="111" t="s">
        <v>158</v>
      </c>
      <c r="E39" s="74" t="s">
        <v>159</v>
      </c>
      <c r="F39" s="74" t="s">
        <v>265</v>
      </c>
      <c r="G39" s="203">
        <v>10</v>
      </c>
      <c r="H39" s="99">
        <v>10</v>
      </c>
      <c r="I39" s="204"/>
      <c r="J39" s="204"/>
      <c r="K39" s="203" t="s">
        <v>27</v>
      </c>
      <c r="L39" s="119">
        <v>0</v>
      </c>
      <c r="M39" s="2666"/>
      <c r="N39" s="73" t="e">
        <f t="shared" ref="N39" si="19">+M39/L39</f>
        <v>#DIV/0!</v>
      </c>
      <c r="O39" s="119">
        <v>0</v>
      </c>
      <c r="P39" s="2666"/>
      <c r="Q39" s="73" t="e">
        <f t="shared" ref="Q39" si="20">+P39/O39</f>
        <v>#DIV/0!</v>
      </c>
      <c r="R39" s="119">
        <v>0</v>
      </c>
      <c r="S39" s="2666"/>
      <c r="T39" s="73" t="e">
        <f t="shared" ref="T39" si="21">+S39/R39</f>
        <v>#DIV/0!</v>
      </c>
      <c r="U39" s="119">
        <v>0</v>
      </c>
      <c r="V39" s="2667"/>
      <c r="W39" s="73" t="e">
        <f t="shared" ref="W39" si="22">+V39/U39</f>
        <v>#DIV/0!</v>
      </c>
      <c r="X39" s="119">
        <v>2</v>
      </c>
      <c r="Y39" s="2667">
        <v>2</v>
      </c>
      <c r="Z39" s="73">
        <f t="shared" ref="Z39" si="23">+Y39/X39</f>
        <v>1</v>
      </c>
      <c r="AA39" s="119">
        <v>0</v>
      </c>
      <c r="AB39" s="2667"/>
      <c r="AC39" s="73" t="e">
        <f t="shared" ref="AC39" si="24">+AB39/AA39</f>
        <v>#DIV/0!</v>
      </c>
      <c r="AD39" s="2667">
        <f>+Y39</f>
        <v>2</v>
      </c>
      <c r="AE39" s="73">
        <f t="shared" ref="AE39" si="25">+AD39/G39</f>
        <v>0.2</v>
      </c>
      <c r="AF39" s="119">
        <v>1</v>
      </c>
      <c r="AG39" s="2667">
        <v>1</v>
      </c>
      <c r="AH39" s="73">
        <f t="shared" ref="AH39" si="26">+AG39/AF39</f>
        <v>1</v>
      </c>
      <c r="AI39" s="119">
        <v>3</v>
      </c>
      <c r="AJ39" s="2667">
        <v>3</v>
      </c>
      <c r="AK39" s="73">
        <f t="shared" ref="AK39" si="27">+AJ39/AI39</f>
        <v>1</v>
      </c>
      <c r="AL39" s="119">
        <v>1</v>
      </c>
      <c r="AM39" s="2667">
        <v>1</v>
      </c>
      <c r="AN39" s="73">
        <f t="shared" ref="AN39" si="28">+AM39/AL39</f>
        <v>1</v>
      </c>
      <c r="AO39" s="119">
        <v>3</v>
      </c>
      <c r="AP39" s="2667">
        <v>3</v>
      </c>
      <c r="AQ39" s="73">
        <f t="shared" ref="AQ39" si="29">+AP39/AO39</f>
        <v>1</v>
      </c>
      <c r="AR39" s="119">
        <v>0</v>
      </c>
      <c r="AS39" s="2667"/>
      <c r="AT39" s="73" t="e">
        <f t="shared" ref="AT39" si="30">+AS39/AR39</f>
        <v>#DIV/0!</v>
      </c>
      <c r="AU39" s="119">
        <v>0</v>
      </c>
      <c r="AV39" s="2667"/>
      <c r="AW39" s="73" t="e">
        <f t="shared" ref="AW39" si="31">+AV39/AU39</f>
        <v>#DIV/0!</v>
      </c>
      <c r="AX39" s="2668">
        <f>+AP39+AM39+AJ39+AG39+Y39</f>
        <v>10</v>
      </c>
      <c r="AY39" s="73">
        <f>+AX39/G39</f>
        <v>1</v>
      </c>
    </row>
    <row r="40" spans="1:113" ht="17.25" thickTop="1"/>
  </sheetData>
  <sheetProtection algorithmName="SHA-512" hashValue="FV57tzigYriA0x6IIYhHQFlUkRV9IH0rcdEEIK6N5ux3IL4w1C6dW8oj7UUgqEGoFAKORwBo+dM9MaqSWi67bw==" saltValue="DGAf+VYnKaHtVfRfG3Q34g==" spinCount="100000" sheet="1" objects="1" scenarios="1"/>
  <mergeCells count="38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34:K34"/>
    <mergeCell ref="A35:A37"/>
    <mergeCell ref="B35:B36"/>
    <mergeCell ref="A38:K38"/>
    <mergeCell ref="A9:A33"/>
    <mergeCell ref="B9:B10"/>
    <mergeCell ref="B11:B32"/>
    <mergeCell ref="C12:C18"/>
    <mergeCell ref="C22:C24"/>
    <mergeCell ref="C26:C32"/>
  </mergeCells>
  <conditionalFormatting sqref="AE11:AE33 AE35:AE37">
    <cfRule type="cellIs" dxfId="1414" priority="276" operator="greaterThan">
      <formula>110%</formula>
    </cfRule>
    <cfRule type="cellIs" dxfId="1413" priority="277" operator="between">
      <formula>100.001%</formula>
      <formula>110%</formula>
    </cfRule>
    <cfRule type="cellIs" dxfId="1412" priority="278" operator="between">
      <formula>70.001%</formula>
      <formula>100%</formula>
    </cfRule>
    <cfRule type="cellIs" dxfId="1411" priority="279" operator="between">
      <formula>0.00001%</formula>
      <formula>70%</formula>
    </cfRule>
    <cfRule type="cellIs" dxfId="1410" priority="280" operator="equal">
      <formula>0</formula>
    </cfRule>
  </conditionalFormatting>
  <conditionalFormatting sqref="AY11:AY33 AY35:AY37">
    <cfRule type="cellIs" dxfId="1409" priority="271" operator="greaterThan">
      <formula>110%</formula>
    </cfRule>
    <cfRule type="cellIs" dxfId="1408" priority="272" operator="between">
      <formula>100.001%</formula>
      <formula>110%</formula>
    </cfRule>
    <cfRule type="cellIs" dxfId="1407" priority="273" operator="between">
      <formula>70.001%</formula>
      <formula>100%</formula>
    </cfRule>
    <cfRule type="cellIs" dxfId="1406" priority="274" operator="between">
      <formula>0.00001%</formula>
      <formula>70%</formula>
    </cfRule>
    <cfRule type="cellIs" dxfId="1405" priority="275" operator="equal">
      <formula>0</formula>
    </cfRule>
  </conditionalFormatting>
  <conditionalFormatting sqref="N11">
    <cfRule type="cellIs" dxfId="1404" priority="266" operator="greaterThan">
      <formula>110%</formula>
    </cfRule>
    <cfRule type="cellIs" dxfId="1403" priority="267" operator="between">
      <formula>100.001%</formula>
      <formula>110%</formula>
    </cfRule>
    <cfRule type="cellIs" dxfId="1402" priority="268" operator="between">
      <formula>70.001%</formula>
      <formula>100%</formula>
    </cfRule>
    <cfRule type="cellIs" dxfId="1401" priority="269" operator="between">
      <formula>0.00001%</formula>
      <formula>70%</formula>
    </cfRule>
    <cfRule type="cellIs" dxfId="1400" priority="270" operator="equal">
      <formula>0%</formula>
    </cfRule>
  </conditionalFormatting>
  <conditionalFormatting sqref="N12:N33 N35:N37">
    <cfRule type="cellIs" dxfId="1399" priority="261" operator="greaterThan">
      <formula>110%</formula>
    </cfRule>
    <cfRule type="cellIs" dxfId="1398" priority="262" operator="between">
      <formula>100.001%</formula>
      <formula>110%</formula>
    </cfRule>
    <cfRule type="cellIs" dxfId="1397" priority="263" operator="between">
      <formula>70.001%</formula>
      <formula>100%</formula>
    </cfRule>
    <cfRule type="cellIs" dxfId="1396" priority="264" operator="between">
      <formula>0.00001%</formula>
      <formula>70%</formula>
    </cfRule>
    <cfRule type="cellIs" dxfId="1395" priority="265" operator="equal">
      <formula>0%</formula>
    </cfRule>
  </conditionalFormatting>
  <conditionalFormatting sqref="Q11">
    <cfRule type="cellIs" dxfId="1394" priority="256" operator="greaterThan">
      <formula>110%</formula>
    </cfRule>
    <cfRule type="cellIs" dxfId="1393" priority="257" operator="between">
      <formula>100.001%</formula>
      <formula>110%</formula>
    </cfRule>
    <cfRule type="cellIs" dxfId="1392" priority="258" operator="between">
      <formula>70.001%</formula>
      <formula>100%</formula>
    </cfRule>
    <cfRule type="cellIs" dxfId="1391" priority="259" operator="between">
      <formula>0.00001%</formula>
      <formula>70%</formula>
    </cfRule>
    <cfRule type="cellIs" dxfId="1390" priority="260" operator="equal">
      <formula>0%</formula>
    </cfRule>
  </conditionalFormatting>
  <conditionalFormatting sqref="Q12:Q33 Q35:Q37">
    <cfRule type="cellIs" dxfId="1389" priority="251" operator="greaterThan">
      <formula>110%</formula>
    </cfRule>
    <cfRule type="cellIs" dxfId="1388" priority="252" operator="between">
      <formula>100.001%</formula>
      <formula>110%</formula>
    </cfRule>
    <cfRule type="cellIs" dxfId="1387" priority="253" operator="between">
      <formula>70.001%</formula>
      <formula>100%</formula>
    </cfRule>
    <cfRule type="cellIs" dxfId="1386" priority="254" operator="between">
      <formula>0.00001%</formula>
      <formula>70%</formula>
    </cfRule>
    <cfRule type="cellIs" dxfId="1385" priority="255" operator="equal">
      <formula>0%</formula>
    </cfRule>
  </conditionalFormatting>
  <conditionalFormatting sqref="T11">
    <cfRule type="cellIs" dxfId="1384" priority="246" operator="greaterThan">
      <formula>110%</formula>
    </cfRule>
    <cfRule type="cellIs" dxfId="1383" priority="247" operator="between">
      <formula>100.001%</formula>
      <formula>110%</formula>
    </cfRule>
    <cfRule type="cellIs" dxfId="1382" priority="248" operator="between">
      <formula>70.001%</formula>
      <formula>100%</formula>
    </cfRule>
    <cfRule type="cellIs" dxfId="1381" priority="249" operator="between">
      <formula>0.00001%</formula>
      <formula>70%</formula>
    </cfRule>
    <cfRule type="cellIs" dxfId="1380" priority="250" operator="equal">
      <formula>0%</formula>
    </cfRule>
  </conditionalFormatting>
  <conditionalFormatting sqref="T12:T33 T35:T37">
    <cfRule type="cellIs" dxfId="1379" priority="241" operator="greaterThan">
      <formula>110%</formula>
    </cfRule>
    <cfRule type="cellIs" dxfId="1378" priority="242" operator="between">
      <formula>100.001%</formula>
      <formula>110%</formula>
    </cfRule>
    <cfRule type="cellIs" dxfId="1377" priority="243" operator="between">
      <formula>70.001%</formula>
      <formula>100%</formula>
    </cfRule>
    <cfRule type="cellIs" dxfId="1376" priority="244" operator="between">
      <formula>0.00001%</formula>
      <formula>70%</formula>
    </cfRule>
    <cfRule type="cellIs" dxfId="1375" priority="245" operator="equal">
      <formula>0%</formula>
    </cfRule>
  </conditionalFormatting>
  <conditionalFormatting sqref="W11">
    <cfRule type="cellIs" dxfId="1374" priority="236" operator="greaterThan">
      <formula>110%</formula>
    </cfRule>
    <cfRule type="cellIs" dxfId="1373" priority="237" operator="between">
      <formula>100.001%</formula>
      <formula>110%</formula>
    </cfRule>
    <cfRule type="cellIs" dxfId="1372" priority="238" operator="between">
      <formula>70.001%</formula>
      <formula>100%</formula>
    </cfRule>
    <cfRule type="cellIs" dxfId="1371" priority="239" operator="between">
      <formula>0.00001%</formula>
      <formula>70%</formula>
    </cfRule>
    <cfRule type="cellIs" dxfId="1370" priority="240" operator="equal">
      <formula>0%</formula>
    </cfRule>
  </conditionalFormatting>
  <conditionalFormatting sqref="W12:W33 W35:W37">
    <cfRule type="cellIs" dxfId="1369" priority="231" operator="greaterThan">
      <formula>110%</formula>
    </cfRule>
    <cfRule type="cellIs" dxfId="1368" priority="232" operator="between">
      <formula>100.001%</formula>
      <formula>110%</formula>
    </cfRule>
    <cfRule type="cellIs" dxfId="1367" priority="233" operator="between">
      <formula>70.001%</formula>
      <formula>100%</formula>
    </cfRule>
    <cfRule type="cellIs" dxfId="1366" priority="234" operator="between">
      <formula>0.00001%</formula>
      <formula>70%</formula>
    </cfRule>
    <cfRule type="cellIs" dxfId="1365" priority="235" operator="equal">
      <formula>0%</formula>
    </cfRule>
  </conditionalFormatting>
  <conditionalFormatting sqref="Z11">
    <cfRule type="cellIs" dxfId="1364" priority="226" operator="greaterThan">
      <formula>110%</formula>
    </cfRule>
    <cfRule type="cellIs" dxfId="1363" priority="227" operator="between">
      <formula>100.001%</formula>
      <formula>110%</formula>
    </cfRule>
    <cfRule type="cellIs" dxfId="1362" priority="228" operator="between">
      <formula>70.001%</formula>
      <formula>100%</formula>
    </cfRule>
    <cfRule type="cellIs" dxfId="1361" priority="229" operator="between">
      <formula>0.00001%</formula>
      <formula>70%</formula>
    </cfRule>
    <cfRule type="cellIs" dxfId="1360" priority="230" operator="equal">
      <formula>0%</formula>
    </cfRule>
  </conditionalFormatting>
  <conditionalFormatting sqref="Z12:Z33 Z35:Z37">
    <cfRule type="cellIs" dxfId="1359" priority="221" operator="greaterThan">
      <formula>110%</formula>
    </cfRule>
    <cfRule type="cellIs" dxfId="1358" priority="222" operator="between">
      <formula>100.001%</formula>
      <formula>110%</formula>
    </cfRule>
    <cfRule type="cellIs" dxfId="1357" priority="223" operator="between">
      <formula>70.001%</formula>
      <formula>100%</formula>
    </cfRule>
    <cfRule type="cellIs" dxfId="1356" priority="224" operator="between">
      <formula>0.00001%</formula>
      <formula>70%</formula>
    </cfRule>
    <cfRule type="cellIs" dxfId="1355" priority="225" operator="equal">
      <formula>0%</formula>
    </cfRule>
  </conditionalFormatting>
  <conditionalFormatting sqref="AC11">
    <cfRule type="cellIs" dxfId="1354" priority="216" operator="greaterThan">
      <formula>110%</formula>
    </cfRule>
    <cfRule type="cellIs" dxfId="1353" priority="217" operator="between">
      <formula>100.001%</formula>
      <formula>110%</formula>
    </cfRule>
    <cfRule type="cellIs" dxfId="1352" priority="218" operator="between">
      <formula>70.001%</formula>
      <formula>100%</formula>
    </cfRule>
    <cfRule type="cellIs" dxfId="1351" priority="219" operator="between">
      <formula>0.00001%</formula>
      <formula>70%</formula>
    </cfRule>
    <cfRule type="cellIs" dxfId="1350" priority="220" operator="equal">
      <formula>0%</formula>
    </cfRule>
  </conditionalFormatting>
  <conditionalFormatting sqref="AC12:AC33 AC35:AC37">
    <cfRule type="cellIs" dxfId="1349" priority="211" operator="greaterThan">
      <formula>110%</formula>
    </cfRule>
    <cfRule type="cellIs" dxfId="1348" priority="212" operator="between">
      <formula>100.001%</formula>
      <formula>110%</formula>
    </cfRule>
    <cfRule type="cellIs" dxfId="1347" priority="213" operator="between">
      <formula>70.001%</formula>
      <formula>100%</formula>
    </cfRule>
    <cfRule type="cellIs" dxfId="1346" priority="214" operator="between">
      <formula>0.00001%</formula>
      <formula>70%</formula>
    </cfRule>
    <cfRule type="cellIs" dxfId="1345" priority="215" operator="equal">
      <formula>0%</formula>
    </cfRule>
  </conditionalFormatting>
  <conditionalFormatting sqref="AH11">
    <cfRule type="cellIs" dxfId="1344" priority="206" operator="greaterThan">
      <formula>110%</formula>
    </cfRule>
    <cfRule type="cellIs" dxfId="1343" priority="207" operator="between">
      <formula>100.001%</formula>
      <formula>110%</formula>
    </cfRule>
    <cfRule type="cellIs" dxfId="1342" priority="208" operator="between">
      <formula>70.001%</formula>
      <formula>100%</formula>
    </cfRule>
    <cfRule type="cellIs" dxfId="1341" priority="209" operator="between">
      <formula>0.00001%</formula>
      <formula>70%</formula>
    </cfRule>
    <cfRule type="cellIs" dxfId="1340" priority="210" operator="equal">
      <formula>0%</formula>
    </cfRule>
  </conditionalFormatting>
  <conditionalFormatting sqref="AH12:AH33 AH35:AH37">
    <cfRule type="cellIs" dxfId="1339" priority="201" operator="greaterThan">
      <formula>110%</formula>
    </cfRule>
    <cfRule type="cellIs" dxfId="1338" priority="202" operator="between">
      <formula>100.001%</formula>
      <formula>110%</formula>
    </cfRule>
    <cfRule type="cellIs" dxfId="1337" priority="203" operator="between">
      <formula>70.001%</formula>
      <formula>100%</formula>
    </cfRule>
    <cfRule type="cellIs" dxfId="1336" priority="204" operator="between">
      <formula>0.00001%</formula>
      <formula>70%</formula>
    </cfRule>
    <cfRule type="cellIs" dxfId="1335" priority="205" operator="equal">
      <formula>0%</formula>
    </cfRule>
  </conditionalFormatting>
  <conditionalFormatting sqref="AK11">
    <cfRule type="cellIs" dxfId="1334" priority="196" operator="greaterThan">
      <formula>110%</formula>
    </cfRule>
    <cfRule type="cellIs" dxfId="1333" priority="197" operator="between">
      <formula>100.001%</formula>
      <formula>110%</formula>
    </cfRule>
    <cfRule type="cellIs" dxfId="1332" priority="198" operator="between">
      <formula>70.001%</formula>
      <formula>100%</formula>
    </cfRule>
    <cfRule type="cellIs" dxfId="1331" priority="199" operator="between">
      <formula>0.00001%</formula>
      <formula>70%</formula>
    </cfRule>
    <cfRule type="cellIs" dxfId="1330" priority="200" operator="equal">
      <formula>0%</formula>
    </cfRule>
  </conditionalFormatting>
  <conditionalFormatting sqref="AK12:AK17 AK35:AK37 AK19:AK33">
    <cfRule type="cellIs" dxfId="1329" priority="191" operator="greaterThan">
      <formula>110%</formula>
    </cfRule>
    <cfRule type="cellIs" dxfId="1328" priority="192" operator="between">
      <formula>100.001%</formula>
      <formula>110%</formula>
    </cfRule>
    <cfRule type="cellIs" dxfId="1327" priority="193" operator="between">
      <formula>70.001%</formula>
      <formula>100%</formula>
    </cfRule>
    <cfRule type="cellIs" dxfId="1326" priority="194" operator="between">
      <formula>0.00001%</formula>
      <formula>70%</formula>
    </cfRule>
    <cfRule type="cellIs" dxfId="1325" priority="195" operator="equal">
      <formula>0%</formula>
    </cfRule>
  </conditionalFormatting>
  <conditionalFormatting sqref="AN11">
    <cfRule type="cellIs" dxfId="1324" priority="186" operator="greaterThan">
      <formula>110%</formula>
    </cfRule>
    <cfRule type="cellIs" dxfId="1323" priority="187" operator="between">
      <formula>100.001%</formula>
      <formula>110%</formula>
    </cfRule>
    <cfRule type="cellIs" dxfId="1322" priority="188" operator="between">
      <formula>70.001%</formula>
      <formula>100%</formula>
    </cfRule>
    <cfRule type="cellIs" dxfId="1321" priority="189" operator="between">
      <formula>0.00001%</formula>
      <formula>70%</formula>
    </cfRule>
    <cfRule type="cellIs" dxfId="1320" priority="190" operator="equal">
      <formula>0%</formula>
    </cfRule>
  </conditionalFormatting>
  <conditionalFormatting sqref="AN12:AN17 AN35:AN37 AN19:AN33">
    <cfRule type="cellIs" dxfId="1319" priority="181" operator="greaterThan">
      <formula>110%</formula>
    </cfRule>
    <cfRule type="cellIs" dxfId="1318" priority="182" operator="between">
      <formula>100.001%</formula>
      <formula>110%</formula>
    </cfRule>
    <cfRule type="cellIs" dxfId="1317" priority="183" operator="between">
      <formula>70.001%</formula>
      <formula>100%</formula>
    </cfRule>
    <cfRule type="cellIs" dxfId="1316" priority="184" operator="between">
      <formula>0.00001%</formula>
      <formula>70%</formula>
    </cfRule>
    <cfRule type="cellIs" dxfId="1315" priority="185" operator="equal">
      <formula>0%</formula>
    </cfRule>
  </conditionalFormatting>
  <conditionalFormatting sqref="AQ11">
    <cfRule type="cellIs" dxfId="1314" priority="176" operator="greaterThan">
      <formula>110%</formula>
    </cfRule>
    <cfRule type="cellIs" dxfId="1313" priority="177" operator="between">
      <formula>100.001%</formula>
      <formula>110%</formula>
    </cfRule>
    <cfRule type="cellIs" dxfId="1312" priority="178" operator="between">
      <formula>70.001%</formula>
      <formula>100%</formula>
    </cfRule>
    <cfRule type="cellIs" dxfId="1311" priority="179" operator="between">
      <formula>0.00001%</formula>
      <formula>70%</formula>
    </cfRule>
    <cfRule type="cellIs" dxfId="1310" priority="180" operator="equal">
      <formula>0%</formula>
    </cfRule>
  </conditionalFormatting>
  <conditionalFormatting sqref="AQ12:AQ33 AQ35:AQ37">
    <cfRule type="cellIs" dxfId="1309" priority="171" operator="greaterThan">
      <formula>110%</formula>
    </cfRule>
    <cfRule type="cellIs" dxfId="1308" priority="172" operator="between">
      <formula>100.001%</formula>
      <formula>110%</formula>
    </cfRule>
    <cfRule type="cellIs" dxfId="1307" priority="173" operator="between">
      <formula>70.001%</formula>
      <formula>100%</formula>
    </cfRule>
    <cfRule type="cellIs" dxfId="1306" priority="174" operator="between">
      <formula>0.00001%</formula>
      <formula>70%</formula>
    </cfRule>
    <cfRule type="cellIs" dxfId="1305" priority="175" operator="equal">
      <formula>0%</formula>
    </cfRule>
  </conditionalFormatting>
  <conditionalFormatting sqref="AT11">
    <cfRule type="cellIs" dxfId="1304" priority="166" operator="greaterThan">
      <formula>110%</formula>
    </cfRule>
    <cfRule type="cellIs" dxfId="1303" priority="167" operator="between">
      <formula>100.001%</formula>
      <formula>110%</formula>
    </cfRule>
    <cfRule type="cellIs" dxfId="1302" priority="168" operator="between">
      <formula>70.001%</formula>
      <formula>100%</formula>
    </cfRule>
    <cfRule type="cellIs" dxfId="1301" priority="169" operator="between">
      <formula>0.00001%</formula>
      <formula>70%</formula>
    </cfRule>
    <cfRule type="cellIs" dxfId="1300" priority="170" operator="equal">
      <formula>0%</formula>
    </cfRule>
  </conditionalFormatting>
  <conditionalFormatting sqref="AT35:AT37 AT12:AT33">
    <cfRule type="cellIs" dxfId="1299" priority="161" operator="greaterThan">
      <formula>110%</formula>
    </cfRule>
    <cfRule type="cellIs" dxfId="1298" priority="162" operator="between">
      <formula>100.001%</formula>
      <formula>110%</formula>
    </cfRule>
    <cfRule type="cellIs" dxfId="1297" priority="163" operator="between">
      <formula>70.001%</formula>
      <formula>100%</formula>
    </cfRule>
    <cfRule type="cellIs" dxfId="1296" priority="164" operator="between">
      <formula>0.00001%</formula>
      <formula>70%</formula>
    </cfRule>
    <cfRule type="cellIs" dxfId="1295" priority="165" operator="equal">
      <formula>0%</formula>
    </cfRule>
  </conditionalFormatting>
  <conditionalFormatting sqref="AW11">
    <cfRule type="cellIs" dxfId="1294" priority="156" operator="greaterThan">
      <formula>110%</formula>
    </cfRule>
    <cfRule type="cellIs" dxfId="1293" priority="157" operator="between">
      <formula>100.001%</formula>
      <formula>110%</formula>
    </cfRule>
    <cfRule type="cellIs" dxfId="1292" priority="158" operator="between">
      <formula>70.001%</formula>
      <formula>100%</formula>
    </cfRule>
    <cfRule type="cellIs" dxfId="1291" priority="159" operator="between">
      <formula>0.00001%</formula>
      <formula>70%</formula>
    </cfRule>
    <cfRule type="cellIs" dxfId="1290" priority="160" operator="equal">
      <formula>0%</formula>
    </cfRule>
  </conditionalFormatting>
  <conditionalFormatting sqref="AW12:AW33 AW35:AW37">
    <cfRule type="cellIs" dxfId="1289" priority="151" operator="greaterThan">
      <formula>110%</formula>
    </cfRule>
    <cfRule type="cellIs" dxfId="1288" priority="152" operator="between">
      <formula>100.001%</formula>
      <formula>110%</formula>
    </cfRule>
    <cfRule type="cellIs" dxfId="1287" priority="153" operator="between">
      <formula>70.001%</formula>
      <formula>100%</formula>
    </cfRule>
    <cfRule type="cellIs" dxfId="1286" priority="154" operator="between">
      <formula>0.00001%</formula>
      <formula>70%</formula>
    </cfRule>
    <cfRule type="cellIs" dxfId="1285" priority="155" operator="equal">
      <formula>0%</formula>
    </cfRule>
  </conditionalFormatting>
  <conditionalFormatting sqref="AW9:AW10">
    <cfRule type="cellIs" dxfId="1284" priority="81" operator="greaterThan">
      <formula>110%</formula>
    </cfRule>
    <cfRule type="cellIs" dxfId="1283" priority="82" operator="between">
      <formula>100.001%</formula>
      <formula>110%</formula>
    </cfRule>
    <cfRule type="cellIs" dxfId="1282" priority="83" operator="between">
      <formula>70.001%</formula>
      <formula>100%</formula>
    </cfRule>
    <cfRule type="cellIs" dxfId="1281" priority="84" operator="between">
      <formula>0.00001%</formula>
      <formula>70%</formula>
    </cfRule>
    <cfRule type="cellIs" dxfId="1280" priority="85" operator="equal">
      <formula>0</formula>
    </cfRule>
  </conditionalFormatting>
  <conditionalFormatting sqref="AE9:AE10">
    <cfRule type="cellIs" dxfId="1279" priority="146" operator="greaterThan">
      <formula>110%</formula>
    </cfRule>
    <cfRule type="cellIs" dxfId="1278" priority="147" operator="between">
      <formula>100.001%</formula>
      <formula>110%</formula>
    </cfRule>
    <cfRule type="cellIs" dxfId="1277" priority="148" operator="between">
      <formula>70.001%</formula>
      <formula>100%</formula>
    </cfRule>
    <cfRule type="cellIs" dxfId="1276" priority="149" operator="between">
      <formula>0.00001%</formula>
      <formula>70%</formula>
    </cfRule>
    <cfRule type="cellIs" dxfId="1275" priority="150" operator="equal">
      <formula>0</formula>
    </cfRule>
  </conditionalFormatting>
  <conditionalFormatting sqref="AY9:AY10">
    <cfRule type="cellIs" dxfId="1274" priority="141" operator="greaterThan">
      <formula>110%</formula>
    </cfRule>
    <cfRule type="cellIs" dxfId="1273" priority="142" operator="between">
      <formula>100.001%</formula>
      <formula>110%</formula>
    </cfRule>
    <cfRule type="cellIs" dxfId="1272" priority="143" operator="between">
      <formula>70.001%</formula>
      <formula>100%</formula>
    </cfRule>
    <cfRule type="cellIs" dxfId="1271" priority="144" operator="between">
      <formula>0.00001%</formula>
      <formula>70%</formula>
    </cfRule>
    <cfRule type="cellIs" dxfId="1270" priority="145" operator="equal">
      <formula>0</formula>
    </cfRule>
  </conditionalFormatting>
  <conditionalFormatting sqref="N9:N10">
    <cfRule type="cellIs" dxfId="1269" priority="136" operator="greaterThan">
      <formula>110%</formula>
    </cfRule>
    <cfRule type="cellIs" dxfId="1268" priority="137" operator="between">
      <formula>100.001%</formula>
      <formula>110%</formula>
    </cfRule>
    <cfRule type="cellIs" dxfId="1267" priority="138" operator="between">
      <formula>70.001%</formula>
      <formula>100%</formula>
    </cfRule>
    <cfRule type="cellIs" dxfId="1266" priority="139" operator="between">
      <formula>0.00001%</formula>
      <formula>70%</formula>
    </cfRule>
    <cfRule type="cellIs" dxfId="1265" priority="140" operator="equal">
      <formula>0</formula>
    </cfRule>
  </conditionalFormatting>
  <conditionalFormatting sqref="Q9:Q10">
    <cfRule type="cellIs" dxfId="1264" priority="131" operator="greaterThan">
      <formula>110%</formula>
    </cfRule>
    <cfRule type="cellIs" dxfId="1263" priority="132" operator="between">
      <formula>100.001%</formula>
      <formula>110%</formula>
    </cfRule>
    <cfRule type="cellIs" dxfId="1262" priority="133" operator="between">
      <formula>70.001%</formula>
      <formula>100%</formula>
    </cfRule>
    <cfRule type="cellIs" dxfId="1261" priority="134" operator="between">
      <formula>0.00001%</formula>
      <formula>70%</formula>
    </cfRule>
    <cfRule type="cellIs" dxfId="1260" priority="135" operator="equal">
      <formula>0</formula>
    </cfRule>
  </conditionalFormatting>
  <conditionalFormatting sqref="T9:T10">
    <cfRule type="cellIs" dxfId="1259" priority="126" operator="greaterThan">
      <formula>110%</formula>
    </cfRule>
    <cfRule type="cellIs" dxfId="1258" priority="127" operator="between">
      <formula>100.001%</formula>
      <formula>110%</formula>
    </cfRule>
    <cfRule type="cellIs" dxfId="1257" priority="128" operator="between">
      <formula>70.001%</formula>
      <formula>100%</formula>
    </cfRule>
    <cfRule type="cellIs" dxfId="1256" priority="129" operator="between">
      <formula>0.00001%</formula>
      <formula>70%</formula>
    </cfRule>
    <cfRule type="cellIs" dxfId="1255" priority="130" operator="equal">
      <formula>0</formula>
    </cfRule>
  </conditionalFormatting>
  <conditionalFormatting sqref="W9:W10">
    <cfRule type="cellIs" dxfId="1254" priority="121" operator="greaterThan">
      <formula>110%</formula>
    </cfRule>
    <cfRule type="cellIs" dxfId="1253" priority="122" operator="between">
      <formula>100.001%</formula>
      <formula>110%</formula>
    </cfRule>
    <cfRule type="cellIs" dxfId="1252" priority="123" operator="between">
      <formula>70.001%</formula>
      <formula>100%</formula>
    </cfRule>
    <cfRule type="cellIs" dxfId="1251" priority="124" operator="between">
      <formula>0.00001%</formula>
      <formula>70%</formula>
    </cfRule>
    <cfRule type="cellIs" dxfId="1250" priority="125" operator="equal">
      <formula>0</formula>
    </cfRule>
  </conditionalFormatting>
  <conditionalFormatting sqref="Z9:Z10">
    <cfRule type="cellIs" dxfId="1249" priority="116" operator="greaterThan">
      <formula>110%</formula>
    </cfRule>
    <cfRule type="cellIs" dxfId="1248" priority="117" operator="between">
      <formula>100.001%</formula>
      <formula>110%</formula>
    </cfRule>
    <cfRule type="cellIs" dxfId="1247" priority="118" operator="between">
      <formula>70.001%</formula>
      <formula>100%</formula>
    </cfRule>
    <cfRule type="cellIs" dxfId="1246" priority="119" operator="between">
      <formula>0.00001%</formula>
      <formula>70%</formula>
    </cfRule>
    <cfRule type="cellIs" dxfId="1245" priority="120" operator="equal">
      <formula>0</formula>
    </cfRule>
  </conditionalFormatting>
  <conditionalFormatting sqref="AC9:AC10">
    <cfRule type="cellIs" dxfId="1244" priority="111" operator="greaterThan">
      <formula>110%</formula>
    </cfRule>
    <cfRule type="cellIs" dxfId="1243" priority="112" operator="between">
      <formula>100.001%</formula>
      <formula>110%</formula>
    </cfRule>
    <cfRule type="cellIs" dxfId="1242" priority="113" operator="between">
      <formula>70.001%</formula>
      <formula>100%</formula>
    </cfRule>
    <cfRule type="cellIs" dxfId="1241" priority="114" operator="between">
      <formula>0.00001%</formula>
      <formula>70%</formula>
    </cfRule>
    <cfRule type="cellIs" dxfId="1240" priority="115" operator="equal">
      <formula>0</formula>
    </cfRule>
  </conditionalFormatting>
  <conditionalFormatting sqref="AH9:AH10">
    <cfRule type="cellIs" dxfId="1239" priority="106" operator="greaterThan">
      <formula>110%</formula>
    </cfRule>
    <cfRule type="cellIs" dxfId="1238" priority="107" operator="between">
      <formula>100.001%</formula>
      <formula>110%</formula>
    </cfRule>
    <cfRule type="cellIs" dxfId="1237" priority="108" operator="between">
      <formula>70.001%</formula>
      <formula>100%</formula>
    </cfRule>
    <cfRule type="cellIs" dxfId="1236" priority="109" operator="between">
      <formula>0.00001%</formula>
      <formula>70%</formula>
    </cfRule>
    <cfRule type="cellIs" dxfId="1235" priority="110" operator="equal">
      <formula>0</formula>
    </cfRule>
  </conditionalFormatting>
  <conditionalFormatting sqref="AK9:AK10">
    <cfRule type="cellIs" dxfId="1234" priority="101" operator="greaterThan">
      <formula>110%</formula>
    </cfRule>
    <cfRule type="cellIs" dxfId="1233" priority="102" operator="between">
      <formula>100.001%</formula>
      <formula>110%</formula>
    </cfRule>
    <cfRule type="cellIs" dxfId="1232" priority="103" operator="between">
      <formula>70.001%</formula>
      <formula>100%</formula>
    </cfRule>
    <cfRule type="cellIs" dxfId="1231" priority="104" operator="between">
      <formula>0.00001%</formula>
      <formula>70%</formula>
    </cfRule>
    <cfRule type="cellIs" dxfId="1230" priority="105" operator="equal">
      <formula>0</formula>
    </cfRule>
  </conditionalFormatting>
  <conditionalFormatting sqref="AN9:AN10">
    <cfRule type="cellIs" dxfId="1229" priority="96" operator="greaterThan">
      <formula>110%</formula>
    </cfRule>
    <cfRule type="cellIs" dxfId="1228" priority="97" operator="between">
      <formula>100.001%</formula>
      <formula>110%</formula>
    </cfRule>
    <cfRule type="cellIs" dxfId="1227" priority="98" operator="between">
      <formula>70.001%</formula>
      <formula>100%</formula>
    </cfRule>
    <cfRule type="cellIs" dxfId="1226" priority="99" operator="between">
      <formula>0.00001%</formula>
      <formula>70%</formula>
    </cfRule>
    <cfRule type="cellIs" dxfId="1225" priority="100" operator="equal">
      <formula>0</formula>
    </cfRule>
  </conditionalFormatting>
  <conditionalFormatting sqref="AQ9:AQ10">
    <cfRule type="cellIs" dxfId="1224" priority="91" operator="greaterThan">
      <formula>110%</formula>
    </cfRule>
    <cfRule type="cellIs" dxfId="1223" priority="92" operator="between">
      <formula>100.001%</formula>
      <formula>110%</formula>
    </cfRule>
    <cfRule type="cellIs" dxfId="1222" priority="93" operator="between">
      <formula>70.001%</formula>
      <formula>100%</formula>
    </cfRule>
    <cfRule type="cellIs" dxfId="1221" priority="94" operator="between">
      <formula>0.00001%</formula>
      <formula>70%</formula>
    </cfRule>
    <cfRule type="cellIs" dxfId="1220" priority="95" operator="equal">
      <formula>0</formula>
    </cfRule>
  </conditionalFormatting>
  <conditionalFormatting sqref="AT9:AT10">
    <cfRule type="cellIs" dxfId="1219" priority="86" operator="greaterThan">
      <formula>110%</formula>
    </cfRule>
    <cfRule type="cellIs" dxfId="1218" priority="87" operator="between">
      <formula>100.001%</formula>
      <formula>110%</formula>
    </cfRule>
    <cfRule type="cellIs" dxfId="1217" priority="88" operator="between">
      <formula>70.001%</formula>
      <formula>100%</formula>
    </cfRule>
    <cfRule type="cellIs" dxfId="1216" priority="89" operator="between">
      <formula>0.00001%</formula>
      <formula>70%</formula>
    </cfRule>
    <cfRule type="cellIs" dxfId="1215" priority="90" operator="equal">
      <formula>0</formula>
    </cfRule>
  </conditionalFormatting>
  <conditionalFormatting sqref="AE39">
    <cfRule type="cellIs" dxfId="1214" priority="76" operator="greaterThan">
      <formula>110%</formula>
    </cfRule>
    <cfRule type="cellIs" dxfId="1213" priority="77" operator="between">
      <formula>100.001%</formula>
      <formula>110%</formula>
    </cfRule>
    <cfRule type="cellIs" dxfId="1212" priority="78" operator="between">
      <formula>70.001%</formula>
      <formula>100%</formula>
    </cfRule>
    <cfRule type="cellIs" dxfId="1211" priority="79" operator="between">
      <formula>0.00001%</formula>
      <formula>70%</formula>
    </cfRule>
    <cfRule type="cellIs" dxfId="1210" priority="80" operator="equal">
      <formula>0</formula>
    </cfRule>
  </conditionalFormatting>
  <conditionalFormatting sqref="AY39">
    <cfRule type="cellIs" dxfId="1209" priority="71" operator="greaterThan">
      <formula>110%</formula>
    </cfRule>
    <cfRule type="cellIs" dxfId="1208" priority="72" operator="between">
      <formula>100.001%</formula>
      <formula>110%</formula>
    </cfRule>
    <cfRule type="cellIs" dxfId="1207" priority="73" operator="between">
      <formula>70.001%</formula>
      <formula>100%</formula>
    </cfRule>
    <cfRule type="cellIs" dxfId="1206" priority="74" operator="between">
      <formula>0.00001%</formula>
      <formula>70%</formula>
    </cfRule>
    <cfRule type="cellIs" dxfId="1205" priority="75" operator="equal">
      <formula>0</formula>
    </cfRule>
  </conditionalFormatting>
  <conditionalFormatting sqref="N39">
    <cfRule type="cellIs" dxfId="1204" priority="66" operator="greaterThan">
      <formula>110%</formula>
    </cfRule>
    <cfRule type="cellIs" dxfId="1203" priority="67" operator="between">
      <formula>100.001%</formula>
      <formula>110%</formula>
    </cfRule>
    <cfRule type="cellIs" dxfId="1202" priority="68" operator="between">
      <formula>70.001%</formula>
      <formula>100%</formula>
    </cfRule>
    <cfRule type="cellIs" dxfId="1201" priority="69" operator="between">
      <formula>0.00001%</formula>
      <formula>70%</formula>
    </cfRule>
    <cfRule type="cellIs" dxfId="1200" priority="70" operator="equal">
      <formula>0%</formula>
    </cfRule>
  </conditionalFormatting>
  <conditionalFormatting sqref="Q39">
    <cfRule type="cellIs" dxfId="1199" priority="61" operator="greaterThan">
      <formula>110%</formula>
    </cfRule>
    <cfRule type="cellIs" dxfId="1198" priority="62" operator="between">
      <formula>100.001%</formula>
      <formula>110%</formula>
    </cfRule>
    <cfRule type="cellIs" dxfId="1197" priority="63" operator="between">
      <formula>70.001%</formula>
      <formula>100%</formula>
    </cfRule>
    <cfRule type="cellIs" dxfId="1196" priority="64" operator="between">
      <formula>0.00001%</formula>
      <formula>70%</formula>
    </cfRule>
    <cfRule type="cellIs" dxfId="1195" priority="65" operator="equal">
      <formula>0%</formula>
    </cfRule>
  </conditionalFormatting>
  <conditionalFormatting sqref="T39">
    <cfRule type="cellIs" dxfId="1194" priority="56" operator="greaterThan">
      <formula>110%</formula>
    </cfRule>
    <cfRule type="cellIs" dxfId="1193" priority="57" operator="between">
      <formula>100.001%</formula>
      <formula>110%</formula>
    </cfRule>
    <cfRule type="cellIs" dxfId="1192" priority="58" operator="between">
      <formula>70.001%</formula>
      <formula>100%</formula>
    </cfRule>
    <cfRule type="cellIs" dxfId="1191" priority="59" operator="between">
      <formula>0.00001%</formula>
      <formula>70%</formula>
    </cfRule>
    <cfRule type="cellIs" dxfId="1190" priority="60" operator="equal">
      <formula>0%</formula>
    </cfRule>
  </conditionalFormatting>
  <conditionalFormatting sqref="W39">
    <cfRule type="cellIs" dxfId="1189" priority="51" operator="greaterThan">
      <formula>110%</formula>
    </cfRule>
    <cfRule type="cellIs" dxfId="1188" priority="52" operator="between">
      <formula>100.001%</formula>
      <formula>110%</formula>
    </cfRule>
    <cfRule type="cellIs" dxfId="1187" priority="53" operator="between">
      <formula>70.001%</formula>
      <formula>100%</formula>
    </cfRule>
    <cfRule type="cellIs" dxfId="1186" priority="54" operator="between">
      <formula>0.00001%</formula>
      <formula>70%</formula>
    </cfRule>
    <cfRule type="cellIs" dxfId="1185" priority="55" operator="equal">
      <formula>0%</formula>
    </cfRule>
  </conditionalFormatting>
  <conditionalFormatting sqref="Z39">
    <cfRule type="cellIs" dxfId="1184" priority="46" operator="greaterThan">
      <formula>110%</formula>
    </cfRule>
    <cfRule type="cellIs" dxfId="1183" priority="47" operator="between">
      <formula>100.001%</formula>
      <formula>110%</formula>
    </cfRule>
    <cfRule type="cellIs" dxfId="1182" priority="48" operator="between">
      <formula>70.001%</formula>
      <formula>100%</formula>
    </cfRule>
    <cfRule type="cellIs" dxfId="1181" priority="49" operator="between">
      <formula>0.00001%</formula>
      <formula>70%</formula>
    </cfRule>
    <cfRule type="cellIs" dxfId="1180" priority="50" operator="equal">
      <formula>0%</formula>
    </cfRule>
  </conditionalFormatting>
  <conditionalFormatting sqref="AC39">
    <cfRule type="cellIs" dxfId="1179" priority="41" operator="greaterThan">
      <formula>110%</formula>
    </cfRule>
    <cfRule type="cellIs" dxfId="1178" priority="42" operator="between">
      <formula>100.001%</formula>
      <formula>110%</formula>
    </cfRule>
    <cfRule type="cellIs" dxfId="1177" priority="43" operator="between">
      <formula>70.001%</formula>
      <formula>100%</formula>
    </cfRule>
    <cfRule type="cellIs" dxfId="1176" priority="44" operator="between">
      <formula>0.00001%</formula>
      <formula>70%</formula>
    </cfRule>
    <cfRule type="cellIs" dxfId="1175" priority="45" operator="equal">
      <formula>0%</formula>
    </cfRule>
  </conditionalFormatting>
  <conditionalFormatting sqref="AH39">
    <cfRule type="cellIs" dxfId="1174" priority="36" operator="greaterThan">
      <formula>110%</formula>
    </cfRule>
    <cfRule type="cellIs" dxfId="1173" priority="37" operator="between">
      <formula>100.001%</formula>
      <formula>110%</formula>
    </cfRule>
    <cfRule type="cellIs" dxfId="1172" priority="38" operator="between">
      <formula>70.001%</formula>
      <formula>100%</formula>
    </cfRule>
    <cfRule type="cellIs" dxfId="1171" priority="39" operator="between">
      <formula>0.00001%</formula>
      <formula>70%</formula>
    </cfRule>
    <cfRule type="cellIs" dxfId="1170" priority="40" operator="equal">
      <formula>0%</formula>
    </cfRule>
  </conditionalFormatting>
  <conditionalFormatting sqref="AK39">
    <cfRule type="cellIs" dxfId="1169" priority="31" operator="greaterThan">
      <formula>110%</formula>
    </cfRule>
    <cfRule type="cellIs" dxfId="1168" priority="32" operator="between">
      <formula>100.001%</formula>
      <formula>110%</formula>
    </cfRule>
    <cfRule type="cellIs" dxfId="1167" priority="33" operator="between">
      <formula>70.001%</formula>
      <formula>100%</formula>
    </cfRule>
    <cfRule type="cellIs" dxfId="1166" priority="34" operator="between">
      <formula>0.00001%</formula>
      <formula>70%</formula>
    </cfRule>
    <cfRule type="cellIs" dxfId="1165" priority="35" operator="equal">
      <formula>0%</formula>
    </cfRule>
  </conditionalFormatting>
  <conditionalFormatting sqref="AN39">
    <cfRule type="cellIs" dxfId="1164" priority="26" operator="greaterThan">
      <formula>110%</formula>
    </cfRule>
    <cfRule type="cellIs" dxfId="1163" priority="27" operator="between">
      <formula>100.001%</formula>
      <formula>110%</formula>
    </cfRule>
    <cfRule type="cellIs" dxfId="1162" priority="28" operator="between">
      <formula>70.001%</formula>
      <formula>100%</formula>
    </cfRule>
    <cfRule type="cellIs" dxfId="1161" priority="29" operator="between">
      <formula>0.00001%</formula>
      <formula>70%</formula>
    </cfRule>
    <cfRule type="cellIs" dxfId="1160" priority="30" operator="equal">
      <formula>0%</formula>
    </cfRule>
  </conditionalFormatting>
  <conditionalFormatting sqref="AQ39">
    <cfRule type="cellIs" dxfId="1159" priority="21" operator="greaterThan">
      <formula>110%</formula>
    </cfRule>
    <cfRule type="cellIs" dxfId="1158" priority="22" operator="between">
      <formula>100.001%</formula>
      <formula>110%</formula>
    </cfRule>
    <cfRule type="cellIs" dxfId="1157" priority="23" operator="between">
      <formula>70.001%</formula>
      <formula>100%</formula>
    </cfRule>
    <cfRule type="cellIs" dxfId="1156" priority="24" operator="between">
      <formula>0.00001%</formula>
      <formula>70%</formula>
    </cfRule>
    <cfRule type="cellIs" dxfId="1155" priority="25" operator="equal">
      <formula>0%</formula>
    </cfRule>
  </conditionalFormatting>
  <conditionalFormatting sqref="AT39">
    <cfRule type="cellIs" dxfId="1154" priority="16" operator="greaterThan">
      <formula>110%</formula>
    </cfRule>
    <cfRule type="cellIs" dxfId="1153" priority="17" operator="between">
      <formula>100.001%</formula>
      <formula>110%</formula>
    </cfRule>
    <cfRule type="cellIs" dxfId="1152" priority="18" operator="between">
      <formula>70.001%</formula>
      <formula>100%</formula>
    </cfRule>
    <cfRule type="cellIs" dxfId="1151" priority="19" operator="between">
      <formula>0.00001%</formula>
      <formula>70%</formula>
    </cfRule>
    <cfRule type="cellIs" dxfId="1150" priority="20" operator="equal">
      <formula>0%</formula>
    </cfRule>
  </conditionalFormatting>
  <conditionalFormatting sqref="AW39">
    <cfRule type="cellIs" dxfId="1149" priority="11" operator="greaterThan">
      <formula>110%</formula>
    </cfRule>
    <cfRule type="cellIs" dxfId="1148" priority="12" operator="between">
      <formula>100.001%</formula>
      <formula>110%</formula>
    </cfRule>
    <cfRule type="cellIs" dxfId="1147" priority="13" operator="between">
      <formula>70.001%</formula>
      <formula>100%</formula>
    </cfRule>
    <cfRule type="cellIs" dxfId="1146" priority="14" operator="between">
      <formula>0.00001%</formula>
      <formula>70%</formula>
    </cfRule>
    <cfRule type="cellIs" dxfId="1145" priority="15" operator="equal">
      <formula>0%</formula>
    </cfRule>
  </conditionalFormatting>
  <conditionalFormatting sqref="AK18">
    <cfRule type="cellIs" dxfId="1144" priority="6" operator="greaterThan">
      <formula>110%</formula>
    </cfRule>
    <cfRule type="cellIs" dxfId="1143" priority="7" operator="between">
      <formula>100.001%</formula>
      <formula>110%</formula>
    </cfRule>
    <cfRule type="cellIs" dxfId="1142" priority="8" operator="between">
      <formula>70.001%</formula>
      <formula>100%</formula>
    </cfRule>
    <cfRule type="cellIs" dxfId="1141" priority="9" operator="between">
      <formula>0.00001%</formula>
      <formula>70%</formula>
    </cfRule>
    <cfRule type="cellIs" dxfId="1140" priority="10" operator="equal">
      <formula>0%</formula>
    </cfRule>
  </conditionalFormatting>
  <conditionalFormatting sqref="AN18">
    <cfRule type="cellIs" dxfId="1139" priority="1" operator="greaterThan">
      <formula>110%</formula>
    </cfRule>
    <cfRule type="cellIs" dxfId="1138" priority="2" operator="between">
      <formula>100.001%</formula>
      <formula>110%</formula>
    </cfRule>
    <cfRule type="cellIs" dxfId="1137" priority="3" operator="between">
      <formula>70.001%</formula>
      <formula>100%</formula>
    </cfRule>
    <cfRule type="cellIs" dxfId="1136" priority="4" operator="between">
      <formula>0.00001%</formula>
      <formula>70%</formula>
    </cfRule>
    <cfRule type="cellIs" dxfId="1135" priority="5" operator="equal">
      <formula>0%</formula>
    </cfRule>
  </conditionalFormatting>
  <hyperlinks>
    <hyperlink ref="D14" location="'FIS-10'!A1" display="FIS-10 Gestión aceptada en fiscalización tributaria" xr:uid="{00000000-0004-0000-2B00-000000000000}"/>
    <hyperlink ref="D15" location="'FIS-11'!A1" display="FIS-11 Gestión aceptada cambiaria (Recaudo)" xr:uid="{00000000-0004-0000-2B00-000001000000}"/>
    <hyperlink ref="D16" location="'FIS-12'!A1" display="FIS-12 Gestión aceptada cambiaria (Resoluciones en firme)" xr:uid="{00000000-0004-0000-2B00-000002000000}"/>
    <hyperlink ref="D17" location="'FIS-27'!A1" display="FIS-27 Reclasificación de no responsables a responsables" xr:uid="{00000000-0004-0000-2B00-000003000000}"/>
    <hyperlink ref="D18" location="'FIS-17'!A1" display="FIS-17 Evacuación de expedientes en fiscalización tributaria" xr:uid="{00000000-0004-0000-2B00-000004000000}"/>
    <hyperlink ref="D19" location="'IN1-4'!A1" display="IN1-4  Recaudo por gestión de cartera" xr:uid="{00000000-0004-0000-2B00-000005000000}"/>
    <hyperlink ref="D20" location="'IN1-5'!A1" display="IN1-5  Inscritos en el Régimen Simple de Tributación - RST" xr:uid="{00000000-0004-0000-2B00-000006000000}"/>
    <hyperlink ref="D21" location="'IN1-6.1'!A1" display="IN1-6.1 Grado de cumplimiento del cronograma de campañas del RST" xr:uid="{00000000-0004-0000-2B00-000007000000}"/>
    <hyperlink ref="D22" location="'FIS-16'!A1" display="FIS-16 Visitas de control a personas que hacen la venta y compra de divisas sin estar autorizados" xr:uid="{00000000-0004-0000-2B00-000008000000}"/>
    <hyperlink ref="D23" location="'FIS-15'!A1" display="FIS-15 Visitas de control a profesionales de cambio" xr:uid="{00000000-0004-0000-2B00-000009000000}"/>
    <hyperlink ref="D24" location="'FIS-18'!A1" display="FIS-18 Evacuación de expedientes en fiscalización cambiaria" xr:uid="{00000000-0004-0000-2B00-00000A000000}"/>
    <hyperlink ref="D25" location="'IN1-8'!A1" display="IN1-8  Contribuyentes habilitados como facturadores electrónicos" xr:uid="{00000000-0004-0000-2B00-00000B000000}"/>
    <hyperlink ref="D26" location="'JUR-3.1'!A1" display="JUR-3.1 Porcentaje de éxito de litigiosidad" xr:uid="{00000000-0004-0000-2B00-00000C000000}"/>
    <hyperlink ref="D27" location="'JUR-3.2'!A1" display="JUR-3.2 Porcentaje  procesos judiciales revisados con mayor riesgo en Ekogui" xr:uid="{00000000-0004-0000-2B00-00000D000000}"/>
    <hyperlink ref="D28" location="'JUR-3.3'!A1" display="JUR-3.3 Porcentaje de análisis de jurisprudencia remitidos junto con la copia de la sentencia " xr:uid="{00000000-0004-0000-2B00-00000E000000}"/>
    <hyperlink ref="D29" location="'JUR 3-4'!A1" display="JUR-3.4 Porcentaje  de procesos revisados con VoBo del Jefe " xr:uid="{00000000-0004-0000-2B00-00000F000000}"/>
    <hyperlink ref="D30" location="'JUR 3-5'!A1" display="JUR-3.5 Porcentaje de requerimientos atendidos en oportunidad" xr:uid="{00000000-0004-0000-2B00-000010000000}"/>
    <hyperlink ref="D31" location="'JUR-3.6'!A1" display="JUR-3.6 Porcentaje funcionarios capacitaciones en cursos virtuales de la ANDJE" xr:uid="{00000000-0004-0000-2B00-000011000000}"/>
    <hyperlink ref="D32" location="'JUR-4'!A1" display="JUR-4 Porcentaje funcionarios que participaron en el concurso de escritura jurídica" xr:uid="{00000000-0004-0000-2B00-000012000000}"/>
    <hyperlink ref="D33" location="'FIS-24'!A1" display="FIS-24 Valor Decomisos de mercancías en firme" xr:uid="{00000000-0004-0000-2B00-000013000000}"/>
    <hyperlink ref="D35" location="'IN1-11'!A1" display="IN1-11  Nivel de cobertura de personas sensibilizadas por el plan de cultura. ACTUALMENTE. Cumplimiento al Plan de Acción de Cultura de la Contribución" xr:uid="{00000000-0004-0000-2B00-000014000000}"/>
    <hyperlink ref="D36" location="'JUR-7'!A1" display="JUR-7  Oportunidad en las decisiones de los recursos tributarios hasta su remisión a notificaciones" xr:uid="{00000000-0004-0000-2B00-000015000000}"/>
    <hyperlink ref="D37" location="'IN1-15'!A1" display="IN1-15  Días en devoluciones ordinarias" xr:uid="{00000000-0004-0000-2B00-000016000000}"/>
    <hyperlink ref="D13" location="'FIS-7'!A1" display="FIS-7 Gestión efectiva de Control Cambiario" xr:uid="{00000000-0004-0000-2B00-000017000000}"/>
    <hyperlink ref="D12" location="'FIS-4'!A1" display="FIS-4 Gestión efectiva en fiscalización tributaria" xr:uid="{00000000-0004-0000-2B00-000018000000}"/>
    <hyperlink ref="D11" location="'IN1-3'!A1" display="IN1-3 Recaudo Bruto" xr:uid="{00000000-0004-0000-2B00-000019000000}"/>
    <hyperlink ref="D9" location="'DGRAE-1'!A1" display="DGRAE-1 Nivel de Ejecución del presupuesto " xr:uid="{00000000-0004-0000-2B00-00001A000000}"/>
    <hyperlink ref="D10" location="'DGRAE-2'!A1" display="DGRAE-2 Nivel de ejecución del PAA de la Dirección" xr:uid="{00000000-0004-0000-2B00-00001B000000}"/>
    <hyperlink ref="D39" location="'DGRAE-25'!A1" display="DGRAE-25 Actividades que componen el  PIC para la Dirección de Gestión" xr:uid="{00000000-0004-0000-2B00-00001C000000}"/>
    <hyperlink ref="AY2" location="'Consolidado '!A1" display="VOLVER" xr:uid="{00000000-0004-0000-2B00-00001D000000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Z19"/>
  <sheetViews>
    <sheetView topLeftCell="C1" zoomScale="70" zoomScaleNormal="70" workbookViewId="0">
      <selection activeCell="AZ5" sqref="AZ5"/>
    </sheetView>
  </sheetViews>
  <sheetFormatPr baseColWidth="10" defaultColWidth="11.42578125" defaultRowHeight="16.5"/>
  <cols>
    <col min="1" max="1" width="23" style="8" customWidth="1"/>
    <col min="2" max="2" width="26.85546875" style="8" customWidth="1"/>
    <col min="3" max="3" width="53.140625" style="63" customWidth="1"/>
    <col min="4" max="4" width="28.140625" style="63" customWidth="1"/>
    <col min="5" max="5" width="71.42578125" style="8" hidden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30" width="20.7109375" style="8" hidden="1" customWidth="1"/>
    <col min="31" max="31" width="20.7109375" style="103" hidden="1" customWidth="1"/>
    <col min="32" max="49" width="20.7109375" style="8" hidden="1" customWidth="1"/>
    <col min="50" max="50" width="20.7109375" style="8" customWidth="1"/>
    <col min="51" max="51" width="11.42578125" style="377"/>
    <col min="79" max="16384" width="11.42578125" style="8"/>
  </cols>
  <sheetData>
    <row r="1" spans="1:78" ht="26.25">
      <c r="A1" s="101"/>
      <c r="B1" s="101"/>
      <c r="C1" s="3191" t="s">
        <v>1083</v>
      </c>
      <c r="D1" s="3191"/>
      <c r="E1" s="3191"/>
      <c r="F1" s="3191"/>
      <c r="G1" s="3191"/>
      <c r="H1" s="3191"/>
      <c r="I1" s="3191"/>
      <c r="J1" s="3191"/>
      <c r="K1" s="3191"/>
      <c r="AY1" s="8"/>
    </row>
    <row r="2" spans="1:78" ht="18.75" customHeight="1">
      <c r="A2" s="105"/>
      <c r="B2" s="105"/>
      <c r="C2" s="3002" t="s">
        <v>69</v>
      </c>
      <c r="D2" s="3002"/>
      <c r="E2" s="3002"/>
      <c r="F2" s="3002"/>
      <c r="G2" s="3002"/>
      <c r="H2" s="3002"/>
      <c r="I2" s="3002"/>
      <c r="J2" s="3002"/>
      <c r="K2" s="3002"/>
      <c r="AY2" s="670" t="s">
        <v>185</v>
      </c>
    </row>
    <row r="3" spans="1:78">
      <c r="A3" s="107"/>
      <c r="B3" s="108"/>
      <c r="C3" s="2867" t="s">
        <v>1084</v>
      </c>
      <c r="D3" s="2867"/>
      <c r="E3" s="2867"/>
      <c r="F3" s="2867"/>
      <c r="G3" s="2867"/>
      <c r="H3" s="2867"/>
      <c r="I3" s="2867"/>
      <c r="J3" s="2867"/>
      <c r="K3" s="2867"/>
      <c r="AY3" s="8"/>
    </row>
    <row r="4" spans="1:78" ht="17.25" thickBot="1">
      <c r="A4" s="70"/>
      <c r="B4" s="109"/>
      <c r="C4" s="109"/>
      <c r="D4" s="2890"/>
      <c r="E4" s="2890"/>
      <c r="F4" s="2890"/>
      <c r="G4" s="2890"/>
      <c r="H4" s="2890"/>
      <c r="I4" s="2890"/>
      <c r="J4" s="2890"/>
      <c r="K4" s="2890"/>
      <c r="AY4" s="8"/>
      <c r="AZ4" s="370">
        <f>+(AY9+AY10+AY11+AY12+AY13+AY18)/6</f>
        <v>1.0548405522324436</v>
      </c>
    </row>
    <row r="5" spans="1:78" ht="18" thickTop="1" thickBot="1">
      <c r="A5" s="2823" t="s">
        <v>0</v>
      </c>
      <c r="B5" s="2830" t="s">
        <v>1085</v>
      </c>
      <c r="C5" s="2823" t="s">
        <v>1086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78" ht="18" thickTop="1" thickBot="1">
      <c r="A6" s="2823"/>
      <c r="B6" s="2831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78" s="12" customFormat="1" ht="18.75" thickTop="1" thickBot="1">
      <c r="A7" s="2823"/>
      <c r="B7" s="2832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</row>
    <row r="8" spans="1:78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2366" t="s">
        <v>84</v>
      </c>
      <c r="M8" s="13" t="s">
        <v>85</v>
      </c>
      <c r="N8" s="16" t="s">
        <v>86</v>
      </c>
      <c r="O8" s="14" t="s">
        <v>84</v>
      </c>
      <c r="P8" s="16" t="s">
        <v>85</v>
      </c>
      <c r="Q8" s="16" t="s">
        <v>86</v>
      </c>
      <c r="R8" s="13" t="s">
        <v>84</v>
      </c>
      <c r="S8" s="16" t="s">
        <v>85</v>
      </c>
      <c r="T8" s="16" t="s">
        <v>86</v>
      </c>
      <c r="U8" s="13" t="s">
        <v>84</v>
      </c>
      <c r="V8" s="13" t="s">
        <v>85</v>
      </c>
      <c r="W8" s="13" t="s">
        <v>86</v>
      </c>
      <c r="X8" s="13" t="s">
        <v>84</v>
      </c>
      <c r="Y8" s="14" t="s">
        <v>85</v>
      </c>
      <c r="Z8" s="14" t="s">
        <v>86</v>
      </c>
      <c r="AA8" s="13" t="s">
        <v>84</v>
      </c>
      <c r="AB8" s="14" t="s">
        <v>85</v>
      </c>
      <c r="AC8" s="14" t="s">
        <v>86</v>
      </c>
      <c r="AD8" s="16" t="s">
        <v>87</v>
      </c>
      <c r="AE8" s="71" t="s">
        <v>6</v>
      </c>
      <c r="AF8" s="13" t="s">
        <v>84</v>
      </c>
      <c r="AG8" s="14" t="s">
        <v>85</v>
      </c>
      <c r="AH8" s="14" t="s">
        <v>86</v>
      </c>
      <c r="AI8" s="16" t="s">
        <v>84</v>
      </c>
      <c r="AJ8" s="16" t="s">
        <v>85</v>
      </c>
      <c r="AK8" s="16" t="s">
        <v>86</v>
      </c>
      <c r="AL8" s="16" t="s">
        <v>84</v>
      </c>
      <c r="AM8" s="16" t="s">
        <v>85</v>
      </c>
      <c r="AN8" s="16" t="s">
        <v>86</v>
      </c>
      <c r="AO8" s="13" t="s">
        <v>84</v>
      </c>
      <c r="AP8" s="14" t="s">
        <v>85</v>
      </c>
      <c r="AQ8" s="14" t="s">
        <v>86</v>
      </c>
      <c r="AR8" s="16" t="s">
        <v>84</v>
      </c>
      <c r="AS8" s="16" t="s">
        <v>85</v>
      </c>
      <c r="AT8" s="16" t="s">
        <v>86</v>
      </c>
      <c r="AU8" s="16" t="s">
        <v>84</v>
      </c>
      <c r="AV8" s="16" t="s">
        <v>85</v>
      </c>
      <c r="AW8" s="16" t="s">
        <v>86</v>
      </c>
      <c r="AX8" s="16" t="s">
        <v>87</v>
      </c>
      <c r="AY8" s="16" t="s">
        <v>6</v>
      </c>
    </row>
    <row r="9" spans="1:78" s="128" customFormat="1" ht="31.5" thickTop="1" thickBot="1">
      <c r="A9" s="2845" t="s">
        <v>88</v>
      </c>
      <c r="B9" s="2981" t="s">
        <v>1087</v>
      </c>
      <c r="C9" s="25" t="s">
        <v>95</v>
      </c>
      <c r="D9" s="627" t="s">
        <v>96</v>
      </c>
      <c r="E9" s="25" t="s">
        <v>97</v>
      </c>
      <c r="F9" s="25" t="s">
        <v>18</v>
      </c>
      <c r="G9" s="99">
        <v>69724</v>
      </c>
      <c r="H9" s="98"/>
      <c r="I9" s="26"/>
      <c r="J9" s="98"/>
      <c r="K9" s="25" t="s">
        <v>20</v>
      </c>
      <c r="L9" s="630" t="str">
        <f>+'[19]IN1-3'!$DW$4</f>
        <v>PENDIENTE</v>
      </c>
      <c r="M9" s="584">
        <f>16882000/1000000000</f>
        <v>1.6882000000000001E-2</v>
      </c>
      <c r="N9" s="73" t="e">
        <f>+M9/L9</f>
        <v>#VALUE!</v>
      </c>
      <c r="O9" s="630">
        <f>+'[19]IN1-3'!$DW$5</f>
        <v>0</v>
      </c>
      <c r="P9" s="584">
        <f>4564000/1000000000</f>
        <v>4.5640000000000003E-3</v>
      </c>
      <c r="Q9" s="73" t="e">
        <f>+P9/O9</f>
        <v>#DIV/0!</v>
      </c>
      <c r="R9" s="630">
        <f>+'[19]IN1-3'!$DW$6</f>
        <v>0</v>
      </c>
      <c r="S9" s="584">
        <f>4447000/1000000000</f>
        <v>4.4470000000000004E-3</v>
      </c>
      <c r="T9" s="73" t="e">
        <f>+S9/R9</f>
        <v>#DIV/0!</v>
      </c>
      <c r="U9" s="630">
        <f>+'[19]IN1-3'!$DW$7</f>
        <v>0</v>
      </c>
      <c r="V9" s="584">
        <f>3427000/1000000000</f>
        <v>3.4269999999999999E-3</v>
      </c>
      <c r="W9" s="73" t="e">
        <f>+V9/U9</f>
        <v>#DIV/0!</v>
      </c>
      <c r="X9" s="630">
        <f>+'[19]IN1-3'!$DW$8</f>
        <v>0</v>
      </c>
      <c r="Y9" s="584">
        <f>6116000/1000000000</f>
        <v>6.1159999999999999E-3</v>
      </c>
      <c r="Z9" s="73" t="e">
        <f>+Y9/X9</f>
        <v>#DIV/0!</v>
      </c>
      <c r="AA9" s="630">
        <f>+'[19]IN1-3'!$DW$9</f>
        <v>0</v>
      </c>
      <c r="AB9" s="584">
        <f>4327000/1000000000</f>
        <v>4.3270000000000001E-3</v>
      </c>
      <c r="AC9" s="73" t="e">
        <f>+AB9/AA9</f>
        <v>#DIV/0!</v>
      </c>
      <c r="AD9" s="583">
        <f>+AB9+Y9+V9+S9+P9+M9</f>
        <v>3.9763E-2</v>
      </c>
      <c r="AE9" s="73">
        <f>+AD9/G9</f>
        <v>5.702914348000688E-7</v>
      </c>
      <c r="AF9" s="630">
        <f>+'[19]IN1-3'!$DW$10</f>
        <v>0</v>
      </c>
      <c r="AG9" s="584">
        <f>4731000/1000000000</f>
        <v>4.731E-3</v>
      </c>
      <c r="AH9" s="73" t="e">
        <f>+AG9/AF9</f>
        <v>#DIV/0!</v>
      </c>
      <c r="AI9" s="630">
        <f>+'[19]IN1-3'!$DW$11</f>
        <v>0</v>
      </c>
      <c r="AJ9" s="584">
        <f>4605000/1000000000</f>
        <v>4.6049999999999997E-3</v>
      </c>
      <c r="AK9" s="73" t="e">
        <f>+AJ9/AI9</f>
        <v>#DIV/0!</v>
      </c>
      <c r="AL9" s="630">
        <f>+'[19]IN1-3'!$DW$12</f>
        <v>0</v>
      </c>
      <c r="AM9" s="584">
        <f>6088000/1000000000</f>
        <v>6.0879999999999997E-3</v>
      </c>
      <c r="AN9" s="73" t="e">
        <f>+AM9/AL9</f>
        <v>#DIV/0!</v>
      </c>
      <c r="AO9" s="630">
        <f>+'[19]IN1-3'!$DW$13</f>
        <v>0</v>
      </c>
      <c r="AP9" s="584">
        <f>3753000/1000000000</f>
        <v>3.7529999999999998E-3</v>
      </c>
      <c r="AQ9" s="73" t="e">
        <f>+AP9/AO9</f>
        <v>#DIV/0!</v>
      </c>
      <c r="AR9" s="630">
        <f>+'[19]IN1-3'!$DW$14</f>
        <v>0</v>
      </c>
      <c r="AS9" s="584">
        <f>5797000/1000000000</f>
        <v>5.7970000000000001E-3</v>
      </c>
      <c r="AT9" s="73" t="e">
        <f>+AS9/AR9</f>
        <v>#DIV/0!</v>
      </c>
      <c r="AU9" s="630">
        <f>+'[19]IN1-3'!$DW$15</f>
        <v>0</v>
      </c>
      <c r="AV9" s="584">
        <f>4988000/1000000000</f>
        <v>4.9880000000000002E-3</v>
      </c>
      <c r="AW9" s="73" t="e">
        <f>+AV9/AU9</f>
        <v>#DIV/0!</v>
      </c>
      <c r="AX9" s="2697">
        <v>69724</v>
      </c>
      <c r="AY9" s="73">
        <f>+AX9/G9</f>
        <v>1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</row>
    <row r="10" spans="1:78" s="132" customFormat="1" ht="46.5" thickTop="1" thickBot="1">
      <c r="A10" s="2846"/>
      <c r="B10" s="2982"/>
      <c r="C10" s="561" t="s">
        <v>1088</v>
      </c>
      <c r="D10" s="623" t="s">
        <v>111</v>
      </c>
      <c r="E10" s="561" t="s">
        <v>112</v>
      </c>
      <c r="F10" s="561" t="s">
        <v>17</v>
      </c>
      <c r="G10" s="1945">
        <v>63</v>
      </c>
      <c r="H10" s="96"/>
      <c r="I10" s="18"/>
      <c r="J10" s="96"/>
      <c r="K10" s="561" t="s">
        <v>20</v>
      </c>
      <c r="L10" s="625" t="e">
        <f>+'[19]IN1-5'!$DW$4</f>
        <v>#REF!</v>
      </c>
      <c r="M10" s="59">
        <v>0</v>
      </c>
      <c r="N10" s="73" t="e">
        <f t="shared" ref="N10:N15" si="0">+M10/L10</f>
        <v>#REF!</v>
      </c>
      <c r="O10" s="625" t="e">
        <f>+'[19]IN1-5'!$DW$5</f>
        <v>#REF!</v>
      </c>
      <c r="P10" s="59">
        <v>0</v>
      </c>
      <c r="Q10" s="73" t="e">
        <f t="shared" ref="Q10:Q15" si="1">+P10/O10</f>
        <v>#REF!</v>
      </c>
      <c r="R10" s="625">
        <v>5</v>
      </c>
      <c r="S10" s="59">
        <v>12</v>
      </c>
      <c r="T10" s="73">
        <f>+S10/R10</f>
        <v>2.4</v>
      </c>
      <c r="U10" s="625">
        <v>7</v>
      </c>
      <c r="V10" s="59">
        <v>3</v>
      </c>
      <c r="W10" s="73">
        <f>+V10/U10</f>
        <v>0.42857142857142855</v>
      </c>
      <c r="X10" s="625">
        <v>7</v>
      </c>
      <c r="Y10" s="59">
        <v>4</v>
      </c>
      <c r="Z10" s="73">
        <f>+Y10/X10</f>
        <v>0.5714285714285714</v>
      </c>
      <c r="AA10" s="625">
        <v>8</v>
      </c>
      <c r="AB10" s="59">
        <v>4</v>
      </c>
      <c r="AC10" s="73">
        <f>+AB10/AA10</f>
        <v>0.5</v>
      </c>
      <c r="AD10" s="58">
        <f>+AB10+Y10+V10+S10</f>
        <v>23</v>
      </c>
      <c r="AE10" s="73">
        <f t="shared" ref="AE10:AE15" si="2">+AD10/G10</f>
        <v>0.36507936507936506</v>
      </c>
      <c r="AF10" s="625">
        <v>21</v>
      </c>
      <c r="AG10" s="59">
        <v>7</v>
      </c>
      <c r="AH10" s="73">
        <f>+AG10/AF10</f>
        <v>0.33333333333333331</v>
      </c>
      <c r="AI10" s="625">
        <v>5</v>
      </c>
      <c r="AJ10" s="59">
        <v>4</v>
      </c>
      <c r="AK10" s="73">
        <f>+AJ10/AI10</f>
        <v>0.8</v>
      </c>
      <c r="AL10" s="625">
        <v>4</v>
      </c>
      <c r="AM10" s="59">
        <v>6</v>
      </c>
      <c r="AN10" s="73">
        <f>+AM10/AL10</f>
        <v>1.5</v>
      </c>
      <c r="AO10" s="625">
        <v>3</v>
      </c>
      <c r="AP10" s="59">
        <v>4</v>
      </c>
      <c r="AQ10" s="73">
        <f>+AP10/AO10</f>
        <v>1.3333333333333333</v>
      </c>
      <c r="AR10" s="625">
        <v>2</v>
      </c>
      <c r="AS10" s="59">
        <v>8</v>
      </c>
      <c r="AT10" s="73">
        <f>+AS10/AR10</f>
        <v>4</v>
      </c>
      <c r="AU10" s="625">
        <v>1</v>
      </c>
      <c r="AV10" s="59">
        <v>3</v>
      </c>
      <c r="AW10" s="73">
        <f>+AV10/AU10</f>
        <v>3</v>
      </c>
      <c r="AX10" s="638">
        <f>S10+V10+Y10+AB10+AG10+AJ10+AM10+AP10+AS10+AV10</f>
        <v>55</v>
      </c>
      <c r="AY10" s="73">
        <f>+AX10/G10</f>
        <v>0.87301587301587302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</row>
    <row r="11" spans="1:78" s="128" customFormat="1" ht="61.5" thickTop="1" thickBot="1">
      <c r="A11" s="2846"/>
      <c r="B11" s="2982"/>
      <c r="C11" s="25" t="s">
        <v>308</v>
      </c>
      <c r="D11" s="627" t="s">
        <v>114</v>
      </c>
      <c r="E11" s="25" t="s">
        <v>115</v>
      </c>
      <c r="F11" s="25" t="s">
        <v>10</v>
      </c>
      <c r="G11" s="1478">
        <v>1</v>
      </c>
      <c r="H11" s="98"/>
      <c r="I11" s="26"/>
      <c r="J11" s="98"/>
      <c r="K11" s="25" t="s">
        <v>20</v>
      </c>
      <c r="L11" s="655">
        <f>+'[20]IN1-6.1'!$DW$4</f>
        <v>0</v>
      </c>
      <c r="M11" s="45">
        <v>0</v>
      </c>
      <c r="N11" s="73" t="e">
        <f t="shared" si="0"/>
        <v>#DIV/0!</v>
      </c>
      <c r="O11" s="655">
        <f>+'[20]IN1-6.1'!$DW$5</f>
        <v>0</v>
      </c>
      <c r="P11" s="45">
        <v>0</v>
      </c>
      <c r="Q11" s="73" t="e">
        <f>+P11/O11</f>
        <v>#DIV/0!</v>
      </c>
      <c r="R11" s="655">
        <f>+'[20]IN1-6.1'!$DW$6</f>
        <v>0.25</v>
      </c>
      <c r="S11" s="45">
        <v>0.25</v>
      </c>
      <c r="T11" s="73">
        <f>+S11/R11</f>
        <v>1</v>
      </c>
      <c r="U11" s="655">
        <f>+'[20]IN1-6.1'!$DW$7</f>
        <v>0</v>
      </c>
      <c r="V11" s="45">
        <v>0</v>
      </c>
      <c r="W11" s="73" t="e">
        <f>+V11/U11</f>
        <v>#DIV/0!</v>
      </c>
      <c r="X11" s="655">
        <f>+'[20]IN1-6.1'!$DW$8</f>
        <v>0</v>
      </c>
      <c r="Y11" s="45">
        <v>0</v>
      </c>
      <c r="Z11" s="73" t="e">
        <f>+Y11/X11</f>
        <v>#DIV/0!</v>
      </c>
      <c r="AA11" s="655">
        <f>+'[20]IN1-6.1'!$DW$9</f>
        <v>0.25</v>
      </c>
      <c r="AB11" s="45">
        <v>0.25</v>
      </c>
      <c r="AC11" s="73">
        <f>+AB11/AA11</f>
        <v>1</v>
      </c>
      <c r="AD11" s="44">
        <f>+AB11+S11</f>
        <v>0.5</v>
      </c>
      <c r="AE11" s="73">
        <f t="shared" si="2"/>
        <v>0.5</v>
      </c>
      <c r="AF11" s="655">
        <f>+'[20]IN1-6.1'!$DW$10</f>
        <v>0</v>
      </c>
      <c r="AG11" s="45">
        <v>0</v>
      </c>
      <c r="AH11" s="73" t="e">
        <f>+AG11/AF11</f>
        <v>#DIV/0!</v>
      </c>
      <c r="AI11" s="655">
        <f>+'[20]IN1-6.1'!$DW$11</f>
        <v>0</v>
      </c>
      <c r="AJ11" s="45">
        <v>0</v>
      </c>
      <c r="AK11" s="73" t="e">
        <f>+AJ11/AI11</f>
        <v>#DIV/0!</v>
      </c>
      <c r="AL11" s="655">
        <f>+'[20]IN1-6.1'!$DW$12</f>
        <v>0.25</v>
      </c>
      <c r="AM11" s="45">
        <v>0.25</v>
      </c>
      <c r="AN11" s="73">
        <f>+AM11/AL11</f>
        <v>1</v>
      </c>
      <c r="AO11" s="655">
        <f>+'[20]IN1-6.1'!$DW$13</f>
        <v>0</v>
      </c>
      <c r="AP11" s="45">
        <v>0</v>
      </c>
      <c r="AQ11" s="73" t="e">
        <f>+AP11/AO11</f>
        <v>#DIV/0!</v>
      </c>
      <c r="AR11" s="655">
        <f>+'[20]IN1-6.1'!$DW$14</f>
        <v>0</v>
      </c>
      <c r="AS11" s="45">
        <v>0</v>
      </c>
      <c r="AT11" s="73" t="e">
        <f>+AS11/AR11</f>
        <v>#DIV/0!</v>
      </c>
      <c r="AU11" s="655">
        <f>+'[20]IN1-6.1'!$DW$15</f>
        <v>0.25</v>
      </c>
      <c r="AV11" s="45">
        <v>0.25</v>
      </c>
      <c r="AW11" s="73">
        <f>+AV11/AU11</f>
        <v>1</v>
      </c>
      <c r="AX11" s="655">
        <f>+AV11+AM11+AB11+S11</f>
        <v>1</v>
      </c>
      <c r="AY11" s="73">
        <f>+AX11/G11</f>
        <v>1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</row>
    <row r="12" spans="1:78" s="132" customFormat="1" ht="46.5" thickTop="1" thickBot="1">
      <c r="A12" s="2846"/>
      <c r="B12" s="3162"/>
      <c r="C12" s="561" t="s">
        <v>993</v>
      </c>
      <c r="D12" s="623" t="s">
        <v>573</v>
      </c>
      <c r="E12" s="561" t="s">
        <v>117</v>
      </c>
      <c r="F12" s="561" t="s">
        <v>17</v>
      </c>
      <c r="G12" s="1945">
        <v>825</v>
      </c>
      <c r="H12" s="96"/>
      <c r="I12" s="33"/>
      <c r="J12" s="96"/>
      <c r="K12" s="561" t="s">
        <v>118</v>
      </c>
      <c r="L12" s="625">
        <f>+'[20]IN1-8'!$DW$4</f>
        <v>0</v>
      </c>
      <c r="M12" s="59">
        <v>0</v>
      </c>
      <c r="N12" s="73" t="e">
        <f t="shared" si="0"/>
        <v>#DIV/0!</v>
      </c>
      <c r="O12" s="625">
        <f>+'[20]IN1-8'!$DW$5</f>
        <v>0</v>
      </c>
      <c r="P12" s="59">
        <v>0</v>
      </c>
      <c r="Q12" s="73" t="e">
        <f t="shared" si="1"/>
        <v>#DIV/0!</v>
      </c>
      <c r="R12" s="625">
        <f>+'[20]IN1-8'!$DW$6</f>
        <v>156</v>
      </c>
      <c r="S12" s="59">
        <v>120</v>
      </c>
      <c r="T12" s="73">
        <f>+S12/R12</f>
        <v>0.76923076923076927</v>
      </c>
      <c r="U12" s="625">
        <f>+'[20]IN1-8'!$DW$7</f>
        <v>127</v>
      </c>
      <c r="V12" s="59">
        <v>8</v>
      </c>
      <c r="W12" s="73">
        <f>+V12/U12</f>
        <v>6.2992125984251968E-2</v>
      </c>
      <c r="X12" s="625">
        <f>+'[20]IN1-8'!$DW$8</f>
        <v>37</v>
      </c>
      <c r="Y12" s="59">
        <v>17</v>
      </c>
      <c r="Z12" s="73">
        <f>+Y12/X12</f>
        <v>0.45945945945945948</v>
      </c>
      <c r="AA12" s="625">
        <f>+'[20]IN1-8'!$DW$9</f>
        <v>42</v>
      </c>
      <c r="AB12" s="59">
        <v>10</v>
      </c>
      <c r="AC12" s="73">
        <f>+AB12/AA12</f>
        <v>0.23809523809523808</v>
      </c>
      <c r="AD12" s="58">
        <f>+AB12+Y12+V12+S12</f>
        <v>155</v>
      </c>
      <c r="AE12" s="73">
        <f t="shared" si="2"/>
        <v>0.18787878787878787</v>
      </c>
      <c r="AF12" s="625">
        <f>+'[20]IN1-8'!$DW$10</f>
        <v>77</v>
      </c>
      <c r="AG12" s="59">
        <v>20</v>
      </c>
      <c r="AH12" s="73">
        <f>+AG12/AF12</f>
        <v>0.25974025974025972</v>
      </c>
      <c r="AI12" s="625">
        <f>+'[20]IN1-8'!$DW$11</f>
        <v>117</v>
      </c>
      <c r="AJ12" s="59">
        <v>72</v>
      </c>
      <c r="AK12" s="73">
        <f>+AJ12/AI12</f>
        <v>0.61538461538461542</v>
      </c>
      <c r="AL12" s="625">
        <f>+'[20]IN1-8'!$DW$12</f>
        <v>159</v>
      </c>
      <c r="AM12" s="59">
        <v>83</v>
      </c>
      <c r="AN12" s="73">
        <f>+AM12/AL12</f>
        <v>0.5220125786163522</v>
      </c>
      <c r="AO12" s="625">
        <f>+'[20]IN1-8'!$DW$13</f>
        <v>62</v>
      </c>
      <c r="AP12" s="59">
        <v>195</v>
      </c>
      <c r="AQ12" s="73">
        <f>+AP12/AO12</f>
        <v>3.1451612903225805</v>
      </c>
      <c r="AR12" s="625">
        <f>+'[20]IN1-8'!$DW$14</f>
        <v>43</v>
      </c>
      <c r="AS12" s="59">
        <v>464</v>
      </c>
      <c r="AT12" s="73">
        <f>+AS12/AR12</f>
        <v>10.790697674418604</v>
      </c>
      <c r="AU12" s="625">
        <f>+'[20]IN1-8'!$DW$15</f>
        <v>5</v>
      </c>
      <c r="AV12" s="59">
        <v>420</v>
      </c>
      <c r="AW12" s="73">
        <f>+AV12/AU12</f>
        <v>84</v>
      </c>
      <c r="AX12" s="625">
        <f>S12+V12+Y12+AB12+AG12+AJ12+AM12+AP12+AS12+AV12</f>
        <v>1409</v>
      </c>
      <c r="AY12" s="73">
        <f>+AX12/G12</f>
        <v>1.7078787878787878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</row>
    <row r="13" spans="1:78" s="128" customFormat="1" ht="151.5" thickTop="1" thickBot="1">
      <c r="A13" s="2847"/>
      <c r="B13" s="1101" t="s">
        <v>222</v>
      </c>
      <c r="C13" s="190" t="s">
        <v>894</v>
      </c>
      <c r="D13" s="124" t="s">
        <v>467</v>
      </c>
      <c r="E13" s="190" t="s">
        <v>228</v>
      </c>
      <c r="F13" s="190" t="s">
        <v>101</v>
      </c>
      <c r="G13" s="2698">
        <v>800000000</v>
      </c>
      <c r="H13" s="1574"/>
      <c r="I13" s="2505"/>
      <c r="J13" s="1574"/>
      <c r="K13" s="190" t="s">
        <v>140</v>
      </c>
      <c r="L13" s="2699">
        <f>+'[21]FIS-24'!$DW$4</f>
        <v>39999999.999999993</v>
      </c>
      <c r="M13" s="2700">
        <v>23108728</v>
      </c>
      <c r="N13" s="73">
        <f t="shared" si="0"/>
        <v>0.57771820000000007</v>
      </c>
      <c r="O13" s="2699">
        <f>+'[21]FIS-24'!$DW$5</f>
        <v>39999999.999999993</v>
      </c>
      <c r="P13" s="2700">
        <v>34248011</v>
      </c>
      <c r="Q13" s="73">
        <f t="shared" si="1"/>
        <v>0.85620027500000018</v>
      </c>
      <c r="R13" s="2699">
        <f>+'[21]FIS-24'!$DW$6</f>
        <v>39999999.999999993</v>
      </c>
      <c r="S13" s="2700">
        <v>16388709</v>
      </c>
      <c r="T13" s="73">
        <f t="shared" ref="T13:T15" si="3">+S13/R13</f>
        <v>0.40971772500000009</v>
      </c>
      <c r="U13" s="2699">
        <f>+'[21]FIS-24'!$DW$7</f>
        <v>79333333.333333328</v>
      </c>
      <c r="V13" s="2700">
        <v>0</v>
      </c>
      <c r="W13" s="73">
        <f t="shared" ref="W13:W15" si="4">+V13/U13</f>
        <v>0</v>
      </c>
      <c r="X13" s="2699">
        <f>+'[21]FIS-24'!$DW$8</f>
        <v>79333333.333333328</v>
      </c>
      <c r="Y13" s="2700">
        <v>0</v>
      </c>
      <c r="Z13" s="73">
        <f t="shared" ref="Z13:Z15" si="5">+Y13/X13</f>
        <v>0</v>
      </c>
      <c r="AA13" s="2699">
        <f>+'[21]FIS-24'!$DW$9</f>
        <v>79333333.333333328</v>
      </c>
      <c r="AB13" s="2700">
        <v>20950303</v>
      </c>
      <c r="AC13" s="73">
        <f t="shared" ref="AC13:AC15" si="6">+AB13/AA13</f>
        <v>0.26407944957983193</v>
      </c>
      <c r="AD13" s="2701">
        <f t="shared" ref="AD13:AD15" si="7">+AB13+Y13+V13+S13+P13+M13</f>
        <v>94695751</v>
      </c>
      <c r="AE13" s="73">
        <f t="shared" si="2"/>
        <v>0.11836968874999999</v>
      </c>
      <c r="AF13" s="2699">
        <f>+'[21]FIS-24'!$DW$10</f>
        <v>79333333.333333328</v>
      </c>
      <c r="AG13" s="2700">
        <v>8564992</v>
      </c>
      <c r="AH13" s="73">
        <f t="shared" ref="AH13:AH15" si="8">+AG13/AF13</f>
        <v>0.10796208403361346</v>
      </c>
      <c r="AI13" s="2699">
        <f>+'[21]FIS-24'!$DW$11</f>
        <v>79333333.333333328</v>
      </c>
      <c r="AJ13" s="2700">
        <v>11539407</v>
      </c>
      <c r="AK13" s="73">
        <f t="shared" ref="AK13:AK15" si="9">+AJ13/AI13</f>
        <v>0.14545471008403363</v>
      </c>
      <c r="AL13" s="2699">
        <f>+'[21]FIS-24'!$DW$12</f>
        <v>79333333.333333328</v>
      </c>
      <c r="AM13" s="2700">
        <v>0</v>
      </c>
      <c r="AN13" s="73">
        <f t="shared" ref="AN13:AN15" si="10">+AM13/AL13</f>
        <v>0</v>
      </c>
      <c r="AO13" s="2699">
        <f>+'[21]FIS-24'!$DW$13</f>
        <v>67999999.999999985</v>
      </c>
      <c r="AP13" s="2700">
        <v>7738976</v>
      </c>
      <c r="AQ13" s="73">
        <f t="shared" ref="AQ13:AQ15" si="11">+AP13/AO13</f>
        <v>0.11380847058823532</v>
      </c>
      <c r="AR13" s="2699">
        <f>+'[21]FIS-24'!$DW$14</f>
        <v>67999999.999999985</v>
      </c>
      <c r="AS13" s="2700">
        <v>439350981</v>
      </c>
      <c r="AT13" s="73">
        <f t="shared" ref="AT13:AT15" si="12">+AS13/AR13</f>
        <v>6.4610438382352955</v>
      </c>
      <c r="AU13" s="2699">
        <f>+'[21]FIS-24'!$DW$15</f>
        <v>67999999.999999985</v>
      </c>
      <c r="AV13" s="2700">
        <v>36628815</v>
      </c>
      <c r="AW13" s="73">
        <f t="shared" ref="AW13:AW15" si="13">+AV13/AU13</f>
        <v>0.5386590441176472</v>
      </c>
      <c r="AX13" s="749">
        <f>+M13+P13+S13+V13+Y13+AB13+AG13+AJ13+AM13+AP13+AS13+AV13</f>
        <v>598518922</v>
      </c>
      <c r="AY13" s="73">
        <f>+AX13/G13</f>
        <v>0.74814865249999996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</row>
    <row r="14" spans="1:78" s="22" customFormat="1" ht="22.5" thickTop="1" thickBot="1">
      <c r="A14" s="2857" t="s">
        <v>141</v>
      </c>
      <c r="B14" s="2858"/>
      <c r="C14" s="2858"/>
      <c r="D14" s="2858"/>
      <c r="E14" s="2858"/>
      <c r="F14" s="2858"/>
      <c r="G14" s="2858"/>
      <c r="H14" s="2858"/>
      <c r="I14" s="2858"/>
      <c r="J14" s="2858"/>
      <c r="K14" s="2859"/>
      <c r="L14" s="897"/>
      <c r="M14" s="1685"/>
      <c r="N14" s="1685"/>
      <c r="O14" s="897"/>
      <c r="P14" s="1685"/>
      <c r="Q14" s="1685"/>
      <c r="R14" s="897"/>
      <c r="S14" s="1685"/>
      <c r="T14" s="1685"/>
      <c r="U14" s="897"/>
      <c r="V14" s="1685"/>
      <c r="W14" s="1685"/>
      <c r="X14" s="897"/>
      <c r="Y14" s="1685"/>
      <c r="Z14" s="1685"/>
      <c r="AA14" s="897"/>
      <c r="AB14" s="1685"/>
      <c r="AC14" s="1685"/>
      <c r="AD14" s="897"/>
      <c r="AE14" s="897"/>
      <c r="AF14" s="897"/>
      <c r="AG14" s="1685"/>
      <c r="AH14" s="1685"/>
      <c r="AI14" s="897"/>
      <c r="AJ14" s="1685"/>
      <c r="AK14" s="1685"/>
      <c r="AL14" s="897"/>
      <c r="AM14" s="1685"/>
      <c r="AN14" s="1685"/>
      <c r="AO14" s="897"/>
      <c r="AP14" s="1685"/>
      <c r="AQ14" s="1685"/>
      <c r="AR14" s="897"/>
      <c r="AS14" s="1685"/>
      <c r="AT14" s="1685"/>
      <c r="AU14" s="897"/>
      <c r="AV14" s="1685"/>
      <c r="AW14" s="1685"/>
      <c r="AX14" s="897"/>
      <c r="AY14" s="897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</row>
    <row r="15" spans="1:78" s="132" customFormat="1" ht="91.5" thickTop="1" thickBot="1">
      <c r="A15" s="2860" t="s">
        <v>181</v>
      </c>
      <c r="B15" s="2971" t="s">
        <v>1089</v>
      </c>
      <c r="C15" s="137" t="s">
        <v>366</v>
      </c>
      <c r="D15" s="194" t="s">
        <v>144</v>
      </c>
      <c r="E15" s="2025" t="s">
        <v>145</v>
      </c>
      <c r="F15" s="2025" t="s">
        <v>17</v>
      </c>
      <c r="G15" s="2702" t="s">
        <v>316</v>
      </c>
      <c r="H15" s="2703"/>
      <c r="I15" s="2704"/>
      <c r="J15" s="2703"/>
      <c r="K15" s="2025" t="s">
        <v>146</v>
      </c>
      <c r="L15" s="2705" t="str">
        <f>+'[20]IN1-11'!$DW$4</f>
        <v>PENDIENTE</v>
      </c>
      <c r="M15" s="2706"/>
      <c r="N15" s="73" t="e">
        <f t="shared" si="0"/>
        <v>#VALUE!</v>
      </c>
      <c r="O15" s="2705">
        <f>+'[20]IN1-11'!$DW$5</f>
        <v>0</v>
      </c>
      <c r="P15" s="2706">
        <v>0</v>
      </c>
      <c r="Q15" s="73" t="e">
        <f t="shared" si="1"/>
        <v>#DIV/0!</v>
      </c>
      <c r="R15" s="2705">
        <f>+'[20]IN1-11'!$DW$6</f>
        <v>0</v>
      </c>
      <c r="S15" s="2706">
        <v>0</v>
      </c>
      <c r="T15" s="73" t="e">
        <f t="shared" si="3"/>
        <v>#DIV/0!</v>
      </c>
      <c r="U15" s="2705">
        <f>+'[20]IN1-11'!$DW$7</f>
        <v>0</v>
      </c>
      <c r="V15" s="2706">
        <v>0</v>
      </c>
      <c r="W15" s="73" t="e">
        <f t="shared" si="4"/>
        <v>#DIV/0!</v>
      </c>
      <c r="X15" s="2705">
        <f>+'[20]IN1-11'!$DW$8</f>
        <v>0</v>
      </c>
      <c r="Y15" s="2706">
        <v>3</v>
      </c>
      <c r="Z15" s="73" t="e">
        <f t="shared" si="5"/>
        <v>#DIV/0!</v>
      </c>
      <c r="AA15" s="2705">
        <f>+'[20]IN1-11'!$DW$9</f>
        <v>0</v>
      </c>
      <c r="AB15" s="2706">
        <v>9</v>
      </c>
      <c r="AC15" s="73" t="e">
        <f t="shared" si="6"/>
        <v>#DIV/0!</v>
      </c>
      <c r="AD15" s="2707">
        <f t="shared" si="7"/>
        <v>12</v>
      </c>
      <c r="AE15" s="73" t="e">
        <f t="shared" si="2"/>
        <v>#VALUE!</v>
      </c>
      <c r="AF15" s="2705">
        <f>+'[20]IN1-11'!$DW$10</f>
        <v>0</v>
      </c>
      <c r="AG15" s="2706">
        <v>0</v>
      </c>
      <c r="AH15" s="73" t="e">
        <f t="shared" si="8"/>
        <v>#DIV/0!</v>
      </c>
      <c r="AI15" s="2705">
        <f>+'[20]IN1-11'!$DW$11</f>
        <v>0</v>
      </c>
      <c r="AJ15" s="2706">
        <v>0</v>
      </c>
      <c r="AK15" s="73" t="e">
        <f t="shared" si="9"/>
        <v>#DIV/0!</v>
      </c>
      <c r="AL15" s="2705">
        <f>+'[20]IN1-11'!$DW$12</f>
        <v>0</v>
      </c>
      <c r="AM15" s="2706">
        <v>6</v>
      </c>
      <c r="AN15" s="73" t="e">
        <f t="shared" si="10"/>
        <v>#DIV/0!</v>
      </c>
      <c r="AO15" s="2705">
        <f>+'[20]IN1-11'!$DW$13</f>
        <v>0</v>
      </c>
      <c r="AP15" s="2706">
        <v>26</v>
      </c>
      <c r="AQ15" s="73" t="e">
        <f t="shared" si="11"/>
        <v>#DIV/0!</v>
      </c>
      <c r="AR15" s="2705">
        <f>+'[20]IN1-11'!$DW$14</f>
        <v>0</v>
      </c>
      <c r="AS15" s="2706">
        <v>66</v>
      </c>
      <c r="AT15" s="73" t="e">
        <f t="shared" si="12"/>
        <v>#DIV/0!</v>
      </c>
      <c r="AU15" s="2705">
        <f>+'[20]IN1-11'!$DW$15</f>
        <v>0</v>
      </c>
      <c r="AV15" s="2706">
        <v>0</v>
      </c>
      <c r="AW15" s="73" t="e">
        <f t="shared" si="13"/>
        <v>#DIV/0!</v>
      </c>
      <c r="AX15" s="141">
        <f>+M15+P15+S15+V15+Y15+AB15+AG15+AJ15+AM15+AP15+AS15+AV15</f>
        <v>110</v>
      </c>
      <c r="AY15" s="73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</row>
    <row r="16" spans="1:78" s="128" customFormat="1" ht="46.5" thickTop="1" thickBot="1">
      <c r="A16" s="2861"/>
      <c r="B16" s="2971"/>
      <c r="C16" s="125" t="s">
        <v>1012</v>
      </c>
      <c r="D16" s="124" t="s">
        <v>319</v>
      </c>
      <c r="E16" s="125" t="s">
        <v>339</v>
      </c>
      <c r="F16" s="125" t="s">
        <v>17</v>
      </c>
      <c r="G16" s="1687">
        <v>37</v>
      </c>
      <c r="H16" s="1405"/>
      <c r="I16" s="2708"/>
      <c r="J16" s="1405"/>
      <c r="K16" s="125" t="s">
        <v>21</v>
      </c>
      <c r="L16" s="2709">
        <f>+'[20]IN1-15'!$DW$4</f>
        <v>0</v>
      </c>
      <c r="M16" s="1400"/>
      <c r="N16" s="1606" t="e">
        <f>+L16/M16</f>
        <v>#DIV/0!</v>
      </c>
      <c r="O16" s="2709">
        <f>+'[20]IN1-15'!$DW$5</f>
        <v>0</v>
      </c>
      <c r="P16" s="1400">
        <v>0</v>
      </c>
      <c r="Q16" s="1606" t="e">
        <f>+O16/P16</f>
        <v>#DIV/0!</v>
      </c>
      <c r="R16" s="2709">
        <f>+'[20]IN1-15'!$DW$6</f>
        <v>37</v>
      </c>
      <c r="S16" s="1400">
        <v>0</v>
      </c>
      <c r="T16" s="1606" t="e">
        <f>+R16/S16</f>
        <v>#DIV/0!</v>
      </c>
      <c r="U16" s="2709">
        <f>+'[20]IN1-15'!$DW$7</f>
        <v>37</v>
      </c>
      <c r="V16" s="1400">
        <v>0</v>
      </c>
      <c r="W16" s="1606" t="e">
        <f>+U16/V16</f>
        <v>#DIV/0!</v>
      </c>
      <c r="X16" s="2709">
        <f>+'[20]IN1-15'!$DW$8</f>
        <v>37</v>
      </c>
      <c r="Y16" s="1400">
        <v>0</v>
      </c>
      <c r="Z16" s="1606" t="e">
        <f>+X16/Y16</f>
        <v>#DIV/0!</v>
      </c>
      <c r="AA16" s="2709">
        <f>+'[20]IN1-15'!$DW$9</f>
        <v>37</v>
      </c>
      <c r="AB16" s="1400">
        <v>0</v>
      </c>
      <c r="AC16" s="1606" t="e">
        <f>+AA16/AB16</f>
        <v>#DIV/0!</v>
      </c>
      <c r="AD16" s="2710">
        <f>(AB16+Y16+V16+S16)/4</f>
        <v>0</v>
      </c>
      <c r="AE16" s="1606" t="e">
        <f>+G16/AD16</f>
        <v>#DIV/0!</v>
      </c>
      <c r="AF16" s="2709">
        <f>+'[20]IN1-15'!$DW$10</f>
        <v>37</v>
      </c>
      <c r="AG16" s="1400">
        <v>0</v>
      </c>
      <c r="AH16" s="1606" t="e">
        <f>+AF16/AG16</f>
        <v>#DIV/0!</v>
      </c>
      <c r="AI16" s="2709">
        <f>+'[20]IN1-15'!$DW$11</f>
        <v>37</v>
      </c>
      <c r="AJ16" s="1400">
        <v>0</v>
      </c>
      <c r="AK16" s="1606" t="e">
        <f>+AI16/AJ16</f>
        <v>#DIV/0!</v>
      </c>
      <c r="AL16" s="2709">
        <f>+'[20]IN1-15'!$DW$12</f>
        <v>37</v>
      </c>
      <c r="AM16" s="1400">
        <v>0</v>
      </c>
      <c r="AN16" s="1606" t="e">
        <f>+AL16/AM16</f>
        <v>#DIV/0!</v>
      </c>
      <c r="AO16" s="2709">
        <f>+'[20]IN1-15'!$DW$13</f>
        <v>37</v>
      </c>
      <c r="AP16" s="1400">
        <v>0</v>
      </c>
      <c r="AQ16" s="1606" t="e">
        <f>+AO16/AP16</f>
        <v>#DIV/0!</v>
      </c>
      <c r="AR16" s="2709">
        <f>+'[20]IN1-15'!$DW$14</f>
        <v>37</v>
      </c>
      <c r="AS16" s="1400">
        <v>0</v>
      </c>
      <c r="AT16" s="1606" t="e">
        <f>+AR16/AS16</f>
        <v>#DIV/0!</v>
      </c>
      <c r="AU16" s="2709">
        <f>+'[20]IN1-15'!$DW$15</f>
        <v>37</v>
      </c>
      <c r="AV16" s="1400">
        <v>0</v>
      </c>
      <c r="AW16" s="1606" t="e">
        <f>+AU16/AV16</f>
        <v>#DIV/0!</v>
      </c>
      <c r="AX16" s="141">
        <f>(S16+V16+Y16+AB16+AG16+AJ16+AM16+AP16+AS16+AV16)/10</f>
        <v>0</v>
      </c>
      <c r="AY16" s="160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</row>
    <row r="17" spans="1:51" ht="22.5" thickTop="1" thickBot="1">
      <c r="A17" s="2843" t="s">
        <v>154</v>
      </c>
      <c r="B17" s="2843"/>
      <c r="C17" s="2843"/>
      <c r="D17" s="2843"/>
      <c r="E17" s="2843"/>
      <c r="F17" s="2843"/>
      <c r="G17" s="2843"/>
      <c r="H17" s="2843"/>
      <c r="I17" s="2843"/>
      <c r="J17" s="2843"/>
      <c r="K17" s="2843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1"/>
      <c r="AY17" s="201"/>
    </row>
    <row r="18" spans="1:51" ht="64.5" thickTop="1" thickBot="1">
      <c r="A18" s="202" t="s">
        <v>155</v>
      </c>
      <c r="B18" s="97" t="s">
        <v>156</v>
      </c>
      <c r="C18" s="74" t="s">
        <v>157</v>
      </c>
      <c r="D18" s="111" t="s">
        <v>158</v>
      </c>
      <c r="E18" s="74" t="s">
        <v>159</v>
      </c>
      <c r="F18" s="74" t="s">
        <v>265</v>
      </c>
      <c r="G18" s="203">
        <v>6</v>
      </c>
      <c r="H18" s="99">
        <v>10</v>
      </c>
      <c r="I18" s="204"/>
      <c r="J18" s="204"/>
      <c r="K18" s="25" t="s">
        <v>27</v>
      </c>
      <c r="L18" s="205">
        <f>+[16]DGRAE25!$DW$4</f>
        <v>0</v>
      </c>
      <c r="M18" s="206"/>
      <c r="N18" s="19" t="e">
        <f t="shared" ref="N18" si="14">+M18/L18</f>
        <v>#DIV/0!</v>
      </c>
      <c r="O18" s="205">
        <f>+[16]DGRAE25!$DW$5</f>
        <v>0</v>
      </c>
      <c r="P18" s="206">
        <v>0</v>
      </c>
      <c r="Q18" s="19" t="e">
        <f t="shared" ref="Q18" si="15">+P18/O18</f>
        <v>#DIV/0!</v>
      </c>
      <c r="R18" s="205">
        <f>+[16]DGRAE25!$DW$6</f>
        <v>0</v>
      </c>
      <c r="S18" s="206">
        <v>0</v>
      </c>
      <c r="T18" s="19" t="e">
        <f t="shared" ref="T18" si="16">+S18/R18</f>
        <v>#DIV/0!</v>
      </c>
      <c r="U18" s="205">
        <f>+[16]DGRAE25!$DW$7</f>
        <v>0</v>
      </c>
      <c r="V18" s="206">
        <v>0</v>
      </c>
      <c r="W18" s="19" t="e">
        <f t="shared" ref="W18" si="17">+V18/U18</f>
        <v>#DIV/0!</v>
      </c>
      <c r="X18" s="205">
        <f>+[16]DGRAE25!$DW$8</f>
        <v>2</v>
      </c>
      <c r="Y18" s="206">
        <v>2</v>
      </c>
      <c r="Z18" s="19">
        <f t="shared" ref="Z18" si="18">+Y18/X18</f>
        <v>1</v>
      </c>
      <c r="AA18" s="205">
        <f>+[16]DGRAE25!$DW$9</f>
        <v>0</v>
      </c>
      <c r="AB18" s="206">
        <v>0</v>
      </c>
      <c r="AC18" s="19" t="e">
        <f t="shared" ref="AC18" si="19">+AB18/AA18</f>
        <v>#DIV/0!</v>
      </c>
      <c r="AD18" s="207">
        <f>+Y18</f>
        <v>2</v>
      </c>
      <c r="AE18" s="19">
        <f t="shared" ref="AE18" si="20">+AD18/G18</f>
        <v>0.33333333333333331</v>
      </c>
      <c r="AF18" s="205">
        <f>+[16]DGRAE25!$DW$10</f>
        <v>1</v>
      </c>
      <c r="AG18" s="206">
        <v>1</v>
      </c>
      <c r="AH18" s="208">
        <f t="shared" ref="AH18" si="21">+AG18/AF18</f>
        <v>1</v>
      </c>
      <c r="AI18" s="205">
        <f>+[16]DGRAE25!$DW$11</f>
        <v>0</v>
      </c>
      <c r="AJ18" s="206">
        <v>0</v>
      </c>
      <c r="AK18" s="208" t="e">
        <f t="shared" ref="AK18" si="22">+AJ18/AI18</f>
        <v>#DIV/0!</v>
      </c>
      <c r="AL18" s="205">
        <f>+[16]DGRAE25!$DW$12</f>
        <v>0</v>
      </c>
      <c r="AM18" s="206">
        <v>0</v>
      </c>
      <c r="AN18" s="208" t="e">
        <f t="shared" ref="AN18" si="23">+AM18/AL18</f>
        <v>#DIV/0!</v>
      </c>
      <c r="AO18" s="205">
        <f>+[16]DGRAE25!$DW$13</f>
        <v>3</v>
      </c>
      <c r="AP18" s="206">
        <v>3</v>
      </c>
      <c r="AQ18" s="19">
        <f t="shared" ref="AQ18" si="24">+AP18/AO18</f>
        <v>1</v>
      </c>
      <c r="AR18" s="205">
        <f>+[16]DGRAE25!$DW$14</f>
        <v>0</v>
      </c>
      <c r="AS18" s="206">
        <v>0</v>
      </c>
      <c r="AT18" s="19" t="e">
        <f t="shared" ref="AT18" si="25">+AS18/AR18</f>
        <v>#DIV/0!</v>
      </c>
      <c r="AU18" s="205">
        <f>+[16]DGRAE25!$DW$15</f>
        <v>0</v>
      </c>
      <c r="AV18" s="206">
        <v>0</v>
      </c>
      <c r="AW18" s="19" t="e">
        <f t="shared" ref="AW18" si="26">+AV18/AU18</f>
        <v>#DIV/0!</v>
      </c>
      <c r="AX18" s="209">
        <f>+AP18+AG18+Y18</f>
        <v>6</v>
      </c>
      <c r="AY18" s="19">
        <f>+AX18/G18</f>
        <v>1</v>
      </c>
    </row>
    <row r="19" spans="1:51" ht="17.25" thickTop="1"/>
  </sheetData>
  <sheetProtection algorithmName="SHA-512" hashValue="Vs7JbSeywjIMDUjh3/Og7Vc4th/R8KhBdskofPDuDvYgitnacto4VVTo9IB42jo+JDUw1T/sep2gW56+sgAIgA==" saltValue="rg10kS9UdmRtSmFxtxgfgw==" spinCount="100000" sheet="1" objects="1" scenarios="1"/>
  <mergeCells count="34">
    <mergeCell ref="C1:K1"/>
    <mergeCell ref="C2:K2"/>
    <mergeCell ref="C3:K3"/>
    <mergeCell ref="D4:K4"/>
    <mergeCell ref="A5:A7"/>
    <mergeCell ref="B5:B7"/>
    <mergeCell ref="C5:C7"/>
    <mergeCell ref="D5:D7"/>
    <mergeCell ref="E5:E7"/>
    <mergeCell ref="F5:F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A17:K17"/>
    <mergeCell ref="AL5:AN7"/>
    <mergeCell ref="AO5:AQ7"/>
    <mergeCell ref="AR5:AT7"/>
    <mergeCell ref="AU5:AW7"/>
    <mergeCell ref="A9:A13"/>
    <mergeCell ref="B9:B12"/>
    <mergeCell ref="A14:K14"/>
    <mergeCell ref="A15:A16"/>
    <mergeCell ref="B15:B16"/>
  </mergeCells>
  <conditionalFormatting sqref="AE9:AE13 AE15:AE16">
    <cfRule type="cellIs" dxfId="1134" priority="136" operator="greaterThan">
      <formula>110%</formula>
    </cfRule>
    <cfRule type="cellIs" dxfId="1133" priority="137" operator="between">
      <formula>100.001%</formula>
      <formula>110%</formula>
    </cfRule>
    <cfRule type="cellIs" dxfId="1132" priority="138" operator="between">
      <formula>70.001%</formula>
      <formula>100%</formula>
    </cfRule>
    <cfRule type="cellIs" dxfId="1131" priority="139" operator="between">
      <formula>0.00001%</formula>
      <formula>70%</formula>
    </cfRule>
    <cfRule type="cellIs" dxfId="1130" priority="140" operator="equal">
      <formula>0</formula>
    </cfRule>
  </conditionalFormatting>
  <conditionalFormatting sqref="AY9:AY13 AY15:AY16">
    <cfRule type="cellIs" dxfId="1129" priority="131" operator="greaterThan">
      <formula>110%</formula>
    </cfRule>
    <cfRule type="cellIs" dxfId="1128" priority="132" operator="between">
      <formula>100.001%</formula>
      <formula>110%</formula>
    </cfRule>
    <cfRule type="cellIs" dxfId="1127" priority="133" operator="between">
      <formula>70.001%</formula>
      <formula>100%</formula>
    </cfRule>
    <cfRule type="cellIs" dxfId="1126" priority="134" operator="between">
      <formula>0.00001%</formula>
      <formula>70%</formula>
    </cfRule>
    <cfRule type="cellIs" dxfId="1125" priority="135" operator="equal">
      <formula>0</formula>
    </cfRule>
  </conditionalFormatting>
  <conditionalFormatting sqref="N9:N13 N15:N16">
    <cfRule type="cellIs" dxfId="1124" priority="126" operator="greaterThan">
      <formula>110%</formula>
    </cfRule>
    <cfRule type="cellIs" dxfId="1123" priority="127" operator="between">
      <formula>100.001%</formula>
      <formula>110%</formula>
    </cfRule>
    <cfRule type="cellIs" dxfId="1122" priority="128" operator="between">
      <formula>70.001%</formula>
      <formula>100%</formula>
    </cfRule>
    <cfRule type="cellIs" dxfId="1121" priority="129" operator="between">
      <formula>0.00001%</formula>
      <formula>70%</formula>
    </cfRule>
    <cfRule type="cellIs" dxfId="1120" priority="130" operator="equal">
      <formula>0</formula>
    </cfRule>
  </conditionalFormatting>
  <conditionalFormatting sqref="Q9:Q13 Q15:Q16">
    <cfRule type="cellIs" dxfId="1119" priority="121" operator="greaterThan">
      <formula>110%</formula>
    </cfRule>
    <cfRule type="cellIs" dxfId="1118" priority="122" operator="between">
      <formula>100.001%</formula>
      <formula>110%</formula>
    </cfRule>
    <cfRule type="cellIs" dxfId="1117" priority="123" operator="between">
      <formula>70.001%</formula>
      <formula>100%</formula>
    </cfRule>
    <cfRule type="cellIs" dxfId="1116" priority="124" operator="between">
      <formula>0.00001%</formula>
      <formula>70%</formula>
    </cfRule>
    <cfRule type="cellIs" dxfId="1115" priority="125" operator="equal">
      <formula>0</formula>
    </cfRule>
  </conditionalFormatting>
  <conditionalFormatting sqref="T9:T13 T15:T16">
    <cfRule type="cellIs" dxfId="1114" priority="116" operator="greaterThan">
      <formula>110%</formula>
    </cfRule>
    <cfRule type="cellIs" dxfId="1113" priority="117" operator="between">
      <formula>100.001%</formula>
      <formula>110%</formula>
    </cfRule>
    <cfRule type="cellIs" dxfId="1112" priority="118" operator="between">
      <formula>70.001%</formula>
      <formula>100%</formula>
    </cfRule>
    <cfRule type="cellIs" dxfId="1111" priority="119" operator="between">
      <formula>0.00001%</formula>
      <formula>70%</formula>
    </cfRule>
    <cfRule type="cellIs" dxfId="1110" priority="120" operator="equal">
      <formula>0</formula>
    </cfRule>
  </conditionalFormatting>
  <conditionalFormatting sqref="W9:W13 W15:W16">
    <cfRule type="cellIs" dxfId="1109" priority="111" operator="greaterThan">
      <formula>110%</formula>
    </cfRule>
    <cfRule type="cellIs" dxfId="1108" priority="112" operator="between">
      <formula>100.001%</formula>
      <formula>110%</formula>
    </cfRule>
    <cfRule type="cellIs" dxfId="1107" priority="113" operator="between">
      <formula>70.001%</formula>
      <formula>100%</formula>
    </cfRule>
    <cfRule type="cellIs" dxfId="1106" priority="114" operator="between">
      <formula>0.00001%</formula>
      <formula>70%</formula>
    </cfRule>
    <cfRule type="cellIs" dxfId="1105" priority="115" operator="equal">
      <formula>0</formula>
    </cfRule>
  </conditionalFormatting>
  <conditionalFormatting sqref="Z9:Z13 Z15:Z16">
    <cfRule type="cellIs" dxfId="1104" priority="106" operator="greaterThan">
      <formula>110%</formula>
    </cfRule>
    <cfRule type="cellIs" dxfId="1103" priority="107" operator="between">
      <formula>100.001%</formula>
      <formula>110%</formula>
    </cfRule>
    <cfRule type="cellIs" dxfId="1102" priority="108" operator="between">
      <formula>70.001%</formula>
      <formula>100%</formula>
    </cfRule>
    <cfRule type="cellIs" dxfId="1101" priority="109" operator="between">
      <formula>0.00001%</formula>
      <formula>70%</formula>
    </cfRule>
    <cfRule type="cellIs" dxfId="1100" priority="110" operator="equal">
      <formula>0</formula>
    </cfRule>
  </conditionalFormatting>
  <conditionalFormatting sqref="AC9:AC13 AC15:AC16">
    <cfRule type="cellIs" dxfId="1099" priority="101" operator="greaterThan">
      <formula>110%</formula>
    </cfRule>
    <cfRule type="cellIs" dxfId="1098" priority="102" operator="between">
      <formula>100.001%</formula>
      <formula>110%</formula>
    </cfRule>
    <cfRule type="cellIs" dxfId="1097" priority="103" operator="between">
      <formula>70.001%</formula>
      <formula>100%</formula>
    </cfRule>
    <cfRule type="cellIs" dxfId="1096" priority="104" operator="between">
      <formula>0.00001%</formula>
      <formula>70%</formula>
    </cfRule>
    <cfRule type="cellIs" dxfId="1095" priority="105" operator="equal">
      <formula>0</formula>
    </cfRule>
  </conditionalFormatting>
  <conditionalFormatting sqref="AH9:AH13 AH15:AH16">
    <cfRule type="cellIs" dxfId="1094" priority="96" operator="greaterThan">
      <formula>110%</formula>
    </cfRule>
    <cfRule type="cellIs" dxfId="1093" priority="97" operator="between">
      <formula>100.001%</formula>
      <formula>110%</formula>
    </cfRule>
    <cfRule type="cellIs" dxfId="1092" priority="98" operator="between">
      <formula>70.001%</formula>
      <formula>100%</formula>
    </cfRule>
    <cfRule type="cellIs" dxfId="1091" priority="99" operator="between">
      <formula>0.00001%</formula>
      <formula>70%</formula>
    </cfRule>
    <cfRule type="cellIs" dxfId="1090" priority="100" operator="equal">
      <formula>0</formula>
    </cfRule>
  </conditionalFormatting>
  <conditionalFormatting sqref="AK9:AK13 AK15:AK16">
    <cfRule type="cellIs" dxfId="1089" priority="91" operator="greaterThan">
      <formula>110%</formula>
    </cfRule>
    <cfRule type="cellIs" dxfId="1088" priority="92" operator="between">
      <formula>100.001%</formula>
      <formula>110%</formula>
    </cfRule>
    <cfRule type="cellIs" dxfId="1087" priority="93" operator="between">
      <formula>70.001%</formula>
      <formula>100%</formula>
    </cfRule>
    <cfRule type="cellIs" dxfId="1086" priority="94" operator="between">
      <formula>0.00001%</formula>
      <formula>70%</formula>
    </cfRule>
    <cfRule type="cellIs" dxfId="1085" priority="95" operator="equal">
      <formula>0</formula>
    </cfRule>
  </conditionalFormatting>
  <conditionalFormatting sqref="AN9:AN13 AN15:AN16">
    <cfRule type="cellIs" dxfId="1084" priority="86" operator="greaterThan">
      <formula>110%</formula>
    </cfRule>
    <cfRule type="cellIs" dxfId="1083" priority="87" operator="between">
      <formula>100.001%</formula>
      <formula>110%</formula>
    </cfRule>
    <cfRule type="cellIs" dxfId="1082" priority="88" operator="between">
      <formula>70.001%</formula>
      <formula>100%</formula>
    </cfRule>
    <cfRule type="cellIs" dxfId="1081" priority="89" operator="between">
      <formula>0.00001%</formula>
      <formula>70%</formula>
    </cfRule>
    <cfRule type="cellIs" dxfId="1080" priority="90" operator="equal">
      <formula>0</formula>
    </cfRule>
  </conditionalFormatting>
  <conditionalFormatting sqref="AQ9:AQ13 AQ15:AQ16">
    <cfRule type="cellIs" dxfId="1079" priority="81" operator="greaterThan">
      <formula>110%</formula>
    </cfRule>
    <cfRule type="cellIs" dxfId="1078" priority="82" operator="between">
      <formula>100.001%</formula>
      <formula>110%</formula>
    </cfRule>
    <cfRule type="cellIs" dxfId="1077" priority="83" operator="between">
      <formula>70.001%</formula>
      <formula>100%</formula>
    </cfRule>
    <cfRule type="cellIs" dxfId="1076" priority="84" operator="between">
      <formula>0.00001%</formula>
      <formula>70%</formula>
    </cfRule>
    <cfRule type="cellIs" dxfId="1075" priority="85" operator="equal">
      <formula>0</formula>
    </cfRule>
  </conditionalFormatting>
  <conditionalFormatting sqref="AT9:AT13 AT15:AT16">
    <cfRule type="cellIs" dxfId="1074" priority="76" operator="greaterThan">
      <formula>110%</formula>
    </cfRule>
    <cfRule type="cellIs" dxfId="1073" priority="77" operator="between">
      <formula>100.001%</formula>
      <formula>110%</formula>
    </cfRule>
    <cfRule type="cellIs" dxfId="1072" priority="78" operator="between">
      <formula>70.001%</formula>
      <formula>100%</formula>
    </cfRule>
    <cfRule type="cellIs" dxfId="1071" priority="79" operator="between">
      <formula>0.00001%</formula>
      <formula>70%</formula>
    </cfRule>
    <cfRule type="cellIs" dxfId="1070" priority="80" operator="equal">
      <formula>0</formula>
    </cfRule>
  </conditionalFormatting>
  <conditionalFormatting sqref="AW9:AW13 AW15:AW16">
    <cfRule type="cellIs" dxfId="1069" priority="71" operator="greaterThan">
      <formula>110%</formula>
    </cfRule>
    <cfRule type="cellIs" dxfId="1068" priority="72" operator="between">
      <formula>100.001%</formula>
      <formula>110%</formula>
    </cfRule>
    <cfRule type="cellIs" dxfId="1067" priority="73" operator="between">
      <formula>70.001%</formula>
      <formula>100%</formula>
    </cfRule>
    <cfRule type="cellIs" dxfId="1066" priority="74" operator="between">
      <formula>0.00001%</formula>
      <formula>70%</formula>
    </cfRule>
    <cfRule type="cellIs" dxfId="1065" priority="75" operator="equal">
      <formula>0</formula>
    </cfRule>
  </conditionalFormatting>
  <conditionalFormatting sqref="AE18">
    <cfRule type="cellIs" dxfId="1064" priority="66" operator="greaterThan">
      <formula>110%</formula>
    </cfRule>
    <cfRule type="cellIs" dxfId="1063" priority="67" operator="between">
      <formula>100.001%</formula>
      <formula>110%</formula>
    </cfRule>
    <cfRule type="cellIs" dxfId="1062" priority="68" operator="between">
      <formula>70.001%</formula>
      <formula>100%</formula>
    </cfRule>
    <cfRule type="cellIs" dxfId="1061" priority="69" operator="between">
      <formula>0.00001%</formula>
      <formula>70%</formula>
    </cfRule>
    <cfRule type="cellIs" dxfId="1060" priority="70" operator="equal">
      <formula>0</formula>
    </cfRule>
  </conditionalFormatting>
  <conditionalFormatting sqref="AY18">
    <cfRule type="cellIs" dxfId="1059" priority="61" operator="greaterThan">
      <formula>110%</formula>
    </cfRule>
    <cfRule type="cellIs" dxfId="1058" priority="62" operator="between">
      <formula>100.001%</formula>
      <formula>110%</formula>
    </cfRule>
    <cfRule type="cellIs" dxfId="1057" priority="63" operator="between">
      <formula>70.001%</formula>
      <formula>100%</formula>
    </cfRule>
    <cfRule type="cellIs" dxfId="1056" priority="64" operator="between">
      <formula>0.00001%</formula>
      <formula>70%</formula>
    </cfRule>
    <cfRule type="cellIs" dxfId="1055" priority="65" operator="equal">
      <formula>0</formula>
    </cfRule>
  </conditionalFormatting>
  <conditionalFormatting sqref="N18">
    <cfRule type="cellIs" dxfId="1054" priority="56" operator="greaterThan">
      <formula>110%</formula>
    </cfRule>
    <cfRule type="cellIs" dxfId="1053" priority="57" operator="between">
      <formula>100.001%</formula>
      <formula>110%</formula>
    </cfRule>
    <cfRule type="cellIs" dxfId="1052" priority="58" operator="between">
      <formula>70.001%</formula>
      <formula>100%</formula>
    </cfRule>
    <cfRule type="cellIs" dxfId="1051" priority="59" operator="between">
      <formula>0.00001%</formula>
      <formula>70%</formula>
    </cfRule>
    <cfRule type="cellIs" dxfId="1050" priority="60" operator="equal">
      <formula>0</formula>
    </cfRule>
  </conditionalFormatting>
  <conditionalFormatting sqref="Q18">
    <cfRule type="cellIs" dxfId="1049" priority="51" operator="greaterThan">
      <formula>110%</formula>
    </cfRule>
    <cfRule type="cellIs" dxfId="1048" priority="52" operator="between">
      <formula>100.001%</formula>
      <formula>110%</formula>
    </cfRule>
    <cfRule type="cellIs" dxfId="1047" priority="53" operator="between">
      <formula>70.001%</formula>
      <formula>100%</formula>
    </cfRule>
    <cfRule type="cellIs" dxfId="1046" priority="54" operator="between">
      <formula>0.00001%</formula>
      <formula>70%</formula>
    </cfRule>
    <cfRule type="cellIs" dxfId="1045" priority="55" operator="equal">
      <formula>0</formula>
    </cfRule>
  </conditionalFormatting>
  <conditionalFormatting sqref="T18">
    <cfRule type="cellIs" dxfId="1044" priority="46" operator="greaterThan">
      <formula>110%</formula>
    </cfRule>
    <cfRule type="cellIs" dxfId="1043" priority="47" operator="between">
      <formula>100.001%</formula>
      <formula>110%</formula>
    </cfRule>
    <cfRule type="cellIs" dxfId="1042" priority="48" operator="between">
      <formula>70.001%</formula>
      <formula>100%</formula>
    </cfRule>
    <cfRule type="cellIs" dxfId="1041" priority="49" operator="between">
      <formula>0.00001%</formula>
      <formula>70%</formula>
    </cfRule>
    <cfRule type="cellIs" dxfId="1040" priority="50" operator="equal">
      <formula>0</formula>
    </cfRule>
  </conditionalFormatting>
  <conditionalFormatting sqref="W18">
    <cfRule type="cellIs" dxfId="1039" priority="41" operator="greaterThan">
      <formula>110%</formula>
    </cfRule>
    <cfRule type="cellIs" dxfId="1038" priority="42" operator="between">
      <formula>100.001%</formula>
      <formula>110%</formula>
    </cfRule>
    <cfRule type="cellIs" dxfId="1037" priority="43" operator="between">
      <formula>70.001%</formula>
      <formula>100%</formula>
    </cfRule>
    <cfRule type="cellIs" dxfId="1036" priority="44" operator="between">
      <formula>0.00001%</formula>
      <formula>70%</formula>
    </cfRule>
    <cfRule type="cellIs" dxfId="1035" priority="45" operator="equal">
      <formula>0</formula>
    </cfRule>
  </conditionalFormatting>
  <conditionalFormatting sqref="Z18">
    <cfRule type="cellIs" dxfId="1034" priority="36" operator="greaterThan">
      <formula>110%</formula>
    </cfRule>
    <cfRule type="cellIs" dxfId="1033" priority="37" operator="between">
      <formula>100.001%</formula>
      <formula>110%</formula>
    </cfRule>
    <cfRule type="cellIs" dxfId="1032" priority="38" operator="between">
      <formula>70.001%</formula>
      <formula>100%</formula>
    </cfRule>
    <cfRule type="cellIs" dxfId="1031" priority="39" operator="between">
      <formula>0.00001%</formula>
      <formula>70%</formula>
    </cfRule>
    <cfRule type="cellIs" dxfId="1030" priority="40" operator="equal">
      <formula>0</formula>
    </cfRule>
  </conditionalFormatting>
  <conditionalFormatting sqref="AC18">
    <cfRule type="cellIs" dxfId="1029" priority="31" operator="greaterThan">
      <formula>110%</formula>
    </cfRule>
    <cfRule type="cellIs" dxfId="1028" priority="32" operator="between">
      <formula>100.001%</formula>
      <formula>110%</formula>
    </cfRule>
    <cfRule type="cellIs" dxfId="1027" priority="33" operator="between">
      <formula>70.001%</formula>
      <formula>100%</formula>
    </cfRule>
    <cfRule type="cellIs" dxfId="1026" priority="34" operator="between">
      <formula>0.00001%</formula>
      <formula>70%</formula>
    </cfRule>
    <cfRule type="cellIs" dxfId="1025" priority="35" operator="equal">
      <formula>0</formula>
    </cfRule>
  </conditionalFormatting>
  <conditionalFormatting sqref="AH18">
    <cfRule type="cellIs" dxfId="1024" priority="26" operator="greaterThan">
      <formula>110%</formula>
    </cfRule>
    <cfRule type="cellIs" dxfId="1023" priority="27" operator="between">
      <formula>100.001%</formula>
      <formula>110%</formula>
    </cfRule>
    <cfRule type="cellIs" dxfId="1022" priority="28" operator="between">
      <formula>70.001%</formula>
      <formula>100%</formula>
    </cfRule>
    <cfRule type="cellIs" dxfId="1021" priority="29" operator="between">
      <formula>0.00001%</formula>
      <formula>70%</formula>
    </cfRule>
    <cfRule type="cellIs" dxfId="1020" priority="30" operator="equal">
      <formula>0</formula>
    </cfRule>
  </conditionalFormatting>
  <conditionalFormatting sqref="AK18">
    <cfRule type="cellIs" dxfId="1019" priority="21" operator="greaterThan">
      <formula>110%</formula>
    </cfRule>
    <cfRule type="cellIs" dxfId="1018" priority="22" operator="between">
      <formula>100.001%</formula>
      <formula>110%</formula>
    </cfRule>
    <cfRule type="cellIs" dxfId="1017" priority="23" operator="between">
      <formula>70.001%</formula>
      <formula>100%</formula>
    </cfRule>
    <cfRule type="cellIs" dxfId="1016" priority="24" operator="between">
      <formula>0.00001%</formula>
      <formula>70%</formula>
    </cfRule>
    <cfRule type="cellIs" dxfId="1015" priority="25" operator="equal">
      <formula>0</formula>
    </cfRule>
  </conditionalFormatting>
  <conditionalFormatting sqref="AN18">
    <cfRule type="cellIs" dxfId="1014" priority="16" operator="greaterThan">
      <formula>110%</formula>
    </cfRule>
    <cfRule type="cellIs" dxfId="1013" priority="17" operator="between">
      <formula>100.001%</formula>
      <formula>110%</formula>
    </cfRule>
    <cfRule type="cellIs" dxfId="1012" priority="18" operator="between">
      <formula>70.001%</formula>
      <formula>100%</formula>
    </cfRule>
    <cfRule type="cellIs" dxfId="1011" priority="19" operator="between">
      <formula>0.00001%</formula>
      <formula>70%</formula>
    </cfRule>
    <cfRule type="cellIs" dxfId="1010" priority="20" operator="equal">
      <formula>0</formula>
    </cfRule>
  </conditionalFormatting>
  <conditionalFormatting sqref="AQ18">
    <cfRule type="cellIs" dxfId="1009" priority="11" operator="greaterThan">
      <formula>110%</formula>
    </cfRule>
    <cfRule type="cellIs" dxfId="1008" priority="12" operator="between">
      <formula>100.001%</formula>
      <formula>110%</formula>
    </cfRule>
    <cfRule type="cellIs" dxfId="1007" priority="13" operator="between">
      <formula>70.001%</formula>
      <formula>100%</formula>
    </cfRule>
    <cfRule type="cellIs" dxfId="1006" priority="14" operator="between">
      <formula>0.00001%</formula>
      <formula>70%</formula>
    </cfRule>
    <cfRule type="cellIs" dxfId="1005" priority="15" operator="equal">
      <formula>0</formula>
    </cfRule>
  </conditionalFormatting>
  <conditionalFormatting sqref="AT18">
    <cfRule type="cellIs" dxfId="1004" priority="6" operator="greaterThan">
      <formula>110%</formula>
    </cfRule>
    <cfRule type="cellIs" dxfId="1003" priority="7" operator="between">
      <formula>100.001%</formula>
      <formula>110%</formula>
    </cfRule>
    <cfRule type="cellIs" dxfId="1002" priority="8" operator="between">
      <formula>70.001%</formula>
      <formula>100%</formula>
    </cfRule>
    <cfRule type="cellIs" dxfId="1001" priority="9" operator="between">
      <formula>0.00001%</formula>
      <formula>70%</formula>
    </cfRule>
    <cfRule type="cellIs" dxfId="1000" priority="10" operator="equal">
      <formula>0</formula>
    </cfRule>
  </conditionalFormatting>
  <conditionalFormatting sqref="AW18">
    <cfRule type="cellIs" dxfId="999" priority="1" operator="greaterThan">
      <formula>110%</formula>
    </cfRule>
    <cfRule type="cellIs" dxfId="998" priority="2" operator="between">
      <formula>100.001%</formula>
      <formula>110%</formula>
    </cfRule>
    <cfRule type="cellIs" dxfId="997" priority="3" operator="between">
      <formula>70.001%</formula>
      <formula>100%</formula>
    </cfRule>
    <cfRule type="cellIs" dxfId="996" priority="4" operator="between">
      <formula>0.00001%</formula>
      <formula>70%</formula>
    </cfRule>
    <cfRule type="cellIs" dxfId="995" priority="5" operator="equal">
      <formula>0</formula>
    </cfRule>
  </conditionalFormatting>
  <hyperlinks>
    <hyperlink ref="D9" location="'IN1-3'!A1" display="IN1-3 Recaudo Bruto" xr:uid="{00000000-0004-0000-2C00-000000000000}"/>
    <hyperlink ref="D10" location="'IN1-5'!A1" display="IN1-5 Inscritos en el Régimen Simple de Tributación - RST" xr:uid="{00000000-0004-0000-2C00-000001000000}"/>
    <hyperlink ref="D11" location="'IN1-6.1'!A1" display="IN1-6.1 Grado de cumplimiento del cronograma de campañas del RST" xr:uid="{00000000-0004-0000-2C00-000002000000}"/>
    <hyperlink ref="D12" location="'IN1-8'!A1" display="IN1-8  Contribuyentes habilitados como facturadores electrónicos" xr:uid="{00000000-0004-0000-2C00-000003000000}"/>
    <hyperlink ref="D13" location="'FIS-24'!A1" display="FIS-24 Valor decomisos de mercancías en firme" xr:uid="{00000000-0004-0000-2C00-000004000000}"/>
    <hyperlink ref="D15" location="'IN1-11'!A1" display="IN1-11  Nivel de cobertura de personas sensibilizadas por el plan de cultura. ACTUALMENTE. Cumplimiento al Plan de Acción de Cultura de la Contribución" xr:uid="{00000000-0004-0000-2C00-000005000000}"/>
    <hyperlink ref="D16" location="'IN1-15'!A1" display="IN1-15 Días en devoluciones ordinarias" xr:uid="{00000000-0004-0000-2C00-000006000000}"/>
    <hyperlink ref="D18" location="'DGRAE-25'!A1" display="DGRAE-25 Actividades que componen el  PIC para la Dirección de Gestión" xr:uid="{00000000-0004-0000-2C00-000007000000}"/>
    <hyperlink ref="AY2" location="'Consolidado '!A1" display="VOLVER" xr:uid="{00000000-0004-0000-2C00-000008000000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Z15"/>
  <sheetViews>
    <sheetView topLeftCell="B1" zoomScale="60" zoomScaleNormal="60" workbookViewId="0">
      <selection activeCell="AY2" sqref="AY2"/>
    </sheetView>
  </sheetViews>
  <sheetFormatPr baseColWidth="10" defaultColWidth="11.42578125" defaultRowHeight="16.5"/>
  <cols>
    <col min="1" max="1" width="19.140625" style="8" customWidth="1"/>
    <col min="2" max="2" width="31.42578125" style="63" customWidth="1"/>
    <col min="3" max="3" width="45.28515625" style="8" customWidth="1"/>
    <col min="4" max="4" width="28.140625" style="8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49" width="20.7109375" style="8" hidden="1" customWidth="1"/>
    <col min="50" max="50" width="20.7109375" style="8" customWidth="1"/>
    <col min="51" max="51" width="15.7109375" style="8" customWidth="1"/>
    <col min="52" max="16384" width="11.42578125" style="8"/>
  </cols>
  <sheetData>
    <row r="1" spans="1:52" ht="26.25">
      <c r="A1" s="101"/>
      <c r="B1" s="102"/>
      <c r="C1" s="2885" t="s">
        <v>1090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2865" t="s">
        <v>69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AY2" s="670" t="s">
        <v>185</v>
      </c>
    </row>
    <row r="3" spans="1:52">
      <c r="A3" s="2866" t="s">
        <v>1091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  <c r="AZ4" s="444">
        <f>+(AY9+AY10+AY12+AY14)/4</f>
        <v>3.4399968150595237</v>
      </c>
    </row>
    <row r="5" spans="1:52" ht="18" thickTop="1" thickBot="1">
      <c r="A5" s="2823" t="s">
        <v>0</v>
      </c>
      <c r="B5" s="2830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31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32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16" t="s">
        <v>86</v>
      </c>
      <c r="O8" s="13" t="s">
        <v>84</v>
      </c>
      <c r="P8" s="14" t="s">
        <v>85</v>
      </c>
      <c r="Q8" s="14" t="s">
        <v>86</v>
      </c>
      <c r="R8" s="16" t="s">
        <v>84</v>
      </c>
      <c r="S8" s="16" t="s">
        <v>85</v>
      </c>
      <c r="T8" s="16" t="s">
        <v>86</v>
      </c>
      <c r="U8" s="16" t="s">
        <v>84</v>
      </c>
      <c r="V8" s="16" t="s">
        <v>85</v>
      </c>
      <c r="W8" s="16" t="s">
        <v>86</v>
      </c>
      <c r="X8" s="16" t="s">
        <v>84</v>
      </c>
      <c r="Y8" s="16" t="s">
        <v>85</v>
      </c>
      <c r="Z8" s="16" t="s">
        <v>86</v>
      </c>
      <c r="AA8" s="16" t="s">
        <v>84</v>
      </c>
      <c r="AB8" s="16" t="s">
        <v>85</v>
      </c>
      <c r="AC8" s="16" t="s">
        <v>86</v>
      </c>
      <c r="AD8" s="16" t="s">
        <v>87</v>
      </c>
      <c r="AE8" s="71" t="s">
        <v>6</v>
      </c>
      <c r="AF8" s="13" t="s">
        <v>84</v>
      </c>
      <c r="AG8" s="14" t="s">
        <v>85</v>
      </c>
      <c r="AH8" s="14" t="s">
        <v>86</v>
      </c>
      <c r="AI8" s="16" t="s">
        <v>84</v>
      </c>
      <c r="AJ8" s="13" t="s">
        <v>85</v>
      </c>
      <c r="AK8" s="14" t="s">
        <v>86</v>
      </c>
      <c r="AL8" s="14" t="s">
        <v>84</v>
      </c>
      <c r="AM8" s="16" t="s">
        <v>85</v>
      </c>
      <c r="AN8" s="16" t="s">
        <v>86</v>
      </c>
      <c r="AO8" s="16" t="s">
        <v>84</v>
      </c>
      <c r="AP8" s="16" t="s">
        <v>85</v>
      </c>
      <c r="AQ8" s="16" t="s">
        <v>86</v>
      </c>
      <c r="AR8" s="16" t="s">
        <v>84</v>
      </c>
      <c r="AS8" s="13" t="s">
        <v>85</v>
      </c>
      <c r="AT8" s="13" t="s">
        <v>86</v>
      </c>
      <c r="AU8" s="13" t="s">
        <v>84</v>
      </c>
      <c r="AV8" s="14" t="s">
        <v>85</v>
      </c>
      <c r="AW8" s="14" t="s">
        <v>86</v>
      </c>
      <c r="AX8" s="13" t="s">
        <v>87</v>
      </c>
      <c r="AY8" s="14" t="s">
        <v>6</v>
      </c>
    </row>
    <row r="9" spans="1:52" s="22" customFormat="1" ht="57.75" thickTop="1" thickBot="1">
      <c r="A9" s="2845" t="s">
        <v>88</v>
      </c>
      <c r="B9" s="2023" t="s">
        <v>94</v>
      </c>
      <c r="C9" s="626" t="s">
        <v>491</v>
      </c>
      <c r="D9" s="627" t="s">
        <v>96</v>
      </c>
      <c r="E9" s="81" t="s">
        <v>97</v>
      </c>
      <c r="F9" s="81" t="s">
        <v>18</v>
      </c>
      <c r="G9" s="2325">
        <v>18</v>
      </c>
      <c r="H9" s="82"/>
      <c r="I9" s="629"/>
      <c r="J9" s="82"/>
      <c r="K9" s="81" t="s">
        <v>20</v>
      </c>
      <c r="L9" s="673" t="s">
        <v>933</v>
      </c>
      <c r="M9" s="1234" t="s">
        <v>933</v>
      </c>
      <c r="N9" s="2711" t="s">
        <v>933</v>
      </c>
      <c r="O9" s="2712" t="s">
        <v>933</v>
      </c>
      <c r="P9" s="2711" t="s">
        <v>1092</v>
      </c>
      <c r="Q9" s="2711" t="s">
        <v>1092</v>
      </c>
      <c r="R9" s="2712" t="s">
        <v>933</v>
      </c>
      <c r="S9" s="2711" t="s">
        <v>1092</v>
      </c>
      <c r="T9" s="2711" t="s">
        <v>1092</v>
      </c>
      <c r="U9" s="2712" t="s">
        <v>933</v>
      </c>
      <c r="V9" s="2711" t="s">
        <v>1092</v>
      </c>
      <c r="W9" s="2711" t="s">
        <v>1092</v>
      </c>
      <c r="X9" s="2712" t="s">
        <v>933</v>
      </c>
      <c r="Y9" s="2711" t="s">
        <v>1092</v>
      </c>
      <c r="Z9" s="2711" t="s">
        <v>1092</v>
      </c>
      <c r="AA9" s="2712" t="s">
        <v>933</v>
      </c>
      <c r="AB9" s="2711" t="s">
        <v>1092</v>
      </c>
      <c r="AC9" s="2711" t="s">
        <v>1092</v>
      </c>
      <c r="AD9" s="2712" t="s">
        <v>933</v>
      </c>
      <c r="AE9" s="2711" t="s">
        <v>1092</v>
      </c>
      <c r="AF9" s="2712" t="s">
        <v>933</v>
      </c>
      <c r="AG9" s="2711" t="s">
        <v>1092</v>
      </c>
      <c r="AH9" s="2711" t="s">
        <v>1092</v>
      </c>
      <c r="AI9" s="2712" t="s">
        <v>933</v>
      </c>
      <c r="AJ9" s="2711" t="s">
        <v>1092</v>
      </c>
      <c r="AK9" s="2711" t="s">
        <v>1092</v>
      </c>
      <c r="AL9" s="2712" t="s">
        <v>933</v>
      </c>
      <c r="AM9" s="2711" t="s">
        <v>1092</v>
      </c>
      <c r="AN9" s="2711" t="s">
        <v>1092</v>
      </c>
      <c r="AO9" s="2712" t="s">
        <v>933</v>
      </c>
      <c r="AP9" s="2711" t="s">
        <v>1092</v>
      </c>
      <c r="AQ9" s="2711" t="s">
        <v>1092</v>
      </c>
      <c r="AR9" s="2712" t="s">
        <v>933</v>
      </c>
      <c r="AS9" s="2711" t="s">
        <v>1092</v>
      </c>
      <c r="AT9" s="2711" t="s">
        <v>1092</v>
      </c>
      <c r="AU9" s="2713">
        <v>18000000</v>
      </c>
      <c r="AV9" s="2714">
        <v>18000000</v>
      </c>
      <c r="AW9" s="2711">
        <f>+AV9/AU9*100</f>
        <v>100</v>
      </c>
      <c r="AX9" s="2713">
        <v>18</v>
      </c>
      <c r="AY9" s="73">
        <v>1</v>
      </c>
    </row>
    <row r="10" spans="1:52" s="22" customFormat="1" ht="114" thickTop="1" thickBot="1">
      <c r="A10" s="2847"/>
      <c r="B10" s="2172" t="s">
        <v>508</v>
      </c>
      <c r="C10" s="76" t="s">
        <v>1093</v>
      </c>
      <c r="D10" s="623" t="s">
        <v>138</v>
      </c>
      <c r="E10" s="76" t="s">
        <v>139</v>
      </c>
      <c r="F10" s="76" t="s">
        <v>101</v>
      </c>
      <c r="G10" s="2326">
        <f>+'[4]FIS-24'!$DH$16</f>
        <v>599999999.99999988</v>
      </c>
      <c r="H10" s="78"/>
      <c r="I10" s="79"/>
      <c r="J10" s="78"/>
      <c r="K10" s="76" t="s">
        <v>140</v>
      </c>
      <c r="L10" s="624">
        <v>33333333.333333328</v>
      </c>
      <c r="M10" s="564">
        <v>76827636</v>
      </c>
      <c r="N10" s="73">
        <f>+M10/L10</f>
        <v>2.3048290800000002</v>
      </c>
      <c r="O10" s="624">
        <v>33333333.333333328</v>
      </c>
      <c r="P10" s="564">
        <v>66350755</v>
      </c>
      <c r="Q10" s="73">
        <f>+P10/O10</f>
        <v>1.9905226500000004</v>
      </c>
      <c r="R10" s="624">
        <v>33333333.333333328</v>
      </c>
      <c r="S10" s="564">
        <v>73824390</v>
      </c>
      <c r="T10" s="73">
        <f>+S10/R10</f>
        <v>2.2147317000000002</v>
      </c>
      <c r="U10" s="624">
        <v>66111111.111111097</v>
      </c>
      <c r="V10" s="564">
        <v>63859376</v>
      </c>
      <c r="W10" s="73">
        <f>+V10/U10</f>
        <v>0.96594014117647076</v>
      </c>
      <c r="X10" s="624">
        <v>66111111.111111097</v>
      </c>
      <c r="Y10" s="564">
        <v>24717814</v>
      </c>
      <c r="Z10" s="73">
        <f>+Y10/X10</f>
        <v>0.37388290084033621</v>
      </c>
      <c r="AA10" s="624">
        <v>66111111.111111097</v>
      </c>
      <c r="AB10" s="564"/>
      <c r="AC10" s="73">
        <f>+AB10/AA10</f>
        <v>0</v>
      </c>
      <c r="AD10" s="1513">
        <f>+M10+P10+S10+V10+Y10+AB10</f>
        <v>305579971</v>
      </c>
      <c r="AE10" s="73">
        <f>+AD10/G10</f>
        <v>0.50929995166666675</v>
      </c>
      <c r="AF10" s="624">
        <v>66111111.111111097</v>
      </c>
      <c r="AG10" s="564"/>
      <c r="AH10" s="73">
        <f>+AG10/AF10</f>
        <v>0</v>
      </c>
      <c r="AI10" s="624">
        <v>54177777.880000003</v>
      </c>
      <c r="AJ10" s="564">
        <v>71034442</v>
      </c>
      <c r="AK10" s="73">
        <f>+AJ10/AI10</f>
        <v>1.31113612960163</v>
      </c>
      <c r="AL10" s="624">
        <v>54177777.880000003</v>
      </c>
      <c r="AM10" s="564">
        <v>90033601</v>
      </c>
      <c r="AN10" s="73">
        <f>+AM10/AL10</f>
        <v>1.6618178988333214</v>
      </c>
      <c r="AO10" s="624">
        <v>54177777.880000003</v>
      </c>
      <c r="AP10" s="564">
        <v>50311153</v>
      </c>
      <c r="AQ10" s="73">
        <f>+AP10/AO10</f>
        <v>0.92863079603293608</v>
      </c>
      <c r="AR10" s="624">
        <v>36511111.18</v>
      </c>
      <c r="AS10" s="564">
        <v>80187625</v>
      </c>
      <c r="AT10" s="73">
        <f>+AS10/AR10</f>
        <v>2.1962526586680564</v>
      </c>
      <c r="AU10" s="624">
        <v>36511111.18</v>
      </c>
      <c r="AV10" s="564">
        <v>201702707</v>
      </c>
      <c r="AW10" s="73">
        <f>+AV10/AU10</f>
        <v>5.5244198404590987</v>
      </c>
      <c r="AX10" s="2715">
        <f>+M10+P10+S10+V10+Y10+AB10+AG10+AJ10+AM10+AP10+AS10+AV10</f>
        <v>798849499</v>
      </c>
      <c r="AY10" s="73">
        <f>+AX10/G10</f>
        <v>1.3314158316666669</v>
      </c>
    </row>
    <row r="11" spans="1:52" ht="22.5" thickTop="1" thickBot="1">
      <c r="A11" s="2970" t="s">
        <v>682</v>
      </c>
      <c r="B11" s="2860"/>
      <c r="C11" s="2860"/>
      <c r="D11" s="2858"/>
      <c r="E11" s="2858"/>
      <c r="F11" s="2858"/>
      <c r="G11" s="2858"/>
      <c r="H11" s="2858"/>
      <c r="I11" s="2858"/>
      <c r="J11" s="2858"/>
      <c r="K11" s="2859"/>
      <c r="L11" s="1585"/>
      <c r="M11" s="1586"/>
      <c r="N11" s="1586"/>
      <c r="O11" s="1585"/>
      <c r="P11" s="1586"/>
      <c r="Q11" s="1586"/>
      <c r="R11" s="1585"/>
      <c r="S11" s="1586"/>
      <c r="T11" s="1586"/>
      <c r="U11" s="1585"/>
      <c r="V11" s="1586"/>
      <c r="W11" s="1586"/>
      <c r="X11" s="1585"/>
      <c r="Y11" s="1586"/>
      <c r="Z11" s="1586"/>
      <c r="AA11" s="1585"/>
      <c r="AB11" s="1586"/>
      <c r="AC11" s="1586"/>
      <c r="AD11" s="1587"/>
      <c r="AE11" s="19"/>
      <c r="AF11" s="1585"/>
      <c r="AG11" s="1586"/>
      <c r="AH11" s="1586"/>
      <c r="AI11" s="1585"/>
      <c r="AJ11" s="1586"/>
      <c r="AK11" s="1586"/>
      <c r="AL11" s="1585"/>
      <c r="AM11" s="1586"/>
      <c r="AN11" s="1586"/>
      <c r="AO11" s="1585"/>
      <c r="AP11" s="1586"/>
      <c r="AQ11" s="1586"/>
      <c r="AR11" s="1585"/>
      <c r="AS11" s="1586"/>
      <c r="AT11" s="1586"/>
      <c r="AU11" s="1585"/>
      <c r="AV11" s="1586"/>
      <c r="AW11" s="1586"/>
      <c r="AX11" s="1585"/>
      <c r="AY11" s="1585"/>
    </row>
    <row r="12" spans="1:52" s="1453" customFormat="1" ht="114" thickTop="1" thickBot="1">
      <c r="A12" s="2716" t="s">
        <v>181</v>
      </c>
      <c r="B12" s="2717" t="s">
        <v>314</v>
      </c>
      <c r="C12" s="1410" t="s">
        <v>632</v>
      </c>
      <c r="D12" s="1034" t="s">
        <v>144</v>
      </c>
      <c r="E12" s="1404" t="s">
        <v>633</v>
      </c>
      <c r="F12" s="1405" t="s">
        <v>17</v>
      </c>
      <c r="G12" s="1400">
        <v>105</v>
      </c>
      <c r="H12" s="1686"/>
      <c r="I12" s="1687"/>
      <c r="J12" s="1688"/>
      <c r="K12" s="1400" t="s">
        <v>146</v>
      </c>
      <c r="L12" s="141">
        <v>0</v>
      </c>
      <c r="M12" s="142"/>
      <c r="N12" s="19" t="e">
        <f t="shared" ref="N12" si="0">+M12/L12</f>
        <v>#DIV/0!</v>
      </c>
      <c r="O12" s="209">
        <v>0</v>
      </c>
      <c r="P12" s="142"/>
      <c r="Q12" s="19" t="e">
        <f t="shared" ref="Q12" si="1">+P12/O12</f>
        <v>#DIV/0!</v>
      </c>
      <c r="R12" s="209">
        <v>0</v>
      </c>
      <c r="S12" s="142"/>
      <c r="T12" s="19" t="e">
        <f t="shared" ref="T12" si="2">+S12/R12</f>
        <v>#DIV/0!</v>
      </c>
      <c r="U12" s="209">
        <v>21</v>
      </c>
      <c r="V12" s="142"/>
      <c r="W12" s="19">
        <f t="shared" ref="W12" si="3">+V12/U12</f>
        <v>0</v>
      </c>
      <c r="X12" s="209">
        <v>0</v>
      </c>
      <c r="Y12" s="142">
        <v>372</v>
      </c>
      <c r="Z12" s="19" t="e">
        <f t="shared" ref="Z12" si="4">+Y12/X12</f>
        <v>#DIV/0!</v>
      </c>
      <c r="AA12" s="209">
        <v>0</v>
      </c>
      <c r="AB12" s="142"/>
      <c r="AC12" s="19" t="e">
        <f t="shared" ref="AC12" si="5">+AB12/AA12</f>
        <v>#DIV/0!</v>
      </c>
      <c r="AD12" s="1398">
        <f t="shared" ref="AD12" si="6">+AB12+Y12+V12+S12+P12+M12</f>
        <v>372</v>
      </c>
      <c r="AE12" s="19">
        <f t="shared" ref="AE12" si="7">+AD12/G12</f>
        <v>3.5428571428571427</v>
      </c>
      <c r="AF12" s="209">
        <v>0</v>
      </c>
      <c r="AG12" s="142"/>
      <c r="AH12" s="19" t="e">
        <f t="shared" ref="AH12" si="8">+AG12/AF12</f>
        <v>#DIV/0!</v>
      </c>
      <c r="AI12" s="209">
        <v>31</v>
      </c>
      <c r="AJ12" s="142">
        <v>387</v>
      </c>
      <c r="AK12" s="19">
        <f t="shared" ref="AK12" si="9">+AJ12/AI12</f>
        <v>12.483870967741936</v>
      </c>
      <c r="AL12" s="209">
        <v>0</v>
      </c>
      <c r="AM12" s="142"/>
      <c r="AN12" s="19" t="e">
        <f t="shared" ref="AN12" si="10">+AM12/AL12</f>
        <v>#DIV/0!</v>
      </c>
      <c r="AO12" s="209">
        <v>0</v>
      </c>
      <c r="AP12" s="142"/>
      <c r="AQ12" s="19" t="e">
        <f t="shared" ref="AQ12" si="11">+AP12/AO12</f>
        <v>#DIV/0!</v>
      </c>
      <c r="AR12" s="209">
        <v>0</v>
      </c>
      <c r="AS12" s="142"/>
      <c r="AT12" s="19" t="e">
        <f t="shared" ref="AT12" si="12">+AS12/AR12</f>
        <v>#DIV/0!</v>
      </c>
      <c r="AU12" s="209">
        <v>53</v>
      </c>
      <c r="AV12" s="142">
        <v>336</v>
      </c>
      <c r="AW12" s="19">
        <f t="shared" ref="AW12" si="13">+AV12/AU12</f>
        <v>6.3396226415094343</v>
      </c>
      <c r="AX12" s="209">
        <f t="shared" ref="AX12" si="14">+M12+P12+S12+V12+Y12+AB12+AG12+AJ12+AM12+AP12+AS12+AV12</f>
        <v>1095</v>
      </c>
      <c r="AY12" s="19">
        <f>+AX12/G12</f>
        <v>10.428571428571429</v>
      </c>
    </row>
    <row r="13" spans="1:52" ht="22.5" thickTop="1" thickBot="1">
      <c r="A13" s="2843" t="s">
        <v>154</v>
      </c>
      <c r="B13" s="2843"/>
      <c r="C13" s="2843"/>
      <c r="D13" s="2843"/>
      <c r="E13" s="2843"/>
      <c r="F13" s="2843"/>
      <c r="G13" s="2843"/>
      <c r="H13" s="2843"/>
      <c r="I13" s="2843"/>
      <c r="J13" s="2843"/>
      <c r="K13" s="2843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1"/>
      <c r="AY13" s="201"/>
    </row>
    <row r="14" spans="1:52" ht="64.5" thickTop="1" thickBot="1">
      <c r="A14" s="202" t="s">
        <v>155</v>
      </c>
      <c r="B14" s="97" t="s">
        <v>156</v>
      </c>
      <c r="C14" s="74" t="s">
        <v>157</v>
      </c>
      <c r="D14" s="111" t="s">
        <v>158</v>
      </c>
      <c r="E14" s="74" t="s">
        <v>159</v>
      </c>
      <c r="F14" s="74" t="s">
        <v>265</v>
      </c>
      <c r="G14" s="203">
        <v>6</v>
      </c>
      <c r="H14" s="99">
        <v>10</v>
      </c>
      <c r="I14" s="204"/>
      <c r="J14" s="204"/>
      <c r="K14" s="25" t="s">
        <v>27</v>
      </c>
      <c r="L14" s="205">
        <v>0</v>
      </c>
      <c r="M14" s="206"/>
      <c r="N14" s="19" t="e">
        <f t="shared" ref="N14" si="15">+M14/L14</f>
        <v>#DIV/0!</v>
      </c>
      <c r="O14" s="205">
        <v>0</v>
      </c>
      <c r="P14" s="206"/>
      <c r="Q14" s="19" t="e">
        <f t="shared" ref="Q14" si="16">+P14/O14</f>
        <v>#DIV/0!</v>
      </c>
      <c r="R14" s="205">
        <v>0</v>
      </c>
      <c r="S14" s="206"/>
      <c r="T14" s="19" t="e">
        <f t="shared" ref="T14" si="17">+S14/R14</f>
        <v>#DIV/0!</v>
      </c>
      <c r="U14" s="205">
        <v>0</v>
      </c>
      <c r="V14" s="206"/>
      <c r="W14" s="121" t="e">
        <f>+V14/U14</f>
        <v>#DIV/0!</v>
      </c>
      <c r="X14" s="205">
        <v>2</v>
      </c>
      <c r="Y14" s="206">
        <v>2</v>
      </c>
      <c r="Z14" s="19">
        <f t="shared" ref="Z14" si="18">+Y14/X14</f>
        <v>1</v>
      </c>
      <c r="AA14" s="205">
        <v>0</v>
      </c>
      <c r="AB14" s="206"/>
      <c r="AC14" s="19" t="e">
        <f t="shared" ref="AC14" si="19">+AB14/AA14</f>
        <v>#DIV/0!</v>
      </c>
      <c r="AD14" s="207">
        <f>+AB14+Y14+V14+S14+P14+M14</f>
        <v>2</v>
      </c>
      <c r="AE14" s="19">
        <f t="shared" ref="AE14" si="20">+AD14/G14</f>
        <v>0.33333333333333331</v>
      </c>
      <c r="AF14" s="205">
        <v>1</v>
      </c>
      <c r="AG14" s="206">
        <v>1</v>
      </c>
      <c r="AH14" s="208">
        <f t="shared" ref="AH14" si="21">+AG14/AF14</f>
        <v>1</v>
      </c>
      <c r="AI14" s="205">
        <v>0</v>
      </c>
      <c r="AJ14" s="206"/>
      <c r="AK14" s="208" t="e">
        <f t="shared" ref="AK14" si="22">+AJ14/AI14</f>
        <v>#DIV/0!</v>
      </c>
      <c r="AL14" s="205">
        <v>0</v>
      </c>
      <c r="AM14" s="206"/>
      <c r="AN14" s="208" t="e">
        <f t="shared" ref="AN14" si="23">+AM14/AL14</f>
        <v>#DIV/0!</v>
      </c>
      <c r="AO14" s="205">
        <v>3</v>
      </c>
      <c r="AP14" s="206">
        <v>3</v>
      </c>
      <c r="AQ14" s="19">
        <f t="shared" ref="AQ14" si="24">+AP14/AO14</f>
        <v>1</v>
      </c>
      <c r="AR14" s="205">
        <v>0</v>
      </c>
      <c r="AS14" s="206"/>
      <c r="AT14" s="19" t="e">
        <f t="shared" ref="AT14" si="25">+AS14/AR14</f>
        <v>#DIV/0!</v>
      </c>
      <c r="AU14" s="205">
        <v>0</v>
      </c>
      <c r="AV14" s="206"/>
      <c r="AW14" s="19" t="e">
        <f t="shared" ref="AW14" si="26">+AV14/AU14</f>
        <v>#DIV/0!</v>
      </c>
      <c r="AX14" s="209">
        <f t="shared" ref="AX14" si="27">+M14+P14+S14+V14+Y14+AB14+AG14+AJ14+AM14+AP14+AS14+AV14</f>
        <v>6</v>
      </c>
      <c r="AY14" s="19">
        <f>+AX14/G14</f>
        <v>1</v>
      </c>
    </row>
    <row r="15" spans="1:52" ht="17.25" thickTop="1"/>
  </sheetData>
  <sheetProtection algorithmName="SHA-512" hashValue="d/7+aYnTOXompQIva+tTZC6Bra5/0jDiANm/6kWzoQdiB6kZZVcQHultjvHvskxPyBjXysQQadZNWadyTXSWDg==" saltValue="cu65Gx6NNHsowoJPQhPQXA==" spinCount="100000" sheet="1" objects="1" scenarios="1"/>
  <mergeCells count="30">
    <mergeCell ref="C1:K1"/>
    <mergeCell ref="A2:K2"/>
    <mergeCell ref="A3:K3"/>
    <mergeCell ref="A5:A7"/>
    <mergeCell ref="B5:B7"/>
    <mergeCell ref="C5:C7"/>
    <mergeCell ref="D5:D7"/>
    <mergeCell ref="E5:E7"/>
    <mergeCell ref="F5:F7"/>
    <mergeCell ref="G5:G7"/>
    <mergeCell ref="AX5:AY7"/>
    <mergeCell ref="A8:K8"/>
    <mergeCell ref="A9:A10"/>
    <mergeCell ref="X5:Z7"/>
    <mergeCell ref="AA5:AC7"/>
    <mergeCell ref="AD5:AE7"/>
    <mergeCell ref="AF5:AH7"/>
    <mergeCell ref="AI5:AK7"/>
    <mergeCell ref="AL5:AN7"/>
    <mergeCell ref="H5:J6"/>
    <mergeCell ref="K5:K7"/>
    <mergeCell ref="L5:N7"/>
    <mergeCell ref="O5:Q7"/>
    <mergeCell ref="R5:T7"/>
    <mergeCell ref="U5:W7"/>
    <mergeCell ref="A11:K11"/>
    <mergeCell ref="A13:K13"/>
    <mergeCell ref="AO5:AQ7"/>
    <mergeCell ref="AR5:AT7"/>
    <mergeCell ref="AU5:AW7"/>
  </mergeCells>
  <conditionalFormatting sqref="AE10">
    <cfRule type="cellIs" dxfId="994" priority="216" operator="greaterThan">
      <formula>110%</formula>
    </cfRule>
    <cfRule type="cellIs" dxfId="993" priority="217" operator="between">
      <formula>100.001%</formula>
      <formula>110%</formula>
    </cfRule>
    <cfRule type="cellIs" dxfId="992" priority="218" operator="between">
      <formula>70.001%</formula>
      <formula>100%</formula>
    </cfRule>
    <cfRule type="cellIs" dxfId="991" priority="219" operator="between">
      <formula>0.00001%</formula>
      <formula>70%</formula>
    </cfRule>
    <cfRule type="cellIs" dxfId="990" priority="220" operator="equal">
      <formula>0</formula>
    </cfRule>
  </conditionalFormatting>
  <conditionalFormatting sqref="AY10">
    <cfRule type="cellIs" dxfId="989" priority="211" operator="greaterThan">
      <formula>110%</formula>
    </cfRule>
    <cfRule type="cellIs" dxfId="988" priority="212" operator="between">
      <formula>100.001%</formula>
      <formula>110%</formula>
    </cfRule>
    <cfRule type="cellIs" dxfId="987" priority="213" operator="between">
      <formula>70.001%</formula>
      <formula>100%</formula>
    </cfRule>
    <cfRule type="cellIs" dxfId="986" priority="214" operator="between">
      <formula>0.00001%</formula>
      <formula>70%</formula>
    </cfRule>
    <cfRule type="cellIs" dxfId="985" priority="215" operator="equal">
      <formula>0</formula>
    </cfRule>
  </conditionalFormatting>
  <conditionalFormatting sqref="N10">
    <cfRule type="cellIs" dxfId="984" priority="206" operator="greaterThan">
      <formula>110%</formula>
    </cfRule>
    <cfRule type="cellIs" dxfId="983" priority="207" operator="between">
      <formula>100.001%</formula>
      <formula>110%</formula>
    </cfRule>
    <cfRule type="cellIs" dxfId="982" priority="208" operator="between">
      <formula>70.001%</formula>
      <formula>100%</formula>
    </cfRule>
    <cfRule type="cellIs" dxfId="981" priority="209" operator="between">
      <formula>0.00001%</formula>
      <formula>70%</formula>
    </cfRule>
    <cfRule type="cellIs" dxfId="980" priority="210" operator="equal">
      <formula>0</formula>
    </cfRule>
  </conditionalFormatting>
  <conditionalFormatting sqref="Q10">
    <cfRule type="cellIs" dxfId="979" priority="201" operator="greaterThan">
      <formula>110%</formula>
    </cfRule>
    <cfRule type="cellIs" dxfId="978" priority="202" operator="between">
      <formula>100.001%</formula>
      <formula>110%</formula>
    </cfRule>
    <cfRule type="cellIs" dxfId="977" priority="203" operator="between">
      <formula>70.001%</formula>
      <formula>100%</formula>
    </cfRule>
    <cfRule type="cellIs" dxfId="976" priority="204" operator="between">
      <formula>0.00001%</formula>
      <formula>70%</formula>
    </cfRule>
    <cfRule type="cellIs" dxfId="975" priority="205" operator="equal">
      <formula>0</formula>
    </cfRule>
  </conditionalFormatting>
  <conditionalFormatting sqref="T10">
    <cfRule type="cellIs" dxfId="974" priority="196" operator="greaterThan">
      <formula>110%</formula>
    </cfRule>
    <cfRule type="cellIs" dxfId="973" priority="197" operator="between">
      <formula>100.001%</formula>
      <formula>110%</formula>
    </cfRule>
    <cfRule type="cellIs" dxfId="972" priority="198" operator="between">
      <formula>70.001%</formula>
      <formula>100%</formula>
    </cfRule>
    <cfRule type="cellIs" dxfId="971" priority="199" operator="between">
      <formula>0.00001%</formula>
      <formula>70%</formula>
    </cfRule>
    <cfRule type="cellIs" dxfId="970" priority="200" operator="equal">
      <formula>0</formula>
    </cfRule>
  </conditionalFormatting>
  <conditionalFormatting sqref="W10">
    <cfRule type="cellIs" dxfId="969" priority="191" operator="greaterThan">
      <formula>110%</formula>
    </cfRule>
    <cfRule type="cellIs" dxfId="968" priority="192" operator="between">
      <formula>100.001%</formula>
      <formula>110%</formula>
    </cfRule>
    <cfRule type="cellIs" dxfId="967" priority="193" operator="between">
      <formula>70.001%</formula>
      <formula>100%</formula>
    </cfRule>
    <cfRule type="cellIs" dxfId="966" priority="194" operator="between">
      <formula>0.00001%</formula>
      <formula>70%</formula>
    </cfRule>
    <cfRule type="cellIs" dxfId="965" priority="195" operator="equal">
      <formula>0</formula>
    </cfRule>
  </conditionalFormatting>
  <conditionalFormatting sqref="Z10">
    <cfRule type="cellIs" dxfId="964" priority="186" operator="greaterThan">
      <formula>110%</formula>
    </cfRule>
    <cfRule type="cellIs" dxfId="963" priority="187" operator="between">
      <formula>100.001%</formula>
      <formula>110%</formula>
    </cfRule>
    <cfRule type="cellIs" dxfId="962" priority="188" operator="between">
      <formula>70.001%</formula>
      <formula>100%</formula>
    </cfRule>
    <cfRule type="cellIs" dxfId="961" priority="189" operator="between">
      <formula>0.00001%</formula>
      <formula>70%</formula>
    </cfRule>
    <cfRule type="cellIs" dxfId="960" priority="190" operator="equal">
      <formula>0</formula>
    </cfRule>
  </conditionalFormatting>
  <conditionalFormatting sqref="AC10">
    <cfRule type="cellIs" dxfId="959" priority="181" operator="greaterThan">
      <formula>110%</formula>
    </cfRule>
    <cfRule type="cellIs" dxfId="958" priority="182" operator="between">
      <formula>100.001%</formula>
      <formula>110%</formula>
    </cfRule>
    <cfRule type="cellIs" dxfId="957" priority="183" operator="between">
      <formula>70.001%</formula>
      <formula>100%</formula>
    </cfRule>
    <cfRule type="cellIs" dxfId="956" priority="184" operator="between">
      <formula>0.00001%</formula>
      <formula>70%</formula>
    </cfRule>
    <cfRule type="cellIs" dxfId="955" priority="185" operator="equal">
      <formula>0</formula>
    </cfRule>
  </conditionalFormatting>
  <conditionalFormatting sqref="AH10">
    <cfRule type="cellIs" dxfId="954" priority="176" operator="greaterThan">
      <formula>110%</formula>
    </cfRule>
    <cfRule type="cellIs" dxfId="953" priority="177" operator="between">
      <formula>100.001%</formula>
      <formula>110%</formula>
    </cfRule>
    <cfRule type="cellIs" dxfId="952" priority="178" operator="between">
      <formula>70.001%</formula>
      <formula>100%</formula>
    </cfRule>
    <cfRule type="cellIs" dxfId="951" priority="179" operator="between">
      <formula>0.00001%</formula>
      <formula>70%</formula>
    </cfRule>
    <cfRule type="cellIs" dxfId="950" priority="180" operator="equal">
      <formula>0</formula>
    </cfRule>
  </conditionalFormatting>
  <conditionalFormatting sqref="AK10">
    <cfRule type="cellIs" dxfId="949" priority="171" operator="greaterThan">
      <formula>110%</formula>
    </cfRule>
    <cfRule type="cellIs" dxfId="948" priority="172" operator="between">
      <formula>100.001%</formula>
      <formula>110%</formula>
    </cfRule>
    <cfRule type="cellIs" dxfId="947" priority="173" operator="between">
      <formula>70.001%</formula>
      <formula>100%</formula>
    </cfRule>
    <cfRule type="cellIs" dxfId="946" priority="174" operator="between">
      <formula>0.00001%</formula>
      <formula>70%</formula>
    </cfRule>
    <cfRule type="cellIs" dxfId="945" priority="175" operator="equal">
      <formula>0</formula>
    </cfRule>
  </conditionalFormatting>
  <conditionalFormatting sqref="AN10">
    <cfRule type="cellIs" dxfId="944" priority="166" operator="greaterThan">
      <formula>110%</formula>
    </cfRule>
    <cfRule type="cellIs" dxfId="943" priority="167" operator="between">
      <formula>100.001%</formula>
      <formula>110%</formula>
    </cfRule>
    <cfRule type="cellIs" dxfId="942" priority="168" operator="between">
      <formula>70.001%</formula>
      <formula>100%</formula>
    </cfRule>
    <cfRule type="cellIs" dxfId="941" priority="169" operator="between">
      <formula>0.00001%</formula>
      <formula>70%</formula>
    </cfRule>
    <cfRule type="cellIs" dxfId="940" priority="170" operator="equal">
      <formula>0</formula>
    </cfRule>
  </conditionalFormatting>
  <conditionalFormatting sqref="AQ10">
    <cfRule type="cellIs" dxfId="939" priority="161" operator="greaterThan">
      <formula>110%</formula>
    </cfRule>
    <cfRule type="cellIs" dxfId="938" priority="162" operator="between">
      <formula>100.001%</formula>
      <formula>110%</formula>
    </cfRule>
    <cfRule type="cellIs" dxfId="937" priority="163" operator="between">
      <formula>70.001%</formula>
      <formula>100%</formula>
    </cfRule>
    <cfRule type="cellIs" dxfId="936" priority="164" operator="between">
      <formula>0.00001%</formula>
      <formula>70%</formula>
    </cfRule>
    <cfRule type="cellIs" dxfId="935" priority="165" operator="equal">
      <formula>0</formula>
    </cfRule>
  </conditionalFormatting>
  <conditionalFormatting sqref="AT10">
    <cfRule type="cellIs" dxfId="934" priority="156" operator="greaterThan">
      <formula>110%</formula>
    </cfRule>
    <cfRule type="cellIs" dxfId="933" priority="157" operator="between">
      <formula>100.001%</formula>
      <formula>110%</formula>
    </cfRule>
    <cfRule type="cellIs" dxfId="932" priority="158" operator="between">
      <formula>70.001%</formula>
      <formula>100%</formula>
    </cfRule>
    <cfRule type="cellIs" dxfId="931" priority="159" operator="between">
      <formula>0.00001%</formula>
      <formula>70%</formula>
    </cfRule>
    <cfRule type="cellIs" dxfId="930" priority="160" operator="equal">
      <formula>0</formula>
    </cfRule>
  </conditionalFormatting>
  <conditionalFormatting sqref="AW10">
    <cfRule type="cellIs" dxfId="929" priority="151" operator="greaterThan">
      <formula>110%</formula>
    </cfRule>
    <cfRule type="cellIs" dxfId="928" priority="152" operator="between">
      <formula>100.001%</formula>
      <formula>110%</formula>
    </cfRule>
    <cfRule type="cellIs" dxfId="927" priority="153" operator="between">
      <formula>70.001%</formula>
      <formula>100%</formula>
    </cfRule>
    <cfRule type="cellIs" dxfId="926" priority="154" operator="between">
      <formula>0.00001%</formula>
      <formula>70%</formula>
    </cfRule>
    <cfRule type="cellIs" dxfId="925" priority="155" operator="equal">
      <formula>0</formula>
    </cfRule>
  </conditionalFormatting>
  <conditionalFormatting sqref="AE14">
    <cfRule type="cellIs" dxfId="924" priority="146" operator="greaterThan">
      <formula>110%</formula>
    </cfRule>
    <cfRule type="cellIs" dxfId="923" priority="147" operator="between">
      <formula>100.001%</formula>
      <formula>110%</formula>
    </cfRule>
    <cfRule type="cellIs" dxfId="922" priority="148" operator="between">
      <formula>70.001%</formula>
      <formula>100%</formula>
    </cfRule>
    <cfRule type="cellIs" dxfId="921" priority="149" operator="between">
      <formula>0.00001%</formula>
      <formula>70%</formula>
    </cfRule>
    <cfRule type="cellIs" dxfId="920" priority="150" operator="equal">
      <formula>0</formula>
    </cfRule>
  </conditionalFormatting>
  <conditionalFormatting sqref="AY14">
    <cfRule type="cellIs" dxfId="919" priority="141" operator="greaterThan">
      <formula>110%</formula>
    </cfRule>
    <cfRule type="cellIs" dxfId="918" priority="142" operator="between">
      <formula>100.001%</formula>
      <formula>110%</formula>
    </cfRule>
    <cfRule type="cellIs" dxfId="917" priority="143" operator="between">
      <formula>70.001%</formula>
      <formula>100%</formula>
    </cfRule>
    <cfRule type="cellIs" dxfId="916" priority="144" operator="between">
      <formula>0.00001%</formula>
      <formula>70%</formula>
    </cfRule>
    <cfRule type="cellIs" dxfId="915" priority="145" operator="equal">
      <formula>0</formula>
    </cfRule>
  </conditionalFormatting>
  <conditionalFormatting sqref="N14">
    <cfRule type="cellIs" dxfId="914" priority="136" operator="greaterThan">
      <formula>110%</formula>
    </cfRule>
    <cfRule type="cellIs" dxfId="913" priority="137" operator="between">
      <formula>100.001%</formula>
      <formula>110%</formula>
    </cfRule>
    <cfRule type="cellIs" dxfId="912" priority="138" operator="between">
      <formula>70.001%</formula>
      <formula>100%</formula>
    </cfRule>
    <cfRule type="cellIs" dxfId="911" priority="139" operator="between">
      <formula>0.00001%</formula>
      <formula>70%</formula>
    </cfRule>
    <cfRule type="cellIs" dxfId="910" priority="140" operator="equal">
      <formula>0</formula>
    </cfRule>
  </conditionalFormatting>
  <conditionalFormatting sqref="Q14">
    <cfRule type="cellIs" dxfId="909" priority="131" operator="greaterThan">
      <formula>110%</formula>
    </cfRule>
    <cfRule type="cellIs" dxfId="908" priority="132" operator="between">
      <formula>100.001%</formula>
      <formula>110%</formula>
    </cfRule>
    <cfRule type="cellIs" dxfId="907" priority="133" operator="between">
      <formula>70.001%</formula>
      <formula>100%</formula>
    </cfRule>
    <cfRule type="cellIs" dxfId="906" priority="134" operator="between">
      <formula>0.00001%</formula>
      <formula>70%</formula>
    </cfRule>
    <cfRule type="cellIs" dxfId="905" priority="135" operator="equal">
      <formula>0</formula>
    </cfRule>
  </conditionalFormatting>
  <conditionalFormatting sqref="T14">
    <cfRule type="cellIs" dxfId="904" priority="126" operator="greaterThan">
      <formula>110%</formula>
    </cfRule>
    <cfRule type="cellIs" dxfId="903" priority="127" operator="between">
      <formula>100.001%</formula>
      <formula>110%</formula>
    </cfRule>
    <cfRule type="cellIs" dxfId="902" priority="128" operator="between">
      <formula>70.001%</formula>
      <formula>100%</formula>
    </cfRule>
    <cfRule type="cellIs" dxfId="901" priority="129" operator="between">
      <formula>0.00001%</formula>
      <formula>70%</formula>
    </cfRule>
    <cfRule type="cellIs" dxfId="900" priority="130" operator="equal">
      <formula>0</formula>
    </cfRule>
  </conditionalFormatting>
  <conditionalFormatting sqref="W14">
    <cfRule type="cellIs" dxfId="899" priority="121" operator="greaterThan">
      <formula>110%</formula>
    </cfRule>
    <cfRule type="cellIs" dxfId="898" priority="122" operator="between">
      <formula>100.001%</formula>
      <formula>110%</formula>
    </cfRule>
    <cfRule type="cellIs" dxfId="897" priority="123" operator="between">
      <formula>70.001%</formula>
      <formula>100%</formula>
    </cfRule>
    <cfRule type="cellIs" dxfId="896" priority="124" operator="between">
      <formula>0.00001%</formula>
      <formula>70%</formula>
    </cfRule>
    <cfRule type="cellIs" dxfId="895" priority="125" operator="equal">
      <formula>0</formula>
    </cfRule>
  </conditionalFormatting>
  <conditionalFormatting sqref="Z14">
    <cfRule type="cellIs" dxfId="894" priority="116" operator="greaterThan">
      <formula>110%</formula>
    </cfRule>
    <cfRule type="cellIs" dxfId="893" priority="117" operator="between">
      <formula>100.001%</formula>
      <formula>110%</formula>
    </cfRule>
    <cfRule type="cellIs" dxfId="892" priority="118" operator="between">
      <formula>70.001%</formula>
      <formula>100%</formula>
    </cfRule>
    <cfRule type="cellIs" dxfId="891" priority="119" operator="between">
      <formula>0.00001%</formula>
      <formula>70%</formula>
    </cfRule>
    <cfRule type="cellIs" dxfId="890" priority="120" operator="equal">
      <formula>0</formula>
    </cfRule>
  </conditionalFormatting>
  <conditionalFormatting sqref="AC14">
    <cfRule type="cellIs" dxfId="889" priority="111" operator="greaterThan">
      <formula>110%</formula>
    </cfRule>
    <cfRule type="cellIs" dxfId="888" priority="112" operator="between">
      <formula>100.001%</formula>
      <formula>110%</formula>
    </cfRule>
    <cfRule type="cellIs" dxfId="887" priority="113" operator="between">
      <formula>70.001%</formula>
      <formula>100%</formula>
    </cfRule>
    <cfRule type="cellIs" dxfId="886" priority="114" operator="between">
      <formula>0.00001%</formula>
      <formula>70%</formula>
    </cfRule>
    <cfRule type="cellIs" dxfId="885" priority="115" operator="equal">
      <formula>0</formula>
    </cfRule>
  </conditionalFormatting>
  <conditionalFormatting sqref="AH14">
    <cfRule type="cellIs" dxfId="884" priority="106" operator="greaterThan">
      <formula>110%</formula>
    </cfRule>
    <cfRule type="cellIs" dxfId="883" priority="107" operator="between">
      <formula>100.001%</formula>
      <formula>110%</formula>
    </cfRule>
    <cfRule type="cellIs" dxfId="882" priority="108" operator="between">
      <formula>70.001%</formula>
      <formula>100%</formula>
    </cfRule>
    <cfRule type="cellIs" dxfId="881" priority="109" operator="between">
      <formula>0.00001%</formula>
      <formula>70%</formula>
    </cfRule>
    <cfRule type="cellIs" dxfId="880" priority="110" operator="equal">
      <formula>0</formula>
    </cfRule>
  </conditionalFormatting>
  <conditionalFormatting sqref="AK14">
    <cfRule type="cellIs" dxfId="879" priority="101" operator="greaterThan">
      <formula>110%</formula>
    </cfRule>
    <cfRule type="cellIs" dxfId="878" priority="102" operator="between">
      <formula>100.001%</formula>
      <formula>110%</formula>
    </cfRule>
    <cfRule type="cellIs" dxfId="877" priority="103" operator="between">
      <formula>70.001%</formula>
      <formula>100%</formula>
    </cfRule>
    <cfRule type="cellIs" dxfId="876" priority="104" operator="between">
      <formula>0.00001%</formula>
      <formula>70%</formula>
    </cfRule>
    <cfRule type="cellIs" dxfId="875" priority="105" operator="equal">
      <formula>0</formula>
    </cfRule>
  </conditionalFormatting>
  <conditionalFormatting sqref="AN14">
    <cfRule type="cellIs" dxfId="874" priority="96" operator="greaterThan">
      <formula>110%</formula>
    </cfRule>
    <cfRule type="cellIs" dxfId="873" priority="97" operator="between">
      <formula>100.001%</formula>
      <formula>110%</formula>
    </cfRule>
    <cfRule type="cellIs" dxfId="872" priority="98" operator="between">
      <formula>70.001%</formula>
      <formula>100%</formula>
    </cfRule>
    <cfRule type="cellIs" dxfId="871" priority="99" operator="between">
      <formula>0.00001%</formula>
      <formula>70%</formula>
    </cfRule>
    <cfRule type="cellIs" dxfId="870" priority="100" operator="equal">
      <formula>0</formula>
    </cfRule>
  </conditionalFormatting>
  <conditionalFormatting sqref="AQ14">
    <cfRule type="cellIs" dxfId="869" priority="91" operator="greaterThan">
      <formula>110%</formula>
    </cfRule>
    <cfRule type="cellIs" dxfId="868" priority="92" operator="between">
      <formula>100.001%</formula>
      <formula>110%</formula>
    </cfRule>
    <cfRule type="cellIs" dxfId="867" priority="93" operator="between">
      <formula>70.001%</formula>
      <formula>100%</formula>
    </cfRule>
    <cfRule type="cellIs" dxfId="866" priority="94" operator="between">
      <formula>0.00001%</formula>
      <formula>70%</formula>
    </cfRule>
    <cfRule type="cellIs" dxfId="865" priority="95" operator="equal">
      <formula>0</formula>
    </cfRule>
  </conditionalFormatting>
  <conditionalFormatting sqref="AT14">
    <cfRule type="cellIs" dxfId="864" priority="86" operator="greaterThan">
      <formula>110%</formula>
    </cfRule>
    <cfRule type="cellIs" dxfId="863" priority="87" operator="between">
      <formula>100.001%</formula>
      <formula>110%</formula>
    </cfRule>
    <cfRule type="cellIs" dxfId="862" priority="88" operator="between">
      <formula>70.001%</formula>
      <formula>100%</formula>
    </cfRule>
    <cfRule type="cellIs" dxfId="861" priority="89" operator="between">
      <formula>0.00001%</formula>
      <formula>70%</formula>
    </cfRule>
    <cfRule type="cellIs" dxfId="860" priority="90" operator="equal">
      <formula>0</formula>
    </cfRule>
  </conditionalFormatting>
  <conditionalFormatting sqref="AW14">
    <cfRule type="cellIs" dxfId="859" priority="81" operator="greaterThan">
      <formula>110%</formula>
    </cfRule>
    <cfRule type="cellIs" dxfId="858" priority="82" operator="between">
      <formula>100.001%</formula>
      <formula>110%</formula>
    </cfRule>
    <cfRule type="cellIs" dxfId="857" priority="83" operator="between">
      <formula>70.001%</formula>
      <formula>100%</formula>
    </cfRule>
    <cfRule type="cellIs" dxfId="856" priority="84" operator="between">
      <formula>0.00001%</formula>
      <formula>70%</formula>
    </cfRule>
    <cfRule type="cellIs" dxfId="855" priority="85" operator="equal">
      <formula>0</formula>
    </cfRule>
  </conditionalFormatting>
  <conditionalFormatting sqref="AE11">
    <cfRule type="cellIs" dxfId="854" priority="76" operator="greaterThan">
      <formula>110%</formula>
    </cfRule>
    <cfRule type="cellIs" dxfId="853" priority="77" operator="between">
      <formula>100.001%</formula>
      <formula>110%</formula>
    </cfRule>
    <cfRule type="cellIs" dxfId="852" priority="78" operator="between">
      <formula>70.001%</formula>
      <formula>100%</formula>
    </cfRule>
    <cfRule type="cellIs" dxfId="851" priority="79" operator="between">
      <formula>0.00001%</formula>
      <formula>70%</formula>
    </cfRule>
    <cfRule type="cellIs" dxfId="850" priority="80" operator="equal">
      <formula>0</formula>
    </cfRule>
  </conditionalFormatting>
  <conditionalFormatting sqref="AE12">
    <cfRule type="cellIs" dxfId="849" priority="71" operator="greaterThan">
      <formula>110%</formula>
    </cfRule>
    <cfRule type="cellIs" dxfId="848" priority="72" operator="between">
      <formula>100.001%</formula>
      <formula>110%</formula>
    </cfRule>
    <cfRule type="cellIs" dxfId="847" priority="73" operator="between">
      <formula>70.001%</formula>
      <formula>100%</formula>
    </cfRule>
    <cfRule type="cellIs" dxfId="846" priority="74" operator="between">
      <formula>0.00001%</formula>
      <formula>70%</formula>
    </cfRule>
    <cfRule type="cellIs" dxfId="845" priority="75" operator="equal">
      <formula>0</formula>
    </cfRule>
  </conditionalFormatting>
  <conditionalFormatting sqref="AY12">
    <cfRule type="cellIs" dxfId="844" priority="66" operator="greaterThan">
      <formula>110%</formula>
    </cfRule>
    <cfRule type="cellIs" dxfId="843" priority="67" operator="between">
      <formula>100.001%</formula>
      <formula>110%</formula>
    </cfRule>
    <cfRule type="cellIs" dxfId="842" priority="68" operator="between">
      <formula>70.001%</formula>
      <formula>100%</formula>
    </cfRule>
    <cfRule type="cellIs" dxfId="841" priority="69" operator="between">
      <formula>0.00001%</formula>
      <formula>70%</formula>
    </cfRule>
    <cfRule type="cellIs" dxfId="840" priority="70" operator="equal">
      <formula>0</formula>
    </cfRule>
  </conditionalFormatting>
  <conditionalFormatting sqref="N12">
    <cfRule type="cellIs" dxfId="839" priority="61" operator="greaterThan">
      <formula>110%</formula>
    </cfRule>
    <cfRule type="cellIs" dxfId="838" priority="62" operator="between">
      <formula>100.001%</formula>
      <formula>110%</formula>
    </cfRule>
    <cfRule type="cellIs" dxfId="837" priority="63" operator="between">
      <formula>70.001%</formula>
      <formula>100%</formula>
    </cfRule>
    <cfRule type="cellIs" dxfId="836" priority="64" operator="between">
      <formula>0.00001%</formula>
      <formula>70%</formula>
    </cfRule>
    <cfRule type="cellIs" dxfId="835" priority="65" operator="equal">
      <formula>0</formula>
    </cfRule>
  </conditionalFormatting>
  <conditionalFormatting sqref="Q12">
    <cfRule type="cellIs" dxfId="834" priority="56" operator="greaterThan">
      <formula>110%</formula>
    </cfRule>
    <cfRule type="cellIs" dxfId="833" priority="57" operator="between">
      <formula>100.001%</formula>
      <formula>110%</formula>
    </cfRule>
    <cfRule type="cellIs" dxfId="832" priority="58" operator="between">
      <formula>70.001%</formula>
      <formula>100%</formula>
    </cfRule>
    <cfRule type="cellIs" dxfId="831" priority="59" operator="between">
      <formula>0.00001%</formula>
      <formula>70%</formula>
    </cfRule>
    <cfRule type="cellIs" dxfId="830" priority="60" operator="equal">
      <formula>0</formula>
    </cfRule>
  </conditionalFormatting>
  <conditionalFormatting sqref="T12">
    <cfRule type="cellIs" dxfId="829" priority="51" operator="greaterThan">
      <formula>110%</formula>
    </cfRule>
    <cfRule type="cellIs" dxfId="828" priority="52" operator="between">
      <formula>100.001%</formula>
      <formula>110%</formula>
    </cfRule>
    <cfRule type="cellIs" dxfId="827" priority="53" operator="between">
      <formula>70.001%</formula>
      <formula>100%</formula>
    </cfRule>
    <cfRule type="cellIs" dxfId="826" priority="54" operator="between">
      <formula>0.00001%</formula>
      <formula>70%</formula>
    </cfRule>
    <cfRule type="cellIs" dxfId="825" priority="55" operator="equal">
      <formula>0</formula>
    </cfRule>
  </conditionalFormatting>
  <conditionalFormatting sqref="W12">
    <cfRule type="cellIs" dxfId="824" priority="46" operator="greaterThan">
      <formula>110%</formula>
    </cfRule>
    <cfRule type="cellIs" dxfId="823" priority="47" operator="between">
      <formula>100.001%</formula>
      <formula>110%</formula>
    </cfRule>
    <cfRule type="cellIs" dxfId="822" priority="48" operator="between">
      <formula>70.001%</formula>
      <formula>100%</formula>
    </cfRule>
    <cfRule type="cellIs" dxfId="821" priority="49" operator="between">
      <formula>0.00001%</formula>
      <formula>70%</formula>
    </cfRule>
    <cfRule type="cellIs" dxfId="820" priority="50" operator="equal">
      <formula>0</formula>
    </cfRule>
  </conditionalFormatting>
  <conditionalFormatting sqref="Z12">
    <cfRule type="cellIs" dxfId="819" priority="41" operator="greaterThan">
      <formula>110%</formula>
    </cfRule>
    <cfRule type="cellIs" dxfId="818" priority="42" operator="between">
      <formula>100.001%</formula>
      <formula>110%</formula>
    </cfRule>
    <cfRule type="cellIs" dxfId="817" priority="43" operator="between">
      <formula>70.001%</formula>
      <formula>100%</formula>
    </cfRule>
    <cfRule type="cellIs" dxfId="816" priority="44" operator="between">
      <formula>0.00001%</formula>
      <formula>70%</formula>
    </cfRule>
    <cfRule type="cellIs" dxfId="815" priority="45" operator="equal">
      <formula>0</formula>
    </cfRule>
  </conditionalFormatting>
  <conditionalFormatting sqref="AC12">
    <cfRule type="cellIs" dxfId="814" priority="36" operator="greaterThan">
      <formula>110%</formula>
    </cfRule>
    <cfRule type="cellIs" dxfId="813" priority="37" operator="between">
      <formula>100.001%</formula>
      <formula>110%</formula>
    </cfRule>
    <cfRule type="cellIs" dxfId="812" priority="38" operator="between">
      <formula>70.001%</formula>
      <formula>100%</formula>
    </cfRule>
    <cfRule type="cellIs" dxfId="811" priority="39" operator="between">
      <formula>0.00001%</formula>
      <formula>70%</formula>
    </cfRule>
    <cfRule type="cellIs" dxfId="810" priority="40" operator="equal">
      <formula>0</formula>
    </cfRule>
  </conditionalFormatting>
  <conditionalFormatting sqref="AH12">
    <cfRule type="cellIs" dxfId="809" priority="31" operator="greaterThan">
      <formula>110%</formula>
    </cfRule>
    <cfRule type="cellIs" dxfId="808" priority="32" operator="between">
      <formula>100.001%</formula>
      <formula>110%</formula>
    </cfRule>
    <cfRule type="cellIs" dxfId="807" priority="33" operator="between">
      <formula>70.001%</formula>
      <formula>100%</formula>
    </cfRule>
    <cfRule type="cellIs" dxfId="806" priority="34" operator="between">
      <formula>0.00001%</formula>
      <formula>70%</formula>
    </cfRule>
    <cfRule type="cellIs" dxfId="805" priority="35" operator="equal">
      <formula>0</formula>
    </cfRule>
  </conditionalFormatting>
  <conditionalFormatting sqref="AK12">
    <cfRule type="cellIs" dxfId="804" priority="26" operator="greaterThan">
      <formula>110%</formula>
    </cfRule>
    <cfRule type="cellIs" dxfId="803" priority="27" operator="between">
      <formula>100.001%</formula>
      <formula>110%</formula>
    </cfRule>
    <cfRule type="cellIs" dxfId="802" priority="28" operator="between">
      <formula>70.001%</formula>
      <formula>100%</formula>
    </cfRule>
    <cfRule type="cellIs" dxfId="801" priority="29" operator="between">
      <formula>0.00001%</formula>
      <formula>70%</formula>
    </cfRule>
    <cfRule type="cellIs" dxfId="800" priority="30" operator="equal">
      <formula>0</formula>
    </cfRule>
  </conditionalFormatting>
  <conditionalFormatting sqref="AN12">
    <cfRule type="cellIs" dxfId="799" priority="21" operator="greaterThan">
      <formula>110%</formula>
    </cfRule>
    <cfRule type="cellIs" dxfId="798" priority="22" operator="between">
      <formula>100.001%</formula>
      <formula>110%</formula>
    </cfRule>
    <cfRule type="cellIs" dxfId="797" priority="23" operator="between">
      <formula>70.001%</formula>
      <formula>100%</formula>
    </cfRule>
    <cfRule type="cellIs" dxfId="796" priority="24" operator="between">
      <formula>0.00001%</formula>
      <formula>70%</formula>
    </cfRule>
    <cfRule type="cellIs" dxfId="795" priority="25" operator="equal">
      <formula>0</formula>
    </cfRule>
  </conditionalFormatting>
  <conditionalFormatting sqref="AQ12">
    <cfRule type="cellIs" dxfId="794" priority="16" operator="greaterThan">
      <formula>110%</formula>
    </cfRule>
    <cfRule type="cellIs" dxfId="793" priority="17" operator="between">
      <formula>100.001%</formula>
      <formula>110%</formula>
    </cfRule>
    <cfRule type="cellIs" dxfId="792" priority="18" operator="between">
      <formula>70.001%</formula>
      <formula>100%</formula>
    </cfRule>
    <cfRule type="cellIs" dxfId="791" priority="19" operator="between">
      <formula>0.00001%</formula>
      <formula>70%</formula>
    </cfRule>
    <cfRule type="cellIs" dxfId="790" priority="20" operator="equal">
      <formula>0</formula>
    </cfRule>
  </conditionalFormatting>
  <conditionalFormatting sqref="AT12">
    <cfRule type="cellIs" dxfId="789" priority="11" operator="greaterThan">
      <formula>110%</formula>
    </cfRule>
    <cfRule type="cellIs" dxfId="788" priority="12" operator="between">
      <formula>100.001%</formula>
      <formula>110%</formula>
    </cfRule>
    <cfRule type="cellIs" dxfId="787" priority="13" operator="between">
      <formula>70.001%</formula>
      <formula>100%</formula>
    </cfRule>
    <cfRule type="cellIs" dxfId="786" priority="14" operator="between">
      <formula>0.00001%</formula>
      <formula>70%</formula>
    </cfRule>
    <cfRule type="cellIs" dxfId="785" priority="15" operator="equal">
      <formula>0</formula>
    </cfRule>
  </conditionalFormatting>
  <conditionalFormatting sqref="AW12">
    <cfRule type="cellIs" dxfId="784" priority="6" operator="greaterThan">
      <formula>110%</formula>
    </cfRule>
    <cfRule type="cellIs" dxfId="783" priority="7" operator="between">
      <formula>100.001%</formula>
      <formula>110%</formula>
    </cfRule>
    <cfRule type="cellIs" dxfId="782" priority="8" operator="between">
      <formula>70.001%</formula>
      <formula>100%</formula>
    </cfRule>
    <cfRule type="cellIs" dxfId="781" priority="9" operator="between">
      <formula>0.00001%</formula>
      <formula>70%</formula>
    </cfRule>
    <cfRule type="cellIs" dxfId="780" priority="10" operator="equal">
      <formula>0</formula>
    </cfRule>
  </conditionalFormatting>
  <conditionalFormatting sqref="AY9">
    <cfRule type="cellIs" dxfId="779" priority="1" operator="greaterThan">
      <formula>110%</formula>
    </cfRule>
    <cfRule type="cellIs" dxfId="778" priority="2" operator="between">
      <formula>100.001%</formula>
      <formula>110%</formula>
    </cfRule>
    <cfRule type="cellIs" dxfId="777" priority="3" operator="between">
      <formula>70.001%</formula>
      <formula>100%</formula>
    </cfRule>
    <cfRule type="cellIs" dxfId="776" priority="4" operator="between">
      <formula>0.00001%</formula>
      <formula>70%</formula>
    </cfRule>
    <cfRule type="cellIs" dxfId="775" priority="5" operator="equal">
      <formula>0</formula>
    </cfRule>
  </conditionalFormatting>
  <hyperlinks>
    <hyperlink ref="D9" location="'IN1-3'!A1" display="IN1-3 Recaudo Bruto" xr:uid="{00000000-0004-0000-2D00-000000000000}"/>
    <hyperlink ref="D10" location="'FIS-24'!A1" display="FIS-24  Valor Decomisos de mercancías en firme" xr:uid="{00000000-0004-0000-2D00-000001000000}"/>
    <hyperlink ref="D14" location="'DGRAE-25'!A1" display="DGRAE-25 Actividades que componen el  PIC para la Dirección de Gestión" xr:uid="{00000000-0004-0000-2D00-000002000000}"/>
    <hyperlink ref="D11" location="'ADU-13'!A1" display="ADU-13 Efectividad en los Controles a los  usuarios de comercio - Hallazgos en visitas de usuarios no visitados anteriormente" xr:uid="{00000000-0004-0000-2D00-000003000000}"/>
    <hyperlink ref="D12" location="'IN1-11'!A1" display="IN1-11  Nivel de cobertura de personas sensibilizadas por el plan de cultura. ACTUALMENTE. Cumplimiento al Plan de Acción de Cultura de la Contribución" xr:uid="{00000000-0004-0000-2D00-000004000000}"/>
    <hyperlink ref="AY2" location="'Consolidado '!A1" display="VOLVER" xr:uid="{00000000-0004-0000-2D00-000005000000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Z17"/>
  <sheetViews>
    <sheetView topLeftCell="E4" zoomScale="60" zoomScaleNormal="60" workbookViewId="0">
      <selection activeCell="AZ4" sqref="AZ4"/>
    </sheetView>
  </sheetViews>
  <sheetFormatPr baseColWidth="10" defaultColWidth="11.42578125" defaultRowHeight="16.5"/>
  <cols>
    <col min="1" max="1" width="23.8554687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49" width="20.7109375" style="8" hidden="1" customWidth="1"/>
    <col min="50" max="50" width="20.7109375" style="8" customWidth="1"/>
    <col min="51" max="16384" width="11.42578125" style="8"/>
  </cols>
  <sheetData>
    <row r="1" spans="1:52" ht="26.25">
      <c r="A1" s="2885"/>
      <c r="B1" s="2885"/>
      <c r="C1" s="2885" t="s">
        <v>1094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2885"/>
      <c r="B2" s="288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</row>
    <row r="3" spans="1:52" ht="18.75">
      <c r="A3" s="2885"/>
      <c r="B3" s="2885"/>
      <c r="C3" s="2865" t="s">
        <v>1095</v>
      </c>
      <c r="D3" s="2865"/>
      <c r="E3" s="2865"/>
      <c r="F3" s="2865"/>
      <c r="G3" s="2865"/>
      <c r="H3" s="2865"/>
      <c r="I3" s="2865"/>
      <c r="J3" s="2865"/>
      <c r="K3" s="2865"/>
      <c r="AY3" s="670" t="s">
        <v>185</v>
      </c>
    </row>
    <row r="4" spans="1:52" ht="27" thickBot="1">
      <c r="A4" s="3102"/>
      <c r="B4" s="3102"/>
      <c r="C4" s="2885"/>
      <c r="D4" s="2885"/>
      <c r="E4" s="2885"/>
      <c r="F4" s="2885"/>
      <c r="G4" s="2885"/>
      <c r="H4" s="2885"/>
      <c r="I4" s="2885"/>
      <c r="J4" s="2885"/>
      <c r="K4" s="2885"/>
      <c r="AZ4" s="444">
        <f>+(AY9+AY10+AY12+AY14)/4</f>
        <v>0.93945966000000003</v>
      </c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36"/>
      <c r="AY7" s="2837"/>
    </row>
    <row r="8" spans="1:52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2366" t="s">
        <v>84</v>
      </c>
      <c r="M8" s="14" t="s">
        <v>85</v>
      </c>
      <c r="N8" s="16" t="s">
        <v>86</v>
      </c>
      <c r="O8" s="16" t="s">
        <v>84</v>
      </c>
      <c r="P8" s="16" t="s">
        <v>85</v>
      </c>
      <c r="Q8" s="16" t="s">
        <v>86</v>
      </c>
      <c r="R8" s="13" t="s">
        <v>84</v>
      </c>
      <c r="S8" s="13" t="s">
        <v>85</v>
      </c>
      <c r="T8" s="16" t="s">
        <v>86</v>
      </c>
      <c r="U8" s="14" t="s">
        <v>84</v>
      </c>
      <c r="V8" s="16" t="s">
        <v>85</v>
      </c>
      <c r="W8" s="16" t="s">
        <v>86</v>
      </c>
      <c r="X8" s="16" t="s">
        <v>84</v>
      </c>
      <c r="Y8" s="16" t="s">
        <v>85</v>
      </c>
      <c r="Z8" s="16" t="s">
        <v>86</v>
      </c>
      <c r="AA8" s="13" t="s">
        <v>84</v>
      </c>
      <c r="AB8" s="13" t="s">
        <v>85</v>
      </c>
      <c r="AC8" s="16" t="s">
        <v>86</v>
      </c>
      <c r="AD8" s="16" t="s">
        <v>87</v>
      </c>
      <c r="AE8" s="71" t="s">
        <v>6</v>
      </c>
      <c r="AF8" s="13" t="s">
        <v>84</v>
      </c>
      <c r="AG8" s="13" t="s">
        <v>85</v>
      </c>
      <c r="AH8" s="16" t="s">
        <v>86</v>
      </c>
      <c r="AI8" s="14" t="s">
        <v>84</v>
      </c>
      <c r="AJ8" s="16" t="s">
        <v>85</v>
      </c>
      <c r="AK8" s="16" t="s">
        <v>86</v>
      </c>
      <c r="AL8" s="13" t="s">
        <v>84</v>
      </c>
      <c r="AM8" s="13" t="s">
        <v>85</v>
      </c>
      <c r="AN8" s="16" t="s">
        <v>86</v>
      </c>
      <c r="AO8" s="13" t="s">
        <v>84</v>
      </c>
      <c r="AP8" s="13" t="s">
        <v>85</v>
      </c>
      <c r="AQ8" s="16" t="s">
        <v>86</v>
      </c>
      <c r="AR8" s="14" t="s">
        <v>84</v>
      </c>
      <c r="AS8" s="13" t="s">
        <v>85</v>
      </c>
      <c r="AT8" s="16" t="s">
        <v>86</v>
      </c>
      <c r="AU8" s="14" t="s">
        <v>84</v>
      </c>
      <c r="AV8" s="16" t="s">
        <v>85</v>
      </c>
      <c r="AW8" s="16" t="s">
        <v>86</v>
      </c>
      <c r="AX8" s="16" t="s">
        <v>87</v>
      </c>
      <c r="AY8" s="16" t="s">
        <v>6</v>
      </c>
    </row>
    <row r="9" spans="1:52" s="128" customFormat="1" ht="57.75" thickTop="1" thickBot="1">
      <c r="A9" s="2846" t="s">
        <v>88</v>
      </c>
      <c r="B9" s="2718" t="s">
        <v>94</v>
      </c>
      <c r="C9" s="25" t="s">
        <v>991</v>
      </c>
      <c r="D9" s="627" t="s">
        <v>96</v>
      </c>
      <c r="E9" s="25" t="s">
        <v>97</v>
      </c>
      <c r="F9" s="25" t="s">
        <v>18</v>
      </c>
      <c r="G9" s="2719">
        <v>8201</v>
      </c>
      <c r="H9" s="25"/>
      <c r="I9" s="25"/>
      <c r="J9" s="25"/>
      <c r="K9" s="25" t="s">
        <v>20</v>
      </c>
      <c r="L9" s="673"/>
      <c r="M9" s="2720"/>
      <c r="N9" s="73" t="e">
        <f>+M9/L9</f>
        <v>#DIV/0!</v>
      </c>
      <c r="O9" s="673">
        <v>0</v>
      </c>
      <c r="P9" s="2720"/>
      <c r="Q9" s="73" t="e">
        <f>+P9/O9</f>
        <v>#DIV/0!</v>
      </c>
      <c r="R9" s="673">
        <v>0</v>
      </c>
      <c r="S9" s="2720"/>
      <c r="T9" s="73" t="e">
        <f>+S9/R9</f>
        <v>#DIV/0!</v>
      </c>
      <c r="U9" s="673">
        <v>0</v>
      </c>
      <c r="V9" s="2720"/>
      <c r="W9" s="73" t="e">
        <f>+V9/U9</f>
        <v>#DIV/0!</v>
      </c>
      <c r="X9" s="673">
        <v>0</v>
      </c>
      <c r="Y9" s="2720"/>
      <c r="Z9" s="73" t="e">
        <f>+Y9/X9</f>
        <v>#DIV/0!</v>
      </c>
      <c r="AA9" s="673">
        <v>0</v>
      </c>
      <c r="AB9" s="2720"/>
      <c r="AC9" s="73" t="e">
        <f>+AB9/AA9</f>
        <v>#DIV/0!</v>
      </c>
      <c r="AD9" s="565">
        <f>+M9+P9+S9+V9+Y9+AB9</f>
        <v>0</v>
      </c>
      <c r="AE9" s="73">
        <f ca="1">+AE9/G9</f>
        <v>0</v>
      </c>
      <c r="AF9" s="673">
        <v>0</v>
      </c>
      <c r="AG9" s="2720"/>
      <c r="AH9" s="73" t="e">
        <f>+AG9/AF9</f>
        <v>#DIV/0!</v>
      </c>
      <c r="AI9" s="673">
        <v>0</v>
      </c>
      <c r="AJ9" s="2720"/>
      <c r="AK9" s="73" t="e">
        <f>+AJ9/AI9</f>
        <v>#DIV/0!</v>
      </c>
      <c r="AL9" s="673">
        <v>0</v>
      </c>
      <c r="AM9" s="2720"/>
      <c r="AN9" s="73" t="e">
        <f>+AM9/AL9</f>
        <v>#DIV/0!</v>
      </c>
      <c r="AO9" s="673">
        <v>0</v>
      </c>
      <c r="AP9" s="2720"/>
      <c r="AQ9" s="73" t="e">
        <f>+AP9/AO9</f>
        <v>#DIV/0!</v>
      </c>
      <c r="AR9" s="673"/>
      <c r="AS9" s="2720"/>
      <c r="AT9" s="73" t="e">
        <f>+AS9/AR9</f>
        <v>#DIV/0!</v>
      </c>
      <c r="AU9" s="673">
        <v>8201000</v>
      </c>
      <c r="AV9" s="2720">
        <v>8201000</v>
      </c>
      <c r="AW9" s="73">
        <f>+AV9/AU9</f>
        <v>1</v>
      </c>
      <c r="AX9" s="673">
        <v>8201</v>
      </c>
      <c r="AY9" s="73">
        <f>+AX9/G9</f>
        <v>1</v>
      </c>
    </row>
    <row r="10" spans="1:52" s="132" customFormat="1" ht="114" thickTop="1" thickBot="1">
      <c r="A10" s="2847"/>
      <c r="B10" s="2721" t="s">
        <v>1096</v>
      </c>
      <c r="C10" s="881" t="s">
        <v>948</v>
      </c>
      <c r="D10" s="623" t="s">
        <v>467</v>
      </c>
      <c r="E10" s="561" t="s">
        <v>139</v>
      </c>
      <c r="F10" s="561" t="s">
        <v>101</v>
      </c>
      <c r="G10" s="33">
        <v>250000000</v>
      </c>
      <c r="H10" s="96"/>
      <c r="I10" s="33"/>
      <c r="J10" s="96"/>
      <c r="K10" s="561" t="s">
        <v>140</v>
      </c>
      <c r="L10" s="672">
        <v>19999999.999999996</v>
      </c>
      <c r="M10" s="2722">
        <v>8223525</v>
      </c>
      <c r="N10" s="73">
        <f>M10/L10</f>
        <v>0.41117625000000008</v>
      </c>
      <c r="O10" s="672">
        <v>19999999.999999996</v>
      </c>
      <c r="P10" s="1513">
        <v>10356185</v>
      </c>
      <c r="Q10" s="73">
        <f>P10/O10</f>
        <v>0.51780925000000011</v>
      </c>
      <c r="R10" s="672">
        <v>19999999.999999996</v>
      </c>
      <c r="S10" s="1513">
        <v>8745803</v>
      </c>
      <c r="T10" s="73">
        <f>S10/R10</f>
        <v>0.4372901500000001</v>
      </c>
      <c r="U10" s="672">
        <v>39666666.666666664</v>
      </c>
      <c r="V10" s="1513">
        <v>0</v>
      </c>
      <c r="W10" s="73">
        <f>V10/U10</f>
        <v>0</v>
      </c>
      <c r="X10" s="672">
        <v>39666666.666666664</v>
      </c>
      <c r="Y10" s="1513">
        <v>0</v>
      </c>
      <c r="Z10" s="73">
        <f>Y10/X10</f>
        <v>0</v>
      </c>
      <c r="AA10" s="672">
        <v>39666666.666666664</v>
      </c>
      <c r="AB10" s="1513">
        <v>16409282</v>
      </c>
      <c r="AC10" s="73">
        <f>AB10/AA10</f>
        <v>0.41367937815126055</v>
      </c>
      <c r="AD10" s="562">
        <f>+M10+P10+S10+V10+Y10+AB10</f>
        <v>43734795</v>
      </c>
      <c r="AE10" s="73">
        <f>+AD10/G10</f>
        <v>0.17493918</v>
      </c>
      <c r="AF10" s="672">
        <v>39666666.666666664</v>
      </c>
      <c r="AG10" s="1513">
        <v>39462911</v>
      </c>
      <c r="AH10" s="73">
        <f>AG10/AF10</f>
        <v>0.99486330252100852</v>
      </c>
      <c r="AI10" s="672">
        <v>7206666</v>
      </c>
      <c r="AJ10" s="1513">
        <v>3576325</v>
      </c>
      <c r="AK10" s="73">
        <f>AJ10/AI10</f>
        <v>0.4962523585802367</v>
      </c>
      <c r="AL10" s="672">
        <v>7206666</v>
      </c>
      <c r="AM10" s="1513">
        <v>23316386</v>
      </c>
      <c r="AN10" s="73">
        <f>AM10/AL10</f>
        <v>3.2353915111370499</v>
      </c>
      <c r="AO10" s="672">
        <v>7206666</v>
      </c>
      <c r="AP10" s="1513">
        <v>744679</v>
      </c>
      <c r="AQ10" s="73">
        <f>AP10/AO10</f>
        <v>0.10333197070601025</v>
      </c>
      <c r="AR10" s="672">
        <v>4856666</v>
      </c>
      <c r="AS10" s="1513">
        <v>12552214</v>
      </c>
      <c r="AT10" s="73">
        <f>AS10/AR10</f>
        <v>2.584533093278393</v>
      </c>
      <c r="AU10" s="672">
        <v>4856666</v>
      </c>
      <c r="AV10" s="1513">
        <v>66072350</v>
      </c>
      <c r="AW10" s="73">
        <f>AV10/AU10</f>
        <v>13.604466520860194</v>
      </c>
      <c r="AX10" s="672">
        <f>+M10+P10+S10+V10+Y10+AB10+AG10+AJ10+AM10+AP10+AS10+AV10</f>
        <v>189459660</v>
      </c>
      <c r="AY10" s="73">
        <f>+AX10/G10</f>
        <v>0.75783864000000001</v>
      </c>
    </row>
    <row r="11" spans="1:52" ht="22.5" thickTop="1" thickBot="1">
      <c r="A11" s="2970" t="s">
        <v>682</v>
      </c>
      <c r="B11" s="2860"/>
      <c r="C11" s="2860"/>
      <c r="D11" s="2858"/>
      <c r="E11" s="2858"/>
      <c r="F11" s="2858"/>
      <c r="G11" s="2858"/>
      <c r="H11" s="2858"/>
      <c r="I11" s="2858"/>
      <c r="J11" s="2858"/>
      <c r="K11" s="2859"/>
      <c r="L11" s="1585"/>
      <c r="M11" s="1586"/>
      <c r="N11" s="1586"/>
      <c r="O11" s="1585"/>
      <c r="P11" s="1586"/>
      <c r="Q11" s="1586"/>
      <c r="R11" s="1585"/>
      <c r="S11" s="1586"/>
      <c r="T11" s="1586"/>
      <c r="U11" s="1585"/>
      <c r="V11" s="1586"/>
      <c r="W11" s="1586"/>
      <c r="X11" s="1585"/>
      <c r="Y11" s="1586"/>
      <c r="Z11" s="1586"/>
      <c r="AA11" s="1585"/>
      <c r="AB11" s="1586"/>
      <c r="AC11" s="1586"/>
      <c r="AD11" s="1587"/>
      <c r="AE11" s="19"/>
      <c r="AF11" s="1585"/>
      <c r="AG11" s="1586"/>
      <c r="AH11" s="1586"/>
      <c r="AI11" s="1585"/>
      <c r="AJ11" s="1586"/>
      <c r="AK11" s="1586"/>
      <c r="AL11" s="1585"/>
      <c r="AM11" s="1586"/>
      <c r="AN11" s="1586"/>
      <c r="AO11" s="1585"/>
      <c r="AP11" s="1586"/>
      <c r="AQ11" s="1586"/>
      <c r="AR11" s="1585"/>
      <c r="AS11" s="1586"/>
      <c r="AT11" s="1586"/>
      <c r="AU11" s="1585"/>
      <c r="AV11" s="1586"/>
      <c r="AW11" s="1586"/>
      <c r="AX11" s="1585"/>
      <c r="AY11" s="1585"/>
    </row>
    <row r="12" spans="1:52" s="1453" customFormat="1" ht="106.5" thickTop="1" thickBot="1">
      <c r="A12" s="2716" t="s">
        <v>181</v>
      </c>
      <c r="B12" s="2723" t="s">
        <v>314</v>
      </c>
      <c r="C12" s="1410" t="s">
        <v>632</v>
      </c>
      <c r="D12" s="1034" t="s">
        <v>144</v>
      </c>
      <c r="E12" s="1404" t="s">
        <v>633</v>
      </c>
      <c r="F12" s="1405" t="s">
        <v>17</v>
      </c>
      <c r="G12" s="1400">
        <v>5</v>
      </c>
      <c r="H12" s="1686"/>
      <c r="I12" s="1687"/>
      <c r="J12" s="1688"/>
      <c r="K12" s="1400" t="s">
        <v>146</v>
      </c>
      <c r="L12" s="141">
        <v>0</v>
      </c>
      <c r="M12" s="142"/>
      <c r="N12" s="19" t="e">
        <f t="shared" ref="N12" si="0">+M12/L12</f>
        <v>#DIV/0!</v>
      </c>
      <c r="O12" s="209">
        <v>0</v>
      </c>
      <c r="P12" s="142"/>
      <c r="Q12" s="19" t="e">
        <f t="shared" ref="Q12" si="1">+P12/O12</f>
        <v>#DIV/0!</v>
      </c>
      <c r="R12" s="209">
        <v>0</v>
      </c>
      <c r="S12" s="142"/>
      <c r="T12" s="19" t="e">
        <f t="shared" ref="T12" si="2">+S12/R12</f>
        <v>#DIV/0!</v>
      </c>
      <c r="U12" s="209">
        <v>0</v>
      </c>
      <c r="V12" s="142"/>
      <c r="W12" s="19" t="e">
        <f t="shared" ref="W12" si="3">+V12/U12</f>
        <v>#DIV/0!</v>
      </c>
      <c r="X12" s="209">
        <v>0</v>
      </c>
      <c r="Y12" s="142"/>
      <c r="Z12" s="19" t="e">
        <f t="shared" ref="Z12" si="4">+Y12/X12</f>
        <v>#DIV/0!</v>
      </c>
      <c r="AA12" s="209">
        <v>0</v>
      </c>
      <c r="AB12" s="142"/>
      <c r="AC12" s="19" t="e">
        <f t="shared" ref="AC12" si="5">+AB12/AA12</f>
        <v>#DIV/0!</v>
      </c>
      <c r="AD12" s="1398">
        <f t="shared" ref="AD12" si="6">+AB12+Y12+V12+S12+P12+M12</f>
        <v>0</v>
      </c>
      <c r="AE12" s="19">
        <f t="shared" ref="AE12" si="7">+AD12/G12</f>
        <v>0</v>
      </c>
      <c r="AF12" s="209">
        <v>0</v>
      </c>
      <c r="AG12" s="142"/>
      <c r="AH12" s="19" t="e">
        <f t="shared" ref="AH12" si="8">+AG12/AF12</f>
        <v>#DIV/0!</v>
      </c>
      <c r="AI12" s="209">
        <v>0</v>
      </c>
      <c r="AJ12" s="142"/>
      <c r="AK12" s="19" t="e">
        <f t="shared" ref="AK12" si="9">+AJ12/AI12</f>
        <v>#DIV/0!</v>
      </c>
      <c r="AL12" s="209">
        <v>0</v>
      </c>
      <c r="AM12" s="142"/>
      <c r="AN12" s="19" t="e">
        <f t="shared" ref="AN12" si="10">+AM12/AL12</f>
        <v>#DIV/0!</v>
      </c>
      <c r="AO12" s="209">
        <v>0</v>
      </c>
      <c r="AP12" s="142"/>
      <c r="AQ12" s="19" t="e">
        <f t="shared" ref="AQ12" si="11">+AP12/AO12</f>
        <v>#DIV/0!</v>
      </c>
      <c r="AR12" s="209">
        <v>0</v>
      </c>
      <c r="AS12" s="142"/>
      <c r="AT12" s="19" t="e">
        <f t="shared" ref="AT12" si="12">+AS12/AR12</f>
        <v>#DIV/0!</v>
      </c>
      <c r="AU12" s="209">
        <v>5</v>
      </c>
      <c r="AV12" s="142">
        <v>5</v>
      </c>
      <c r="AW12" s="19">
        <f t="shared" ref="AW12" si="13">+AV12/AU12</f>
        <v>1</v>
      </c>
      <c r="AX12" s="209">
        <f t="shared" ref="AX12" si="14">+M12+P12+S12+V12+Y12+AB12+AG12+AJ12+AM12+AP12+AS12+AV12</f>
        <v>5</v>
      </c>
      <c r="AY12" s="19">
        <f>+AX12/G12</f>
        <v>1</v>
      </c>
    </row>
    <row r="13" spans="1:52" ht="22.5" thickTop="1" thickBot="1">
      <c r="A13" s="2843" t="s">
        <v>154</v>
      </c>
      <c r="B13" s="2843"/>
      <c r="C13" s="2843"/>
      <c r="D13" s="2843"/>
      <c r="E13" s="2843"/>
      <c r="F13" s="2843"/>
      <c r="G13" s="2843"/>
      <c r="H13" s="2843"/>
      <c r="I13" s="2843"/>
      <c r="J13" s="2843"/>
      <c r="K13" s="2843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1"/>
      <c r="AY13" s="201"/>
    </row>
    <row r="14" spans="1:52" ht="64.5" thickTop="1" thickBot="1">
      <c r="A14" s="202" t="s">
        <v>155</v>
      </c>
      <c r="B14" s="97" t="s">
        <v>156</v>
      </c>
      <c r="C14" s="74" t="s">
        <v>157</v>
      </c>
      <c r="D14" s="111" t="s">
        <v>158</v>
      </c>
      <c r="E14" s="74" t="s">
        <v>159</v>
      </c>
      <c r="F14" s="74" t="s">
        <v>265</v>
      </c>
      <c r="G14" s="203">
        <v>6</v>
      </c>
      <c r="H14" s="99">
        <v>10</v>
      </c>
      <c r="I14" s="204"/>
      <c r="J14" s="204"/>
      <c r="K14" s="25" t="s">
        <v>27</v>
      </c>
      <c r="L14" s="205">
        <v>0</v>
      </c>
      <c r="M14" s="206"/>
      <c r="N14" s="19" t="e">
        <f t="shared" ref="N14" si="15">+M14/L14</f>
        <v>#DIV/0!</v>
      </c>
      <c r="O14" s="205">
        <v>0</v>
      </c>
      <c r="P14" s="206"/>
      <c r="Q14" s="19" t="e">
        <f t="shared" ref="Q14" si="16">+P14/O14</f>
        <v>#DIV/0!</v>
      </c>
      <c r="R14" s="205">
        <v>0</v>
      </c>
      <c r="S14" s="206"/>
      <c r="T14" s="19" t="e">
        <f t="shared" ref="T14" si="17">+S14/R14</f>
        <v>#DIV/0!</v>
      </c>
      <c r="U14" s="205">
        <v>0</v>
      </c>
      <c r="V14" s="206"/>
      <c r="W14" s="19" t="e">
        <f t="shared" ref="W14" si="18">+V14/U14</f>
        <v>#DIV/0!</v>
      </c>
      <c r="X14" s="205">
        <v>2</v>
      </c>
      <c r="Y14" s="206">
        <v>2</v>
      </c>
      <c r="Z14" s="19">
        <f t="shared" ref="Z14" si="19">+Y14/X14</f>
        <v>1</v>
      </c>
      <c r="AA14" s="205">
        <v>0</v>
      </c>
      <c r="AB14" s="206"/>
      <c r="AC14" s="19" t="e">
        <f t="shared" ref="AC14" si="20">+AB14/AA14</f>
        <v>#DIV/0!</v>
      </c>
      <c r="AD14" s="207">
        <f>+Y14</f>
        <v>2</v>
      </c>
      <c r="AE14" s="19">
        <f t="shared" ref="AE14" si="21">+AD14/G14</f>
        <v>0.33333333333333331</v>
      </c>
      <c r="AF14" s="205">
        <v>1</v>
      </c>
      <c r="AG14" s="206">
        <v>1</v>
      </c>
      <c r="AH14" s="208">
        <f t="shared" ref="AH14" si="22">+AG14/AF14</f>
        <v>1</v>
      </c>
      <c r="AI14" s="205">
        <v>0</v>
      </c>
      <c r="AJ14" s="206"/>
      <c r="AK14" s="208" t="e">
        <f t="shared" ref="AK14" si="23">+AJ14/AI14</f>
        <v>#DIV/0!</v>
      </c>
      <c r="AL14" s="205">
        <v>0</v>
      </c>
      <c r="AM14" s="206"/>
      <c r="AN14" s="208" t="e">
        <f t="shared" ref="AN14" si="24">+AM14/AL14</f>
        <v>#DIV/0!</v>
      </c>
      <c r="AO14" s="205">
        <v>3</v>
      </c>
      <c r="AP14" s="206">
        <v>3</v>
      </c>
      <c r="AQ14" s="19">
        <f t="shared" ref="AQ14" si="25">+AP14/AO14</f>
        <v>1</v>
      </c>
      <c r="AR14" s="205">
        <v>0</v>
      </c>
      <c r="AS14" s="206"/>
      <c r="AT14" s="19" t="e">
        <f t="shared" ref="AT14" si="26">+AS14/AR14</f>
        <v>#DIV/0!</v>
      </c>
      <c r="AU14" s="205">
        <v>0</v>
      </c>
      <c r="AV14" s="206"/>
      <c r="AW14" s="19" t="e">
        <f t="shared" ref="AW14" si="27">+AV14/AU14</f>
        <v>#DIV/0!</v>
      </c>
      <c r="AX14" s="209">
        <f>+AP14+AG14+Y14</f>
        <v>6</v>
      </c>
      <c r="AY14" s="19">
        <f>+AX14/G14</f>
        <v>1</v>
      </c>
    </row>
    <row r="15" spans="1:52" ht="17.25" thickTop="1"/>
    <row r="17" spans="3:3">
      <c r="C17" s="64"/>
    </row>
  </sheetData>
  <sheetProtection algorithmName="SHA-512" hashValue="1waK3e2mjf0/z4//ZBM7pvTByJlz4jAJ1S8PEjSzjCHTJ/zaEtUSVMIXdYklyedpCjMbK5PIrWyiOFYJEtFFHA==" saltValue="oLdHf1s1g1G2/HQtIhnfDw==" spinCount="100000" sheet="1" objects="1" scenarios="1"/>
  <mergeCells count="32">
    <mergeCell ref="O5:Q7"/>
    <mergeCell ref="A1:B4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AL5:AN7"/>
    <mergeCell ref="AO5:AQ7"/>
    <mergeCell ref="AR5:AT7"/>
    <mergeCell ref="AU5:AW7"/>
    <mergeCell ref="AX5:AY7"/>
    <mergeCell ref="A8:K8"/>
    <mergeCell ref="A9:A10"/>
    <mergeCell ref="A11:K11"/>
    <mergeCell ref="A13:K13"/>
    <mergeCell ref="AI5:AK7"/>
    <mergeCell ref="R5:T7"/>
    <mergeCell ref="U5:W7"/>
    <mergeCell ref="X5:Z7"/>
    <mergeCell ref="AA5:AC7"/>
    <mergeCell ref="AD5:AE7"/>
    <mergeCell ref="AF5:AH7"/>
    <mergeCell ref="F5:F7"/>
    <mergeCell ref="G5:G7"/>
    <mergeCell ref="H5:J6"/>
    <mergeCell ref="K5:K7"/>
    <mergeCell ref="L5:N7"/>
  </mergeCells>
  <conditionalFormatting sqref="AE9:AE10">
    <cfRule type="cellIs" dxfId="774" priority="211" operator="greaterThan">
      <formula>110%</formula>
    </cfRule>
    <cfRule type="cellIs" dxfId="773" priority="212" operator="between">
      <formula>100.001%</formula>
      <formula>110%</formula>
    </cfRule>
    <cfRule type="cellIs" dxfId="772" priority="213" operator="between">
      <formula>70.001%</formula>
      <formula>100%</formula>
    </cfRule>
    <cfRule type="cellIs" dxfId="771" priority="214" operator="between">
      <formula>0.00001%</formula>
      <formula>70%</formula>
    </cfRule>
    <cfRule type="cellIs" dxfId="770" priority="215" operator="equal">
      <formula>0</formula>
    </cfRule>
  </conditionalFormatting>
  <conditionalFormatting sqref="AY9:AY10">
    <cfRule type="cellIs" dxfId="769" priority="206" operator="greaterThan">
      <formula>110%</formula>
    </cfRule>
    <cfRule type="cellIs" dxfId="768" priority="207" operator="between">
      <formula>100.001%</formula>
      <formula>110%</formula>
    </cfRule>
    <cfRule type="cellIs" dxfId="767" priority="208" operator="between">
      <formula>70.001%</formula>
      <formula>100%</formula>
    </cfRule>
    <cfRule type="cellIs" dxfId="766" priority="209" operator="between">
      <formula>0.00001%</formula>
      <formula>70%</formula>
    </cfRule>
    <cfRule type="cellIs" dxfId="765" priority="210" operator="equal">
      <formula>0</formula>
    </cfRule>
  </conditionalFormatting>
  <conditionalFormatting sqref="N9:N10">
    <cfRule type="cellIs" dxfId="764" priority="201" operator="greaterThan">
      <formula>110%</formula>
    </cfRule>
    <cfRule type="cellIs" dxfId="763" priority="202" operator="between">
      <formula>100.001%</formula>
      <formula>110%</formula>
    </cfRule>
    <cfRule type="cellIs" dxfId="762" priority="203" operator="between">
      <formula>70.001%</formula>
      <formula>100%</formula>
    </cfRule>
    <cfRule type="cellIs" dxfId="761" priority="204" operator="between">
      <formula>0.00001%</formula>
      <formula>70%</formula>
    </cfRule>
    <cfRule type="cellIs" dxfId="760" priority="205" operator="equal">
      <formula>0</formula>
    </cfRule>
  </conditionalFormatting>
  <conditionalFormatting sqref="Q9:Q10">
    <cfRule type="cellIs" dxfId="759" priority="196" operator="greaterThan">
      <formula>110%</formula>
    </cfRule>
    <cfRule type="cellIs" dxfId="758" priority="197" operator="between">
      <formula>100.001%</formula>
      <formula>110%</formula>
    </cfRule>
    <cfRule type="cellIs" dxfId="757" priority="198" operator="between">
      <formula>70.001%</formula>
      <formula>100%</formula>
    </cfRule>
    <cfRule type="cellIs" dxfId="756" priority="199" operator="between">
      <formula>0.00001%</formula>
      <formula>70%</formula>
    </cfRule>
    <cfRule type="cellIs" dxfId="755" priority="200" operator="equal">
      <formula>0</formula>
    </cfRule>
  </conditionalFormatting>
  <conditionalFormatting sqref="T9:T10">
    <cfRule type="cellIs" dxfId="754" priority="191" operator="greaterThan">
      <formula>110%</formula>
    </cfRule>
    <cfRule type="cellIs" dxfId="753" priority="192" operator="between">
      <formula>100.001%</formula>
      <formula>110%</formula>
    </cfRule>
    <cfRule type="cellIs" dxfId="752" priority="193" operator="between">
      <formula>70.001%</formula>
      <formula>100%</formula>
    </cfRule>
    <cfRule type="cellIs" dxfId="751" priority="194" operator="between">
      <formula>0.00001%</formula>
      <formula>70%</formula>
    </cfRule>
    <cfRule type="cellIs" dxfId="750" priority="195" operator="equal">
      <formula>0</formula>
    </cfRule>
  </conditionalFormatting>
  <conditionalFormatting sqref="W9:W10">
    <cfRule type="cellIs" dxfId="749" priority="186" operator="greaterThan">
      <formula>110%</formula>
    </cfRule>
    <cfRule type="cellIs" dxfId="748" priority="187" operator="between">
      <formula>100.001%</formula>
      <formula>110%</formula>
    </cfRule>
    <cfRule type="cellIs" dxfId="747" priority="188" operator="between">
      <formula>70.001%</formula>
      <formula>100%</formula>
    </cfRule>
    <cfRule type="cellIs" dxfId="746" priority="189" operator="between">
      <formula>0.00001%</formula>
      <formula>70%</formula>
    </cfRule>
    <cfRule type="cellIs" dxfId="745" priority="190" operator="equal">
      <formula>0</formula>
    </cfRule>
  </conditionalFormatting>
  <conditionalFormatting sqref="Z9:Z10">
    <cfRule type="cellIs" dxfId="744" priority="181" operator="greaterThan">
      <formula>110%</formula>
    </cfRule>
    <cfRule type="cellIs" dxfId="743" priority="182" operator="between">
      <formula>100.001%</formula>
      <formula>110%</formula>
    </cfRule>
    <cfRule type="cellIs" dxfId="742" priority="183" operator="between">
      <formula>70.001%</formula>
      <formula>100%</formula>
    </cfRule>
    <cfRule type="cellIs" dxfId="741" priority="184" operator="between">
      <formula>0.00001%</formula>
      <formula>70%</formula>
    </cfRule>
    <cfRule type="cellIs" dxfId="740" priority="185" operator="equal">
      <formula>0</formula>
    </cfRule>
  </conditionalFormatting>
  <conditionalFormatting sqref="AC9:AC10">
    <cfRule type="cellIs" dxfId="739" priority="176" operator="greaterThan">
      <formula>110%</formula>
    </cfRule>
    <cfRule type="cellIs" dxfId="738" priority="177" operator="between">
      <formula>100.001%</formula>
      <formula>110%</formula>
    </cfRule>
    <cfRule type="cellIs" dxfId="737" priority="178" operator="between">
      <formula>70.001%</formula>
      <formula>100%</formula>
    </cfRule>
    <cfRule type="cellIs" dxfId="736" priority="179" operator="between">
      <formula>0.00001%</formula>
      <formula>70%</formula>
    </cfRule>
    <cfRule type="cellIs" dxfId="735" priority="180" operator="equal">
      <formula>0</formula>
    </cfRule>
  </conditionalFormatting>
  <conditionalFormatting sqref="AH9:AH10">
    <cfRule type="cellIs" dxfId="734" priority="171" operator="greaterThan">
      <formula>110%</formula>
    </cfRule>
    <cfRule type="cellIs" dxfId="733" priority="172" operator="between">
      <formula>100.001%</formula>
      <formula>110%</formula>
    </cfRule>
    <cfRule type="cellIs" dxfId="732" priority="173" operator="between">
      <formula>70.001%</formula>
      <formula>100%</formula>
    </cfRule>
    <cfRule type="cellIs" dxfId="731" priority="174" operator="between">
      <formula>0.00001%</formula>
      <formula>70%</formula>
    </cfRule>
    <cfRule type="cellIs" dxfId="730" priority="175" operator="equal">
      <formula>0</formula>
    </cfRule>
  </conditionalFormatting>
  <conditionalFormatting sqref="AK9:AK10">
    <cfRule type="cellIs" dxfId="729" priority="166" operator="greaterThan">
      <formula>110%</formula>
    </cfRule>
    <cfRule type="cellIs" dxfId="728" priority="167" operator="between">
      <formula>100.001%</formula>
      <formula>110%</formula>
    </cfRule>
    <cfRule type="cellIs" dxfId="727" priority="168" operator="between">
      <formula>70.001%</formula>
      <formula>100%</formula>
    </cfRule>
    <cfRule type="cellIs" dxfId="726" priority="169" operator="between">
      <formula>0.00001%</formula>
      <formula>70%</formula>
    </cfRule>
    <cfRule type="cellIs" dxfId="725" priority="170" operator="equal">
      <formula>0</formula>
    </cfRule>
  </conditionalFormatting>
  <conditionalFormatting sqref="AN9:AN10">
    <cfRule type="cellIs" dxfId="724" priority="161" operator="greaterThan">
      <formula>110%</formula>
    </cfRule>
    <cfRule type="cellIs" dxfId="723" priority="162" operator="between">
      <formula>100.001%</formula>
      <formula>110%</formula>
    </cfRule>
    <cfRule type="cellIs" dxfId="722" priority="163" operator="between">
      <formula>70.001%</formula>
      <formula>100%</formula>
    </cfRule>
    <cfRule type="cellIs" dxfId="721" priority="164" operator="between">
      <formula>0.00001%</formula>
      <formula>70%</formula>
    </cfRule>
    <cfRule type="cellIs" dxfId="720" priority="165" operator="equal">
      <formula>0</formula>
    </cfRule>
  </conditionalFormatting>
  <conditionalFormatting sqref="AQ9:AQ10">
    <cfRule type="cellIs" dxfId="719" priority="156" operator="greaterThan">
      <formula>110%</formula>
    </cfRule>
    <cfRule type="cellIs" dxfId="718" priority="157" operator="between">
      <formula>100.001%</formula>
      <formula>110%</formula>
    </cfRule>
    <cfRule type="cellIs" dxfId="717" priority="158" operator="between">
      <formula>70.001%</formula>
      <formula>100%</formula>
    </cfRule>
    <cfRule type="cellIs" dxfId="716" priority="159" operator="between">
      <formula>0.00001%</formula>
      <formula>70%</formula>
    </cfRule>
    <cfRule type="cellIs" dxfId="715" priority="160" operator="equal">
      <formula>0</formula>
    </cfRule>
  </conditionalFormatting>
  <conditionalFormatting sqref="AT9:AT10">
    <cfRule type="cellIs" dxfId="714" priority="151" operator="greaterThan">
      <formula>110%</formula>
    </cfRule>
    <cfRule type="cellIs" dxfId="713" priority="152" operator="between">
      <formula>100.001%</formula>
      <formula>110%</formula>
    </cfRule>
    <cfRule type="cellIs" dxfId="712" priority="153" operator="between">
      <formula>70.001%</formula>
      <formula>100%</formula>
    </cfRule>
    <cfRule type="cellIs" dxfId="711" priority="154" operator="between">
      <formula>0.00001%</formula>
      <formula>70%</formula>
    </cfRule>
    <cfRule type="cellIs" dxfId="710" priority="155" operator="equal">
      <formula>0</formula>
    </cfRule>
  </conditionalFormatting>
  <conditionalFormatting sqref="AW9:AW10">
    <cfRule type="cellIs" dxfId="709" priority="146" operator="greaterThan">
      <formula>110%</formula>
    </cfRule>
    <cfRule type="cellIs" dxfId="708" priority="147" operator="between">
      <formula>100.001%</formula>
      <formula>110%</formula>
    </cfRule>
    <cfRule type="cellIs" dxfId="707" priority="148" operator="between">
      <formula>70.001%</formula>
      <formula>100%</formula>
    </cfRule>
    <cfRule type="cellIs" dxfId="706" priority="149" operator="between">
      <formula>0.00001%</formula>
      <formula>70%</formula>
    </cfRule>
    <cfRule type="cellIs" dxfId="705" priority="150" operator="equal">
      <formula>0</formula>
    </cfRule>
  </conditionalFormatting>
  <conditionalFormatting sqref="AE14">
    <cfRule type="cellIs" dxfId="704" priority="141" operator="greaterThan">
      <formula>110%</formula>
    </cfRule>
    <cfRule type="cellIs" dxfId="703" priority="142" operator="between">
      <formula>100.001%</formula>
      <formula>110%</formula>
    </cfRule>
    <cfRule type="cellIs" dxfId="702" priority="143" operator="between">
      <formula>70.001%</formula>
      <formula>100%</formula>
    </cfRule>
    <cfRule type="cellIs" dxfId="701" priority="144" operator="between">
      <formula>0.00001%</formula>
      <formula>70%</formula>
    </cfRule>
    <cfRule type="cellIs" dxfId="700" priority="145" operator="equal">
      <formula>0</formula>
    </cfRule>
  </conditionalFormatting>
  <conditionalFormatting sqref="AY14">
    <cfRule type="cellIs" dxfId="699" priority="136" operator="greaterThan">
      <formula>110%</formula>
    </cfRule>
    <cfRule type="cellIs" dxfId="698" priority="137" operator="between">
      <formula>100.001%</formula>
      <formula>110%</formula>
    </cfRule>
    <cfRule type="cellIs" dxfId="697" priority="138" operator="between">
      <formula>70.001%</formula>
      <formula>100%</formula>
    </cfRule>
    <cfRule type="cellIs" dxfId="696" priority="139" operator="between">
      <formula>0.00001%</formula>
      <formula>70%</formula>
    </cfRule>
    <cfRule type="cellIs" dxfId="695" priority="140" operator="equal">
      <formula>0</formula>
    </cfRule>
  </conditionalFormatting>
  <conditionalFormatting sqref="N14">
    <cfRule type="cellIs" dxfId="694" priority="131" operator="greaterThan">
      <formula>110%</formula>
    </cfRule>
    <cfRule type="cellIs" dxfId="693" priority="132" operator="between">
      <formula>100.001%</formula>
      <formula>110%</formula>
    </cfRule>
    <cfRule type="cellIs" dxfId="692" priority="133" operator="between">
      <formula>70.001%</formula>
      <formula>100%</formula>
    </cfRule>
    <cfRule type="cellIs" dxfId="691" priority="134" operator="between">
      <formula>0.00001%</formula>
      <formula>70%</formula>
    </cfRule>
    <cfRule type="cellIs" dxfId="690" priority="135" operator="equal">
      <formula>0</formula>
    </cfRule>
  </conditionalFormatting>
  <conditionalFormatting sqref="Q14">
    <cfRule type="cellIs" dxfId="689" priority="126" operator="greaterThan">
      <formula>110%</formula>
    </cfRule>
    <cfRule type="cellIs" dxfId="688" priority="127" operator="between">
      <formula>100.001%</formula>
      <formula>110%</formula>
    </cfRule>
    <cfRule type="cellIs" dxfId="687" priority="128" operator="between">
      <formula>70.001%</formula>
      <formula>100%</formula>
    </cfRule>
    <cfRule type="cellIs" dxfId="686" priority="129" operator="between">
      <formula>0.00001%</formula>
      <formula>70%</formula>
    </cfRule>
    <cfRule type="cellIs" dxfId="685" priority="130" operator="equal">
      <formula>0</formula>
    </cfRule>
  </conditionalFormatting>
  <conditionalFormatting sqref="T14">
    <cfRule type="cellIs" dxfId="684" priority="121" operator="greaterThan">
      <formula>110%</formula>
    </cfRule>
    <cfRule type="cellIs" dxfId="683" priority="122" operator="between">
      <formula>100.001%</formula>
      <formula>110%</formula>
    </cfRule>
    <cfRule type="cellIs" dxfId="682" priority="123" operator="between">
      <formula>70.001%</formula>
      <formula>100%</formula>
    </cfRule>
    <cfRule type="cellIs" dxfId="681" priority="124" operator="between">
      <formula>0.00001%</formula>
      <formula>70%</formula>
    </cfRule>
    <cfRule type="cellIs" dxfId="680" priority="125" operator="equal">
      <formula>0</formula>
    </cfRule>
  </conditionalFormatting>
  <conditionalFormatting sqref="W14">
    <cfRule type="cellIs" dxfId="679" priority="116" operator="greaterThan">
      <formula>110%</formula>
    </cfRule>
    <cfRule type="cellIs" dxfId="678" priority="117" operator="between">
      <formula>100.001%</formula>
      <formula>110%</formula>
    </cfRule>
    <cfRule type="cellIs" dxfId="677" priority="118" operator="between">
      <formula>70.001%</formula>
      <formula>100%</formula>
    </cfRule>
    <cfRule type="cellIs" dxfId="676" priority="119" operator="between">
      <formula>0.00001%</formula>
      <formula>70%</formula>
    </cfRule>
    <cfRule type="cellIs" dxfId="675" priority="120" operator="equal">
      <formula>0</formula>
    </cfRule>
  </conditionalFormatting>
  <conditionalFormatting sqref="Z14">
    <cfRule type="cellIs" dxfId="674" priority="111" operator="greaterThan">
      <formula>110%</formula>
    </cfRule>
    <cfRule type="cellIs" dxfId="673" priority="112" operator="between">
      <formula>100.001%</formula>
      <formula>110%</formula>
    </cfRule>
    <cfRule type="cellIs" dxfId="672" priority="113" operator="between">
      <formula>70.001%</formula>
      <formula>100%</formula>
    </cfRule>
    <cfRule type="cellIs" dxfId="671" priority="114" operator="between">
      <formula>0.00001%</formula>
      <formula>70%</formula>
    </cfRule>
    <cfRule type="cellIs" dxfId="670" priority="115" operator="equal">
      <formula>0</formula>
    </cfRule>
  </conditionalFormatting>
  <conditionalFormatting sqref="AC14">
    <cfRule type="cellIs" dxfId="669" priority="106" operator="greaterThan">
      <formula>110%</formula>
    </cfRule>
    <cfRule type="cellIs" dxfId="668" priority="107" operator="between">
      <formula>100.001%</formula>
      <formula>110%</formula>
    </cfRule>
    <cfRule type="cellIs" dxfId="667" priority="108" operator="between">
      <formula>70.001%</formula>
      <formula>100%</formula>
    </cfRule>
    <cfRule type="cellIs" dxfId="666" priority="109" operator="between">
      <formula>0.00001%</formula>
      <formula>70%</formula>
    </cfRule>
    <cfRule type="cellIs" dxfId="665" priority="110" operator="equal">
      <formula>0</formula>
    </cfRule>
  </conditionalFormatting>
  <conditionalFormatting sqref="AH14">
    <cfRule type="cellIs" dxfId="664" priority="101" operator="greaterThan">
      <formula>110%</formula>
    </cfRule>
    <cfRule type="cellIs" dxfId="663" priority="102" operator="between">
      <formula>100.001%</formula>
      <formula>110%</formula>
    </cfRule>
    <cfRule type="cellIs" dxfId="662" priority="103" operator="between">
      <formula>70.001%</formula>
      <formula>100%</formula>
    </cfRule>
    <cfRule type="cellIs" dxfId="661" priority="104" operator="between">
      <formula>0.00001%</formula>
      <formula>70%</formula>
    </cfRule>
    <cfRule type="cellIs" dxfId="660" priority="105" operator="equal">
      <formula>0</formula>
    </cfRule>
  </conditionalFormatting>
  <conditionalFormatting sqref="AK14">
    <cfRule type="cellIs" dxfId="659" priority="96" operator="greaterThan">
      <formula>110%</formula>
    </cfRule>
    <cfRule type="cellIs" dxfId="658" priority="97" operator="between">
      <formula>100.001%</formula>
      <formula>110%</formula>
    </cfRule>
    <cfRule type="cellIs" dxfId="657" priority="98" operator="between">
      <formula>70.001%</formula>
      <formula>100%</formula>
    </cfRule>
    <cfRule type="cellIs" dxfId="656" priority="99" operator="between">
      <formula>0.00001%</formula>
      <formula>70%</formula>
    </cfRule>
    <cfRule type="cellIs" dxfId="655" priority="100" operator="equal">
      <formula>0</formula>
    </cfRule>
  </conditionalFormatting>
  <conditionalFormatting sqref="AN14">
    <cfRule type="cellIs" dxfId="654" priority="91" operator="greaterThan">
      <formula>110%</formula>
    </cfRule>
    <cfRule type="cellIs" dxfId="653" priority="92" operator="between">
      <formula>100.001%</formula>
      <formula>110%</formula>
    </cfRule>
    <cfRule type="cellIs" dxfId="652" priority="93" operator="between">
      <formula>70.001%</formula>
      <formula>100%</formula>
    </cfRule>
    <cfRule type="cellIs" dxfId="651" priority="94" operator="between">
      <formula>0.00001%</formula>
      <formula>70%</formula>
    </cfRule>
    <cfRule type="cellIs" dxfId="650" priority="95" operator="equal">
      <formula>0</formula>
    </cfRule>
  </conditionalFormatting>
  <conditionalFormatting sqref="AQ14">
    <cfRule type="cellIs" dxfId="649" priority="86" operator="greaterThan">
      <formula>110%</formula>
    </cfRule>
    <cfRule type="cellIs" dxfId="648" priority="87" operator="between">
      <formula>100.001%</formula>
      <formula>110%</formula>
    </cfRule>
    <cfRule type="cellIs" dxfId="647" priority="88" operator="between">
      <formula>70.001%</formula>
      <formula>100%</formula>
    </cfRule>
    <cfRule type="cellIs" dxfId="646" priority="89" operator="between">
      <formula>0.00001%</formula>
      <formula>70%</formula>
    </cfRule>
    <cfRule type="cellIs" dxfId="645" priority="90" operator="equal">
      <formula>0</formula>
    </cfRule>
  </conditionalFormatting>
  <conditionalFormatting sqref="AT14">
    <cfRule type="cellIs" dxfId="644" priority="81" operator="greaterThan">
      <formula>110%</formula>
    </cfRule>
    <cfRule type="cellIs" dxfId="643" priority="82" operator="between">
      <formula>100.001%</formula>
      <formula>110%</formula>
    </cfRule>
    <cfRule type="cellIs" dxfId="642" priority="83" operator="between">
      <formula>70.001%</formula>
      <formula>100%</formula>
    </cfRule>
    <cfRule type="cellIs" dxfId="641" priority="84" operator="between">
      <formula>0.00001%</formula>
      <formula>70%</formula>
    </cfRule>
    <cfRule type="cellIs" dxfId="640" priority="85" operator="equal">
      <formula>0</formula>
    </cfRule>
  </conditionalFormatting>
  <conditionalFormatting sqref="AW14">
    <cfRule type="cellIs" dxfId="639" priority="76" operator="greaterThan">
      <formula>110%</formula>
    </cfRule>
    <cfRule type="cellIs" dxfId="638" priority="77" operator="between">
      <formula>100.001%</formula>
      <formula>110%</formula>
    </cfRule>
    <cfRule type="cellIs" dxfId="637" priority="78" operator="between">
      <formula>70.001%</formula>
      <formula>100%</formula>
    </cfRule>
    <cfRule type="cellIs" dxfId="636" priority="79" operator="between">
      <formula>0.00001%</formula>
      <formula>70%</formula>
    </cfRule>
    <cfRule type="cellIs" dxfId="635" priority="80" operator="equal">
      <formula>0</formula>
    </cfRule>
  </conditionalFormatting>
  <conditionalFormatting sqref="AE11">
    <cfRule type="cellIs" dxfId="634" priority="71" operator="greaterThan">
      <formula>110%</formula>
    </cfRule>
    <cfRule type="cellIs" dxfId="633" priority="72" operator="between">
      <formula>100.001%</formula>
      <formula>110%</formula>
    </cfRule>
    <cfRule type="cellIs" dxfId="632" priority="73" operator="between">
      <formula>70.001%</formula>
      <formula>100%</formula>
    </cfRule>
    <cfRule type="cellIs" dxfId="631" priority="74" operator="between">
      <formula>0.00001%</formula>
      <formula>70%</formula>
    </cfRule>
    <cfRule type="cellIs" dxfId="630" priority="75" operator="equal">
      <formula>0</formula>
    </cfRule>
  </conditionalFormatting>
  <conditionalFormatting sqref="AE12">
    <cfRule type="cellIs" dxfId="629" priority="66" operator="greaterThan">
      <formula>110%</formula>
    </cfRule>
    <cfRule type="cellIs" dxfId="628" priority="67" operator="between">
      <formula>100.001%</formula>
      <formula>110%</formula>
    </cfRule>
    <cfRule type="cellIs" dxfId="627" priority="68" operator="between">
      <formula>70.001%</formula>
      <formula>100%</formula>
    </cfRule>
    <cfRule type="cellIs" dxfId="626" priority="69" operator="between">
      <formula>0.00001%</formula>
      <formula>70%</formula>
    </cfRule>
    <cfRule type="cellIs" dxfId="625" priority="70" operator="equal">
      <formula>0</formula>
    </cfRule>
  </conditionalFormatting>
  <conditionalFormatting sqref="AY12">
    <cfRule type="cellIs" dxfId="624" priority="61" operator="greaterThan">
      <formula>110%</formula>
    </cfRule>
    <cfRule type="cellIs" dxfId="623" priority="62" operator="between">
      <formula>100.001%</formula>
      <formula>110%</formula>
    </cfRule>
    <cfRule type="cellIs" dxfId="622" priority="63" operator="between">
      <formula>70.001%</formula>
      <formula>100%</formula>
    </cfRule>
    <cfRule type="cellIs" dxfId="621" priority="64" operator="between">
      <formula>0.00001%</formula>
      <formula>70%</formula>
    </cfRule>
    <cfRule type="cellIs" dxfId="620" priority="65" operator="equal">
      <formula>0</formula>
    </cfRule>
  </conditionalFormatting>
  <conditionalFormatting sqref="N12">
    <cfRule type="cellIs" dxfId="619" priority="56" operator="greaterThan">
      <formula>110%</formula>
    </cfRule>
    <cfRule type="cellIs" dxfId="618" priority="57" operator="between">
      <formula>100.001%</formula>
      <formula>110%</formula>
    </cfRule>
    <cfRule type="cellIs" dxfId="617" priority="58" operator="between">
      <formula>70.001%</formula>
      <formula>100%</formula>
    </cfRule>
    <cfRule type="cellIs" dxfId="616" priority="59" operator="between">
      <formula>0.00001%</formula>
      <formula>70%</formula>
    </cfRule>
    <cfRule type="cellIs" dxfId="615" priority="60" operator="equal">
      <formula>0</formula>
    </cfRule>
  </conditionalFormatting>
  <conditionalFormatting sqref="Q12">
    <cfRule type="cellIs" dxfId="614" priority="51" operator="greaterThan">
      <formula>110%</formula>
    </cfRule>
    <cfRule type="cellIs" dxfId="613" priority="52" operator="between">
      <formula>100.001%</formula>
      <formula>110%</formula>
    </cfRule>
    <cfRule type="cellIs" dxfId="612" priority="53" operator="between">
      <formula>70.001%</formula>
      <formula>100%</formula>
    </cfRule>
    <cfRule type="cellIs" dxfId="611" priority="54" operator="between">
      <formula>0.00001%</formula>
      <formula>70%</formula>
    </cfRule>
    <cfRule type="cellIs" dxfId="610" priority="55" operator="equal">
      <formula>0</formula>
    </cfRule>
  </conditionalFormatting>
  <conditionalFormatting sqref="T12">
    <cfRule type="cellIs" dxfId="609" priority="46" operator="greaterThan">
      <formula>110%</formula>
    </cfRule>
    <cfRule type="cellIs" dxfId="608" priority="47" operator="between">
      <formula>100.001%</formula>
      <formula>110%</formula>
    </cfRule>
    <cfRule type="cellIs" dxfId="607" priority="48" operator="between">
      <formula>70.001%</formula>
      <formula>100%</formula>
    </cfRule>
    <cfRule type="cellIs" dxfId="606" priority="49" operator="between">
      <formula>0.00001%</formula>
      <formula>70%</formula>
    </cfRule>
    <cfRule type="cellIs" dxfId="605" priority="50" operator="equal">
      <formula>0</formula>
    </cfRule>
  </conditionalFormatting>
  <conditionalFormatting sqref="W12">
    <cfRule type="cellIs" dxfId="604" priority="41" operator="greaterThan">
      <formula>110%</formula>
    </cfRule>
    <cfRule type="cellIs" dxfId="603" priority="42" operator="between">
      <formula>100.001%</formula>
      <formula>110%</formula>
    </cfRule>
    <cfRule type="cellIs" dxfId="602" priority="43" operator="between">
      <formula>70.001%</formula>
      <formula>100%</formula>
    </cfRule>
    <cfRule type="cellIs" dxfId="601" priority="44" operator="between">
      <formula>0.00001%</formula>
      <formula>70%</formula>
    </cfRule>
    <cfRule type="cellIs" dxfId="600" priority="45" operator="equal">
      <formula>0</formula>
    </cfRule>
  </conditionalFormatting>
  <conditionalFormatting sqref="Z12">
    <cfRule type="cellIs" dxfId="599" priority="36" operator="greaterThan">
      <formula>110%</formula>
    </cfRule>
    <cfRule type="cellIs" dxfId="598" priority="37" operator="between">
      <formula>100.001%</formula>
      <formula>110%</formula>
    </cfRule>
    <cfRule type="cellIs" dxfId="597" priority="38" operator="between">
      <formula>70.001%</formula>
      <formula>100%</formula>
    </cfRule>
    <cfRule type="cellIs" dxfId="596" priority="39" operator="between">
      <formula>0.00001%</formula>
      <formula>70%</formula>
    </cfRule>
    <cfRule type="cellIs" dxfId="595" priority="40" operator="equal">
      <formula>0</formula>
    </cfRule>
  </conditionalFormatting>
  <conditionalFormatting sqref="AC12">
    <cfRule type="cellIs" dxfId="594" priority="31" operator="greaterThan">
      <formula>110%</formula>
    </cfRule>
    <cfRule type="cellIs" dxfId="593" priority="32" operator="between">
      <formula>100.001%</formula>
      <formula>110%</formula>
    </cfRule>
    <cfRule type="cellIs" dxfId="592" priority="33" operator="between">
      <formula>70.001%</formula>
      <formula>100%</formula>
    </cfRule>
    <cfRule type="cellIs" dxfId="591" priority="34" operator="between">
      <formula>0.00001%</formula>
      <formula>70%</formula>
    </cfRule>
    <cfRule type="cellIs" dxfId="590" priority="35" operator="equal">
      <formula>0</formula>
    </cfRule>
  </conditionalFormatting>
  <conditionalFormatting sqref="AH12">
    <cfRule type="cellIs" dxfId="589" priority="26" operator="greaterThan">
      <formula>110%</formula>
    </cfRule>
    <cfRule type="cellIs" dxfId="588" priority="27" operator="between">
      <formula>100.001%</formula>
      <formula>110%</formula>
    </cfRule>
    <cfRule type="cellIs" dxfId="587" priority="28" operator="between">
      <formula>70.001%</formula>
      <formula>100%</formula>
    </cfRule>
    <cfRule type="cellIs" dxfId="586" priority="29" operator="between">
      <formula>0.00001%</formula>
      <formula>70%</formula>
    </cfRule>
    <cfRule type="cellIs" dxfId="585" priority="30" operator="equal">
      <formula>0</formula>
    </cfRule>
  </conditionalFormatting>
  <conditionalFormatting sqref="AK12">
    <cfRule type="cellIs" dxfId="584" priority="21" operator="greaterThan">
      <formula>110%</formula>
    </cfRule>
    <cfRule type="cellIs" dxfId="583" priority="22" operator="between">
      <formula>100.001%</formula>
      <formula>110%</formula>
    </cfRule>
    <cfRule type="cellIs" dxfId="582" priority="23" operator="between">
      <formula>70.001%</formula>
      <formula>100%</formula>
    </cfRule>
    <cfRule type="cellIs" dxfId="581" priority="24" operator="between">
      <formula>0.00001%</formula>
      <formula>70%</formula>
    </cfRule>
    <cfRule type="cellIs" dxfId="580" priority="25" operator="equal">
      <formula>0</formula>
    </cfRule>
  </conditionalFormatting>
  <conditionalFormatting sqref="AN12">
    <cfRule type="cellIs" dxfId="579" priority="16" operator="greaterThan">
      <formula>110%</formula>
    </cfRule>
    <cfRule type="cellIs" dxfId="578" priority="17" operator="between">
      <formula>100.001%</formula>
      <formula>110%</formula>
    </cfRule>
    <cfRule type="cellIs" dxfId="577" priority="18" operator="between">
      <formula>70.001%</formula>
      <formula>100%</formula>
    </cfRule>
    <cfRule type="cellIs" dxfId="576" priority="19" operator="between">
      <formula>0.00001%</formula>
      <formula>70%</formula>
    </cfRule>
    <cfRule type="cellIs" dxfId="575" priority="20" operator="equal">
      <formula>0</formula>
    </cfRule>
  </conditionalFormatting>
  <conditionalFormatting sqref="AQ12">
    <cfRule type="cellIs" dxfId="574" priority="11" operator="greaterThan">
      <formula>110%</formula>
    </cfRule>
    <cfRule type="cellIs" dxfId="573" priority="12" operator="between">
      <formula>100.001%</formula>
      <formula>110%</formula>
    </cfRule>
    <cfRule type="cellIs" dxfId="572" priority="13" operator="between">
      <formula>70.001%</formula>
      <formula>100%</formula>
    </cfRule>
    <cfRule type="cellIs" dxfId="571" priority="14" operator="between">
      <formula>0.00001%</formula>
      <formula>70%</formula>
    </cfRule>
    <cfRule type="cellIs" dxfId="570" priority="15" operator="equal">
      <formula>0</formula>
    </cfRule>
  </conditionalFormatting>
  <conditionalFormatting sqref="AT12">
    <cfRule type="cellIs" dxfId="569" priority="6" operator="greaterThan">
      <formula>110%</formula>
    </cfRule>
    <cfRule type="cellIs" dxfId="568" priority="7" operator="between">
      <formula>100.001%</formula>
      <formula>110%</formula>
    </cfRule>
    <cfRule type="cellIs" dxfId="567" priority="8" operator="between">
      <formula>70.001%</formula>
      <formula>100%</formula>
    </cfRule>
    <cfRule type="cellIs" dxfId="566" priority="9" operator="between">
      <formula>0.00001%</formula>
      <formula>70%</formula>
    </cfRule>
    <cfRule type="cellIs" dxfId="565" priority="10" operator="equal">
      <formula>0</formula>
    </cfRule>
  </conditionalFormatting>
  <conditionalFormatting sqref="AW12">
    <cfRule type="cellIs" dxfId="564" priority="1" operator="greaterThan">
      <formula>110%</formula>
    </cfRule>
    <cfRule type="cellIs" dxfId="563" priority="2" operator="between">
      <formula>100.001%</formula>
      <formula>110%</formula>
    </cfRule>
    <cfRule type="cellIs" dxfId="562" priority="3" operator="between">
      <formula>70.001%</formula>
      <formula>100%</formula>
    </cfRule>
    <cfRule type="cellIs" dxfId="561" priority="4" operator="between">
      <formula>0.00001%</formula>
      <formula>70%</formula>
    </cfRule>
    <cfRule type="cellIs" dxfId="560" priority="5" operator="equal">
      <formula>0</formula>
    </cfRule>
  </conditionalFormatting>
  <hyperlinks>
    <hyperlink ref="D9" location="'IN1-3'!A1" display="IN1-3 Recaudo Bruto" xr:uid="{00000000-0004-0000-2E00-000000000000}"/>
    <hyperlink ref="D10" location="'FIS-24'!A1" display="FIS-24 Valor decomisos de mercancías en firme" xr:uid="{00000000-0004-0000-2E00-000001000000}"/>
    <hyperlink ref="D14" location="'DGRAE-25'!A1" display="DGRAE-25 Actividades que componen el  PIC para la Dirección de Gestión" xr:uid="{00000000-0004-0000-2E00-000002000000}"/>
    <hyperlink ref="D11" location="'ADU-13'!A1" display="ADU-13 Efectividad en los Controles a los  usuarios de comercio - Hallazgos en visitas de usuarios no visitados anteriormente" xr:uid="{00000000-0004-0000-2E00-000003000000}"/>
    <hyperlink ref="D12" location="'IN1-11'!A1" display="IN1-11  Nivel de cobertura de personas sensibilizadas por el plan de cultura. ACTUALMENTE. Cumplimiento al Plan de Acción de Cultura de la Contribución" xr:uid="{00000000-0004-0000-2E00-000004000000}"/>
    <hyperlink ref="AY3" location="'Consolidado '!A1" display="VOLVER" xr:uid="{00000000-0004-0000-2E00-000005000000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Z19"/>
  <sheetViews>
    <sheetView topLeftCell="C1" zoomScale="70" zoomScaleNormal="70" workbookViewId="0">
      <selection activeCell="AZ2" sqref="AZ2"/>
    </sheetView>
  </sheetViews>
  <sheetFormatPr baseColWidth="10" defaultColWidth="11.42578125" defaultRowHeight="16.5"/>
  <cols>
    <col min="1" max="1" width="18.85546875" style="8" bestFit="1" customWidth="1"/>
    <col min="2" max="2" width="32.28515625" style="8" customWidth="1"/>
    <col min="3" max="3" width="43.42578125" style="63" customWidth="1"/>
    <col min="4" max="4" width="26.5703125" style="63" customWidth="1"/>
    <col min="5" max="5" width="71.42578125" style="63" bestFit="1" customWidth="1"/>
    <col min="6" max="6" width="23.85546875" style="8" bestFit="1" customWidth="1"/>
    <col min="7" max="7" width="27.140625" style="8" customWidth="1"/>
    <col min="8" max="8" width="14" style="8" hidden="1" customWidth="1"/>
    <col min="9" max="9" width="23.140625" style="8" hidden="1" customWidth="1"/>
    <col min="10" max="10" width="10.28515625" style="8" hidden="1" customWidth="1"/>
    <col min="11" max="11" width="25.85546875" style="8" customWidth="1"/>
    <col min="12" max="13" width="15.7109375" style="8" hidden="1" customWidth="1"/>
    <col min="14" max="14" width="0" style="444" hidden="1" customWidth="1"/>
    <col min="15" max="15" width="15.7109375" style="8" hidden="1" customWidth="1"/>
    <col min="16" max="16" width="14.28515625" style="8" hidden="1" customWidth="1"/>
    <col min="17" max="17" width="0" style="444" hidden="1" customWidth="1"/>
    <col min="18" max="19" width="15.7109375" style="8" hidden="1" customWidth="1"/>
    <col min="20" max="20" width="0" style="444" hidden="1" customWidth="1"/>
    <col min="21" max="21" width="16.85546875" style="8" hidden="1" customWidth="1"/>
    <col min="22" max="22" width="15.7109375" style="8" hidden="1" customWidth="1"/>
    <col min="23" max="23" width="0" style="444" hidden="1" customWidth="1"/>
    <col min="24" max="24" width="16.85546875" style="8" hidden="1" customWidth="1"/>
    <col min="25" max="25" width="13" style="8" hidden="1" customWidth="1"/>
    <col min="26" max="26" width="0" style="444" hidden="1" customWidth="1"/>
    <col min="27" max="27" width="16.85546875" style="8" hidden="1" customWidth="1"/>
    <col min="28" max="28" width="13.42578125" style="8" hidden="1" customWidth="1"/>
    <col min="29" max="29" width="0" style="444" hidden="1" customWidth="1"/>
    <col min="30" max="30" width="16.85546875" style="8" hidden="1" customWidth="1"/>
    <col min="31" max="31" width="0" style="444" hidden="1" customWidth="1"/>
    <col min="32" max="32" width="16.85546875" style="8" hidden="1" customWidth="1"/>
    <col min="33" max="33" width="15.7109375" style="8" hidden="1" customWidth="1"/>
    <col min="34" max="34" width="0" style="444" hidden="1" customWidth="1"/>
    <col min="35" max="35" width="16.85546875" style="8" hidden="1" customWidth="1"/>
    <col min="36" max="36" width="15.7109375" style="8" hidden="1" customWidth="1"/>
    <col min="37" max="37" width="0" style="444" hidden="1" customWidth="1"/>
    <col min="38" max="38" width="16.85546875" style="8" hidden="1" customWidth="1"/>
    <col min="39" max="39" width="15.7109375" style="8" hidden="1" customWidth="1"/>
    <col min="40" max="40" width="0" style="444" hidden="1" customWidth="1"/>
    <col min="41" max="42" width="15.7109375" style="8" hidden="1" customWidth="1"/>
    <col min="43" max="43" width="0" style="444" hidden="1" customWidth="1"/>
    <col min="44" max="45" width="15.7109375" style="8" hidden="1" customWidth="1"/>
    <col min="46" max="46" width="0" style="444" hidden="1" customWidth="1"/>
    <col min="47" max="48" width="15.7109375" style="8" hidden="1" customWidth="1"/>
    <col min="49" max="49" width="0" style="444" hidden="1" customWidth="1"/>
    <col min="50" max="50" width="22.7109375" style="210" customWidth="1"/>
    <col min="51" max="51" width="12.28515625" style="1430" bestFit="1" customWidth="1"/>
  </cols>
  <sheetData>
    <row r="1" spans="1:52" ht="26.25">
      <c r="A1" s="101"/>
      <c r="B1" s="101"/>
      <c r="C1" s="3269" t="s">
        <v>1097</v>
      </c>
      <c r="D1" s="3269"/>
      <c r="E1" s="3269"/>
      <c r="F1" s="3269"/>
      <c r="G1" s="3269"/>
      <c r="H1" s="3269"/>
      <c r="I1" s="3269"/>
      <c r="J1" s="3269"/>
      <c r="K1" s="3269"/>
    </row>
    <row r="2" spans="1:52" ht="18.75" customHeight="1">
      <c r="A2" s="2628"/>
      <c r="B2" s="2628"/>
      <c r="C2" s="3002" t="s">
        <v>69</v>
      </c>
      <c r="D2" s="3002"/>
      <c r="E2" s="3002"/>
      <c r="F2" s="3002"/>
      <c r="G2" s="3002"/>
      <c r="H2" s="3002"/>
      <c r="I2" s="3002"/>
      <c r="J2" s="3002"/>
      <c r="K2" s="3002"/>
      <c r="AZ2" s="670" t="s">
        <v>185</v>
      </c>
    </row>
    <row r="3" spans="1:52">
      <c r="A3" s="107"/>
      <c r="B3" s="108"/>
      <c r="C3" s="2866" t="s">
        <v>1098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</row>
    <row r="5" spans="1:52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  <c r="AZ5" s="1044">
        <f>+(AY9+AY10+AY11+AY12+AY13+AY15+AY18)/7</f>
        <v>0.85928684348508644</v>
      </c>
    </row>
    <row r="6" spans="1:52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ht="31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2724" t="s">
        <v>84</v>
      </c>
      <c r="M8" s="2725" t="s">
        <v>85</v>
      </c>
      <c r="N8" s="71" t="s">
        <v>86</v>
      </c>
      <c r="O8" s="16" t="s">
        <v>84</v>
      </c>
      <c r="P8" s="16" t="s">
        <v>85</v>
      </c>
      <c r="Q8" s="71" t="s">
        <v>86</v>
      </c>
      <c r="R8" s="16" t="s">
        <v>84</v>
      </c>
      <c r="S8" s="16" t="s">
        <v>85</v>
      </c>
      <c r="T8" s="71" t="s">
        <v>86</v>
      </c>
      <c r="U8" s="13" t="s">
        <v>84</v>
      </c>
      <c r="V8" s="14" t="s">
        <v>85</v>
      </c>
      <c r="W8" s="71" t="s">
        <v>86</v>
      </c>
      <c r="X8" s="13" t="s">
        <v>84</v>
      </c>
      <c r="Y8" s="13" t="s">
        <v>85</v>
      </c>
      <c r="Z8" s="71" t="s">
        <v>86</v>
      </c>
      <c r="AA8" s="14" t="s">
        <v>84</v>
      </c>
      <c r="AB8" s="16" t="s">
        <v>85</v>
      </c>
      <c r="AC8" s="71" t="s">
        <v>86</v>
      </c>
      <c r="AD8" s="16" t="s">
        <v>87</v>
      </c>
      <c r="AE8" s="71" t="s">
        <v>6</v>
      </c>
      <c r="AF8" s="16" t="s">
        <v>84</v>
      </c>
      <c r="AG8" s="16" t="s">
        <v>85</v>
      </c>
      <c r="AH8" s="71" t="s">
        <v>86</v>
      </c>
      <c r="AI8" s="16" t="s">
        <v>84</v>
      </c>
      <c r="AJ8" s="16" t="s">
        <v>85</v>
      </c>
      <c r="AK8" s="71" t="s">
        <v>86</v>
      </c>
      <c r="AL8" s="13" t="s">
        <v>84</v>
      </c>
      <c r="AM8" s="14" t="s">
        <v>85</v>
      </c>
      <c r="AN8" s="71" t="s">
        <v>86</v>
      </c>
      <c r="AO8" s="16" t="s">
        <v>84</v>
      </c>
      <c r="AP8" s="13" t="s">
        <v>85</v>
      </c>
      <c r="AQ8" s="71" t="s">
        <v>86</v>
      </c>
      <c r="AR8" s="14" t="s">
        <v>84</v>
      </c>
      <c r="AS8" s="13" t="s">
        <v>85</v>
      </c>
      <c r="AT8" s="71" t="s">
        <v>86</v>
      </c>
      <c r="AU8" s="16" t="s">
        <v>84</v>
      </c>
      <c r="AV8" s="16" t="s">
        <v>85</v>
      </c>
      <c r="AW8" s="71" t="s">
        <v>86</v>
      </c>
      <c r="AX8" s="16" t="s">
        <v>87</v>
      </c>
      <c r="AY8" s="447" t="s">
        <v>6</v>
      </c>
    </row>
    <row r="9" spans="1:52" ht="31.5" thickTop="1" thickBot="1">
      <c r="A9" s="2870" t="s">
        <v>88</v>
      </c>
      <c r="B9" s="3265" t="s">
        <v>94</v>
      </c>
      <c r="C9" s="76" t="s">
        <v>1099</v>
      </c>
      <c r="D9" s="623" t="s">
        <v>96</v>
      </c>
      <c r="E9" s="76" t="s">
        <v>97</v>
      </c>
      <c r="F9" s="76" t="s">
        <v>300</v>
      </c>
      <c r="G9" s="76">
        <v>1.0578000000000001E-2</v>
      </c>
      <c r="H9" s="76"/>
      <c r="I9" s="76"/>
      <c r="J9" s="76"/>
      <c r="K9" s="76" t="s">
        <v>20</v>
      </c>
      <c r="L9" s="658">
        <v>8.8150000000000001E-4</v>
      </c>
      <c r="M9" s="2798">
        <v>8.8150000000000001E-4</v>
      </c>
      <c r="N9" s="73">
        <f>+M9/L9</f>
        <v>1</v>
      </c>
      <c r="O9" s="658">
        <v>8.8150000000000001E-4</v>
      </c>
      <c r="P9" s="2798">
        <v>8.8150000000000001E-4</v>
      </c>
      <c r="Q9" s="73">
        <f>+P9/O9</f>
        <v>1</v>
      </c>
      <c r="R9" s="658">
        <v>8.8150000000000001E-4</v>
      </c>
      <c r="S9" s="2798">
        <v>8.8150000000000001E-4</v>
      </c>
      <c r="T9" s="73">
        <f>+S9/R9</f>
        <v>1</v>
      </c>
      <c r="U9" s="658">
        <v>8.8150000000000001E-4</v>
      </c>
      <c r="V9" s="2798">
        <v>8.8150000000000001E-4</v>
      </c>
      <c r="W9" s="73">
        <f>+V9/U9</f>
        <v>1</v>
      </c>
      <c r="X9" s="658">
        <v>8.8150000000000001E-4</v>
      </c>
      <c r="Y9" s="2798">
        <v>8.8150000000000001E-4</v>
      </c>
      <c r="Z9" s="73">
        <f>+Y9/X9</f>
        <v>1</v>
      </c>
      <c r="AA9" s="658">
        <v>8.8150000000000001E-4</v>
      </c>
      <c r="AB9" s="2798">
        <v>8.8150000000000001E-4</v>
      </c>
      <c r="AC9" s="73">
        <f>+AB9/AA9</f>
        <v>1</v>
      </c>
      <c r="AD9" s="2799">
        <f>+M9+P9+S9+V9+Y9+AB9</f>
        <v>5.2890000000000003E-3</v>
      </c>
      <c r="AE9" s="73">
        <f>+AD9/G9</f>
        <v>0.5</v>
      </c>
      <c r="AF9" s="658">
        <v>8.8150000000000001E-4</v>
      </c>
      <c r="AG9" s="2798">
        <v>8.8150000000000001E-4</v>
      </c>
      <c r="AH9" s="73">
        <f>+AG9/AF9</f>
        <v>1</v>
      </c>
      <c r="AI9" s="658">
        <v>8.8150000000000001E-4</v>
      </c>
      <c r="AJ9" s="2798">
        <v>8.8150000000000001E-4</v>
      </c>
      <c r="AK9" s="73">
        <f>+AJ9/AI9</f>
        <v>1</v>
      </c>
      <c r="AL9" s="658">
        <v>8.8150000000000001E-4</v>
      </c>
      <c r="AM9" s="2798">
        <v>8.8150000000000001E-4</v>
      </c>
      <c r="AN9" s="73">
        <f>+AM9/AL9</f>
        <v>1</v>
      </c>
      <c r="AO9" s="658">
        <v>8.8150000000000001E-4</v>
      </c>
      <c r="AP9" s="2798">
        <v>8.8150000000000001E-4</v>
      </c>
      <c r="AQ9" s="73">
        <f>+AP9/AO9</f>
        <v>1</v>
      </c>
      <c r="AR9" s="658">
        <v>8.8150000000000001E-4</v>
      </c>
      <c r="AS9" s="2798">
        <v>8.8150000000000001E-4</v>
      </c>
      <c r="AT9" s="73">
        <f>+AS9/AR9</f>
        <v>1</v>
      </c>
      <c r="AU9" s="658">
        <v>8.8150000000000001E-4</v>
      </c>
      <c r="AV9" s="2798">
        <v>8.8150000000000001E-4</v>
      </c>
      <c r="AW9" s="73">
        <f>+AV9/AU9</f>
        <v>1</v>
      </c>
      <c r="AX9" s="2800">
        <f>+M9+P9+S9+V9+Y9+AB9+AG9+AJ9+AM9+AP9+AS9+AV9</f>
        <v>1.0578000000000002E-2</v>
      </c>
      <c r="AY9" s="73">
        <f>+AX9/G9</f>
        <v>1.0000000000000002</v>
      </c>
    </row>
    <row r="10" spans="1:52" ht="46.5" thickTop="1" thickBot="1">
      <c r="A10" s="2870"/>
      <c r="B10" s="3265"/>
      <c r="C10" s="81" t="s">
        <v>362</v>
      </c>
      <c r="D10" s="627" t="s">
        <v>660</v>
      </c>
      <c r="E10" s="81" t="s">
        <v>112</v>
      </c>
      <c r="F10" s="81" t="s">
        <v>17</v>
      </c>
      <c r="G10" s="2728">
        <v>12</v>
      </c>
      <c r="H10" s="81"/>
      <c r="I10" s="81"/>
      <c r="J10" s="81"/>
      <c r="K10" s="81" t="s">
        <v>20</v>
      </c>
      <c r="L10" s="2728">
        <v>0</v>
      </c>
      <c r="M10" s="1143"/>
      <c r="N10" s="73" t="e">
        <f t="shared" ref="N10:N15" si="0">+M10/L10</f>
        <v>#DIV/0!</v>
      </c>
      <c r="O10" s="2728">
        <v>0</v>
      </c>
      <c r="P10" s="1143"/>
      <c r="Q10" s="73" t="e">
        <f t="shared" ref="Q10:Q15" si="1">+P10/O10</f>
        <v>#DIV/0!</v>
      </c>
      <c r="R10" s="2728"/>
      <c r="S10" s="1143">
        <v>0</v>
      </c>
      <c r="T10" s="73" t="e">
        <f t="shared" ref="T10:T15" si="2">+S10/R10</f>
        <v>#DIV/0!</v>
      </c>
      <c r="U10" s="2728"/>
      <c r="V10" s="1143">
        <v>3</v>
      </c>
      <c r="W10" s="73" t="e">
        <f t="shared" ref="W10:W15" si="3">+V10/U10</f>
        <v>#DIV/0!</v>
      </c>
      <c r="X10" s="2728"/>
      <c r="Y10" s="1143">
        <v>0</v>
      </c>
      <c r="Z10" s="73" t="e">
        <f t="shared" ref="Z10:Z15" si="4">+Y10/X10</f>
        <v>#DIV/0!</v>
      </c>
      <c r="AA10" s="2728"/>
      <c r="AB10" s="1143">
        <v>3</v>
      </c>
      <c r="AC10" s="73" t="e">
        <f t="shared" ref="AC10:AC15" si="5">+AB10/AA10</f>
        <v>#DIV/0!</v>
      </c>
      <c r="AD10" s="1143">
        <f>S10+V10+Y10+AB10</f>
        <v>6</v>
      </c>
      <c r="AE10" s="73">
        <f t="shared" ref="AE10:AE15" si="6">+AD10/G10</f>
        <v>0.5</v>
      </c>
      <c r="AF10" s="2728"/>
      <c r="AG10" s="1143">
        <v>0</v>
      </c>
      <c r="AH10" s="73" t="e">
        <f t="shared" ref="AH10:AH15" si="7">+AG10/AF10</f>
        <v>#DIV/0!</v>
      </c>
      <c r="AI10" s="2728"/>
      <c r="AJ10" s="1143">
        <v>0</v>
      </c>
      <c r="AK10" s="73" t="e">
        <f t="shared" ref="AK10:AK15" si="8">+AJ10/AI10</f>
        <v>#DIV/0!</v>
      </c>
      <c r="AL10" s="2728"/>
      <c r="AM10" s="1143">
        <v>0</v>
      </c>
      <c r="AN10" s="73" t="e">
        <f t="shared" ref="AN10:AN15" si="9">+AM10/AL10</f>
        <v>#DIV/0!</v>
      </c>
      <c r="AO10" s="2728">
        <v>12</v>
      </c>
      <c r="AP10" s="1143">
        <v>6</v>
      </c>
      <c r="AQ10" s="73">
        <f t="shared" ref="AQ10:AQ15" si="10">+AP10/AO10</f>
        <v>0.5</v>
      </c>
      <c r="AR10" s="2728"/>
      <c r="AS10" s="1143">
        <v>0</v>
      </c>
      <c r="AT10" s="73" t="e">
        <f t="shared" ref="AT10:AT15" si="11">+AS10/AR10</f>
        <v>#DIV/0!</v>
      </c>
      <c r="AU10" s="2728"/>
      <c r="AV10" s="1143"/>
      <c r="AW10" s="73" t="e">
        <f t="shared" ref="AW10:AW15" si="12">+AV10/AU10</f>
        <v>#DIV/0!</v>
      </c>
      <c r="AX10" s="2729">
        <f>AV10+AS10+AP10+AM10+AJ10+AG10+AB10+Y10+V10+S10+P10+M10</f>
        <v>12</v>
      </c>
      <c r="AY10" s="73">
        <f t="shared" ref="AY10:AY15" si="13">+AX10/G10</f>
        <v>1</v>
      </c>
    </row>
    <row r="11" spans="1:52" ht="61.5" thickTop="1" thickBot="1">
      <c r="A11" s="2870"/>
      <c r="B11" s="3265"/>
      <c r="C11" s="76" t="s">
        <v>332</v>
      </c>
      <c r="D11" s="623" t="s">
        <v>114</v>
      </c>
      <c r="E11" s="76" t="s">
        <v>115</v>
      </c>
      <c r="F11" s="76" t="s">
        <v>10</v>
      </c>
      <c r="G11" s="2726">
        <v>1</v>
      </c>
      <c r="H11" s="76"/>
      <c r="I11" s="1524"/>
      <c r="J11" s="76"/>
      <c r="K11" s="76" t="s">
        <v>20</v>
      </c>
      <c r="L11" s="2726">
        <v>0</v>
      </c>
      <c r="M11" s="1146"/>
      <c r="N11" s="73" t="e">
        <f>+M11/L11</f>
        <v>#DIV/0!</v>
      </c>
      <c r="O11" s="2726">
        <v>0</v>
      </c>
      <c r="P11" s="1146"/>
      <c r="Q11" s="73" t="e">
        <f>+P11/O11</f>
        <v>#DIV/0!</v>
      </c>
      <c r="R11" s="2726">
        <v>0.25</v>
      </c>
      <c r="S11" s="1146">
        <v>0.25</v>
      </c>
      <c r="T11" s="73">
        <f>+S11/R11</f>
        <v>1</v>
      </c>
      <c r="U11" s="2726">
        <v>0</v>
      </c>
      <c r="V11" s="1146"/>
      <c r="W11" s="73" t="e">
        <f>+V11/U11</f>
        <v>#DIV/0!</v>
      </c>
      <c r="X11" s="2726">
        <v>0</v>
      </c>
      <c r="Y11" s="1146"/>
      <c r="Z11" s="73" t="e">
        <f>+Y11/X11</f>
        <v>#DIV/0!</v>
      </c>
      <c r="AA11" s="2726">
        <v>0.25</v>
      </c>
      <c r="AB11" s="1146">
        <v>0.25</v>
      </c>
      <c r="AC11" s="73">
        <f>+AB11/AA11</f>
        <v>1</v>
      </c>
      <c r="AD11" s="1146">
        <f>+S11+AB11</f>
        <v>0.5</v>
      </c>
      <c r="AE11" s="73">
        <f t="shared" si="6"/>
        <v>0.5</v>
      </c>
      <c r="AF11" s="2726">
        <v>0</v>
      </c>
      <c r="AG11" s="1146"/>
      <c r="AH11" s="73" t="e">
        <f>+AG11/AF11</f>
        <v>#DIV/0!</v>
      </c>
      <c r="AI11" s="2726">
        <v>0</v>
      </c>
      <c r="AJ11" s="1146"/>
      <c r="AK11" s="73" t="e">
        <f>+AJ11/AI11</f>
        <v>#DIV/0!</v>
      </c>
      <c r="AL11" s="2726">
        <v>0.25</v>
      </c>
      <c r="AM11" s="1146">
        <v>0.25</v>
      </c>
      <c r="AN11" s="73">
        <f>+AM11/AL11</f>
        <v>1</v>
      </c>
      <c r="AO11" s="2726">
        <v>0</v>
      </c>
      <c r="AP11" s="1146"/>
      <c r="AQ11" s="73" t="e">
        <f>+AP11/AO11</f>
        <v>#DIV/0!</v>
      </c>
      <c r="AR11" s="2726">
        <v>0</v>
      </c>
      <c r="AS11" s="1146"/>
      <c r="AT11" s="73" t="e">
        <f>+AS11/AR11</f>
        <v>#DIV/0!</v>
      </c>
      <c r="AU11" s="2726">
        <v>0.25</v>
      </c>
      <c r="AV11" s="1146">
        <v>0.25</v>
      </c>
      <c r="AW11" s="73">
        <f>+AV11/AU11</f>
        <v>1</v>
      </c>
      <c r="AX11" s="2727">
        <f>+AV11+AM11+AB11+S11</f>
        <v>1</v>
      </c>
      <c r="AY11" s="73">
        <f t="shared" si="13"/>
        <v>1</v>
      </c>
    </row>
    <row r="12" spans="1:52" ht="46.5" thickTop="1" thickBot="1">
      <c r="A12" s="2870"/>
      <c r="B12" s="3265"/>
      <c r="C12" s="81" t="s">
        <v>661</v>
      </c>
      <c r="D12" s="627" t="s">
        <v>116</v>
      </c>
      <c r="E12" s="81" t="s">
        <v>117</v>
      </c>
      <c r="F12" s="81" t="s">
        <v>17</v>
      </c>
      <c r="G12" s="2728">
        <v>175</v>
      </c>
      <c r="H12" s="81"/>
      <c r="I12" s="81"/>
      <c r="J12" s="81"/>
      <c r="K12" s="81" t="s">
        <v>118</v>
      </c>
      <c r="L12" s="2728">
        <v>0</v>
      </c>
      <c r="M12" s="1143"/>
      <c r="N12" s="73" t="e">
        <f t="shared" si="0"/>
        <v>#DIV/0!</v>
      </c>
      <c r="O12" s="2728">
        <v>0</v>
      </c>
      <c r="P12" s="1143"/>
      <c r="Q12" s="73" t="e">
        <f t="shared" si="1"/>
        <v>#DIV/0!</v>
      </c>
      <c r="R12" s="2728">
        <v>33</v>
      </c>
      <c r="S12" s="1143">
        <v>12</v>
      </c>
      <c r="T12" s="73">
        <f t="shared" si="2"/>
        <v>0.36363636363636365</v>
      </c>
      <c r="U12" s="2728">
        <v>27</v>
      </c>
      <c r="V12" s="1143">
        <v>0</v>
      </c>
      <c r="W12" s="73">
        <f t="shared" si="3"/>
        <v>0</v>
      </c>
      <c r="X12" s="2728">
        <v>8</v>
      </c>
      <c r="Y12" s="1143">
        <v>2</v>
      </c>
      <c r="Z12" s="73">
        <f t="shared" si="4"/>
        <v>0.25</v>
      </c>
      <c r="AA12" s="2728">
        <v>9</v>
      </c>
      <c r="AB12" s="1143">
        <v>0</v>
      </c>
      <c r="AC12" s="73">
        <f t="shared" si="5"/>
        <v>0</v>
      </c>
      <c r="AD12" s="1143">
        <f>+S12+V12+Y12+AB12</f>
        <v>14</v>
      </c>
      <c r="AE12" s="73">
        <f t="shared" si="6"/>
        <v>0.08</v>
      </c>
      <c r="AF12" s="2728">
        <v>16</v>
      </c>
      <c r="AG12" s="1143">
        <v>2</v>
      </c>
      <c r="AH12" s="73">
        <f t="shared" si="7"/>
        <v>0.125</v>
      </c>
      <c r="AI12" s="2728">
        <v>25</v>
      </c>
      <c r="AJ12" s="1143">
        <v>24</v>
      </c>
      <c r="AK12" s="73">
        <f t="shared" si="8"/>
        <v>0.96</v>
      </c>
      <c r="AL12" s="2728">
        <v>34</v>
      </c>
      <c r="AM12" s="1143">
        <v>16</v>
      </c>
      <c r="AN12" s="73">
        <f t="shared" si="9"/>
        <v>0.47058823529411764</v>
      </c>
      <c r="AO12" s="2728">
        <v>13</v>
      </c>
      <c r="AP12" s="1143">
        <v>26</v>
      </c>
      <c r="AQ12" s="73">
        <f t="shared" si="10"/>
        <v>2</v>
      </c>
      <c r="AR12" s="2728">
        <v>9</v>
      </c>
      <c r="AS12" s="1143">
        <v>97</v>
      </c>
      <c r="AT12" s="73">
        <f t="shared" si="11"/>
        <v>10.777777777777779</v>
      </c>
      <c r="AU12" s="2728">
        <v>1</v>
      </c>
      <c r="AV12" s="1143"/>
      <c r="AW12" s="73">
        <f t="shared" si="12"/>
        <v>0</v>
      </c>
      <c r="AX12" s="2729">
        <f>S12+V12+Y12+AB12+AG12+AJ12+AM12+AP12+AS12+AV12</f>
        <v>179</v>
      </c>
      <c r="AY12" s="73">
        <f t="shared" si="13"/>
        <v>1.0228571428571429</v>
      </c>
    </row>
    <row r="13" spans="1:52" ht="114" thickTop="1" thickBot="1">
      <c r="A13" s="2870"/>
      <c r="B13" s="1169" t="s">
        <v>508</v>
      </c>
      <c r="C13" s="706" t="s">
        <v>1100</v>
      </c>
      <c r="D13" s="623" t="s">
        <v>227</v>
      </c>
      <c r="E13" s="706" t="s">
        <v>228</v>
      </c>
      <c r="F13" s="706" t="s">
        <v>101</v>
      </c>
      <c r="G13" s="2730">
        <v>650000000</v>
      </c>
      <c r="H13" s="2731"/>
      <c r="I13" s="2732"/>
      <c r="J13" s="2731"/>
      <c r="K13" s="706" t="s">
        <v>140</v>
      </c>
      <c r="L13" s="2733">
        <f>+'[22]FIS-24'!$DN$4</f>
        <v>53333333.333333336</v>
      </c>
      <c r="M13" s="2734">
        <v>86653134</v>
      </c>
      <c r="N13" s="73">
        <f t="shared" si="0"/>
        <v>1.6247462625</v>
      </c>
      <c r="O13" s="2733">
        <f>+'[22]FIS-24'!$DN$5</f>
        <v>53333333.333333336</v>
      </c>
      <c r="P13" s="2734">
        <v>5137532</v>
      </c>
      <c r="Q13" s="73">
        <f t="shared" si="1"/>
        <v>9.632872499999999E-2</v>
      </c>
      <c r="R13" s="2733">
        <f>+'[22]FIS-24'!$DN$6</f>
        <v>53333333.333333336</v>
      </c>
      <c r="S13" s="2734">
        <v>16640420</v>
      </c>
      <c r="T13" s="73">
        <f t="shared" si="2"/>
        <v>0.31200787499999999</v>
      </c>
      <c r="U13" s="2733">
        <f>+'[22]FIS-24'!$DN$7</f>
        <v>105777778</v>
      </c>
      <c r="V13" s="2734">
        <v>10499379</v>
      </c>
      <c r="W13" s="73">
        <f t="shared" si="3"/>
        <v>9.9258834875506644E-2</v>
      </c>
      <c r="X13" s="2733">
        <f>+'[22]FIS-24'!$DN$8</f>
        <v>105777778</v>
      </c>
      <c r="Y13" s="2734">
        <v>0</v>
      </c>
      <c r="Z13" s="73">
        <f t="shared" si="4"/>
        <v>0</v>
      </c>
      <c r="AA13" s="2733">
        <f>+'[22]FIS-24'!$DN$9</f>
        <v>105777778</v>
      </c>
      <c r="AB13" s="2734">
        <v>0</v>
      </c>
      <c r="AC13" s="73">
        <f t="shared" si="5"/>
        <v>0</v>
      </c>
      <c r="AD13" s="2734">
        <f t="shared" ref="AD13:AD15" si="14">+M13+P13+S13+V13+Y13+AB13</f>
        <v>118930465</v>
      </c>
      <c r="AE13" s="73">
        <f t="shared" si="6"/>
        <v>0.18296994615384615</v>
      </c>
      <c r="AF13" s="2733">
        <f>+'[22]FIS-24'!$DN$10</f>
        <v>105777778</v>
      </c>
      <c r="AG13" s="2734">
        <v>50880182</v>
      </c>
      <c r="AH13" s="73">
        <f t="shared" si="7"/>
        <v>0.48101012293905437</v>
      </c>
      <c r="AI13" s="2733">
        <f>+'[22]FIS-24'!$DN$11</f>
        <v>15384444.24</v>
      </c>
      <c r="AJ13" s="2734">
        <v>40840471</v>
      </c>
      <c r="AK13" s="73">
        <f t="shared" si="8"/>
        <v>2.6546601465013335</v>
      </c>
      <c r="AL13" s="2733">
        <f>+'[22]FIS-24'!$DN$12</f>
        <v>15384444.24</v>
      </c>
      <c r="AM13" s="2734">
        <v>50291114</v>
      </c>
      <c r="AN13" s="73">
        <f t="shared" si="9"/>
        <v>3.2689587752049989</v>
      </c>
      <c r="AO13" s="2733">
        <f>+'[22]FIS-24'!$DN$13</f>
        <v>15384444.24</v>
      </c>
      <c r="AP13" s="2734">
        <v>12314092</v>
      </c>
      <c r="AQ13" s="73">
        <f t="shared" si="10"/>
        <v>0.80042488424658231</v>
      </c>
      <c r="AR13" s="2733">
        <f>+'[22]FIS-24'!$DN$14</f>
        <v>10367777.640000001</v>
      </c>
      <c r="AS13" s="2734">
        <v>31556860</v>
      </c>
      <c r="AT13" s="73">
        <f t="shared" si="11"/>
        <v>3.0437439049859867</v>
      </c>
      <c r="AU13" s="2733">
        <f>+'[22]FIS-24'!$DN$15</f>
        <v>10367777.640000001</v>
      </c>
      <c r="AV13" s="2734">
        <v>80084811</v>
      </c>
      <c r="AW13" s="73">
        <f t="shared" si="12"/>
        <v>7.7243951192610645</v>
      </c>
      <c r="AX13" s="2735">
        <f t="shared" ref="AX13:AX15" si="15">+M13+P13+S13+V13+Y13+AB13+AG13+AJ13+AM13+AP13+AS13+AV13</f>
        <v>384897995</v>
      </c>
      <c r="AY13" s="73">
        <f t="shared" si="13"/>
        <v>0.59215076153846158</v>
      </c>
    </row>
    <row r="14" spans="1:52" ht="22.5" thickTop="1" thickBot="1">
      <c r="A14" s="3268" t="s">
        <v>141</v>
      </c>
      <c r="B14" s="2861"/>
      <c r="C14" s="2861"/>
      <c r="D14" s="2861"/>
      <c r="E14" s="2861"/>
      <c r="F14" s="2861"/>
      <c r="G14" s="2861"/>
      <c r="H14" s="2861"/>
      <c r="I14" s="2861"/>
      <c r="J14" s="2861"/>
      <c r="K14" s="2906"/>
      <c r="L14" s="93"/>
      <c r="M14" s="991"/>
      <c r="N14" s="187"/>
      <c r="O14" s="93"/>
      <c r="P14" s="991"/>
      <c r="Q14" s="187"/>
      <c r="R14" s="93"/>
      <c r="S14" s="991"/>
      <c r="T14" s="187"/>
      <c r="U14" s="93"/>
      <c r="V14" s="991"/>
      <c r="W14" s="187"/>
      <c r="X14" s="93"/>
      <c r="Y14" s="991"/>
      <c r="Z14" s="187"/>
      <c r="AA14" s="93"/>
      <c r="AB14" s="991"/>
      <c r="AC14" s="187"/>
      <c r="AD14" s="991"/>
      <c r="AE14" s="187"/>
      <c r="AF14" s="93"/>
      <c r="AG14" s="991"/>
      <c r="AH14" s="187"/>
      <c r="AI14" s="93"/>
      <c r="AJ14" s="991"/>
      <c r="AK14" s="187"/>
      <c r="AL14" s="93"/>
      <c r="AM14" s="991"/>
      <c r="AN14" s="187"/>
      <c r="AO14" s="93"/>
      <c r="AP14" s="991"/>
      <c r="AQ14" s="187"/>
      <c r="AR14" s="93"/>
      <c r="AS14" s="991"/>
      <c r="AT14" s="187"/>
      <c r="AU14" s="93"/>
      <c r="AV14" s="991"/>
      <c r="AW14" s="187"/>
      <c r="AX14" s="187"/>
      <c r="AY14" s="187"/>
    </row>
    <row r="15" spans="1:52" ht="114" thickTop="1" thickBot="1">
      <c r="A15" s="2939" t="s">
        <v>181</v>
      </c>
      <c r="B15" s="1958" t="s">
        <v>314</v>
      </c>
      <c r="C15" s="1016" t="s">
        <v>1101</v>
      </c>
      <c r="D15" s="627" t="s">
        <v>144</v>
      </c>
      <c r="E15" s="1016" t="s">
        <v>145</v>
      </c>
      <c r="F15" s="1016" t="s">
        <v>17</v>
      </c>
      <c r="G15" s="1016">
        <v>5</v>
      </c>
      <c r="H15" s="2736"/>
      <c r="I15" s="1016"/>
      <c r="J15" s="2736"/>
      <c r="K15" s="1016" t="s">
        <v>146</v>
      </c>
      <c r="L15" s="2737">
        <v>0</v>
      </c>
      <c r="M15" s="2738"/>
      <c r="N15" s="73" t="e">
        <f t="shared" si="0"/>
        <v>#DIV/0!</v>
      </c>
      <c r="O15" s="2737">
        <v>0</v>
      </c>
      <c r="P15" s="2738"/>
      <c r="Q15" s="73" t="e">
        <f t="shared" si="1"/>
        <v>#DIV/0!</v>
      </c>
      <c r="R15" s="2737">
        <v>0</v>
      </c>
      <c r="S15" s="2738"/>
      <c r="T15" s="73" t="e">
        <f t="shared" si="2"/>
        <v>#DIV/0!</v>
      </c>
      <c r="U15" s="2737">
        <v>0</v>
      </c>
      <c r="V15" s="2738"/>
      <c r="W15" s="73" t="e">
        <f t="shared" si="3"/>
        <v>#DIV/0!</v>
      </c>
      <c r="X15" s="2737">
        <v>0</v>
      </c>
      <c r="Y15" s="2738"/>
      <c r="Z15" s="73" t="e">
        <f t="shared" si="4"/>
        <v>#DIV/0!</v>
      </c>
      <c r="AA15" s="2737">
        <v>0</v>
      </c>
      <c r="AB15" s="2738"/>
      <c r="AC15" s="73" t="e">
        <f t="shared" si="5"/>
        <v>#DIV/0!</v>
      </c>
      <c r="AD15" s="2738">
        <f t="shared" si="14"/>
        <v>0</v>
      </c>
      <c r="AE15" s="73">
        <f t="shared" si="6"/>
        <v>0</v>
      </c>
      <c r="AF15" s="2737">
        <v>0</v>
      </c>
      <c r="AG15" s="2738"/>
      <c r="AH15" s="73" t="e">
        <f t="shared" si="7"/>
        <v>#DIV/0!</v>
      </c>
      <c r="AI15" s="2737">
        <v>0</v>
      </c>
      <c r="AJ15" s="2738"/>
      <c r="AK15" s="73" t="e">
        <f t="shared" si="8"/>
        <v>#DIV/0!</v>
      </c>
      <c r="AL15" s="2737">
        <v>0</v>
      </c>
      <c r="AM15" s="2738"/>
      <c r="AN15" s="73" t="e">
        <f t="shared" si="9"/>
        <v>#DIV/0!</v>
      </c>
      <c r="AO15" s="2737">
        <v>0</v>
      </c>
      <c r="AP15" s="2738"/>
      <c r="AQ15" s="73" t="e">
        <f t="shared" si="10"/>
        <v>#DIV/0!</v>
      </c>
      <c r="AR15" s="2737">
        <v>0</v>
      </c>
      <c r="AS15" s="2738"/>
      <c r="AT15" s="73" t="e">
        <f t="shared" si="11"/>
        <v>#DIV/0!</v>
      </c>
      <c r="AU15" s="2737">
        <v>5</v>
      </c>
      <c r="AV15" s="2738">
        <v>2</v>
      </c>
      <c r="AW15" s="73">
        <f t="shared" si="12"/>
        <v>0.4</v>
      </c>
      <c r="AX15" s="2729">
        <f t="shared" si="15"/>
        <v>2</v>
      </c>
      <c r="AY15" s="73">
        <f t="shared" si="13"/>
        <v>0.4</v>
      </c>
    </row>
    <row r="16" spans="1:52" ht="57.75" thickTop="1" thickBot="1">
      <c r="A16" s="2941"/>
      <c r="B16" s="2801" t="s">
        <v>1102</v>
      </c>
      <c r="C16" s="2802" t="s">
        <v>1012</v>
      </c>
      <c r="D16" s="2803" t="s">
        <v>319</v>
      </c>
      <c r="E16" s="2802" t="s">
        <v>339</v>
      </c>
      <c r="F16" s="2802" t="s">
        <v>17</v>
      </c>
      <c r="G16" s="2804">
        <v>37</v>
      </c>
      <c r="H16" s="2802"/>
      <c r="I16" s="2802"/>
      <c r="J16" s="2802"/>
      <c r="K16" s="2802" t="s">
        <v>21</v>
      </c>
      <c r="L16" s="2804">
        <v>0</v>
      </c>
      <c r="M16" s="2805"/>
      <c r="N16" s="2806" t="e">
        <f>+L16/M16</f>
        <v>#DIV/0!</v>
      </c>
      <c r="O16" s="2804">
        <v>0</v>
      </c>
      <c r="P16" s="2805"/>
      <c r="Q16" s="2806" t="e">
        <f>+O16/P16</f>
        <v>#DIV/0!</v>
      </c>
      <c r="R16" s="2804">
        <v>37</v>
      </c>
      <c r="S16" s="2805"/>
      <c r="T16" s="2806" t="e">
        <f>+R16/S16</f>
        <v>#DIV/0!</v>
      </c>
      <c r="U16" s="2804">
        <v>37</v>
      </c>
      <c r="V16" s="2805"/>
      <c r="W16" s="2806" t="e">
        <f>+U16/V16</f>
        <v>#DIV/0!</v>
      </c>
      <c r="X16" s="2804">
        <v>37</v>
      </c>
      <c r="Y16" s="2805"/>
      <c r="Z16" s="2806" t="e">
        <f>+X16/Y16</f>
        <v>#DIV/0!</v>
      </c>
      <c r="AA16" s="2804">
        <v>37</v>
      </c>
      <c r="AB16" s="2805"/>
      <c r="AC16" s="2806" t="e">
        <f>+AA16/AB16</f>
        <v>#DIV/0!</v>
      </c>
      <c r="AD16" s="2805">
        <f>+(S16+V16+Y16+AB16)/4</f>
        <v>0</v>
      </c>
      <c r="AE16" s="2806" t="e">
        <f>+G16/AD16</f>
        <v>#DIV/0!</v>
      </c>
      <c r="AF16" s="2804">
        <v>37</v>
      </c>
      <c r="AG16" s="2805"/>
      <c r="AH16" s="2806" t="e">
        <f>+AF16/AG16</f>
        <v>#DIV/0!</v>
      </c>
      <c r="AI16" s="2804">
        <v>37</v>
      </c>
      <c r="AJ16" s="2805"/>
      <c r="AK16" s="2806" t="e">
        <f>+AI16/AJ16</f>
        <v>#DIV/0!</v>
      </c>
      <c r="AL16" s="2804">
        <v>37</v>
      </c>
      <c r="AM16" s="2805"/>
      <c r="AN16" s="2806" t="e">
        <f>+AL16/AM16</f>
        <v>#DIV/0!</v>
      </c>
      <c r="AO16" s="2804">
        <v>37</v>
      </c>
      <c r="AP16" s="2805"/>
      <c r="AQ16" s="2806" t="e">
        <f>+AO16/AP16</f>
        <v>#DIV/0!</v>
      </c>
      <c r="AR16" s="2804">
        <v>37</v>
      </c>
      <c r="AS16" s="2805"/>
      <c r="AT16" s="2806" t="e">
        <f>+AR16/AS16</f>
        <v>#DIV/0!</v>
      </c>
      <c r="AU16" s="2804">
        <v>37</v>
      </c>
      <c r="AV16" s="2805"/>
      <c r="AW16" s="2806" t="e">
        <f>+AU16/AV16</f>
        <v>#DIV/0!</v>
      </c>
      <c r="AX16" s="2807">
        <f>(S16+V16+Y16+AB16+AG16+AJ16+AM16+AP16+AS16+AV16)/10</f>
        <v>0</v>
      </c>
      <c r="AY16" s="2806"/>
    </row>
    <row r="17" spans="1:51" ht="22.5" thickTop="1" thickBot="1">
      <c r="A17" s="2843" t="s">
        <v>154</v>
      </c>
      <c r="B17" s="2843"/>
      <c r="C17" s="2843"/>
      <c r="D17" s="2843"/>
      <c r="E17" s="2843"/>
      <c r="F17" s="2843"/>
      <c r="G17" s="2843"/>
      <c r="H17" s="2843"/>
      <c r="I17" s="2843"/>
      <c r="J17" s="2843"/>
      <c r="K17" s="2843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1"/>
      <c r="AY17" s="201"/>
    </row>
    <row r="18" spans="1:51" ht="64.5" thickTop="1" thickBot="1">
      <c r="A18" s="202" t="s">
        <v>155</v>
      </c>
      <c r="B18" s="97" t="s">
        <v>156</v>
      </c>
      <c r="C18" s="74" t="s">
        <v>157</v>
      </c>
      <c r="D18" s="111" t="s">
        <v>158</v>
      </c>
      <c r="E18" s="74" t="s">
        <v>159</v>
      </c>
      <c r="F18" s="74" t="s">
        <v>265</v>
      </c>
      <c r="G18" s="203">
        <v>6</v>
      </c>
      <c r="H18" s="99">
        <v>10</v>
      </c>
      <c r="I18" s="204"/>
      <c r="J18" s="204"/>
      <c r="K18" s="25" t="s">
        <v>27</v>
      </c>
      <c r="L18" s="205">
        <v>0</v>
      </c>
      <c r="M18" s="206"/>
      <c r="N18" s="19" t="e">
        <f t="shared" ref="N18" si="16">+M18/L18</f>
        <v>#DIV/0!</v>
      </c>
      <c r="O18" s="205">
        <v>0</v>
      </c>
      <c r="P18" s="206"/>
      <c r="Q18" s="19" t="e">
        <f t="shared" ref="Q18" si="17">+P18/O18</f>
        <v>#DIV/0!</v>
      </c>
      <c r="R18" s="205">
        <v>0</v>
      </c>
      <c r="S18" s="206"/>
      <c r="T18" s="19" t="e">
        <f t="shared" ref="T18" si="18">+S18/R18</f>
        <v>#DIV/0!</v>
      </c>
      <c r="U18" s="205">
        <v>0</v>
      </c>
      <c r="V18" s="206"/>
      <c r="W18" s="19" t="e">
        <f t="shared" ref="W18" si="19">+V18/U18</f>
        <v>#DIV/0!</v>
      </c>
      <c r="X18" s="205">
        <v>2</v>
      </c>
      <c r="Y18" s="206">
        <v>2</v>
      </c>
      <c r="Z18" s="19">
        <f t="shared" ref="Z18" si="20">+Y18/X18</f>
        <v>1</v>
      </c>
      <c r="AA18" s="205">
        <v>0</v>
      </c>
      <c r="AB18" s="206"/>
      <c r="AC18" s="19" t="e">
        <f t="shared" ref="AC18" si="21">+AB18/AA18</f>
        <v>#DIV/0!</v>
      </c>
      <c r="AD18" s="207">
        <f>+Y18</f>
        <v>2</v>
      </c>
      <c r="AE18" s="19">
        <f t="shared" ref="AE18" si="22">+AD18/G18</f>
        <v>0.33333333333333331</v>
      </c>
      <c r="AF18" s="205">
        <v>1</v>
      </c>
      <c r="AG18" s="206">
        <v>1</v>
      </c>
      <c r="AH18" s="208">
        <f t="shared" ref="AH18" si="23">+AG18/AF18</f>
        <v>1</v>
      </c>
      <c r="AI18" s="205">
        <v>0</v>
      </c>
      <c r="AJ18" s="206"/>
      <c r="AK18" s="208" t="e">
        <f t="shared" ref="AK18" si="24">+AJ18/AI18</f>
        <v>#DIV/0!</v>
      </c>
      <c r="AL18" s="205">
        <v>0</v>
      </c>
      <c r="AM18" s="206"/>
      <c r="AN18" s="208" t="e">
        <f t="shared" ref="AN18" si="25">+AM18/AL18</f>
        <v>#DIV/0!</v>
      </c>
      <c r="AO18" s="205">
        <v>3</v>
      </c>
      <c r="AP18" s="206">
        <v>3</v>
      </c>
      <c r="AQ18" s="19">
        <f t="shared" ref="AQ18" si="26">+AP18/AO18</f>
        <v>1</v>
      </c>
      <c r="AR18" s="205">
        <v>0</v>
      </c>
      <c r="AS18" s="206"/>
      <c r="AT18" s="19" t="e">
        <f t="shared" ref="AT18" si="27">+AS18/AR18</f>
        <v>#DIV/0!</v>
      </c>
      <c r="AU18" s="205">
        <v>0</v>
      </c>
      <c r="AV18" s="206"/>
      <c r="AW18" s="19" t="e">
        <f t="shared" ref="AW18" si="28">+AV18/AU18</f>
        <v>#DIV/0!</v>
      </c>
      <c r="AX18" s="209">
        <f>+AP18+AG18+Y18</f>
        <v>6</v>
      </c>
      <c r="AY18" s="19">
        <f>+AX18/G18</f>
        <v>1</v>
      </c>
    </row>
    <row r="19" spans="1:51" ht="17.25" thickTop="1"/>
  </sheetData>
  <sheetProtection algorithmName="SHA-512" hashValue="U5qudl6BrTV/FdS1x4bpU2x6hFWqpWxXJUFqarxfEEvrL4gglx8xwwqL6JJVyPN4EaNk2zOCajb9NQCBYRy2Sg==" saltValue="wsS/j7suL9t9V36AW3N7UA==" spinCount="100000" sheet="1" objects="1" scenarios="1"/>
  <mergeCells count="33"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9:A13"/>
    <mergeCell ref="B9:B12"/>
    <mergeCell ref="A14:K14"/>
    <mergeCell ref="A15:A16"/>
    <mergeCell ref="A17:K17"/>
  </mergeCells>
  <conditionalFormatting sqref="N9:N13 N15:N16">
    <cfRule type="cellIs" dxfId="559" priority="141" operator="greaterThan">
      <formula>110%</formula>
    </cfRule>
    <cfRule type="cellIs" dxfId="558" priority="142" operator="between">
      <formula>100.001%</formula>
      <formula>110%</formula>
    </cfRule>
    <cfRule type="cellIs" dxfId="557" priority="143" operator="between">
      <formula>70.001%</formula>
      <formula>100%</formula>
    </cfRule>
    <cfRule type="cellIs" dxfId="556" priority="144" operator="between">
      <formula>0.00001%</formula>
      <formula>70%</formula>
    </cfRule>
    <cfRule type="cellIs" dxfId="555" priority="145" operator="equal">
      <formula>0</formula>
    </cfRule>
  </conditionalFormatting>
  <conditionalFormatting sqref="Q9:Q13 Q15:Q16">
    <cfRule type="cellIs" dxfId="554" priority="136" operator="greaterThan">
      <formula>110%</formula>
    </cfRule>
    <cfRule type="cellIs" dxfId="553" priority="137" operator="between">
      <formula>100.001%</formula>
      <formula>110%</formula>
    </cfRule>
    <cfRule type="cellIs" dxfId="552" priority="138" operator="between">
      <formula>70.001%</formula>
      <formula>100%</formula>
    </cfRule>
    <cfRule type="cellIs" dxfId="551" priority="139" operator="between">
      <formula>0.00001%</formula>
      <formula>70%</formula>
    </cfRule>
    <cfRule type="cellIs" dxfId="550" priority="140" operator="equal">
      <formula>0</formula>
    </cfRule>
  </conditionalFormatting>
  <conditionalFormatting sqref="T9:T13 T15:T16">
    <cfRule type="cellIs" dxfId="549" priority="131" operator="greaterThan">
      <formula>110%</formula>
    </cfRule>
    <cfRule type="cellIs" dxfId="548" priority="132" operator="between">
      <formula>100.001%</formula>
      <formula>110%</formula>
    </cfRule>
    <cfRule type="cellIs" dxfId="547" priority="133" operator="between">
      <formula>70.001%</formula>
      <formula>100%</formula>
    </cfRule>
    <cfRule type="cellIs" dxfId="546" priority="134" operator="between">
      <formula>0.00001%</formula>
      <formula>70%</formula>
    </cfRule>
    <cfRule type="cellIs" dxfId="545" priority="135" operator="equal">
      <formula>0</formula>
    </cfRule>
  </conditionalFormatting>
  <conditionalFormatting sqref="W9:W13 W15:W16">
    <cfRule type="cellIs" dxfId="544" priority="126" operator="greaterThan">
      <formula>110%</formula>
    </cfRule>
    <cfRule type="cellIs" dxfId="543" priority="127" operator="between">
      <formula>100.001%</formula>
      <formula>110%</formula>
    </cfRule>
    <cfRule type="cellIs" dxfId="542" priority="128" operator="between">
      <formula>70.001%</formula>
      <formula>100%</formula>
    </cfRule>
    <cfRule type="cellIs" dxfId="541" priority="129" operator="between">
      <formula>0.00001%</formula>
      <formula>70%</formula>
    </cfRule>
    <cfRule type="cellIs" dxfId="540" priority="130" operator="equal">
      <formula>0</formula>
    </cfRule>
  </conditionalFormatting>
  <conditionalFormatting sqref="Z9:Z13 Z15:Z16">
    <cfRule type="cellIs" dxfId="539" priority="121" operator="greaterThan">
      <formula>110%</formula>
    </cfRule>
    <cfRule type="cellIs" dxfId="538" priority="122" operator="between">
      <formula>100.001%</formula>
      <formula>110%</formula>
    </cfRule>
    <cfRule type="cellIs" dxfId="537" priority="123" operator="between">
      <formula>70.001%</formula>
      <formula>100%</formula>
    </cfRule>
    <cfRule type="cellIs" dxfId="536" priority="124" operator="between">
      <formula>0.00001%</formula>
      <formula>70%</formula>
    </cfRule>
    <cfRule type="cellIs" dxfId="535" priority="125" operator="equal">
      <formula>0</formula>
    </cfRule>
  </conditionalFormatting>
  <conditionalFormatting sqref="AC9:AC13 AC15:AC16">
    <cfRule type="cellIs" dxfId="534" priority="116" operator="greaterThan">
      <formula>110%</formula>
    </cfRule>
    <cfRule type="cellIs" dxfId="533" priority="117" operator="between">
      <formula>100.001%</formula>
      <formula>110%</formula>
    </cfRule>
    <cfRule type="cellIs" dxfId="532" priority="118" operator="between">
      <formula>70.001%</formula>
      <formula>100%</formula>
    </cfRule>
    <cfRule type="cellIs" dxfId="531" priority="119" operator="between">
      <formula>0.00001%</formula>
      <formula>70%</formula>
    </cfRule>
    <cfRule type="cellIs" dxfId="530" priority="120" operator="equal">
      <formula>0</formula>
    </cfRule>
  </conditionalFormatting>
  <conditionalFormatting sqref="AH9:AH13 AH15:AH16">
    <cfRule type="cellIs" dxfId="529" priority="111" operator="greaterThan">
      <formula>110%</formula>
    </cfRule>
    <cfRule type="cellIs" dxfId="528" priority="112" operator="between">
      <formula>100.001%</formula>
      <formula>110%</formula>
    </cfRule>
    <cfRule type="cellIs" dxfId="527" priority="113" operator="between">
      <formula>70.001%</formula>
      <formula>100%</formula>
    </cfRule>
    <cfRule type="cellIs" dxfId="526" priority="114" operator="between">
      <formula>0.00001%</formula>
      <formula>70%</formula>
    </cfRule>
    <cfRule type="cellIs" dxfId="525" priority="115" operator="equal">
      <formula>0</formula>
    </cfRule>
  </conditionalFormatting>
  <conditionalFormatting sqref="AK9:AK13 AK15:AK16">
    <cfRule type="cellIs" dxfId="524" priority="106" operator="greaterThan">
      <formula>110%</formula>
    </cfRule>
    <cfRule type="cellIs" dxfId="523" priority="107" operator="between">
      <formula>100.001%</formula>
      <formula>110%</formula>
    </cfRule>
    <cfRule type="cellIs" dxfId="522" priority="108" operator="between">
      <formula>70.001%</formula>
      <formula>100%</formula>
    </cfRule>
    <cfRule type="cellIs" dxfId="521" priority="109" operator="between">
      <formula>0.00001%</formula>
      <formula>70%</formula>
    </cfRule>
    <cfRule type="cellIs" dxfId="520" priority="110" operator="equal">
      <formula>0</formula>
    </cfRule>
  </conditionalFormatting>
  <conditionalFormatting sqref="AN9:AN13 AN15:AN16">
    <cfRule type="cellIs" dxfId="519" priority="101" operator="greaterThan">
      <formula>110%</formula>
    </cfRule>
    <cfRule type="cellIs" dxfId="518" priority="102" operator="between">
      <formula>100.001%</formula>
      <formula>110%</formula>
    </cfRule>
    <cfRule type="cellIs" dxfId="517" priority="103" operator="between">
      <formula>70.001%</formula>
      <formula>100%</formula>
    </cfRule>
    <cfRule type="cellIs" dxfId="516" priority="104" operator="between">
      <formula>0.00001%</formula>
      <formula>70%</formula>
    </cfRule>
    <cfRule type="cellIs" dxfId="515" priority="105" operator="equal">
      <formula>0</formula>
    </cfRule>
  </conditionalFormatting>
  <conditionalFormatting sqref="AQ9:AQ13 AQ15:AQ16">
    <cfRule type="cellIs" dxfId="514" priority="96" operator="greaterThan">
      <formula>110%</formula>
    </cfRule>
    <cfRule type="cellIs" dxfId="513" priority="97" operator="between">
      <formula>100.001%</formula>
      <formula>110%</formula>
    </cfRule>
    <cfRule type="cellIs" dxfId="512" priority="98" operator="between">
      <formula>70.001%</formula>
      <formula>100%</formula>
    </cfRule>
    <cfRule type="cellIs" dxfId="511" priority="99" operator="between">
      <formula>0.00001%</formula>
      <formula>70%</formula>
    </cfRule>
    <cfRule type="cellIs" dxfId="510" priority="100" operator="equal">
      <formula>0</formula>
    </cfRule>
  </conditionalFormatting>
  <conditionalFormatting sqref="AT9:AT13 AT15:AT16">
    <cfRule type="cellIs" dxfId="509" priority="91" operator="greaterThan">
      <formula>110%</formula>
    </cfRule>
    <cfRule type="cellIs" dxfId="508" priority="92" operator="between">
      <formula>100.001%</formula>
      <formula>110%</formula>
    </cfRule>
    <cfRule type="cellIs" dxfId="507" priority="93" operator="between">
      <formula>70.001%</formula>
      <formula>100%</formula>
    </cfRule>
    <cfRule type="cellIs" dxfId="506" priority="94" operator="between">
      <formula>0.00001%</formula>
      <formula>70%</formula>
    </cfRule>
    <cfRule type="cellIs" dxfId="505" priority="95" operator="equal">
      <formula>0</formula>
    </cfRule>
  </conditionalFormatting>
  <conditionalFormatting sqref="AW9:AW13 AW15:AW16">
    <cfRule type="cellIs" dxfId="504" priority="86" operator="greaterThan">
      <formula>110%</formula>
    </cfRule>
    <cfRule type="cellIs" dxfId="503" priority="87" operator="between">
      <formula>100.001%</formula>
      <formula>110%</formula>
    </cfRule>
    <cfRule type="cellIs" dxfId="502" priority="88" operator="between">
      <formula>70.001%</formula>
      <formula>100%</formula>
    </cfRule>
    <cfRule type="cellIs" dxfId="501" priority="89" operator="between">
      <formula>0.00001%</formula>
      <formula>70%</formula>
    </cfRule>
    <cfRule type="cellIs" dxfId="500" priority="90" operator="equal">
      <formula>0</formula>
    </cfRule>
  </conditionalFormatting>
  <conditionalFormatting sqref="AE9">
    <cfRule type="cellIs" dxfId="499" priority="81" operator="greaterThan">
      <formula>110%</formula>
    </cfRule>
    <cfRule type="cellIs" dxfId="498" priority="82" operator="between">
      <formula>100.001%</formula>
      <formula>110%</formula>
    </cfRule>
    <cfRule type="cellIs" dxfId="497" priority="83" operator="between">
      <formula>70.001%</formula>
      <formula>100%</formula>
    </cfRule>
    <cfRule type="cellIs" dxfId="496" priority="84" operator="between">
      <formula>0.00001%</formula>
      <formula>70%</formula>
    </cfRule>
    <cfRule type="cellIs" dxfId="495" priority="85" operator="equal">
      <formula>0</formula>
    </cfRule>
  </conditionalFormatting>
  <conditionalFormatting sqref="AE10:AE13 AE15:AE16">
    <cfRule type="cellIs" dxfId="494" priority="76" operator="greaterThan">
      <formula>110%</formula>
    </cfRule>
    <cfRule type="cellIs" dxfId="493" priority="77" operator="between">
      <formula>100.001%</formula>
      <formula>110%</formula>
    </cfRule>
    <cfRule type="cellIs" dxfId="492" priority="78" operator="between">
      <formula>70.001%</formula>
      <formula>100%</formula>
    </cfRule>
    <cfRule type="cellIs" dxfId="491" priority="79" operator="between">
      <formula>0.00001%</formula>
      <formula>70%</formula>
    </cfRule>
    <cfRule type="cellIs" dxfId="490" priority="80" operator="equal">
      <formula>0</formula>
    </cfRule>
  </conditionalFormatting>
  <conditionalFormatting sqref="AY9:AY13 AY15:AY16">
    <cfRule type="cellIs" dxfId="489" priority="71" operator="greaterThan">
      <formula>110%</formula>
    </cfRule>
    <cfRule type="cellIs" dxfId="488" priority="72" operator="between">
      <formula>100.001%</formula>
      <formula>110%</formula>
    </cfRule>
    <cfRule type="cellIs" dxfId="487" priority="73" operator="between">
      <formula>70.001%</formula>
      <formula>100%</formula>
    </cfRule>
    <cfRule type="cellIs" dxfId="486" priority="74" operator="between">
      <formula>0.00001%</formula>
      <formula>70%</formula>
    </cfRule>
    <cfRule type="cellIs" dxfId="485" priority="75" operator="equal">
      <formula>0</formula>
    </cfRule>
  </conditionalFormatting>
  <conditionalFormatting sqref="AE18">
    <cfRule type="cellIs" dxfId="484" priority="66" operator="greaterThan">
      <formula>110%</formula>
    </cfRule>
    <cfRule type="cellIs" dxfId="483" priority="67" operator="between">
      <formula>100.001%</formula>
      <formula>110%</formula>
    </cfRule>
    <cfRule type="cellIs" dxfId="482" priority="68" operator="between">
      <formula>70.001%</formula>
      <formula>100%</formula>
    </cfRule>
    <cfRule type="cellIs" dxfId="481" priority="69" operator="between">
      <formula>0.00001%</formula>
      <formula>70%</formula>
    </cfRule>
    <cfRule type="cellIs" dxfId="480" priority="70" operator="equal">
      <formula>0</formula>
    </cfRule>
  </conditionalFormatting>
  <conditionalFormatting sqref="AY18">
    <cfRule type="cellIs" dxfId="479" priority="61" operator="greaterThan">
      <formula>110%</formula>
    </cfRule>
    <cfRule type="cellIs" dxfId="478" priority="62" operator="between">
      <formula>100.001%</formula>
      <formula>110%</formula>
    </cfRule>
    <cfRule type="cellIs" dxfId="477" priority="63" operator="between">
      <formula>70.001%</formula>
      <formula>100%</formula>
    </cfRule>
    <cfRule type="cellIs" dxfId="476" priority="64" operator="between">
      <formula>0.00001%</formula>
      <formula>70%</formula>
    </cfRule>
    <cfRule type="cellIs" dxfId="475" priority="65" operator="equal">
      <formula>0</formula>
    </cfRule>
  </conditionalFormatting>
  <conditionalFormatting sqref="N18">
    <cfRule type="cellIs" dxfId="474" priority="56" operator="greaterThan">
      <formula>110%</formula>
    </cfRule>
    <cfRule type="cellIs" dxfId="473" priority="57" operator="between">
      <formula>100.001%</formula>
      <formula>110%</formula>
    </cfRule>
    <cfRule type="cellIs" dxfId="472" priority="58" operator="between">
      <formula>70.001%</formula>
      <formula>100%</formula>
    </cfRule>
    <cfRule type="cellIs" dxfId="471" priority="59" operator="between">
      <formula>0.00001%</formula>
      <formula>70%</formula>
    </cfRule>
    <cfRule type="cellIs" dxfId="470" priority="60" operator="equal">
      <formula>0</formula>
    </cfRule>
  </conditionalFormatting>
  <conditionalFormatting sqref="Q18">
    <cfRule type="cellIs" dxfId="469" priority="51" operator="greaterThan">
      <formula>110%</formula>
    </cfRule>
    <cfRule type="cellIs" dxfId="468" priority="52" operator="between">
      <formula>100.001%</formula>
      <formula>110%</formula>
    </cfRule>
    <cfRule type="cellIs" dxfId="467" priority="53" operator="between">
      <formula>70.001%</formula>
      <formula>100%</formula>
    </cfRule>
    <cfRule type="cellIs" dxfId="466" priority="54" operator="between">
      <formula>0.00001%</formula>
      <formula>70%</formula>
    </cfRule>
    <cfRule type="cellIs" dxfId="465" priority="55" operator="equal">
      <formula>0</formula>
    </cfRule>
  </conditionalFormatting>
  <conditionalFormatting sqref="T18">
    <cfRule type="cellIs" dxfId="464" priority="46" operator="greaterThan">
      <formula>110%</formula>
    </cfRule>
    <cfRule type="cellIs" dxfId="463" priority="47" operator="between">
      <formula>100.001%</formula>
      <formula>110%</formula>
    </cfRule>
    <cfRule type="cellIs" dxfId="462" priority="48" operator="between">
      <formula>70.001%</formula>
      <formula>100%</formula>
    </cfRule>
    <cfRule type="cellIs" dxfId="461" priority="49" operator="between">
      <formula>0.00001%</formula>
      <formula>70%</formula>
    </cfRule>
    <cfRule type="cellIs" dxfId="460" priority="50" operator="equal">
      <formula>0</formula>
    </cfRule>
  </conditionalFormatting>
  <conditionalFormatting sqref="W18">
    <cfRule type="cellIs" dxfId="459" priority="41" operator="greaterThan">
      <formula>110%</formula>
    </cfRule>
    <cfRule type="cellIs" dxfId="458" priority="42" operator="between">
      <formula>100.001%</formula>
      <formula>110%</formula>
    </cfRule>
    <cfRule type="cellIs" dxfId="457" priority="43" operator="between">
      <formula>70.001%</formula>
      <formula>100%</formula>
    </cfRule>
    <cfRule type="cellIs" dxfId="456" priority="44" operator="between">
      <formula>0.00001%</formula>
      <formula>70%</formula>
    </cfRule>
    <cfRule type="cellIs" dxfId="455" priority="45" operator="equal">
      <formula>0</formula>
    </cfRule>
  </conditionalFormatting>
  <conditionalFormatting sqref="Z18">
    <cfRule type="cellIs" dxfId="454" priority="36" operator="greaterThan">
      <formula>110%</formula>
    </cfRule>
    <cfRule type="cellIs" dxfId="453" priority="37" operator="between">
      <formula>100.001%</formula>
      <formula>110%</formula>
    </cfRule>
    <cfRule type="cellIs" dxfId="452" priority="38" operator="between">
      <formula>70.001%</formula>
      <formula>100%</formula>
    </cfRule>
    <cfRule type="cellIs" dxfId="451" priority="39" operator="between">
      <formula>0.00001%</formula>
      <formula>70%</formula>
    </cfRule>
    <cfRule type="cellIs" dxfId="450" priority="40" operator="equal">
      <formula>0</formula>
    </cfRule>
  </conditionalFormatting>
  <conditionalFormatting sqref="AC18">
    <cfRule type="cellIs" dxfId="449" priority="31" operator="greaterThan">
      <formula>110%</formula>
    </cfRule>
    <cfRule type="cellIs" dxfId="448" priority="32" operator="between">
      <formula>100.001%</formula>
      <formula>110%</formula>
    </cfRule>
    <cfRule type="cellIs" dxfId="447" priority="33" operator="between">
      <formula>70.001%</formula>
      <formula>100%</formula>
    </cfRule>
    <cfRule type="cellIs" dxfId="446" priority="34" operator="between">
      <formula>0.00001%</formula>
      <formula>70%</formula>
    </cfRule>
    <cfRule type="cellIs" dxfId="445" priority="35" operator="equal">
      <formula>0</formula>
    </cfRule>
  </conditionalFormatting>
  <conditionalFormatting sqref="AH18">
    <cfRule type="cellIs" dxfId="444" priority="26" operator="greaterThan">
      <formula>110%</formula>
    </cfRule>
    <cfRule type="cellIs" dxfId="443" priority="27" operator="between">
      <formula>100.001%</formula>
      <formula>110%</formula>
    </cfRule>
    <cfRule type="cellIs" dxfId="442" priority="28" operator="between">
      <formula>70.001%</formula>
      <formula>100%</formula>
    </cfRule>
    <cfRule type="cellIs" dxfId="441" priority="29" operator="between">
      <formula>0.00001%</formula>
      <formula>70%</formula>
    </cfRule>
    <cfRule type="cellIs" dxfId="440" priority="30" operator="equal">
      <formula>0</formula>
    </cfRule>
  </conditionalFormatting>
  <conditionalFormatting sqref="AK18">
    <cfRule type="cellIs" dxfId="439" priority="21" operator="greaterThan">
      <formula>110%</formula>
    </cfRule>
    <cfRule type="cellIs" dxfId="438" priority="22" operator="between">
      <formula>100.001%</formula>
      <formula>110%</formula>
    </cfRule>
    <cfRule type="cellIs" dxfId="437" priority="23" operator="between">
      <formula>70.001%</formula>
      <formula>100%</formula>
    </cfRule>
    <cfRule type="cellIs" dxfId="436" priority="24" operator="between">
      <formula>0.00001%</formula>
      <formula>70%</formula>
    </cfRule>
    <cfRule type="cellIs" dxfId="435" priority="25" operator="equal">
      <formula>0</formula>
    </cfRule>
  </conditionalFormatting>
  <conditionalFormatting sqref="AN18">
    <cfRule type="cellIs" dxfId="434" priority="16" operator="greaterThan">
      <formula>110%</formula>
    </cfRule>
    <cfRule type="cellIs" dxfId="433" priority="17" operator="between">
      <formula>100.001%</formula>
      <formula>110%</formula>
    </cfRule>
    <cfRule type="cellIs" dxfId="432" priority="18" operator="between">
      <formula>70.001%</formula>
      <formula>100%</formula>
    </cfRule>
    <cfRule type="cellIs" dxfId="431" priority="19" operator="between">
      <formula>0.00001%</formula>
      <formula>70%</formula>
    </cfRule>
    <cfRule type="cellIs" dxfId="430" priority="20" operator="equal">
      <formula>0</formula>
    </cfRule>
  </conditionalFormatting>
  <conditionalFormatting sqref="AQ18">
    <cfRule type="cellIs" dxfId="429" priority="11" operator="greaterThan">
      <formula>110%</formula>
    </cfRule>
    <cfRule type="cellIs" dxfId="428" priority="12" operator="between">
      <formula>100.001%</formula>
      <formula>110%</formula>
    </cfRule>
    <cfRule type="cellIs" dxfId="427" priority="13" operator="between">
      <formula>70.001%</formula>
      <formula>100%</formula>
    </cfRule>
    <cfRule type="cellIs" dxfId="426" priority="14" operator="between">
      <formula>0.00001%</formula>
      <formula>70%</formula>
    </cfRule>
    <cfRule type="cellIs" dxfId="425" priority="15" operator="equal">
      <formula>0</formula>
    </cfRule>
  </conditionalFormatting>
  <conditionalFormatting sqref="AT18">
    <cfRule type="cellIs" dxfId="424" priority="6" operator="greaterThan">
      <formula>110%</formula>
    </cfRule>
    <cfRule type="cellIs" dxfId="423" priority="7" operator="between">
      <formula>100.001%</formula>
      <formula>110%</formula>
    </cfRule>
    <cfRule type="cellIs" dxfId="422" priority="8" operator="between">
      <formula>70.001%</formula>
      <formula>100%</formula>
    </cfRule>
    <cfRule type="cellIs" dxfId="421" priority="9" operator="between">
      <formula>0.00001%</formula>
      <formula>70%</formula>
    </cfRule>
    <cfRule type="cellIs" dxfId="420" priority="10" operator="equal">
      <formula>0</formula>
    </cfRule>
  </conditionalFormatting>
  <conditionalFormatting sqref="AW18">
    <cfRule type="cellIs" dxfId="419" priority="1" operator="greaterThan">
      <formula>110%</formula>
    </cfRule>
    <cfRule type="cellIs" dxfId="418" priority="2" operator="between">
      <formula>100.001%</formula>
      <formula>110%</formula>
    </cfRule>
    <cfRule type="cellIs" dxfId="417" priority="3" operator="between">
      <formula>70.001%</formula>
      <formula>100%</formula>
    </cfRule>
    <cfRule type="cellIs" dxfId="416" priority="4" operator="between">
      <formula>0.00001%</formula>
      <formula>70%</formula>
    </cfRule>
    <cfRule type="cellIs" dxfId="415" priority="5" operator="equal">
      <formula>0</formula>
    </cfRule>
  </conditionalFormatting>
  <hyperlinks>
    <hyperlink ref="D9" location="'IN1-3'!A1" display="IN1-3 Recaudo Bruto" xr:uid="{00000000-0004-0000-2F00-000000000000}"/>
    <hyperlink ref="D10" location="'IN1-5'!A1" display="IN1-5  Inscritos en el Régimen Simple de Tributación - RST" xr:uid="{00000000-0004-0000-2F00-000001000000}"/>
    <hyperlink ref="D11" location="'IN1-6.1'!A1" display="IN1-6.1 Grado de cumplimiento del cronograma de campañas del RST" xr:uid="{00000000-0004-0000-2F00-000002000000}"/>
    <hyperlink ref="D12" location="'IN1-8'!A1" display="IN1-8 Contribuyentes habilitados como facturadores electrónicos" xr:uid="{00000000-0004-0000-2F00-000003000000}"/>
    <hyperlink ref="D13" location="'FIS-24'!A1" display="FIS-24 Valor Decomisos de mercancías en firme" xr:uid="{00000000-0004-0000-2F00-000004000000}"/>
    <hyperlink ref="D15" location="'IN1-11'!A1" display="IN1-11  Nivel de cobertura de personas sensibilizadas por el plan de cultura. ACTUALMENTE. Cumplimiento al Plan de Acción de Cultura de la Contribución" xr:uid="{00000000-0004-0000-2F00-000005000000}"/>
    <hyperlink ref="D16" location="'IN-15'!A1" display="IN1-15 Días en devoluciones ordinarias" xr:uid="{00000000-0004-0000-2F00-000006000000}"/>
    <hyperlink ref="D18" location="'DGRAE-25'!A1" display="DGRAE-25 Actividades que componen el  PIC para la Dirección de Gestión" xr:uid="{00000000-0004-0000-2F00-000007000000}"/>
    <hyperlink ref="AZ2" location="'Consolidado '!A1" display="VOLVER" xr:uid="{00000000-0004-0000-2F00-000008000000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A41"/>
  <sheetViews>
    <sheetView topLeftCell="D1" zoomScale="70" zoomScaleNormal="70" workbookViewId="0">
      <selection activeCell="AZ4" sqref="AZ4"/>
    </sheetView>
  </sheetViews>
  <sheetFormatPr baseColWidth="10" defaultColWidth="11.42578125" defaultRowHeight="18"/>
  <cols>
    <col min="1" max="1" width="18.85546875" style="1698" bestFit="1" customWidth="1"/>
    <col min="2" max="2" width="37" style="2765" customWidth="1"/>
    <col min="3" max="3" width="59.28515625" style="2283" bestFit="1" customWidth="1"/>
    <col min="4" max="4" width="25.85546875" style="1698" bestFit="1" customWidth="1"/>
    <col min="5" max="5" width="56.140625" style="1698" customWidth="1"/>
    <col min="6" max="6" width="23.85546875" style="1698" bestFit="1" customWidth="1"/>
    <col min="7" max="7" width="22.28515625" style="1698" bestFit="1" customWidth="1"/>
    <col min="8" max="9" width="10.7109375" style="8" hidden="1" customWidth="1"/>
    <col min="10" max="10" width="22.140625" style="8" hidden="1" customWidth="1"/>
    <col min="11" max="11" width="25.85546875" style="1698" customWidth="1"/>
    <col min="12" max="13" width="20.7109375" style="1698" hidden="1" customWidth="1"/>
    <col min="14" max="14" width="20.7109375" style="2766" hidden="1" customWidth="1"/>
    <col min="15" max="16" width="20.7109375" style="1698" hidden="1" customWidth="1"/>
    <col min="17" max="17" width="20.7109375" style="2766" hidden="1" customWidth="1"/>
    <col min="18" max="19" width="20.7109375" style="1698" hidden="1" customWidth="1"/>
    <col min="20" max="20" width="20.7109375" style="2766" hidden="1" customWidth="1"/>
    <col min="21" max="22" width="20.7109375" style="1698" hidden="1" customWidth="1"/>
    <col min="23" max="23" width="20.7109375" style="2766" hidden="1" customWidth="1"/>
    <col min="24" max="25" width="20.7109375" style="1698" hidden="1" customWidth="1"/>
    <col min="26" max="26" width="20.7109375" style="2766" hidden="1" customWidth="1"/>
    <col min="27" max="28" width="20.7109375" style="1698" hidden="1" customWidth="1"/>
    <col min="29" max="29" width="20.7109375" style="2766" hidden="1" customWidth="1"/>
    <col min="30" max="30" width="20.7109375" style="1698" hidden="1" customWidth="1"/>
    <col min="31" max="31" width="20.7109375" style="104" hidden="1" customWidth="1"/>
    <col min="32" max="33" width="20.7109375" style="1698" hidden="1" customWidth="1"/>
    <col min="34" max="34" width="20.7109375" style="2766" hidden="1" customWidth="1"/>
    <col min="35" max="36" width="20.7109375" style="1698" hidden="1" customWidth="1"/>
    <col min="37" max="37" width="20.7109375" style="2766" hidden="1" customWidth="1"/>
    <col min="38" max="39" width="20.7109375" style="1698" hidden="1" customWidth="1"/>
    <col min="40" max="40" width="20.7109375" style="2766" hidden="1" customWidth="1"/>
    <col min="41" max="42" width="20.7109375" style="1698" hidden="1" customWidth="1"/>
    <col min="43" max="43" width="20.7109375" style="2766" hidden="1" customWidth="1"/>
    <col min="44" max="45" width="20.7109375" style="1698" hidden="1" customWidth="1"/>
    <col min="46" max="46" width="20.7109375" style="2766" hidden="1" customWidth="1"/>
    <col min="47" max="48" width="20.7109375" style="1698" hidden="1" customWidth="1"/>
    <col min="49" max="49" width="20.7109375" style="2766" hidden="1" customWidth="1"/>
    <col min="50" max="50" width="20.7109375" style="1698" customWidth="1"/>
    <col min="51" max="51" width="12.7109375" style="2767" bestFit="1" customWidth="1"/>
    <col min="52" max="16384" width="11.42578125" style="1698"/>
  </cols>
  <sheetData>
    <row r="1" spans="1:53" s="2740" customFormat="1" ht="29.25" customHeight="1">
      <c r="A1" s="2739"/>
      <c r="B1" s="3056" t="s">
        <v>1103</v>
      </c>
      <c r="C1" s="3056"/>
      <c r="D1" s="3056"/>
      <c r="E1" s="3056"/>
      <c r="F1" s="3056"/>
      <c r="G1" s="3056"/>
      <c r="H1" s="3056"/>
      <c r="I1" s="3056"/>
      <c r="J1" s="3056"/>
      <c r="K1" s="3056"/>
      <c r="N1" s="103"/>
      <c r="Q1" s="103"/>
      <c r="T1" s="103"/>
      <c r="W1" s="103"/>
      <c r="Z1" s="103"/>
      <c r="AC1" s="103"/>
      <c r="AD1" s="2190"/>
      <c r="AE1" s="2741"/>
      <c r="AH1" s="103"/>
      <c r="AK1" s="103"/>
      <c r="AN1" s="103"/>
      <c r="AQ1" s="103"/>
      <c r="AT1" s="103"/>
      <c r="AW1" s="103"/>
      <c r="AY1" s="2768"/>
    </row>
    <row r="2" spans="1:53" s="2190" customFormat="1" ht="18.75" customHeight="1">
      <c r="A2" s="2628"/>
      <c r="B2" s="2628"/>
      <c r="C2" s="3002" t="s">
        <v>69</v>
      </c>
      <c r="D2" s="3002"/>
      <c r="E2" s="3002"/>
      <c r="F2" s="3002"/>
      <c r="G2" s="3002"/>
      <c r="H2" s="3002"/>
      <c r="I2" s="3002"/>
      <c r="J2" s="3002"/>
      <c r="K2" s="3002"/>
      <c r="N2" s="103"/>
      <c r="Q2" s="103"/>
      <c r="T2" s="103"/>
      <c r="W2" s="103"/>
      <c r="AE2" s="104"/>
      <c r="AY2" s="2770" t="s">
        <v>185</v>
      </c>
    </row>
    <row r="3" spans="1:53" s="2190" customFormat="1" ht="16.5">
      <c r="A3" s="10"/>
      <c r="B3" s="11"/>
      <c r="C3" s="2972" t="s">
        <v>1104</v>
      </c>
      <c r="D3" s="2973"/>
      <c r="E3" s="2973"/>
      <c r="F3" s="2973"/>
      <c r="G3" s="2973"/>
      <c r="H3" s="2973"/>
      <c r="I3" s="2973"/>
      <c r="J3" s="2973"/>
      <c r="K3" s="2973"/>
      <c r="N3" s="103"/>
      <c r="Q3" s="103"/>
      <c r="T3" s="103"/>
      <c r="W3" s="103"/>
      <c r="AE3" s="104"/>
      <c r="AY3" s="2769"/>
      <c r="AZ3" s="899"/>
      <c r="BA3" s="899"/>
    </row>
    <row r="4" spans="1:53" s="2190" customFormat="1" ht="24.75" customHeight="1" thickBot="1">
      <c r="A4" s="1052"/>
      <c r="B4" s="2026"/>
      <c r="C4" s="3003"/>
      <c r="D4" s="3003"/>
      <c r="E4" s="3003"/>
      <c r="F4" s="3003"/>
      <c r="G4" s="3003"/>
      <c r="H4" s="3003"/>
      <c r="I4" s="3003"/>
      <c r="J4" s="3003"/>
      <c r="K4" s="3003"/>
      <c r="N4" s="103"/>
      <c r="Q4" s="103"/>
      <c r="T4" s="103"/>
      <c r="W4" s="103"/>
      <c r="AE4" s="104"/>
      <c r="AY4" s="2769"/>
      <c r="AZ4" s="2771">
        <f>+(AY9+AY10+AY11+AY12+AY14+AY17)/6</f>
        <v>1.6050587172538391</v>
      </c>
      <c r="BA4" s="899"/>
    </row>
    <row r="5" spans="1:53" s="2190" customFormat="1" ht="16.5" customHeight="1" thickTop="1" thickBot="1">
      <c r="A5" s="3276" t="s">
        <v>0</v>
      </c>
      <c r="B5" s="3276" t="s">
        <v>969</v>
      </c>
      <c r="C5" s="3276" t="s">
        <v>1</v>
      </c>
      <c r="D5" s="3276" t="s">
        <v>2</v>
      </c>
      <c r="E5" s="3276" t="s">
        <v>19</v>
      </c>
      <c r="F5" s="3276" t="s">
        <v>3</v>
      </c>
      <c r="G5" s="3273" t="s">
        <v>4</v>
      </c>
      <c r="H5" s="2833" t="s">
        <v>161</v>
      </c>
      <c r="I5" s="2834"/>
      <c r="J5" s="2835"/>
      <c r="K5" s="3273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3103" t="s">
        <v>74</v>
      </c>
      <c r="Y5" s="3104"/>
      <c r="Z5" s="3004"/>
      <c r="AA5" s="2840" t="s">
        <v>75</v>
      </c>
      <c r="AB5" s="2841"/>
      <c r="AC5" s="3104"/>
      <c r="AD5" s="2840" t="s">
        <v>188</v>
      </c>
      <c r="AE5" s="2841"/>
      <c r="AF5" s="2840" t="s">
        <v>76</v>
      </c>
      <c r="AG5" s="2841"/>
      <c r="AH5" s="3004"/>
      <c r="AI5" s="2840" t="s">
        <v>77</v>
      </c>
      <c r="AJ5" s="2841"/>
      <c r="AK5" s="3004"/>
      <c r="AL5" s="2840" t="s">
        <v>78</v>
      </c>
      <c r="AM5" s="2841"/>
      <c r="AN5" s="3004"/>
      <c r="AO5" s="2840" t="s">
        <v>79</v>
      </c>
      <c r="AP5" s="2841"/>
      <c r="AQ5" s="3004"/>
      <c r="AR5" s="2840" t="s">
        <v>80</v>
      </c>
      <c r="AS5" s="2841"/>
      <c r="AT5" s="3004"/>
      <c r="AU5" s="2840" t="s">
        <v>81</v>
      </c>
      <c r="AV5" s="2841"/>
      <c r="AW5" s="3004"/>
      <c r="AX5" s="2840" t="s">
        <v>397</v>
      </c>
      <c r="AY5" s="2841"/>
      <c r="AZ5" s="899"/>
      <c r="BA5" s="899"/>
    </row>
    <row r="6" spans="1:53" s="2190" customFormat="1" ht="18" customHeight="1" thickTop="1" thickBot="1">
      <c r="A6" s="3276"/>
      <c r="B6" s="3276"/>
      <c r="C6" s="3276"/>
      <c r="D6" s="3276"/>
      <c r="E6" s="3276"/>
      <c r="F6" s="3276"/>
      <c r="G6" s="3274"/>
      <c r="H6" s="2836"/>
      <c r="I6" s="2837"/>
      <c r="J6" s="2838"/>
      <c r="K6" s="3274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3103"/>
      <c r="Y6" s="3104"/>
      <c r="Z6" s="3004"/>
      <c r="AA6" s="2840"/>
      <c r="AB6" s="2841"/>
      <c r="AC6" s="3104"/>
      <c r="AD6" s="2840"/>
      <c r="AE6" s="2841"/>
      <c r="AF6" s="2840"/>
      <c r="AG6" s="2841"/>
      <c r="AH6" s="3004"/>
      <c r="AI6" s="2840"/>
      <c r="AJ6" s="2841"/>
      <c r="AK6" s="3004"/>
      <c r="AL6" s="2840"/>
      <c r="AM6" s="2841"/>
      <c r="AN6" s="3004"/>
      <c r="AO6" s="2840"/>
      <c r="AP6" s="2841"/>
      <c r="AQ6" s="3004"/>
      <c r="AR6" s="2840"/>
      <c r="AS6" s="2841"/>
      <c r="AT6" s="3004"/>
      <c r="AU6" s="2840"/>
      <c r="AV6" s="2841"/>
      <c r="AW6" s="3004"/>
      <c r="AX6" s="2840"/>
      <c r="AY6" s="2841"/>
      <c r="AZ6" s="899"/>
      <c r="BA6" s="899"/>
    </row>
    <row r="7" spans="1:53" s="2191" customFormat="1" ht="18.75" thickTop="1" thickBot="1">
      <c r="A7" s="3276"/>
      <c r="B7" s="3276"/>
      <c r="C7" s="3276"/>
      <c r="D7" s="3276"/>
      <c r="E7" s="3276"/>
      <c r="F7" s="3276"/>
      <c r="G7" s="3275"/>
      <c r="H7" s="68" t="s">
        <v>162</v>
      </c>
      <c r="I7" s="68" t="s">
        <v>163</v>
      </c>
      <c r="J7" s="68" t="s">
        <v>164</v>
      </c>
      <c r="K7" s="3275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3105"/>
      <c r="Y7" s="3106"/>
      <c r="Z7" s="3005"/>
      <c r="AA7" s="2836"/>
      <c r="AB7" s="2837"/>
      <c r="AC7" s="3106"/>
      <c r="AD7" s="2836"/>
      <c r="AE7" s="2837"/>
      <c r="AF7" s="2836"/>
      <c r="AG7" s="2837"/>
      <c r="AH7" s="3005"/>
      <c r="AI7" s="2836"/>
      <c r="AJ7" s="2837"/>
      <c r="AK7" s="3005"/>
      <c r="AL7" s="2836"/>
      <c r="AM7" s="2837"/>
      <c r="AN7" s="3005"/>
      <c r="AO7" s="2836"/>
      <c r="AP7" s="2837"/>
      <c r="AQ7" s="3005"/>
      <c r="AR7" s="2836"/>
      <c r="AS7" s="2837"/>
      <c r="AT7" s="3005"/>
      <c r="AU7" s="2836"/>
      <c r="AV7" s="2837"/>
      <c r="AW7" s="3005"/>
      <c r="AX7" s="2840"/>
      <c r="AY7" s="2841"/>
      <c r="AZ7" s="2285"/>
      <c r="BA7" s="2285"/>
    </row>
    <row r="8" spans="1:53" s="2188" customFormat="1" ht="29.25" customHeight="1" thickTop="1" thickBot="1">
      <c r="A8" s="2907" t="s">
        <v>83</v>
      </c>
      <c r="B8" s="2907"/>
      <c r="C8" s="2907"/>
      <c r="D8" s="2907"/>
      <c r="E8" s="2907"/>
      <c r="F8" s="2907"/>
      <c r="G8" s="2907"/>
      <c r="H8" s="2907"/>
      <c r="I8" s="2907"/>
      <c r="J8" s="2907"/>
      <c r="K8" s="2907"/>
      <c r="L8" s="14" t="s">
        <v>84</v>
      </c>
      <c r="M8" s="14" t="s">
        <v>85</v>
      </c>
      <c r="N8" s="71" t="s">
        <v>86</v>
      </c>
      <c r="O8" s="14" t="s">
        <v>84</v>
      </c>
      <c r="P8" s="14" t="s">
        <v>85</v>
      </c>
      <c r="Q8" s="71" t="s">
        <v>86</v>
      </c>
      <c r="R8" s="14" t="s">
        <v>84</v>
      </c>
      <c r="S8" s="14" t="s">
        <v>85</v>
      </c>
      <c r="T8" s="71" t="s">
        <v>86</v>
      </c>
      <c r="U8" s="14" t="s">
        <v>84</v>
      </c>
      <c r="V8" s="14" t="s">
        <v>85</v>
      </c>
      <c r="W8" s="71" t="s">
        <v>86</v>
      </c>
      <c r="X8" s="14" t="s">
        <v>84</v>
      </c>
      <c r="Y8" s="14" t="s">
        <v>85</v>
      </c>
      <c r="Z8" s="71" t="s">
        <v>86</v>
      </c>
      <c r="AA8" s="14" t="s">
        <v>84</v>
      </c>
      <c r="AB8" s="14" t="s">
        <v>85</v>
      </c>
      <c r="AC8" s="71" t="s">
        <v>86</v>
      </c>
      <c r="AD8" s="16" t="s">
        <v>87</v>
      </c>
      <c r="AE8" s="71" t="s">
        <v>6</v>
      </c>
      <c r="AF8" s="14" t="s">
        <v>84</v>
      </c>
      <c r="AG8" s="14" t="s">
        <v>85</v>
      </c>
      <c r="AH8" s="71" t="s">
        <v>86</v>
      </c>
      <c r="AI8" s="14" t="s">
        <v>84</v>
      </c>
      <c r="AJ8" s="14" t="s">
        <v>85</v>
      </c>
      <c r="AK8" s="71" t="s">
        <v>86</v>
      </c>
      <c r="AL8" s="14" t="s">
        <v>84</v>
      </c>
      <c r="AM8" s="14" t="s">
        <v>85</v>
      </c>
      <c r="AN8" s="71" t="s">
        <v>86</v>
      </c>
      <c r="AO8" s="14" t="s">
        <v>84</v>
      </c>
      <c r="AP8" s="14" t="s">
        <v>85</v>
      </c>
      <c r="AQ8" s="71" t="s">
        <v>86</v>
      </c>
      <c r="AR8" s="14" t="s">
        <v>84</v>
      </c>
      <c r="AS8" s="14" t="s">
        <v>85</v>
      </c>
      <c r="AT8" s="71" t="s">
        <v>86</v>
      </c>
      <c r="AU8" s="14" t="s">
        <v>84</v>
      </c>
      <c r="AV8" s="14" t="s">
        <v>85</v>
      </c>
      <c r="AW8" s="71" t="s">
        <v>86</v>
      </c>
      <c r="AX8" s="14" t="s">
        <v>87</v>
      </c>
      <c r="AY8" s="110" t="s">
        <v>6</v>
      </c>
      <c r="AZ8" s="2286"/>
      <c r="BA8" s="2286"/>
    </row>
    <row r="9" spans="1:53" s="2188" customFormat="1" ht="54.75" customHeight="1" thickTop="1" thickBot="1">
      <c r="A9" s="2870" t="s">
        <v>88</v>
      </c>
      <c r="B9" s="3029" t="s">
        <v>971</v>
      </c>
      <c r="C9" s="74" t="s">
        <v>1105</v>
      </c>
      <c r="D9" s="111" t="s">
        <v>96</v>
      </c>
      <c r="E9" s="74" t="s">
        <v>97</v>
      </c>
      <c r="F9" s="74" t="s">
        <v>300</v>
      </c>
      <c r="G9" s="2742">
        <v>17460</v>
      </c>
      <c r="H9" s="126"/>
      <c r="I9" s="952"/>
      <c r="J9" s="126"/>
      <c r="K9" s="74" t="s">
        <v>20</v>
      </c>
      <c r="L9" s="2743" t="s">
        <v>98</v>
      </c>
      <c r="M9" s="954">
        <v>3427</v>
      </c>
      <c r="N9" s="1606" t="e">
        <f>+M9/L9</f>
        <v>#VALUE!</v>
      </c>
      <c r="O9" s="2743">
        <v>0</v>
      </c>
      <c r="P9" s="954">
        <v>574</v>
      </c>
      <c r="Q9" s="1606" t="e">
        <f>+P9/O9</f>
        <v>#DIV/0!</v>
      </c>
      <c r="R9" s="2743">
        <v>0</v>
      </c>
      <c r="S9" s="954">
        <v>750</v>
      </c>
      <c r="T9" s="1606" t="e">
        <f>+S9/R9</f>
        <v>#DIV/0!</v>
      </c>
      <c r="U9" s="2743">
        <v>0</v>
      </c>
      <c r="V9" s="954">
        <v>846</v>
      </c>
      <c r="W9" s="1606" t="e">
        <f>+V9/U9</f>
        <v>#DIV/0!</v>
      </c>
      <c r="X9" s="2743">
        <v>0</v>
      </c>
      <c r="Y9" s="954">
        <v>1393</v>
      </c>
      <c r="Z9" s="1606" t="e">
        <f>+Y9/X9</f>
        <v>#DIV/0!</v>
      </c>
      <c r="AA9" s="2743">
        <v>0</v>
      </c>
      <c r="AB9" s="954">
        <v>824</v>
      </c>
      <c r="AC9" s="1606" t="e">
        <f>+AB9/AA9</f>
        <v>#DIV/0!</v>
      </c>
      <c r="AD9" s="2744">
        <f>+M9+P9+S9+V9+Y9+AB9</f>
        <v>7814</v>
      </c>
      <c r="AE9" s="73">
        <f>+AD9/G9</f>
        <v>0.4475372279495991</v>
      </c>
      <c r="AF9" s="2743">
        <v>0</v>
      </c>
      <c r="AG9" s="954">
        <v>1393</v>
      </c>
      <c r="AH9" s="1606" t="e">
        <f>+AG9/AF9</f>
        <v>#DIV/0!</v>
      </c>
      <c r="AI9" s="2743">
        <v>0</v>
      </c>
      <c r="AJ9" s="954">
        <v>1424</v>
      </c>
      <c r="AK9" s="1606" t="e">
        <f>+AJ9/AI9</f>
        <v>#DIV/0!</v>
      </c>
      <c r="AL9" s="2743">
        <v>0</v>
      </c>
      <c r="AM9" s="954">
        <v>2142</v>
      </c>
      <c r="AN9" s="1606" t="e">
        <f>+AM9/AL9</f>
        <v>#DIV/0!</v>
      </c>
      <c r="AO9" s="2743">
        <v>0</v>
      </c>
      <c r="AP9" s="954">
        <v>1864</v>
      </c>
      <c r="AQ9" s="1606" t="e">
        <f>+AP9/AO9</f>
        <v>#DIV/0!</v>
      </c>
      <c r="AR9" s="2743">
        <v>0</v>
      </c>
      <c r="AS9" s="954">
        <v>1468</v>
      </c>
      <c r="AT9" s="1606" t="e">
        <f>+AS9/AR9</f>
        <v>#DIV/0!</v>
      </c>
      <c r="AU9" s="2743">
        <v>0</v>
      </c>
      <c r="AV9" s="954">
        <v>1355</v>
      </c>
      <c r="AW9" s="1606" t="e">
        <f>+AV9/AU9</f>
        <v>#DIV/0!</v>
      </c>
      <c r="AX9" s="2745">
        <v>17460</v>
      </c>
      <c r="AY9" s="73">
        <f>+AX9/G9</f>
        <v>1</v>
      </c>
    </row>
    <row r="10" spans="1:53" s="2188" customFormat="1" ht="77.25" customHeight="1" thickTop="1" thickBot="1">
      <c r="A10" s="2870"/>
      <c r="B10" s="3030"/>
      <c r="C10" s="133" t="s">
        <v>1106</v>
      </c>
      <c r="D10" s="171" t="s">
        <v>114</v>
      </c>
      <c r="E10" s="133" t="s">
        <v>115</v>
      </c>
      <c r="F10" s="133" t="s">
        <v>10</v>
      </c>
      <c r="G10" s="1028">
        <v>1</v>
      </c>
      <c r="H10" s="130"/>
      <c r="I10" s="960"/>
      <c r="J10" s="130"/>
      <c r="K10" s="133" t="s">
        <v>20</v>
      </c>
      <c r="L10" s="2746">
        <v>0</v>
      </c>
      <c r="M10" s="527"/>
      <c r="N10" s="1606" t="e">
        <f t="shared" ref="N10:N14" si="0">+M10/L10</f>
        <v>#DIV/0!</v>
      </c>
      <c r="O10" s="2746">
        <v>0</v>
      </c>
      <c r="P10" s="527"/>
      <c r="Q10" s="1606" t="e">
        <f t="shared" ref="Q10:Q14" si="1">+P10/O10</f>
        <v>#DIV/0!</v>
      </c>
      <c r="R10" s="2746">
        <v>0.25</v>
      </c>
      <c r="S10" s="527">
        <v>0.25</v>
      </c>
      <c r="T10" s="73">
        <f t="shared" ref="T10:T14" si="2">+S10/R10</f>
        <v>1</v>
      </c>
      <c r="U10" s="2746">
        <v>0</v>
      </c>
      <c r="V10" s="527"/>
      <c r="W10" s="1606" t="e">
        <f t="shared" ref="W10:W14" si="3">+V10/U10</f>
        <v>#DIV/0!</v>
      </c>
      <c r="X10" s="2746">
        <v>0</v>
      </c>
      <c r="Y10" s="527"/>
      <c r="Z10" s="1606" t="e">
        <f t="shared" ref="Z10:Z14" si="4">+Y10/X10</f>
        <v>#DIV/0!</v>
      </c>
      <c r="AA10" s="2746">
        <v>0.25</v>
      </c>
      <c r="AB10" s="527">
        <v>0.25</v>
      </c>
      <c r="AC10" s="73">
        <f t="shared" ref="AC10:AC14" si="5">+AB10/AA10</f>
        <v>1</v>
      </c>
      <c r="AD10" s="2747">
        <f>+AB10+S10</f>
        <v>0.5</v>
      </c>
      <c r="AE10" s="73">
        <f t="shared" ref="AE10:AE14" si="6">+AD10/G10</f>
        <v>0.5</v>
      </c>
      <c r="AF10" s="2746">
        <v>0</v>
      </c>
      <c r="AG10" s="527"/>
      <c r="AH10" s="1606" t="e">
        <f t="shared" ref="AH10:AH14" si="7">+AG10/AF10</f>
        <v>#DIV/0!</v>
      </c>
      <c r="AI10" s="2746">
        <v>0</v>
      </c>
      <c r="AJ10" s="527"/>
      <c r="AK10" s="1606" t="e">
        <f t="shared" ref="AK10:AK14" si="8">+AJ10/AI10</f>
        <v>#DIV/0!</v>
      </c>
      <c r="AL10" s="2746">
        <v>0.25</v>
      </c>
      <c r="AM10" s="527">
        <v>0.25</v>
      </c>
      <c r="AN10" s="73">
        <f t="shared" ref="AN10:AN14" si="9">+AM10/AL10</f>
        <v>1</v>
      </c>
      <c r="AO10" s="2748">
        <v>0</v>
      </c>
      <c r="AP10" s="528"/>
      <c r="AQ10" s="1606" t="e">
        <f t="shared" ref="AQ10:AQ14" si="10">+AP10/AO10</f>
        <v>#DIV/0!</v>
      </c>
      <c r="AR10" s="2748">
        <v>0</v>
      </c>
      <c r="AS10" s="528"/>
      <c r="AT10" s="1606" t="e">
        <f t="shared" ref="AT10:AT14" si="11">+AS10/AR10</f>
        <v>#DIV/0!</v>
      </c>
      <c r="AU10" s="2746">
        <v>0.25</v>
      </c>
      <c r="AV10" s="527">
        <v>0.25</v>
      </c>
      <c r="AW10" s="73">
        <f t="shared" ref="AW10:AW14" si="12">+AV10/AU10</f>
        <v>1</v>
      </c>
      <c r="AX10" s="526">
        <f>AV10+AM10+AB10+S10</f>
        <v>1</v>
      </c>
      <c r="AY10" s="73">
        <f t="shared" ref="AY10:AY14" si="13">+AX10/G10</f>
        <v>1</v>
      </c>
    </row>
    <row r="11" spans="1:53" s="2188" customFormat="1" ht="77.25" customHeight="1" thickTop="1" thickBot="1">
      <c r="A11" s="2870"/>
      <c r="B11" s="3030"/>
      <c r="C11" s="74" t="s">
        <v>1107</v>
      </c>
      <c r="D11" s="111" t="s">
        <v>116</v>
      </c>
      <c r="E11" s="74" t="s">
        <v>1108</v>
      </c>
      <c r="F11" s="74" t="s">
        <v>17</v>
      </c>
      <c r="G11" s="1181">
        <v>369</v>
      </c>
      <c r="H11" s="133"/>
      <c r="I11" s="133"/>
      <c r="J11" s="133"/>
      <c r="K11" s="74" t="s">
        <v>118</v>
      </c>
      <c r="L11" s="2749">
        <v>0</v>
      </c>
      <c r="M11" s="2750"/>
      <c r="N11" s="1606" t="e">
        <f t="shared" si="0"/>
        <v>#DIV/0!</v>
      </c>
      <c r="O11" s="2749">
        <v>0</v>
      </c>
      <c r="P11" s="2750"/>
      <c r="Q11" s="1606" t="e">
        <f t="shared" si="1"/>
        <v>#DIV/0!</v>
      </c>
      <c r="R11" s="2749">
        <v>70</v>
      </c>
      <c r="S11" s="2750"/>
      <c r="T11" s="1606">
        <f t="shared" si="2"/>
        <v>0</v>
      </c>
      <c r="U11" s="2749">
        <v>57</v>
      </c>
      <c r="V11" s="2750"/>
      <c r="W11" s="1606">
        <f t="shared" si="3"/>
        <v>0</v>
      </c>
      <c r="X11" s="2749">
        <v>17</v>
      </c>
      <c r="Y11" s="2750"/>
      <c r="Z11" s="1606">
        <f t="shared" si="4"/>
        <v>0</v>
      </c>
      <c r="AA11" s="2749">
        <v>19</v>
      </c>
      <c r="AB11" s="2750"/>
      <c r="AC11" s="1606">
        <f t="shared" si="5"/>
        <v>0</v>
      </c>
      <c r="AD11" s="2751">
        <f>V11+Y11+AB11+S11</f>
        <v>0</v>
      </c>
      <c r="AE11" s="73">
        <f t="shared" si="6"/>
        <v>0</v>
      </c>
      <c r="AF11" s="2749">
        <v>34</v>
      </c>
      <c r="AG11" s="2750"/>
      <c r="AH11" s="1606">
        <f t="shared" si="7"/>
        <v>0</v>
      </c>
      <c r="AI11" s="2749">
        <v>52</v>
      </c>
      <c r="AJ11" s="2750"/>
      <c r="AK11" s="1606">
        <f t="shared" si="8"/>
        <v>0</v>
      </c>
      <c r="AL11" s="2749">
        <v>71</v>
      </c>
      <c r="AM11" s="2750"/>
      <c r="AN11" s="1606">
        <f t="shared" si="9"/>
        <v>0</v>
      </c>
      <c r="AO11" s="2749">
        <v>28</v>
      </c>
      <c r="AP11" s="2750"/>
      <c r="AQ11" s="1606">
        <f t="shared" si="10"/>
        <v>0</v>
      </c>
      <c r="AR11" s="2749">
        <v>19</v>
      </c>
      <c r="AS11" s="2750">
        <v>386</v>
      </c>
      <c r="AT11" s="1606">
        <f t="shared" si="11"/>
        <v>20.315789473684209</v>
      </c>
      <c r="AU11" s="2749">
        <v>2</v>
      </c>
      <c r="AV11" s="2750">
        <v>68</v>
      </c>
      <c r="AW11" s="1606">
        <f t="shared" si="12"/>
        <v>34</v>
      </c>
      <c r="AX11" s="2752">
        <f>V11+Y11+AB11+AG11+AJ11+AM11+AP11+AS11+AV11+S11</f>
        <v>454</v>
      </c>
      <c r="AY11" s="73">
        <f t="shared" si="13"/>
        <v>1.2303523035230353</v>
      </c>
    </row>
    <row r="12" spans="1:53" s="2188" customFormat="1" ht="92.25" customHeight="1" thickTop="1" thickBot="1">
      <c r="A12" s="2870"/>
      <c r="B12" s="3031"/>
      <c r="C12" s="133" t="s">
        <v>1109</v>
      </c>
      <c r="D12" s="171" t="s">
        <v>111</v>
      </c>
      <c r="E12" s="133" t="s">
        <v>112</v>
      </c>
      <c r="F12" s="133" t="s">
        <v>17</v>
      </c>
      <c r="G12" s="1183">
        <v>30</v>
      </c>
      <c r="H12" s="130"/>
      <c r="I12" s="965"/>
      <c r="J12" s="130"/>
      <c r="K12" s="133" t="s">
        <v>20</v>
      </c>
      <c r="L12" s="2753">
        <v>0</v>
      </c>
      <c r="M12" s="496"/>
      <c r="N12" s="1606" t="e">
        <f t="shared" si="0"/>
        <v>#DIV/0!</v>
      </c>
      <c r="O12" s="2753">
        <v>0</v>
      </c>
      <c r="P12" s="496"/>
      <c r="Q12" s="1606" t="e">
        <f t="shared" si="1"/>
        <v>#DIV/0!</v>
      </c>
      <c r="R12" s="2753">
        <v>0</v>
      </c>
      <c r="S12" s="496"/>
      <c r="T12" s="1606" t="e">
        <f t="shared" si="2"/>
        <v>#DIV/0!</v>
      </c>
      <c r="U12" s="2753">
        <v>0</v>
      </c>
      <c r="V12" s="496"/>
      <c r="W12" s="1606" t="e">
        <f t="shared" si="3"/>
        <v>#DIV/0!</v>
      </c>
      <c r="X12" s="2753">
        <v>0</v>
      </c>
      <c r="Y12" s="496"/>
      <c r="Z12" s="1606" t="e">
        <f t="shared" si="4"/>
        <v>#DIV/0!</v>
      </c>
      <c r="AA12" s="2753">
        <v>0</v>
      </c>
      <c r="AB12" s="496"/>
      <c r="AC12" s="1606" t="e">
        <f t="shared" si="5"/>
        <v>#DIV/0!</v>
      </c>
      <c r="AD12" s="2754">
        <f>V12+Y12+AB12+S12</f>
        <v>0</v>
      </c>
      <c r="AE12" s="73">
        <f t="shared" si="6"/>
        <v>0</v>
      </c>
      <c r="AF12" s="2753">
        <v>0</v>
      </c>
      <c r="AG12" s="496"/>
      <c r="AH12" s="1606" t="e">
        <f t="shared" si="7"/>
        <v>#DIV/0!</v>
      </c>
      <c r="AI12" s="2753">
        <v>0</v>
      </c>
      <c r="AJ12" s="496"/>
      <c r="AK12" s="1606" t="e">
        <f t="shared" si="8"/>
        <v>#DIV/0!</v>
      </c>
      <c r="AL12" s="2753">
        <v>0</v>
      </c>
      <c r="AM12" s="496"/>
      <c r="AN12" s="1606" t="e">
        <f t="shared" si="9"/>
        <v>#DIV/0!</v>
      </c>
      <c r="AO12" s="2753">
        <v>30</v>
      </c>
      <c r="AP12" s="496">
        <v>33</v>
      </c>
      <c r="AQ12" s="1606">
        <f t="shared" si="10"/>
        <v>1.1000000000000001</v>
      </c>
      <c r="AR12" s="2753">
        <v>0</v>
      </c>
      <c r="AS12" s="496">
        <v>8</v>
      </c>
      <c r="AT12" s="1606" t="e">
        <f t="shared" si="11"/>
        <v>#DIV/0!</v>
      </c>
      <c r="AU12" s="2753">
        <v>0</v>
      </c>
      <c r="AV12" s="496">
        <v>1</v>
      </c>
      <c r="AW12" s="2755" t="e">
        <f>+AV12/AU12</f>
        <v>#DIV/0!</v>
      </c>
      <c r="AX12" s="514">
        <f>S12+V12+Y12+AB12+AG12+AJ12+AM12+AP12+AS12+AV12</f>
        <v>42</v>
      </c>
      <c r="AY12" s="73">
        <f t="shared" si="13"/>
        <v>1.4</v>
      </c>
    </row>
    <row r="13" spans="1:53" s="2188" customFormat="1" ht="22.5" thickTop="1" thickBot="1">
      <c r="A13" s="3190" t="s">
        <v>141</v>
      </c>
      <c r="B13" s="3270"/>
      <c r="C13" s="3190"/>
      <c r="D13" s="3190"/>
      <c r="E13" s="3190"/>
      <c r="F13" s="3190"/>
      <c r="G13" s="3190"/>
      <c r="H13" s="3190"/>
      <c r="I13" s="3190"/>
      <c r="J13" s="3190"/>
      <c r="K13" s="3190"/>
      <c r="L13" s="55"/>
      <c r="M13" s="56"/>
      <c r="N13" s="56"/>
      <c r="O13" s="55"/>
      <c r="P13" s="56"/>
      <c r="Q13" s="56"/>
      <c r="R13" s="55"/>
      <c r="S13" s="56"/>
      <c r="T13" s="56"/>
      <c r="U13" s="55"/>
      <c r="V13" s="56"/>
      <c r="W13" s="56"/>
      <c r="X13" s="55"/>
      <c r="Y13" s="56"/>
      <c r="Z13" s="56"/>
      <c r="AA13" s="55"/>
      <c r="AB13" s="56"/>
      <c r="AC13" s="56"/>
      <c r="AD13" s="55"/>
      <c r="AE13" s="55"/>
      <c r="AF13" s="55"/>
      <c r="AG13" s="56"/>
      <c r="AH13" s="56"/>
      <c r="AI13" s="55"/>
      <c r="AJ13" s="56"/>
      <c r="AK13" s="56"/>
      <c r="AL13" s="55"/>
      <c r="AM13" s="56"/>
      <c r="AN13" s="56"/>
      <c r="AO13" s="55"/>
      <c r="AP13" s="56"/>
      <c r="AQ13" s="56"/>
      <c r="AR13" s="55"/>
      <c r="AS13" s="56"/>
      <c r="AT13" s="56"/>
      <c r="AU13" s="55"/>
      <c r="AV13" s="56"/>
      <c r="AW13" s="56"/>
      <c r="AX13" s="55"/>
      <c r="AY13" s="55"/>
    </row>
    <row r="14" spans="1:53" s="2188" customFormat="1" ht="143.25" customHeight="1" thickTop="1" thickBot="1">
      <c r="A14" s="3271" t="s">
        <v>181</v>
      </c>
      <c r="B14" s="537" t="s">
        <v>314</v>
      </c>
      <c r="C14" s="2756" t="s">
        <v>1110</v>
      </c>
      <c r="D14" s="2757" t="s">
        <v>144</v>
      </c>
      <c r="E14" s="2758" t="s">
        <v>633</v>
      </c>
      <c r="F14" s="2758" t="s">
        <v>17</v>
      </c>
      <c r="G14" s="2759">
        <v>1</v>
      </c>
      <c r="H14" s="130"/>
      <c r="I14" s="965"/>
      <c r="J14" s="130"/>
      <c r="K14" s="2758" t="s">
        <v>146</v>
      </c>
      <c r="L14" s="514">
        <v>0</v>
      </c>
      <c r="M14" s="496"/>
      <c r="N14" s="1606" t="e">
        <f t="shared" si="0"/>
        <v>#DIV/0!</v>
      </c>
      <c r="O14" s="514">
        <v>0</v>
      </c>
      <c r="P14" s="496"/>
      <c r="Q14" s="1606" t="e">
        <f t="shared" si="1"/>
        <v>#DIV/0!</v>
      </c>
      <c r="R14" s="514">
        <v>0</v>
      </c>
      <c r="S14" s="496"/>
      <c r="T14" s="1606" t="e">
        <f t="shared" si="2"/>
        <v>#DIV/0!</v>
      </c>
      <c r="U14" s="514">
        <v>0</v>
      </c>
      <c r="V14" s="496"/>
      <c r="W14" s="1606" t="e">
        <f t="shared" si="3"/>
        <v>#DIV/0!</v>
      </c>
      <c r="X14" s="514">
        <v>0</v>
      </c>
      <c r="Y14" s="496"/>
      <c r="Z14" s="1606" t="e">
        <f t="shared" si="4"/>
        <v>#DIV/0!</v>
      </c>
      <c r="AA14" s="514">
        <v>0</v>
      </c>
      <c r="AB14" s="496"/>
      <c r="AC14" s="1606" t="e">
        <f t="shared" si="5"/>
        <v>#DIV/0!</v>
      </c>
      <c r="AD14" s="782">
        <f t="shared" ref="AD14" si="14">+M14+P14+S14+V14+Y14+AB14</f>
        <v>0</v>
      </c>
      <c r="AE14" s="73">
        <f t="shared" si="6"/>
        <v>0</v>
      </c>
      <c r="AF14" s="514">
        <v>0</v>
      </c>
      <c r="AG14" s="496"/>
      <c r="AH14" s="1606" t="e">
        <f t="shared" si="7"/>
        <v>#DIV/0!</v>
      </c>
      <c r="AI14" s="514">
        <v>0</v>
      </c>
      <c r="AJ14" s="496"/>
      <c r="AK14" s="1606" t="e">
        <f t="shared" si="8"/>
        <v>#DIV/0!</v>
      </c>
      <c r="AL14" s="514">
        <v>0</v>
      </c>
      <c r="AM14" s="496"/>
      <c r="AN14" s="1606" t="e">
        <f t="shared" si="9"/>
        <v>#DIV/0!</v>
      </c>
      <c r="AO14" s="514">
        <v>0</v>
      </c>
      <c r="AP14" s="496"/>
      <c r="AQ14" s="1606" t="e">
        <f t="shared" si="10"/>
        <v>#DIV/0!</v>
      </c>
      <c r="AR14" s="514">
        <v>0</v>
      </c>
      <c r="AS14" s="496"/>
      <c r="AT14" s="1606" t="e">
        <f t="shared" si="11"/>
        <v>#DIV/0!</v>
      </c>
      <c r="AU14" s="514">
        <v>1</v>
      </c>
      <c r="AV14" s="496">
        <v>4</v>
      </c>
      <c r="AW14" s="1606">
        <f t="shared" si="12"/>
        <v>4</v>
      </c>
      <c r="AX14" s="2760">
        <f t="shared" ref="AX14" si="15">+M14+P14+S14+V14+Y14+AB14+AG14+AJ14+AM14+AP14+AS14+AV14</f>
        <v>4</v>
      </c>
      <c r="AY14" s="73">
        <f t="shared" si="13"/>
        <v>4</v>
      </c>
    </row>
    <row r="15" spans="1:53" s="2188" customFormat="1" ht="109.5" customHeight="1" thickTop="1" thickBot="1">
      <c r="A15" s="3272"/>
      <c r="B15" s="2761" t="s">
        <v>150</v>
      </c>
      <c r="C15" s="2762" t="s">
        <v>1111</v>
      </c>
      <c r="D15" s="111" t="s">
        <v>319</v>
      </c>
      <c r="E15" s="74" t="s">
        <v>339</v>
      </c>
      <c r="F15" s="74" t="s">
        <v>17</v>
      </c>
      <c r="G15" s="1181">
        <v>37</v>
      </c>
      <c r="H15" s="133"/>
      <c r="I15" s="133"/>
      <c r="J15" s="133"/>
      <c r="K15" s="74" t="s">
        <v>361</v>
      </c>
      <c r="L15" s="119">
        <v>0</v>
      </c>
      <c r="M15" s="120"/>
      <c r="N15" s="1606" t="e">
        <f>+L15/M15</f>
        <v>#DIV/0!</v>
      </c>
      <c r="O15" s="119">
        <v>0</v>
      </c>
      <c r="P15" s="120"/>
      <c r="Q15" s="1606" t="e">
        <f>+O15/P15</f>
        <v>#DIV/0!</v>
      </c>
      <c r="R15" s="119">
        <v>37</v>
      </c>
      <c r="S15" s="120"/>
      <c r="T15" s="1606" t="e">
        <f>+R15/S15</f>
        <v>#DIV/0!</v>
      </c>
      <c r="U15" s="119">
        <v>37</v>
      </c>
      <c r="V15" s="120"/>
      <c r="W15" s="1606" t="e">
        <f>+U15/V15</f>
        <v>#DIV/0!</v>
      </c>
      <c r="X15" s="119">
        <v>37</v>
      </c>
      <c r="Y15" s="120"/>
      <c r="Z15" s="1606" t="e">
        <f>+X15/Y15</f>
        <v>#DIV/0!</v>
      </c>
      <c r="AA15" s="119">
        <v>37</v>
      </c>
      <c r="AB15" s="120"/>
      <c r="AC15" s="1606" t="e">
        <f>+AA15/AB15</f>
        <v>#DIV/0!</v>
      </c>
      <c r="AD15" s="870">
        <f>(S15+V15+Y15+AB15)/4</f>
        <v>0</v>
      </c>
      <c r="AE15" s="1606" t="e">
        <f>G15/AD15</f>
        <v>#DIV/0!</v>
      </c>
      <c r="AF15" s="119">
        <v>37</v>
      </c>
      <c r="AG15" s="120"/>
      <c r="AH15" s="1606" t="e">
        <f>+AF15/AG15</f>
        <v>#DIV/0!</v>
      </c>
      <c r="AI15" s="119">
        <v>37</v>
      </c>
      <c r="AJ15" s="120"/>
      <c r="AK15" s="1606" t="e">
        <f>+AI15/AJ15</f>
        <v>#DIV/0!</v>
      </c>
      <c r="AL15" s="119">
        <v>37</v>
      </c>
      <c r="AM15" s="120"/>
      <c r="AN15" s="1606" t="e">
        <f>+AL15/AM15</f>
        <v>#DIV/0!</v>
      </c>
      <c r="AO15" s="119">
        <v>37</v>
      </c>
      <c r="AP15" s="120"/>
      <c r="AQ15" s="1606" t="e">
        <f>+AO15/AP15</f>
        <v>#DIV/0!</v>
      </c>
      <c r="AR15" s="119">
        <v>37</v>
      </c>
      <c r="AS15" s="120"/>
      <c r="AT15" s="1606" t="e">
        <f>+AR15/AS15</f>
        <v>#DIV/0!</v>
      </c>
      <c r="AU15" s="119">
        <v>37</v>
      </c>
      <c r="AV15" s="120"/>
      <c r="AW15" s="1606" t="e">
        <f>+AU15/AV15</f>
        <v>#DIV/0!</v>
      </c>
      <c r="AX15" s="119">
        <f>(S15+V15+Y15+AB15+AG15+AJ15+AM15+AP15+AS15+AV15)/10</f>
        <v>0</v>
      </c>
      <c r="AY15" s="1606"/>
    </row>
    <row r="16" spans="1:53" s="8" customFormat="1" ht="22.5" customHeight="1" thickTop="1" thickBot="1">
      <c r="A16" s="2843" t="s">
        <v>154</v>
      </c>
      <c r="B16" s="2843"/>
      <c r="C16" s="2843"/>
      <c r="D16" s="2843"/>
      <c r="E16" s="2843"/>
      <c r="F16" s="2843"/>
      <c r="G16" s="2843"/>
      <c r="H16" s="2843"/>
      <c r="I16" s="2843"/>
      <c r="J16" s="2843"/>
      <c r="K16" s="2843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1"/>
      <c r="AY16" s="201"/>
    </row>
    <row r="17" spans="1:51" s="8" customFormat="1" ht="75" customHeight="1" thickTop="1" thickBot="1">
      <c r="A17" s="202" t="s">
        <v>155</v>
      </c>
      <c r="B17" s="97" t="s">
        <v>156</v>
      </c>
      <c r="C17" s="74" t="s">
        <v>157</v>
      </c>
      <c r="D17" s="111" t="s">
        <v>158</v>
      </c>
      <c r="E17" s="74" t="s">
        <v>159</v>
      </c>
      <c r="F17" s="74" t="s">
        <v>265</v>
      </c>
      <c r="G17" s="2763">
        <v>6</v>
      </c>
      <c r="H17" s="99">
        <v>10</v>
      </c>
      <c r="I17" s="204"/>
      <c r="J17" s="204"/>
      <c r="K17" s="25" t="s">
        <v>27</v>
      </c>
      <c r="L17" s="205">
        <v>0</v>
      </c>
      <c r="M17" s="206"/>
      <c r="N17" s="19" t="e">
        <f t="shared" ref="N17" si="16">+M17/L17</f>
        <v>#DIV/0!</v>
      </c>
      <c r="O17" s="205">
        <v>0</v>
      </c>
      <c r="P17" s="206"/>
      <c r="Q17" s="19" t="e">
        <f t="shared" ref="Q17" si="17">+P17/O17</f>
        <v>#DIV/0!</v>
      </c>
      <c r="R17" s="205">
        <v>0</v>
      </c>
      <c r="S17" s="206"/>
      <c r="T17" s="19" t="e">
        <f t="shared" ref="T17" si="18">+S17/R17</f>
        <v>#DIV/0!</v>
      </c>
      <c r="U17" s="205">
        <v>0</v>
      </c>
      <c r="V17" s="206"/>
      <c r="W17" s="19" t="e">
        <f t="shared" ref="W17" si="19">+V17/U17</f>
        <v>#DIV/0!</v>
      </c>
      <c r="X17" s="205">
        <v>2</v>
      </c>
      <c r="Y17" s="206">
        <v>2</v>
      </c>
      <c r="Z17" s="19">
        <f t="shared" ref="Z17" si="20">+Y17/X17</f>
        <v>1</v>
      </c>
      <c r="AA17" s="205">
        <v>0</v>
      </c>
      <c r="AB17" s="206"/>
      <c r="AC17" s="19" t="e">
        <f t="shared" ref="AC17" si="21">+AB17/AA17</f>
        <v>#DIV/0!</v>
      </c>
      <c r="AD17" s="207">
        <f>+Y17</f>
        <v>2</v>
      </c>
      <c r="AE17" s="19">
        <f>+AD17/G17</f>
        <v>0.33333333333333331</v>
      </c>
      <c r="AF17" s="205">
        <v>1</v>
      </c>
      <c r="AG17" s="206">
        <v>1</v>
      </c>
      <c r="AH17" s="208">
        <f t="shared" ref="AH17" si="22">+AG17/AF17</f>
        <v>1</v>
      </c>
      <c r="AI17" s="205">
        <v>0</v>
      </c>
      <c r="AJ17" s="206"/>
      <c r="AK17" s="208" t="e">
        <f t="shared" ref="AK17" si="23">+AJ17/AI17</f>
        <v>#DIV/0!</v>
      </c>
      <c r="AL17" s="205">
        <v>0</v>
      </c>
      <c r="AM17" s="206"/>
      <c r="AN17" s="208" t="e">
        <f t="shared" ref="AN17" si="24">+AM17/AL17</f>
        <v>#DIV/0!</v>
      </c>
      <c r="AO17" s="205">
        <v>3</v>
      </c>
      <c r="AP17" s="206">
        <v>3</v>
      </c>
      <c r="AQ17" s="19">
        <f t="shared" ref="AQ17" si="25">+AP17/AO17</f>
        <v>1</v>
      </c>
      <c r="AR17" s="205">
        <v>0</v>
      </c>
      <c r="AS17" s="206"/>
      <c r="AT17" s="19" t="e">
        <f t="shared" ref="AT17" si="26">+AS17/AR17</f>
        <v>#DIV/0!</v>
      </c>
      <c r="AU17" s="205">
        <v>0</v>
      </c>
      <c r="AV17" s="206"/>
      <c r="AW17" s="19" t="e">
        <f t="shared" ref="AW17" si="27">+AV17/AU17</f>
        <v>#DIV/0!</v>
      </c>
      <c r="AX17" s="2764">
        <f>+AP17+AG17+Y17</f>
        <v>6</v>
      </c>
      <c r="AY17" s="19">
        <f>+AX17/G17</f>
        <v>1</v>
      </c>
    </row>
    <row r="18" spans="1:51" ht="19.5" thickTop="1" thickBot="1">
      <c r="H18" s="76"/>
      <c r="I18" s="76"/>
      <c r="J18" s="76"/>
    </row>
    <row r="19" spans="1:51" ht="19.5" thickTop="1" thickBot="1">
      <c r="H19" s="81"/>
      <c r="I19" s="81"/>
      <c r="J19" s="81"/>
    </row>
    <row r="20" spans="1:51" ht="19.5" thickTop="1" thickBot="1">
      <c r="H20" s="76"/>
      <c r="I20" s="76"/>
      <c r="J20" s="76"/>
    </row>
    <row r="21" spans="1:51" ht="19.5" thickTop="1" thickBot="1">
      <c r="H21" s="82"/>
      <c r="I21" s="88"/>
      <c r="J21" s="82"/>
    </row>
    <row r="22" spans="1:51" ht="19.5" thickTop="1" thickBot="1">
      <c r="H22" s="76"/>
      <c r="I22" s="76"/>
      <c r="J22" s="76"/>
    </row>
    <row r="23" spans="1:51" ht="19.5" thickTop="1" thickBot="1">
      <c r="H23" s="82"/>
      <c r="I23" s="88"/>
      <c r="J23" s="82"/>
    </row>
    <row r="24" spans="1:51" ht="19.5" thickTop="1" thickBot="1">
      <c r="H24" s="76"/>
      <c r="I24" s="76"/>
      <c r="J24" s="76"/>
    </row>
    <row r="25" spans="1:51" ht="19.5" thickTop="1" thickBot="1">
      <c r="H25" s="82"/>
      <c r="I25" s="88"/>
      <c r="J25" s="82"/>
    </row>
    <row r="26" spans="1:51" ht="19.5" thickTop="1" thickBot="1">
      <c r="H26" s="76"/>
      <c r="I26" s="76"/>
      <c r="J26" s="76"/>
    </row>
    <row r="27" spans="1:51" ht="19.5" thickTop="1" thickBot="1">
      <c r="H27" s="82"/>
      <c r="I27" s="88"/>
      <c r="J27" s="82"/>
    </row>
    <row r="28" spans="1:51" ht="19.5" thickTop="1" thickBot="1">
      <c r="H28" s="76"/>
      <c r="I28" s="76"/>
      <c r="J28" s="76"/>
    </row>
    <row r="29" spans="1:51" ht="19.5" thickTop="1" thickBot="1">
      <c r="H29" s="82"/>
      <c r="I29" s="88"/>
      <c r="J29" s="82"/>
    </row>
    <row r="30" spans="1:51" ht="19.5" thickTop="1" thickBot="1">
      <c r="H30" s="76"/>
      <c r="I30" s="76"/>
      <c r="J30" s="76"/>
    </row>
    <row r="31" spans="1:51" ht="19.5" thickTop="1" thickBot="1">
      <c r="H31" s="81"/>
      <c r="I31" s="88"/>
      <c r="J31" s="81"/>
    </row>
    <row r="32" spans="1:51" ht="19.5" thickTop="1" thickBot="1">
      <c r="H32" s="76"/>
      <c r="I32" s="76"/>
      <c r="J32" s="76"/>
    </row>
    <row r="33" spans="8:10" ht="19.5" thickTop="1" thickBot="1">
      <c r="H33" s="82"/>
      <c r="I33" s="1156"/>
      <c r="J33" s="82"/>
    </row>
    <row r="34" spans="8:10" ht="19.5" thickTop="1" thickBot="1">
      <c r="H34" s="78"/>
      <c r="I34" s="77"/>
      <c r="J34" s="78"/>
    </row>
    <row r="35" spans="8:10" ht="19.5" thickTop="1" thickBot="1">
      <c r="H35" s="88"/>
      <c r="I35" s="81"/>
      <c r="J35" s="81"/>
    </row>
    <row r="36" spans="8:10" ht="19.5" thickTop="1" thickBot="1">
      <c r="H36" s="88"/>
      <c r="I36" s="81"/>
      <c r="J36" s="81"/>
    </row>
    <row r="37" spans="8:10" ht="19.5" thickTop="1" thickBot="1">
      <c r="H37" s="1698"/>
      <c r="I37" s="1698"/>
      <c r="J37" s="1698"/>
    </row>
    <row r="38" spans="8:10" ht="19.5" thickTop="1" thickBot="1">
      <c r="H38" s="90"/>
      <c r="I38" s="90"/>
      <c r="J38" s="90"/>
    </row>
    <row r="39" spans="8:10" ht="19.5" thickTop="1" thickBot="1">
      <c r="H39" s="81"/>
      <c r="I39" s="81"/>
      <c r="J39" s="81"/>
    </row>
    <row r="40" spans="8:10" ht="19.5" thickTop="1" thickBot="1">
      <c r="H40" s="90"/>
      <c r="I40" s="185"/>
      <c r="J40" s="90"/>
    </row>
    <row r="41" spans="8:10" ht="18.75" thickTop="1"/>
  </sheetData>
  <sheetProtection algorithmName="SHA-512" hashValue="jqoarlWBGNUq4kQXZme9+NpcrZ05/wpcHniWgka1Y2SzQMFFlSLm3e2LiFSX03QVp0vMO0Ova7Z8rhU5ISw4zA==" saltValue="TbhrTBD8dZU4QiNHh+OWXA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A1:XFD1048576" name="Rango1"/>
  </protectedRanges>
  <mergeCells count="33">
    <mergeCell ref="B1:K1"/>
    <mergeCell ref="C2:K2"/>
    <mergeCell ref="C3:K3"/>
    <mergeCell ref="C4:K4"/>
    <mergeCell ref="A5:A7"/>
    <mergeCell ref="B5:B7"/>
    <mergeCell ref="C5:C7"/>
    <mergeCell ref="D5:D7"/>
    <mergeCell ref="E5:E7"/>
    <mergeCell ref="F5:F7"/>
    <mergeCell ref="AF5:AH7"/>
    <mergeCell ref="AI5:AK7"/>
    <mergeCell ref="G5:G7"/>
    <mergeCell ref="H5:J6"/>
    <mergeCell ref="K5:K7"/>
    <mergeCell ref="L5:N7"/>
    <mergeCell ref="O5:Q7"/>
    <mergeCell ref="R5:T7"/>
    <mergeCell ref="A8:K8"/>
    <mergeCell ref="U5:W7"/>
    <mergeCell ref="X5:Z7"/>
    <mergeCell ref="AA5:AC7"/>
    <mergeCell ref="AD5:AE7"/>
    <mergeCell ref="AL5:AN7"/>
    <mergeCell ref="AO5:AQ7"/>
    <mergeCell ref="AR5:AT7"/>
    <mergeCell ref="AU5:AW7"/>
    <mergeCell ref="AX5:AY7"/>
    <mergeCell ref="A9:A12"/>
    <mergeCell ref="B9:B12"/>
    <mergeCell ref="A13:K13"/>
    <mergeCell ref="A14:A15"/>
    <mergeCell ref="A16:K16"/>
  </mergeCells>
  <conditionalFormatting sqref="AE9:AE12 AE14:AE15">
    <cfRule type="cellIs" dxfId="414" priority="136" operator="greaterThan">
      <formula>110%</formula>
    </cfRule>
    <cfRule type="cellIs" dxfId="413" priority="137" operator="between">
      <formula>100.001%</formula>
      <formula>110%</formula>
    </cfRule>
    <cfRule type="cellIs" dxfId="412" priority="138" operator="between">
      <formula>70.001%</formula>
      <formula>100%</formula>
    </cfRule>
    <cfRule type="cellIs" dxfId="411" priority="139" operator="between">
      <formula>0.00001%</formula>
      <formula>70%</formula>
    </cfRule>
    <cfRule type="cellIs" dxfId="410" priority="140" operator="equal">
      <formula>0</formula>
    </cfRule>
  </conditionalFormatting>
  <conditionalFormatting sqref="AY9:AY12 AY14:AY15">
    <cfRule type="cellIs" dxfId="409" priority="131" operator="greaterThan">
      <formula>110%</formula>
    </cfRule>
    <cfRule type="cellIs" dxfId="408" priority="132" operator="between">
      <formula>100.001%</formula>
      <formula>110%</formula>
    </cfRule>
    <cfRule type="cellIs" dxfId="407" priority="133" operator="between">
      <formula>70.001%</formula>
      <formula>100%</formula>
    </cfRule>
    <cfRule type="cellIs" dxfId="406" priority="134" operator="between">
      <formula>0.00001%</formula>
      <formula>70%</formula>
    </cfRule>
    <cfRule type="cellIs" dxfId="405" priority="135" operator="equal">
      <formula>0</formula>
    </cfRule>
  </conditionalFormatting>
  <conditionalFormatting sqref="N9:N12 N14:N15">
    <cfRule type="cellIs" dxfId="404" priority="126" operator="greaterThan">
      <formula>110%</formula>
    </cfRule>
    <cfRule type="cellIs" dxfId="403" priority="127" operator="between">
      <formula>100.001%</formula>
      <formula>110%</formula>
    </cfRule>
    <cfRule type="cellIs" dxfId="402" priority="128" operator="between">
      <formula>70.001%</formula>
      <formula>100%</formula>
    </cfRule>
    <cfRule type="cellIs" dxfId="401" priority="129" operator="between">
      <formula>0.00001%</formula>
      <formula>70%</formula>
    </cfRule>
    <cfRule type="cellIs" dxfId="400" priority="130" operator="equal">
      <formula>0</formula>
    </cfRule>
  </conditionalFormatting>
  <conditionalFormatting sqref="Q9:Q12 Q14:Q15">
    <cfRule type="cellIs" dxfId="399" priority="121" operator="greaterThan">
      <formula>110%</formula>
    </cfRule>
    <cfRule type="cellIs" dxfId="398" priority="122" operator="between">
      <formula>100.001%</formula>
      <formula>110%</formula>
    </cfRule>
    <cfRule type="cellIs" dxfId="397" priority="123" operator="between">
      <formula>70.001%</formula>
      <formula>100%</formula>
    </cfRule>
    <cfRule type="cellIs" dxfId="396" priority="124" operator="between">
      <formula>0.00001%</formula>
      <formula>70%</formula>
    </cfRule>
    <cfRule type="cellIs" dxfId="395" priority="125" operator="equal">
      <formula>0</formula>
    </cfRule>
  </conditionalFormatting>
  <conditionalFormatting sqref="T9:T12 T14:T15">
    <cfRule type="cellIs" dxfId="394" priority="116" operator="greaterThan">
      <formula>110%</formula>
    </cfRule>
    <cfRule type="cellIs" dxfId="393" priority="117" operator="between">
      <formula>100.001%</formula>
      <formula>110%</formula>
    </cfRule>
    <cfRule type="cellIs" dxfId="392" priority="118" operator="between">
      <formula>70.001%</formula>
      <formula>100%</formula>
    </cfRule>
    <cfRule type="cellIs" dxfId="391" priority="119" operator="between">
      <formula>0.00001%</formula>
      <formula>70%</formula>
    </cfRule>
    <cfRule type="cellIs" dxfId="390" priority="120" operator="equal">
      <formula>0</formula>
    </cfRule>
  </conditionalFormatting>
  <conditionalFormatting sqref="W9:W12 W14:W15">
    <cfRule type="cellIs" dxfId="389" priority="111" operator="greaterThan">
      <formula>110%</formula>
    </cfRule>
    <cfRule type="cellIs" dxfId="388" priority="112" operator="between">
      <formula>100.001%</formula>
      <formula>110%</formula>
    </cfRule>
    <cfRule type="cellIs" dxfId="387" priority="113" operator="between">
      <formula>70.001%</formula>
      <formula>100%</formula>
    </cfRule>
    <cfRule type="cellIs" dxfId="386" priority="114" operator="between">
      <formula>0.00001%</formula>
      <formula>70%</formula>
    </cfRule>
    <cfRule type="cellIs" dxfId="385" priority="115" operator="equal">
      <formula>0</formula>
    </cfRule>
  </conditionalFormatting>
  <conditionalFormatting sqref="Z9:Z12 Z14:Z15">
    <cfRule type="cellIs" dxfId="384" priority="106" operator="greaterThan">
      <formula>110%</formula>
    </cfRule>
    <cfRule type="cellIs" dxfId="383" priority="107" operator="between">
      <formula>100.001%</formula>
      <formula>110%</formula>
    </cfRule>
    <cfRule type="cellIs" dxfId="382" priority="108" operator="between">
      <formula>70.001%</formula>
      <formula>100%</formula>
    </cfRule>
    <cfRule type="cellIs" dxfId="381" priority="109" operator="between">
      <formula>0.00001%</formula>
      <formula>70%</formula>
    </cfRule>
    <cfRule type="cellIs" dxfId="380" priority="110" operator="equal">
      <formula>0</formula>
    </cfRule>
  </conditionalFormatting>
  <conditionalFormatting sqref="AC9:AC12 AC14:AC15">
    <cfRule type="cellIs" dxfId="379" priority="101" operator="greaterThan">
      <formula>110%</formula>
    </cfRule>
    <cfRule type="cellIs" dxfId="378" priority="102" operator="between">
      <formula>100.001%</formula>
      <formula>110%</formula>
    </cfRule>
    <cfRule type="cellIs" dxfId="377" priority="103" operator="between">
      <formula>70.001%</formula>
      <formula>100%</formula>
    </cfRule>
    <cfRule type="cellIs" dxfId="376" priority="104" operator="between">
      <formula>0.00001%</formula>
      <formula>70%</formula>
    </cfRule>
    <cfRule type="cellIs" dxfId="375" priority="105" operator="equal">
      <formula>0</formula>
    </cfRule>
  </conditionalFormatting>
  <conditionalFormatting sqref="AH9:AH12 AH14:AH15">
    <cfRule type="cellIs" dxfId="374" priority="96" operator="greaterThan">
      <formula>110%</formula>
    </cfRule>
    <cfRule type="cellIs" dxfId="373" priority="97" operator="between">
      <formula>100.001%</formula>
      <formula>110%</formula>
    </cfRule>
    <cfRule type="cellIs" dxfId="372" priority="98" operator="between">
      <formula>70.001%</formula>
      <formula>100%</formula>
    </cfRule>
    <cfRule type="cellIs" dxfId="371" priority="99" operator="between">
      <formula>0.00001%</formula>
      <formula>70%</formula>
    </cfRule>
    <cfRule type="cellIs" dxfId="370" priority="100" operator="equal">
      <formula>0</formula>
    </cfRule>
  </conditionalFormatting>
  <conditionalFormatting sqref="AK9:AK12 AK14:AK15">
    <cfRule type="cellIs" dxfId="369" priority="91" operator="greaterThan">
      <formula>110%</formula>
    </cfRule>
    <cfRule type="cellIs" dxfId="368" priority="92" operator="between">
      <formula>100.001%</formula>
      <formula>110%</formula>
    </cfRule>
    <cfRule type="cellIs" dxfId="367" priority="93" operator="between">
      <formula>70.001%</formula>
      <formula>100%</formula>
    </cfRule>
    <cfRule type="cellIs" dxfId="366" priority="94" operator="between">
      <formula>0.00001%</formula>
      <formula>70%</formula>
    </cfRule>
    <cfRule type="cellIs" dxfId="365" priority="95" operator="equal">
      <formula>0</formula>
    </cfRule>
  </conditionalFormatting>
  <conditionalFormatting sqref="AN9:AN12 AN14:AN15">
    <cfRule type="cellIs" dxfId="364" priority="86" operator="greaterThan">
      <formula>110%</formula>
    </cfRule>
    <cfRule type="cellIs" dxfId="363" priority="87" operator="between">
      <formula>100.001%</formula>
      <formula>110%</formula>
    </cfRule>
    <cfRule type="cellIs" dxfId="362" priority="88" operator="between">
      <formula>70.001%</formula>
      <formula>100%</formula>
    </cfRule>
    <cfRule type="cellIs" dxfId="361" priority="89" operator="between">
      <formula>0.00001%</formula>
      <formula>70%</formula>
    </cfRule>
    <cfRule type="cellIs" dxfId="360" priority="90" operator="equal">
      <formula>0</formula>
    </cfRule>
  </conditionalFormatting>
  <conditionalFormatting sqref="AQ9:AQ12 AQ14:AQ15">
    <cfRule type="cellIs" dxfId="359" priority="81" operator="greaterThan">
      <formula>110%</formula>
    </cfRule>
    <cfRule type="cellIs" dxfId="358" priority="82" operator="between">
      <formula>100.001%</formula>
      <formula>110%</formula>
    </cfRule>
    <cfRule type="cellIs" dxfId="357" priority="83" operator="between">
      <formula>70.001%</formula>
      <formula>100%</formula>
    </cfRule>
    <cfRule type="cellIs" dxfId="356" priority="84" operator="between">
      <formula>0.00001%</formula>
      <formula>70%</formula>
    </cfRule>
    <cfRule type="cellIs" dxfId="355" priority="85" operator="equal">
      <formula>0</formula>
    </cfRule>
  </conditionalFormatting>
  <conditionalFormatting sqref="AT9:AT12 AT14:AT15">
    <cfRule type="cellIs" dxfId="354" priority="76" operator="greaterThan">
      <formula>110%</formula>
    </cfRule>
    <cfRule type="cellIs" dxfId="353" priority="77" operator="between">
      <formula>100.001%</formula>
      <formula>110%</formula>
    </cfRule>
    <cfRule type="cellIs" dxfId="352" priority="78" operator="between">
      <formula>70.001%</formula>
      <formula>100%</formula>
    </cfRule>
    <cfRule type="cellIs" dxfId="351" priority="79" operator="between">
      <formula>0.00001%</formula>
      <formula>70%</formula>
    </cfRule>
    <cfRule type="cellIs" dxfId="350" priority="80" operator="equal">
      <formula>0</formula>
    </cfRule>
  </conditionalFormatting>
  <conditionalFormatting sqref="AW9:AW12 AW14:AW15">
    <cfRule type="cellIs" dxfId="349" priority="71" operator="greaterThan">
      <formula>110%</formula>
    </cfRule>
    <cfRule type="cellIs" dxfId="348" priority="72" operator="between">
      <formula>100.001%</formula>
      <formula>110%</formula>
    </cfRule>
    <cfRule type="cellIs" dxfId="347" priority="73" operator="between">
      <formula>70.001%</formula>
      <formula>100%</formula>
    </cfRule>
    <cfRule type="cellIs" dxfId="346" priority="74" operator="between">
      <formula>0.00001%</formula>
      <formula>70%</formula>
    </cfRule>
    <cfRule type="cellIs" dxfId="345" priority="75" operator="equal">
      <formula>0</formula>
    </cfRule>
  </conditionalFormatting>
  <conditionalFormatting sqref="AE17">
    <cfRule type="cellIs" dxfId="344" priority="66" operator="greaterThan">
      <formula>110%</formula>
    </cfRule>
    <cfRule type="cellIs" dxfId="343" priority="67" operator="between">
      <formula>100.001%</formula>
      <formula>110%</formula>
    </cfRule>
    <cfRule type="cellIs" dxfId="342" priority="68" operator="between">
      <formula>70.001%</formula>
      <formula>100%</formula>
    </cfRule>
    <cfRule type="cellIs" dxfId="341" priority="69" operator="between">
      <formula>0.00001%</formula>
      <formula>70%</formula>
    </cfRule>
    <cfRule type="cellIs" dxfId="340" priority="70" operator="equal">
      <formula>0</formula>
    </cfRule>
  </conditionalFormatting>
  <conditionalFormatting sqref="AY17">
    <cfRule type="cellIs" dxfId="339" priority="61" operator="greaterThan">
      <formula>110%</formula>
    </cfRule>
    <cfRule type="cellIs" dxfId="338" priority="62" operator="between">
      <formula>100.001%</formula>
      <formula>110%</formula>
    </cfRule>
    <cfRule type="cellIs" dxfId="337" priority="63" operator="between">
      <formula>70.001%</formula>
      <formula>100%</formula>
    </cfRule>
    <cfRule type="cellIs" dxfId="336" priority="64" operator="between">
      <formula>0.00001%</formula>
      <formula>70%</formula>
    </cfRule>
    <cfRule type="cellIs" dxfId="335" priority="65" operator="equal">
      <formula>0</formula>
    </cfRule>
  </conditionalFormatting>
  <conditionalFormatting sqref="N17">
    <cfRule type="cellIs" dxfId="334" priority="56" operator="greaterThan">
      <formula>110%</formula>
    </cfRule>
    <cfRule type="cellIs" dxfId="333" priority="57" operator="between">
      <formula>100.001%</formula>
      <formula>110%</formula>
    </cfRule>
    <cfRule type="cellIs" dxfId="332" priority="58" operator="between">
      <formula>70.001%</formula>
      <formula>100%</formula>
    </cfRule>
    <cfRule type="cellIs" dxfId="331" priority="59" operator="between">
      <formula>0.00001%</formula>
      <formula>70%</formula>
    </cfRule>
    <cfRule type="cellIs" dxfId="330" priority="60" operator="equal">
      <formula>0</formula>
    </cfRule>
  </conditionalFormatting>
  <conditionalFormatting sqref="Q17">
    <cfRule type="cellIs" dxfId="329" priority="51" operator="greaterThan">
      <formula>110%</formula>
    </cfRule>
    <cfRule type="cellIs" dxfId="328" priority="52" operator="between">
      <formula>100.001%</formula>
      <formula>110%</formula>
    </cfRule>
    <cfRule type="cellIs" dxfId="327" priority="53" operator="between">
      <formula>70.001%</formula>
      <formula>100%</formula>
    </cfRule>
    <cfRule type="cellIs" dxfId="326" priority="54" operator="between">
      <formula>0.00001%</formula>
      <formula>70%</formula>
    </cfRule>
    <cfRule type="cellIs" dxfId="325" priority="55" operator="equal">
      <formula>0</formula>
    </cfRule>
  </conditionalFormatting>
  <conditionalFormatting sqref="T17">
    <cfRule type="cellIs" dxfId="324" priority="46" operator="greaterThan">
      <formula>110%</formula>
    </cfRule>
    <cfRule type="cellIs" dxfId="323" priority="47" operator="between">
      <formula>100.001%</formula>
      <formula>110%</formula>
    </cfRule>
    <cfRule type="cellIs" dxfId="322" priority="48" operator="between">
      <formula>70.001%</formula>
      <formula>100%</formula>
    </cfRule>
    <cfRule type="cellIs" dxfId="321" priority="49" operator="between">
      <formula>0.00001%</formula>
      <formula>70%</formula>
    </cfRule>
    <cfRule type="cellIs" dxfId="320" priority="50" operator="equal">
      <formula>0</formula>
    </cfRule>
  </conditionalFormatting>
  <conditionalFormatting sqref="W17">
    <cfRule type="cellIs" dxfId="319" priority="41" operator="greaterThan">
      <formula>110%</formula>
    </cfRule>
    <cfRule type="cellIs" dxfId="318" priority="42" operator="between">
      <formula>100.001%</formula>
      <formula>110%</formula>
    </cfRule>
    <cfRule type="cellIs" dxfId="317" priority="43" operator="between">
      <formula>70.001%</formula>
      <formula>100%</formula>
    </cfRule>
    <cfRule type="cellIs" dxfId="316" priority="44" operator="between">
      <formula>0.00001%</formula>
      <formula>70%</formula>
    </cfRule>
    <cfRule type="cellIs" dxfId="315" priority="45" operator="equal">
      <formula>0</formula>
    </cfRule>
  </conditionalFormatting>
  <conditionalFormatting sqref="Z17">
    <cfRule type="cellIs" dxfId="314" priority="36" operator="greaterThan">
      <formula>110%</formula>
    </cfRule>
    <cfRule type="cellIs" dxfId="313" priority="37" operator="between">
      <formula>100.001%</formula>
      <formula>110%</formula>
    </cfRule>
    <cfRule type="cellIs" dxfId="312" priority="38" operator="between">
      <formula>70.001%</formula>
      <formula>100%</formula>
    </cfRule>
    <cfRule type="cellIs" dxfId="311" priority="39" operator="between">
      <formula>0.00001%</formula>
      <formula>70%</formula>
    </cfRule>
    <cfRule type="cellIs" dxfId="310" priority="40" operator="equal">
      <formula>0</formula>
    </cfRule>
  </conditionalFormatting>
  <conditionalFormatting sqref="AC17">
    <cfRule type="cellIs" dxfId="309" priority="31" operator="greaterThan">
      <formula>110%</formula>
    </cfRule>
    <cfRule type="cellIs" dxfId="308" priority="32" operator="between">
      <formula>100.001%</formula>
      <formula>110%</formula>
    </cfRule>
    <cfRule type="cellIs" dxfId="307" priority="33" operator="between">
      <formula>70.001%</formula>
      <formula>100%</formula>
    </cfRule>
    <cfRule type="cellIs" dxfId="306" priority="34" operator="between">
      <formula>0.00001%</formula>
      <formula>70%</formula>
    </cfRule>
    <cfRule type="cellIs" dxfId="305" priority="35" operator="equal">
      <formula>0</formula>
    </cfRule>
  </conditionalFormatting>
  <conditionalFormatting sqref="AH17">
    <cfRule type="cellIs" dxfId="304" priority="26" operator="greaterThan">
      <formula>110%</formula>
    </cfRule>
    <cfRule type="cellIs" dxfId="303" priority="27" operator="between">
      <formula>100.001%</formula>
      <formula>110%</formula>
    </cfRule>
    <cfRule type="cellIs" dxfId="302" priority="28" operator="between">
      <formula>70.001%</formula>
      <formula>100%</formula>
    </cfRule>
    <cfRule type="cellIs" dxfId="301" priority="29" operator="between">
      <formula>0.00001%</formula>
      <formula>70%</formula>
    </cfRule>
    <cfRule type="cellIs" dxfId="300" priority="30" operator="equal">
      <formula>0</formula>
    </cfRule>
  </conditionalFormatting>
  <conditionalFormatting sqref="AK17">
    <cfRule type="cellIs" dxfId="299" priority="21" operator="greaterThan">
      <formula>110%</formula>
    </cfRule>
    <cfRule type="cellIs" dxfId="298" priority="22" operator="between">
      <formula>100.001%</formula>
      <formula>110%</formula>
    </cfRule>
    <cfRule type="cellIs" dxfId="297" priority="23" operator="between">
      <formula>70.001%</formula>
      <formula>100%</formula>
    </cfRule>
    <cfRule type="cellIs" dxfId="296" priority="24" operator="between">
      <formula>0.00001%</formula>
      <formula>70%</formula>
    </cfRule>
    <cfRule type="cellIs" dxfId="295" priority="25" operator="equal">
      <formula>0</formula>
    </cfRule>
  </conditionalFormatting>
  <conditionalFormatting sqref="AN17">
    <cfRule type="cellIs" dxfId="294" priority="16" operator="greaterThan">
      <formula>110%</formula>
    </cfRule>
    <cfRule type="cellIs" dxfId="293" priority="17" operator="between">
      <formula>100.001%</formula>
      <formula>110%</formula>
    </cfRule>
    <cfRule type="cellIs" dxfId="292" priority="18" operator="between">
      <formula>70.001%</formula>
      <formula>100%</formula>
    </cfRule>
    <cfRule type="cellIs" dxfId="291" priority="19" operator="between">
      <formula>0.00001%</formula>
      <formula>70%</formula>
    </cfRule>
    <cfRule type="cellIs" dxfId="290" priority="20" operator="equal">
      <formula>0</formula>
    </cfRule>
  </conditionalFormatting>
  <conditionalFormatting sqref="AQ17">
    <cfRule type="cellIs" dxfId="289" priority="11" operator="greaterThan">
      <formula>110%</formula>
    </cfRule>
    <cfRule type="cellIs" dxfId="288" priority="12" operator="between">
      <formula>100.001%</formula>
      <formula>110%</formula>
    </cfRule>
    <cfRule type="cellIs" dxfId="287" priority="13" operator="between">
      <formula>70.001%</formula>
      <formula>100%</formula>
    </cfRule>
    <cfRule type="cellIs" dxfId="286" priority="14" operator="between">
      <formula>0.00001%</formula>
      <formula>70%</formula>
    </cfRule>
    <cfRule type="cellIs" dxfId="285" priority="15" operator="equal">
      <formula>0</formula>
    </cfRule>
  </conditionalFormatting>
  <conditionalFormatting sqref="AT17">
    <cfRule type="cellIs" dxfId="284" priority="6" operator="greaterThan">
      <formula>110%</formula>
    </cfRule>
    <cfRule type="cellIs" dxfId="283" priority="7" operator="between">
      <formula>100.001%</formula>
      <formula>110%</formula>
    </cfRule>
    <cfRule type="cellIs" dxfId="282" priority="8" operator="between">
      <formula>70.001%</formula>
      <formula>100%</formula>
    </cfRule>
    <cfRule type="cellIs" dxfId="281" priority="9" operator="between">
      <formula>0.00001%</formula>
      <formula>70%</formula>
    </cfRule>
    <cfRule type="cellIs" dxfId="280" priority="10" operator="equal">
      <formula>0</formula>
    </cfRule>
  </conditionalFormatting>
  <conditionalFormatting sqref="AW17">
    <cfRule type="cellIs" dxfId="279" priority="1" operator="greaterThan">
      <formula>110%</formula>
    </cfRule>
    <cfRule type="cellIs" dxfId="278" priority="2" operator="between">
      <formula>100.001%</formula>
      <formula>110%</formula>
    </cfRule>
    <cfRule type="cellIs" dxfId="277" priority="3" operator="between">
      <formula>70.001%</formula>
      <formula>100%</formula>
    </cfRule>
    <cfRule type="cellIs" dxfId="276" priority="4" operator="between">
      <formula>0.00001%</formula>
      <formula>70%</formula>
    </cfRule>
    <cfRule type="cellIs" dxfId="275" priority="5" operator="equal">
      <formula>0</formula>
    </cfRule>
  </conditionalFormatting>
  <hyperlinks>
    <hyperlink ref="D9" location="'IN1-3'!A1" display="IN1-3 Recaudo Bruto" xr:uid="{00000000-0004-0000-3000-000000000000}"/>
    <hyperlink ref="D10" location="'IN1-6'!A1" display="IN1-6 Grado de cumplimiento del cronograma de campañas del RST" xr:uid="{00000000-0004-0000-3000-000001000000}"/>
    <hyperlink ref="D11" location="'IN1-8'!A1" display="IN1-8 Contribuyentes habilitados como facturadores electrónicos" xr:uid="{00000000-0004-0000-3000-000002000000}"/>
    <hyperlink ref="D12" location="'IN1-5'!A1" display="IN1-5 Inscritos en el Régimen Simple de Tributación - RST" xr:uid="{00000000-0004-0000-3000-000003000000}"/>
    <hyperlink ref="D14" location="'IN1-11'!A1" display="IN1-11  Nivel de cobertura de personas sensibilizadas por el plan de cultura. ACTUALMENTE. Cumplimiento al Plan de Acción de Cultura de la Contribución" xr:uid="{00000000-0004-0000-3000-000004000000}"/>
    <hyperlink ref="D15" location="'IN1-15'!A1" display="IN1-15 Días en devoluciones ordinarias" xr:uid="{00000000-0004-0000-3000-000005000000}"/>
    <hyperlink ref="D17" location="'DGRAE-25'!A1" display="DGRAE-25 Actividades que componen el  PIC para la Dirección de Gestión" xr:uid="{00000000-0004-0000-3000-000006000000}"/>
    <hyperlink ref="AY2" location="'Consolidado '!A1" display="VOLVER" xr:uid="{00000000-0004-0000-3000-0000070000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31"/>
  <sheetViews>
    <sheetView zoomScale="70" zoomScaleNormal="70" workbookViewId="0">
      <selection activeCell="BC11" sqref="BC11"/>
    </sheetView>
  </sheetViews>
  <sheetFormatPr baseColWidth="10" defaultColWidth="11.42578125" defaultRowHeight="16.5"/>
  <cols>
    <col min="1" max="1" width="21.42578125" style="8" customWidth="1"/>
    <col min="2" max="2" width="30.42578125" style="8" customWidth="1"/>
    <col min="3" max="3" width="45.140625" style="63" customWidth="1"/>
    <col min="4" max="4" width="22.42578125" style="63" customWidth="1"/>
    <col min="5" max="5" width="48.5703125" style="8" customWidth="1"/>
    <col min="6" max="6" width="21.140625" style="8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7.42578125" style="8" hidden="1" customWidth="1"/>
    <col min="11" max="11" width="23" style="8" customWidth="1"/>
    <col min="12" max="13" width="21.5703125" style="8" hidden="1" customWidth="1"/>
    <col min="14" max="14" width="20.7109375" style="620" hidden="1" customWidth="1"/>
    <col min="15" max="15" width="21.5703125" style="8" hidden="1" customWidth="1"/>
    <col min="16" max="16" width="22.28515625" style="8" hidden="1" customWidth="1"/>
    <col min="17" max="17" width="20.7109375" style="621" hidden="1" customWidth="1"/>
    <col min="18" max="18" width="21.5703125" style="8" hidden="1" customWidth="1"/>
    <col min="19" max="19" width="21.85546875" style="8" hidden="1" customWidth="1"/>
    <col min="20" max="20" width="20.7109375" style="621" hidden="1" customWidth="1"/>
    <col min="21" max="21" width="20.7109375" style="8" hidden="1" customWidth="1"/>
    <col min="22" max="22" width="22.28515625" style="8" hidden="1" customWidth="1"/>
    <col min="23" max="23" width="20.7109375" style="621" hidden="1" customWidth="1"/>
    <col min="24" max="25" width="21.5703125" style="8" hidden="1" customWidth="1"/>
    <col min="26" max="26" width="20.7109375" style="621" hidden="1" customWidth="1"/>
    <col min="27" max="28" width="21.5703125" style="8" hidden="1" customWidth="1"/>
    <col min="29" max="29" width="20.7109375" style="621" hidden="1" customWidth="1"/>
    <col min="30" max="30" width="24" style="8" hidden="1" customWidth="1"/>
    <col min="31" max="31" width="20.7109375" style="9" hidden="1" customWidth="1"/>
    <col min="32" max="33" width="21.5703125" style="8" hidden="1" customWidth="1"/>
    <col min="34" max="34" width="20.7109375" style="621" hidden="1" customWidth="1"/>
    <col min="35" max="36" width="21.5703125" style="8" hidden="1" customWidth="1"/>
    <col min="37" max="37" width="20.7109375" style="621" hidden="1" customWidth="1"/>
    <col min="38" max="39" width="21.5703125" style="8" hidden="1" customWidth="1"/>
    <col min="40" max="40" width="20.7109375" style="621" hidden="1" customWidth="1"/>
    <col min="41" max="41" width="21.5703125" style="8" hidden="1" customWidth="1"/>
    <col min="42" max="42" width="20.7109375" style="8" hidden="1" customWidth="1"/>
    <col min="43" max="43" width="20.7109375" style="621" hidden="1" customWidth="1"/>
    <col min="44" max="45" width="20.7109375" style="8" hidden="1" customWidth="1"/>
    <col min="46" max="46" width="20.7109375" style="621" hidden="1" customWidth="1"/>
    <col min="47" max="48" width="20.7109375" style="8" hidden="1" customWidth="1"/>
    <col min="49" max="49" width="20.7109375" style="621" hidden="1" customWidth="1"/>
    <col min="50" max="50" width="24" style="8" bestFit="1" customWidth="1"/>
    <col min="51" max="51" width="20.7109375" style="622" customWidth="1"/>
    <col min="52" max="16384" width="11.42578125" style="8"/>
  </cols>
  <sheetData>
    <row r="1" spans="1:52" ht="26.25">
      <c r="A1" s="101"/>
      <c r="B1" s="101"/>
      <c r="C1" s="2885" t="s">
        <v>354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</row>
    <row r="3" spans="1:52">
      <c r="A3" s="107"/>
      <c r="B3" s="108"/>
      <c r="C3" s="2866" t="s">
        <v>355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2890"/>
      <c r="D4" s="2890"/>
      <c r="E4" s="2890"/>
      <c r="F4" s="2890"/>
      <c r="G4" s="2890"/>
      <c r="H4" s="2890"/>
      <c r="I4" s="2890"/>
      <c r="J4" s="2890"/>
      <c r="K4" s="2890"/>
      <c r="AZ4" s="670" t="s">
        <v>185</v>
      </c>
    </row>
    <row r="5" spans="1:52" ht="18" thickTop="1" thickBot="1">
      <c r="A5" s="2823" t="s">
        <v>0</v>
      </c>
      <c r="B5" s="2830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84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" thickTop="1" thickBot="1">
      <c r="A6" s="2823"/>
      <c r="B6" s="2831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8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  <c r="AZ6" s="444">
        <f>(+AY9+AY10+AY11+AY12+AY13+AY14+AY15+AY16+AY17+AY18+AY19+AY20+AY21+AY22+AY23+AY24+AY26+AY27+AY28+AY30)/20</f>
        <v>1.1619356745499028</v>
      </c>
    </row>
    <row r="7" spans="1:52" s="12" customFormat="1" ht="18.75" thickTop="1" thickBot="1">
      <c r="A7" s="2823"/>
      <c r="B7" s="2832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8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71" t="s">
        <v>86</v>
      </c>
      <c r="O8" s="13" t="s">
        <v>84</v>
      </c>
      <c r="P8" s="14" t="s">
        <v>85</v>
      </c>
      <c r="Q8" s="71" t="s">
        <v>86</v>
      </c>
      <c r="R8" s="16" t="s">
        <v>84</v>
      </c>
      <c r="S8" s="16" t="s">
        <v>85</v>
      </c>
      <c r="T8" s="447" t="s">
        <v>86</v>
      </c>
      <c r="U8" s="16" t="s">
        <v>84</v>
      </c>
      <c r="V8" s="16" t="s">
        <v>85</v>
      </c>
      <c r="W8" s="447" t="s">
        <v>86</v>
      </c>
      <c r="X8" s="16" t="s">
        <v>84</v>
      </c>
      <c r="Y8" s="16" t="s">
        <v>85</v>
      </c>
      <c r="Z8" s="447" t="s">
        <v>86</v>
      </c>
      <c r="AA8" s="16" t="s">
        <v>84</v>
      </c>
      <c r="AB8" s="16" t="s">
        <v>85</v>
      </c>
      <c r="AC8" s="447" t="s">
        <v>86</v>
      </c>
      <c r="AD8" s="16" t="s">
        <v>87</v>
      </c>
      <c r="AE8" s="71" t="s">
        <v>6</v>
      </c>
      <c r="AF8" s="13" t="s">
        <v>84</v>
      </c>
      <c r="AG8" s="14" t="s">
        <v>85</v>
      </c>
      <c r="AH8" s="71" t="s">
        <v>86</v>
      </c>
      <c r="AI8" s="16" t="s">
        <v>84</v>
      </c>
      <c r="AJ8" s="13" t="s">
        <v>85</v>
      </c>
      <c r="AK8" s="15" t="s">
        <v>86</v>
      </c>
      <c r="AL8" s="14" t="s">
        <v>84</v>
      </c>
      <c r="AM8" s="16" t="s">
        <v>85</v>
      </c>
      <c r="AN8" s="71" t="s">
        <v>86</v>
      </c>
      <c r="AO8" s="16" t="s">
        <v>84</v>
      </c>
      <c r="AP8" s="16" t="s">
        <v>85</v>
      </c>
      <c r="AQ8" s="71" t="s">
        <v>86</v>
      </c>
      <c r="AR8" s="16" t="s">
        <v>84</v>
      </c>
      <c r="AS8" s="13" t="s">
        <v>85</v>
      </c>
      <c r="AT8" s="446" t="s">
        <v>86</v>
      </c>
      <c r="AU8" s="13" t="s">
        <v>84</v>
      </c>
      <c r="AV8" s="14" t="s">
        <v>85</v>
      </c>
      <c r="AW8" s="71" t="s">
        <v>86</v>
      </c>
      <c r="AX8" s="13" t="s">
        <v>87</v>
      </c>
      <c r="AY8" s="110" t="s">
        <v>6</v>
      </c>
    </row>
    <row r="9" spans="1:52" s="22" customFormat="1" ht="31.5" thickTop="1" thickBot="1">
      <c r="A9" s="2845" t="s">
        <v>88</v>
      </c>
      <c r="B9" s="2914" t="s">
        <v>94</v>
      </c>
      <c r="C9" s="76" t="s">
        <v>356</v>
      </c>
      <c r="D9" s="623" t="s">
        <v>96</v>
      </c>
      <c r="E9" s="76" t="s">
        <v>97</v>
      </c>
      <c r="F9" s="76" t="s">
        <v>168</v>
      </c>
      <c r="G9" s="79">
        <v>2035154</v>
      </c>
      <c r="H9" s="78"/>
      <c r="I9" s="79"/>
      <c r="J9" s="78"/>
      <c r="K9" s="76" t="s">
        <v>20</v>
      </c>
      <c r="L9" s="624" t="s">
        <v>98</v>
      </c>
      <c r="M9" s="564">
        <v>281068250192</v>
      </c>
      <c r="N9" s="19" t="e">
        <f>+M9/L9</f>
        <v>#VALUE!</v>
      </c>
      <c r="O9" s="624">
        <v>0</v>
      </c>
      <c r="P9" s="564">
        <v>156449087324</v>
      </c>
      <c r="Q9" s="19" t="e">
        <f>+P9/O9</f>
        <v>#DIV/0!</v>
      </c>
      <c r="R9" s="624">
        <v>0</v>
      </c>
      <c r="S9" s="564">
        <v>196978909109</v>
      </c>
      <c r="T9" s="19" t="e">
        <f>+S9/R9</f>
        <v>#DIV/0!</v>
      </c>
      <c r="U9" s="624">
        <v>0</v>
      </c>
      <c r="V9" s="564">
        <v>136772623300</v>
      </c>
      <c r="W9" s="19" t="e">
        <f>+V9/U9</f>
        <v>#DIV/0!</v>
      </c>
      <c r="X9" s="624">
        <v>0</v>
      </c>
      <c r="Y9" s="564">
        <v>175261603265</v>
      </c>
      <c r="Z9" s="19" t="e">
        <f>+Y9/X9</f>
        <v>#DIV/0!</v>
      </c>
      <c r="AA9" s="624">
        <v>0</v>
      </c>
      <c r="AB9" s="564">
        <v>151762752172</v>
      </c>
      <c r="AC9" s="19" t="e">
        <f>+AB9/AA9</f>
        <v>#DIV/0!</v>
      </c>
      <c r="AD9" s="563">
        <f>+M9+P9+S9+V9+Y9+AB9</f>
        <v>1098293225362</v>
      </c>
      <c r="AE9" s="19">
        <f>+AD9/G9</f>
        <v>539660.9914345548</v>
      </c>
      <c r="AF9" s="624">
        <v>0</v>
      </c>
      <c r="AG9" s="564">
        <v>143902116878</v>
      </c>
      <c r="AH9" s="19" t="e">
        <f>+AG9/AF9</f>
        <v>#DIV/0!</v>
      </c>
      <c r="AI9" s="624">
        <v>0</v>
      </c>
      <c r="AJ9" s="564">
        <v>117864380558</v>
      </c>
      <c r="AK9" s="19" t="e">
        <f>+AJ9/AI9</f>
        <v>#DIV/0!</v>
      </c>
      <c r="AL9" s="624">
        <v>0</v>
      </c>
      <c r="AM9" s="564">
        <v>200799419798</v>
      </c>
      <c r="AN9" s="19" t="e">
        <f>+AM9/AL9</f>
        <v>#DIV/0!</v>
      </c>
      <c r="AO9" s="624">
        <v>0</v>
      </c>
      <c r="AP9" s="564">
        <v>121549780138</v>
      </c>
      <c r="AQ9" s="19" t="e">
        <f>+AP9/AO9</f>
        <v>#DIV/0!</v>
      </c>
      <c r="AR9" s="624">
        <v>0</v>
      </c>
      <c r="AS9" s="564"/>
      <c r="AT9" s="19" t="e">
        <f>+AS9/AR9</f>
        <v>#DIV/0!</v>
      </c>
      <c r="AU9" s="624">
        <v>0</v>
      </c>
      <c r="AV9" s="564"/>
      <c r="AW9" s="19" t="e">
        <f>+AV9/AU9</f>
        <v>#DIV/0!</v>
      </c>
      <c r="AX9" s="625">
        <v>2035154</v>
      </c>
      <c r="AY9" s="19">
        <v>1</v>
      </c>
    </row>
    <row r="10" spans="1:52" s="22" customFormat="1" ht="76.5" thickTop="1" thickBot="1">
      <c r="A10" s="2846"/>
      <c r="B10" s="2915"/>
      <c r="C10" s="2917" t="s">
        <v>357</v>
      </c>
      <c r="D10" s="627" t="s">
        <v>99</v>
      </c>
      <c r="E10" s="81" t="s">
        <v>100</v>
      </c>
      <c r="F10" s="81" t="s">
        <v>101</v>
      </c>
      <c r="G10" s="628">
        <v>128380000000</v>
      </c>
      <c r="H10" s="82"/>
      <c r="I10" s="629"/>
      <c r="J10" s="82"/>
      <c r="K10" s="81" t="s">
        <v>358</v>
      </c>
      <c r="L10" s="630">
        <v>10270400000</v>
      </c>
      <c r="M10" s="584">
        <v>10887753000</v>
      </c>
      <c r="N10" s="19">
        <f t="shared" ref="N10:N26" si="0">+M10/L10</f>
        <v>1.0601099275588097</v>
      </c>
      <c r="O10" s="630">
        <v>10270400000</v>
      </c>
      <c r="P10" s="584">
        <v>5510354750</v>
      </c>
      <c r="Q10" s="19">
        <f t="shared" ref="Q10:Q26" si="1">+P10/O10</f>
        <v>0.53652776425455684</v>
      </c>
      <c r="R10" s="630">
        <v>10270400000</v>
      </c>
      <c r="S10" s="584">
        <v>3509564000</v>
      </c>
      <c r="T10" s="19">
        <f t="shared" ref="T10:T26" si="2">+S10/R10</f>
        <v>0.34171638884561456</v>
      </c>
      <c r="U10" s="630">
        <v>11554200000</v>
      </c>
      <c r="V10" s="584">
        <v>1672021000</v>
      </c>
      <c r="W10" s="19">
        <f t="shared" ref="W10:W26" si="3">+V10/U10</f>
        <v>0.14471110072527738</v>
      </c>
      <c r="X10" s="630">
        <v>12838000000</v>
      </c>
      <c r="Y10" s="584">
        <v>10962955000</v>
      </c>
      <c r="Z10" s="19">
        <f t="shared" ref="Z10:Z26" si="4">+Y10/X10</f>
        <v>0.8539457080542141</v>
      </c>
      <c r="AA10" s="630">
        <v>12838000000</v>
      </c>
      <c r="AB10" s="584">
        <v>28089174380</v>
      </c>
      <c r="AC10" s="19">
        <f t="shared" ref="AC10:AC26" si="5">+AB10/AA10</f>
        <v>2.1879712089110455</v>
      </c>
      <c r="AD10" s="583">
        <f>+M10+P10+S10+V10+Y10+AB10</f>
        <v>60631822130</v>
      </c>
      <c r="AE10" s="19">
        <f>+AD10/(L10+O10+R10+U10+X10+AA10)</f>
        <v>0.89110191927267812</v>
      </c>
      <c r="AF10" s="630">
        <v>12838000000</v>
      </c>
      <c r="AG10" s="584">
        <v>70921706500</v>
      </c>
      <c r="AH10" s="19">
        <f t="shared" ref="AH10:AH26" si="6">+AG10/AF10</f>
        <v>5.5243578828477959</v>
      </c>
      <c r="AI10" s="630">
        <v>12838000000</v>
      </c>
      <c r="AJ10" s="584">
        <v>7133413000</v>
      </c>
      <c r="AK10" s="19">
        <f t="shared" ref="AK10:AK26" si="7">+AJ10/AI10</f>
        <v>0.55564830970556156</v>
      </c>
      <c r="AL10" s="630">
        <v>12838000000</v>
      </c>
      <c r="AM10" s="584">
        <v>9392576000</v>
      </c>
      <c r="AN10" s="19">
        <f t="shared" ref="AN10:AN26" si="8">+AM10/AL10</f>
        <v>0.7316229942358623</v>
      </c>
      <c r="AO10" s="630">
        <v>12838000000</v>
      </c>
      <c r="AP10" s="584">
        <v>6571830978</v>
      </c>
      <c r="AQ10" s="19">
        <f t="shared" ref="AQ10:AQ26" si="9">+AP10/AO10</f>
        <v>0.51190457843900916</v>
      </c>
      <c r="AR10" s="630">
        <v>5135200000</v>
      </c>
      <c r="AS10" s="584">
        <v>11899252662</v>
      </c>
      <c r="AT10" s="19">
        <f t="shared" ref="AT10:AT26" si="10">+AS10/AR10</f>
        <v>2.3171936169964167</v>
      </c>
      <c r="AU10" s="630">
        <v>3851400000</v>
      </c>
      <c r="AV10" s="584">
        <v>7909671842</v>
      </c>
      <c r="AW10" s="19">
        <f t="shared" ref="AW10:AW26" si="11">+AV10/AU10</f>
        <v>2.0537134138235449</v>
      </c>
      <c r="AX10" s="630">
        <f t="shared" ref="AX10:AX17" si="12">+M10+P10+S10+V10+Y10+AB10+AG10+AJ10+AM10+AP10+AS10+AV10</f>
        <v>174460273112</v>
      </c>
      <c r="AY10" s="19">
        <f t="shared" ref="AY10:AY24" si="13">+AX10/G10</f>
        <v>1.3589365408319052</v>
      </c>
    </row>
    <row r="11" spans="1:52" s="22" customFormat="1" ht="76.5" thickTop="1" thickBot="1">
      <c r="A11" s="2846"/>
      <c r="B11" s="2915"/>
      <c r="C11" s="2918"/>
      <c r="D11" s="623" t="s">
        <v>102</v>
      </c>
      <c r="E11" s="76" t="s">
        <v>359</v>
      </c>
      <c r="F11" s="76" t="s">
        <v>101</v>
      </c>
      <c r="G11" s="631">
        <v>97000000000</v>
      </c>
      <c r="H11" s="78"/>
      <c r="I11" s="79"/>
      <c r="J11" s="78"/>
      <c r="K11" s="76" t="s">
        <v>358</v>
      </c>
      <c r="L11" s="624">
        <v>7760000000</v>
      </c>
      <c r="M11" s="564">
        <v>2312916000</v>
      </c>
      <c r="N11" s="19">
        <f t="shared" si="0"/>
        <v>0.2980561855670103</v>
      </c>
      <c r="O11" s="624">
        <v>7760000000</v>
      </c>
      <c r="P11" s="564">
        <v>4164102000</v>
      </c>
      <c r="Q11" s="19">
        <f t="shared" si="1"/>
        <v>0.53661108247422684</v>
      </c>
      <c r="R11" s="624">
        <v>7760000000</v>
      </c>
      <c r="S11" s="564">
        <v>2476226000</v>
      </c>
      <c r="T11" s="19">
        <f t="shared" si="2"/>
        <v>0.31910128865979381</v>
      </c>
      <c r="U11" s="624">
        <v>8730000000</v>
      </c>
      <c r="V11" s="564">
        <v>2104098000</v>
      </c>
      <c r="W11" s="19">
        <f t="shared" si="3"/>
        <v>0.24101924398625429</v>
      </c>
      <c r="X11" s="624">
        <v>9700000000</v>
      </c>
      <c r="Y11" s="564">
        <v>12298506000</v>
      </c>
      <c r="Z11" s="19">
        <f t="shared" si="4"/>
        <v>1.2678872164948454</v>
      </c>
      <c r="AA11" s="632">
        <v>9700000000</v>
      </c>
      <c r="AB11" s="633">
        <v>19035853000</v>
      </c>
      <c r="AC11" s="19">
        <f t="shared" si="5"/>
        <v>1.9624590721649484</v>
      </c>
      <c r="AD11" s="563">
        <f t="shared" ref="AD11:AD26" si="14">+M11+P11+S11+V11+Y11+AB11</f>
        <v>42391701000</v>
      </c>
      <c r="AE11" s="19">
        <f>+AD11/(L11+O11+R11+U11+X11+AA11)</f>
        <v>0.82458084030344292</v>
      </c>
      <c r="AF11" s="624">
        <v>9700000000</v>
      </c>
      <c r="AG11" s="564">
        <v>35709377000</v>
      </c>
      <c r="AH11" s="19">
        <f t="shared" si="6"/>
        <v>3.6813790721649484</v>
      </c>
      <c r="AI11" s="624">
        <v>9700000000</v>
      </c>
      <c r="AJ11" s="564">
        <v>10469284000</v>
      </c>
      <c r="AK11" s="19">
        <f t="shared" si="7"/>
        <v>1.0793076288659793</v>
      </c>
      <c r="AL11" s="624">
        <v>9700000000</v>
      </c>
      <c r="AM11" s="564">
        <v>6072846000</v>
      </c>
      <c r="AN11" s="19">
        <f t="shared" si="8"/>
        <v>0.62606659793814434</v>
      </c>
      <c r="AO11" s="624">
        <v>9700000000</v>
      </c>
      <c r="AP11" s="564">
        <v>3527863000</v>
      </c>
      <c r="AQ11" s="19">
        <f t="shared" si="9"/>
        <v>0.36369721649484538</v>
      </c>
      <c r="AR11" s="624">
        <v>3880000000</v>
      </c>
      <c r="AS11" s="564">
        <v>1492410000</v>
      </c>
      <c r="AT11" s="19">
        <f t="shared" si="10"/>
        <v>0.38464175257731958</v>
      </c>
      <c r="AU11" s="624">
        <v>2910000000</v>
      </c>
      <c r="AV11" s="564">
        <v>40616426842</v>
      </c>
      <c r="AW11" s="19">
        <f t="shared" si="11"/>
        <v>13.957534997250859</v>
      </c>
      <c r="AX11" s="624">
        <f t="shared" si="12"/>
        <v>140279907842</v>
      </c>
      <c r="AY11" s="19">
        <f t="shared" si="13"/>
        <v>1.446184616927835</v>
      </c>
    </row>
    <row r="12" spans="1:52" s="22" customFormat="1" ht="76.5" thickTop="1" thickBot="1">
      <c r="A12" s="2846"/>
      <c r="B12" s="2915"/>
      <c r="C12" s="2918"/>
      <c r="D12" s="627" t="s">
        <v>104</v>
      </c>
      <c r="E12" s="81" t="s">
        <v>105</v>
      </c>
      <c r="F12" s="81" t="s">
        <v>24</v>
      </c>
      <c r="G12" s="634">
        <v>80</v>
      </c>
      <c r="H12" s="82"/>
      <c r="I12" s="629"/>
      <c r="J12" s="82"/>
      <c r="K12" s="81" t="s">
        <v>358</v>
      </c>
      <c r="L12" s="635">
        <v>0</v>
      </c>
      <c r="M12" s="578"/>
      <c r="N12" s="19" t="e">
        <f t="shared" si="0"/>
        <v>#DIV/0!</v>
      </c>
      <c r="O12" s="635">
        <v>0</v>
      </c>
      <c r="P12" s="578"/>
      <c r="Q12" s="19" t="e">
        <f t="shared" si="1"/>
        <v>#DIV/0!</v>
      </c>
      <c r="R12" s="635">
        <v>20</v>
      </c>
      <c r="S12" s="578">
        <v>8</v>
      </c>
      <c r="T12" s="19">
        <f t="shared" si="2"/>
        <v>0.4</v>
      </c>
      <c r="U12" s="635">
        <v>0</v>
      </c>
      <c r="V12" s="578"/>
      <c r="W12" s="19" t="e">
        <f>+V12/U12</f>
        <v>#DIV/0!</v>
      </c>
      <c r="X12" s="635">
        <v>0</v>
      </c>
      <c r="Y12" s="578"/>
      <c r="Z12" s="19" t="e">
        <f t="shared" si="4"/>
        <v>#DIV/0!</v>
      </c>
      <c r="AA12" s="635">
        <v>20</v>
      </c>
      <c r="AB12" s="578">
        <v>2</v>
      </c>
      <c r="AC12" s="19">
        <f t="shared" si="5"/>
        <v>0.1</v>
      </c>
      <c r="AD12" s="577">
        <f t="shared" si="14"/>
        <v>10</v>
      </c>
      <c r="AE12" s="19">
        <f>+AD12/(R12+AA12)</f>
        <v>0.25</v>
      </c>
      <c r="AF12" s="635">
        <v>0</v>
      </c>
      <c r="AG12" s="578"/>
      <c r="AH12" s="19" t="e">
        <f t="shared" si="6"/>
        <v>#DIV/0!</v>
      </c>
      <c r="AI12" s="635">
        <v>0</v>
      </c>
      <c r="AJ12" s="578"/>
      <c r="AK12" s="19" t="e">
        <f t="shared" si="7"/>
        <v>#DIV/0!</v>
      </c>
      <c r="AL12" s="635">
        <v>20</v>
      </c>
      <c r="AM12" s="578">
        <v>1</v>
      </c>
      <c r="AN12" s="19">
        <f t="shared" si="8"/>
        <v>0.05</v>
      </c>
      <c r="AO12" s="635">
        <v>0</v>
      </c>
      <c r="AP12" s="578">
        <v>23</v>
      </c>
      <c r="AQ12" s="19" t="e">
        <f t="shared" si="9"/>
        <v>#DIV/0!</v>
      </c>
      <c r="AR12" s="635">
        <v>0</v>
      </c>
      <c r="AS12" s="578">
        <v>11</v>
      </c>
      <c r="AT12" s="19" t="e">
        <f t="shared" si="10"/>
        <v>#DIV/0!</v>
      </c>
      <c r="AU12" s="635">
        <v>20</v>
      </c>
      <c r="AV12" s="578">
        <v>19</v>
      </c>
      <c r="AW12" s="19">
        <f t="shared" si="11"/>
        <v>0.95</v>
      </c>
      <c r="AX12" s="636">
        <f>+M12+P12+S12+V12+Y12+AB12+AG12+AJ12+AM12+AP12+AS12+AV12</f>
        <v>64</v>
      </c>
      <c r="AY12" s="19">
        <f t="shared" si="13"/>
        <v>0.8</v>
      </c>
    </row>
    <row r="13" spans="1:52" s="22" customFormat="1" ht="76.5" thickTop="1" thickBot="1">
      <c r="A13" s="2846"/>
      <c r="B13" s="2915"/>
      <c r="C13" s="2919"/>
      <c r="D13" s="623" t="s">
        <v>106</v>
      </c>
      <c r="E13" s="76" t="s">
        <v>173</v>
      </c>
      <c r="F13" s="76" t="s">
        <v>24</v>
      </c>
      <c r="G13" s="637">
        <v>183</v>
      </c>
      <c r="H13" s="78"/>
      <c r="I13" s="79"/>
      <c r="J13" s="78"/>
      <c r="K13" s="76" t="s">
        <v>358</v>
      </c>
      <c r="L13" s="625">
        <v>0</v>
      </c>
      <c r="M13" s="59"/>
      <c r="N13" s="19" t="e">
        <f t="shared" si="0"/>
        <v>#DIV/0!</v>
      </c>
      <c r="O13" s="625">
        <v>0</v>
      </c>
      <c r="P13" s="59"/>
      <c r="Q13" s="19" t="e">
        <f t="shared" si="1"/>
        <v>#DIV/0!</v>
      </c>
      <c r="R13" s="625">
        <v>0</v>
      </c>
      <c r="S13" s="59"/>
      <c r="T13" s="19" t="e">
        <f t="shared" si="2"/>
        <v>#DIV/0!</v>
      </c>
      <c r="U13" s="625">
        <v>0</v>
      </c>
      <c r="V13" s="59"/>
      <c r="W13" s="19" t="e">
        <f t="shared" si="3"/>
        <v>#DIV/0!</v>
      </c>
      <c r="X13" s="625">
        <v>0</v>
      </c>
      <c r="Y13" s="59"/>
      <c r="Z13" s="19" t="e">
        <f t="shared" si="4"/>
        <v>#DIV/0!</v>
      </c>
      <c r="AA13" s="625">
        <v>0</v>
      </c>
      <c r="AB13" s="59"/>
      <c r="AC13" s="19" t="e">
        <f t="shared" si="5"/>
        <v>#DIV/0!</v>
      </c>
      <c r="AD13" s="58">
        <f t="shared" si="14"/>
        <v>0</v>
      </c>
      <c r="AE13" s="19">
        <f t="shared" ref="AE13:AE24" si="15">+AD13/G13</f>
        <v>0</v>
      </c>
      <c r="AF13" s="625">
        <v>92</v>
      </c>
      <c r="AG13" s="59">
        <v>75</v>
      </c>
      <c r="AH13" s="19">
        <f t="shared" si="6"/>
        <v>0.81521739130434778</v>
      </c>
      <c r="AI13" s="625">
        <v>0</v>
      </c>
      <c r="AJ13" s="59">
        <v>25</v>
      </c>
      <c r="AK13" s="19" t="e">
        <f t="shared" si="7"/>
        <v>#DIV/0!</v>
      </c>
      <c r="AL13" s="625">
        <v>0</v>
      </c>
      <c r="AM13" s="59">
        <v>8</v>
      </c>
      <c r="AN13" s="19" t="e">
        <f t="shared" si="8"/>
        <v>#DIV/0!</v>
      </c>
      <c r="AO13" s="625">
        <v>0</v>
      </c>
      <c r="AP13" s="59"/>
      <c r="AQ13" s="19" t="e">
        <f t="shared" si="9"/>
        <v>#DIV/0!</v>
      </c>
      <c r="AR13" s="625">
        <v>0</v>
      </c>
      <c r="AS13" s="59"/>
      <c r="AT13" s="19" t="e">
        <f t="shared" si="10"/>
        <v>#DIV/0!</v>
      </c>
      <c r="AU13" s="625">
        <v>91</v>
      </c>
      <c r="AV13" s="59">
        <v>65</v>
      </c>
      <c r="AW13" s="19">
        <f t="shared" si="11"/>
        <v>0.7142857142857143</v>
      </c>
      <c r="AX13" s="638">
        <f t="shared" si="12"/>
        <v>173</v>
      </c>
      <c r="AY13" s="19">
        <f t="shared" si="13"/>
        <v>0.94535519125683065</v>
      </c>
    </row>
    <row r="14" spans="1:52" s="22" customFormat="1" ht="46.5" thickTop="1" thickBot="1">
      <c r="A14" s="2846"/>
      <c r="B14" s="2915"/>
      <c r="C14" s="81" t="s">
        <v>360</v>
      </c>
      <c r="D14" s="627" t="s">
        <v>109</v>
      </c>
      <c r="E14" s="81" t="s">
        <v>110</v>
      </c>
      <c r="F14" s="81" t="s">
        <v>168</v>
      </c>
      <c r="G14" s="628">
        <v>295965</v>
      </c>
      <c r="H14" s="82"/>
      <c r="I14" s="629"/>
      <c r="J14" s="82"/>
      <c r="K14" s="81" t="s">
        <v>361</v>
      </c>
      <c r="L14" s="639">
        <v>0</v>
      </c>
      <c r="M14" s="640"/>
      <c r="N14" s="19" t="e">
        <f t="shared" si="0"/>
        <v>#DIV/0!</v>
      </c>
      <c r="O14" s="639">
        <v>0</v>
      </c>
      <c r="P14" s="640"/>
      <c r="Q14" s="19" t="e">
        <f t="shared" si="1"/>
        <v>#DIV/0!</v>
      </c>
      <c r="R14" s="639">
        <v>71528.911714398826</v>
      </c>
      <c r="S14" s="640">
        <v>78296.030267000009</v>
      </c>
      <c r="T14" s="19">
        <f t="shared" si="2"/>
        <v>1.0946067595662714</v>
      </c>
      <c r="U14" s="639">
        <v>26601.148732296533</v>
      </c>
      <c r="V14" s="640">
        <v>10807.6113</v>
      </c>
      <c r="W14" s="19">
        <f t="shared" si="3"/>
        <v>0.40628363116057647</v>
      </c>
      <c r="X14" s="639">
        <v>30039.559695781722</v>
      </c>
      <c r="Y14" s="640">
        <v>19066.928540000001</v>
      </c>
      <c r="Z14" s="19">
        <f t="shared" si="4"/>
        <v>0.63472729737371802</v>
      </c>
      <c r="AA14" s="639">
        <v>21213.387055878899</v>
      </c>
      <c r="AB14" s="640">
        <v>16786.191138999999</v>
      </c>
      <c r="AC14" s="19">
        <f t="shared" si="5"/>
        <v>0.79130178951540964</v>
      </c>
      <c r="AD14" s="641">
        <f t="shared" si="14"/>
        <v>124956.76124600001</v>
      </c>
      <c r="AE14" s="19">
        <f>+AD14/(L14+O14+R14+U14+X14+AA14)</f>
        <v>0.83648577967156634</v>
      </c>
      <c r="AF14" s="639">
        <v>26509.441238125353</v>
      </c>
      <c r="AG14" s="640">
        <v>18260.457354999999</v>
      </c>
      <c r="AH14" s="19">
        <f t="shared" si="6"/>
        <v>0.68882845137973603</v>
      </c>
      <c r="AI14" s="639">
        <v>21133.11020727496</v>
      </c>
      <c r="AJ14" s="640">
        <v>13695.118085</v>
      </c>
      <c r="AK14" s="19">
        <f t="shared" si="7"/>
        <v>0.64804082081044223</v>
      </c>
      <c r="AL14" s="639">
        <v>25032.630629776555</v>
      </c>
      <c r="AM14" s="640">
        <v>19675.346045000002</v>
      </c>
      <c r="AN14" s="19">
        <f t="shared" si="8"/>
        <v>0.7859879505271008</v>
      </c>
      <c r="AO14" s="639">
        <v>31935.884181206293</v>
      </c>
      <c r="AP14" s="640">
        <v>20835.280326999997</v>
      </c>
      <c r="AQ14" s="19">
        <f t="shared" si="9"/>
        <v>0.65240969089126377</v>
      </c>
      <c r="AR14" s="639">
        <v>18630.771237311259</v>
      </c>
      <c r="AS14" s="640">
        <v>18448.245073000002</v>
      </c>
      <c r="AT14" s="19">
        <f t="shared" si="10"/>
        <v>0.99020297324322692</v>
      </c>
      <c r="AU14" s="639">
        <v>23340.625344312954</v>
      </c>
      <c r="AV14" s="640">
        <v>28412.351003</v>
      </c>
      <c r="AW14" s="19">
        <f t="shared" si="11"/>
        <v>1.2172917642038581</v>
      </c>
      <c r="AX14" s="630">
        <f t="shared" si="12"/>
        <v>244283.55913399998</v>
      </c>
      <c r="AY14" s="19">
        <f t="shared" si="13"/>
        <v>0.82537988996671896</v>
      </c>
    </row>
    <row r="15" spans="1:52" s="22" customFormat="1" ht="46.5" thickTop="1" thickBot="1">
      <c r="A15" s="2846"/>
      <c r="B15" s="2915"/>
      <c r="C15" s="76" t="s">
        <v>362</v>
      </c>
      <c r="D15" s="623" t="s">
        <v>111</v>
      </c>
      <c r="E15" s="76" t="s">
        <v>112</v>
      </c>
      <c r="F15" s="76" t="s">
        <v>17</v>
      </c>
      <c r="G15" s="637">
        <v>825</v>
      </c>
      <c r="H15" s="78"/>
      <c r="I15" s="79"/>
      <c r="J15" s="78"/>
      <c r="K15" s="76" t="s">
        <v>20</v>
      </c>
      <c r="L15" s="625">
        <v>0</v>
      </c>
      <c r="M15" s="59"/>
      <c r="N15" s="19" t="e">
        <f t="shared" si="0"/>
        <v>#DIV/0!</v>
      </c>
      <c r="O15" s="625">
        <v>0</v>
      </c>
      <c r="P15" s="59"/>
      <c r="Q15" s="19" t="e">
        <f t="shared" si="1"/>
        <v>#DIV/0!</v>
      </c>
      <c r="R15" s="625">
        <v>0</v>
      </c>
      <c r="S15" s="59"/>
      <c r="T15" s="19" t="e">
        <f t="shared" si="2"/>
        <v>#DIV/0!</v>
      </c>
      <c r="U15" s="625">
        <v>0</v>
      </c>
      <c r="V15" s="59"/>
      <c r="W15" s="19" t="e">
        <f t="shared" si="3"/>
        <v>#DIV/0!</v>
      </c>
      <c r="X15" s="625">
        <v>0</v>
      </c>
      <c r="Y15" s="59"/>
      <c r="Z15" s="19" t="e">
        <f t="shared" si="4"/>
        <v>#DIV/0!</v>
      </c>
      <c r="AA15" s="625">
        <v>0</v>
      </c>
      <c r="AB15" s="59"/>
      <c r="AC15" s="19" t="e">
        <f t="shared" si="5"/>
        <v>#DIV/0!</v>
      </c>
      <c r="AD15" s="58">
        <f>+M15+P15+S15+V15+Y15+AB15</f>
        <v>0</v>
      </c>
      <c r="AE15" s="19"/>
      <c r="AF15" s="625">
        <v>0</v>
      </c>
      <c r="AG15" s="59"/>
      <c r="AH15" s="19" t="e">
        <f t="shared" si="6"/>
        <v>#DIV/0!</v>
      </c>
      <c r="AI15" s="625">
        <v>0</v>
      </c>
      <c r="AJ15" s="59"/>
      <c r="AK15" s="19" t="e">
        <f t="shared" si="7"/>
        <v>#DIV/0!</v>
      </c>
      <c r="AL15" s="625">
        <v>0</v>
      </c>
      <c r="AM15" s="59"/>
      <c r="AN15" s="19" t="e">
        <f t="shared" si="8"/>
        <v>#DIV/0!</v>
      </c>
      <c r="AO15" s="625">
        <v>813</v>
      </c>
      <c r="AP15" s="59">
        <v>1024</v>
      </c>
      <c r="AQ15" s="19">
        <f t="shared" si="9"/>
        <v>1.2595325953259533</v>
      </c>
      <c r="AR15" s="625">
        <v>0</v>
      </c>
      <c r="AS15" s="59">
        <v>21</v>
      </c>
      <c r="AT15" s="19" t="e">
        <f t="shared" si="10"/>
        <v>#DIV/0!</v>
      </c>
      <c r="AU15" s="625">
        <v>12</v>
      </c>
      <c r="AV15" s="59">
        <v>26</v>
      </c>
      <c r="AW15" s="19">
        <f t="shared" si="11"/>
        <v>2.1666666666666665</v>
      </c>
      <c r="AX15" s="638">
        <f t="shared" si="12"/>
        <v>1071</v>
      </c>
      <c r="AY15" s="19">
        <f t="shared" si="13"/>
        <v>1.2981818181818181</v>
      </c>
    </row>
    <row r="16" spans="1:52" s="22" customFormat="1" ht="61.5" thickTop="1" thickBot="1">
      <c r="A16" s="2846"/>
      <c r="B16" s="2915"/>
      <c r="C16" s="81" t="s">
        <v>363</v>
      </c>
      <c r="D16" s="627" t="s">
        <v>114</v>
      </c>
      <c r="E16" s="81" t="s">
        <v>115</v>
      </c>
      <c r="F16" s="81" t="s">
        <v>10</v>
      </c>
      <c r="G16" s="642">
        <v>1</v>
      </c>
      <c r="H16" s="82"/>
      <c r="I16" s="629"/>
      <c r="J16" s="82"/>
      <c r="K16" s="81" t="s">
        <v>20</v>
      </c>
      <c r="L16" s="643">
        <v>0</v>
      </c>
      <c r="M16" s="644"/>
      <c r="N16" s="19" t="e">
        <f t="shared" si="0"/>
        <v>#DIV/0!</v>
      </c>
      <c r="O16" s="643">
        <v>0</v>
      </c>
      <c r="P16" s="644"/>
      <c r="Q16" s="19" t="e">
        <f t="shared" si="1"/>
        <v>#DIV/0!</v>
      </c>
      <c r="R16" s="643">
        <v>0.25</v>
      </c>
      <c r="S16" s="644"/>
      <c r="T16" s="19">
        <f>+S16/R16</f>
        <v>0</v>
      </c>
      <c r="U16" s="643">
        <v>0</v>
      </c>
      <c r="V16" s="644"/>
      <c r="W16" s="19" t="e">
        <f t="shared" si="3"/>
        <v>#DIV/0!</v>
      </c>
      <c r="X16" s="643">
        <v>0</v>
      </c>
      <c r="Y16" s="644"/>
      <c r="Z16" s="19" t="e">
        <f t="shared" si="4"/>
        <v>#DIV/0!</v>
      </c>
      <c r="AA16" s="643">
        <v>0.25</v>
      </c>
      <c r="AB16" s="645">
        <v>0.42857142857142855</v>
      </c>
      <c r="AC16" s="19">
        <f t="shared" si="5"/>
        <v>1.7142857142857142</v>
      </c>
      <c r="AD16" s="646">
        <f t="shared" si="14"/>
        <v>0.42857142857142855</v>
      </c>
      <c r="AE16" s="19">
        <f>+AD16/(R16+AA16)</f>
        <v>0.8571428571428571</v>
      </c>
      <c r="AF16" s="643">
        <v>0</v>
      </c>
      <c r="AG16" s="644"/>
      <c r="AH16" s="19" t="e">
        <f t="shared" si="6"/>
        <v>#DIV/0!</v>
      </c>
      <c r="AI16" s="643">
        <v>0</v>
      </c>
      <c r="AJ16" s="644"/>
      <c r="AK16" s="19" t="e">
        <f t="shared" si="7"/>
        <v>#DIV/0!</v>
      </c>
      <c r="AL16" s="643">
        <v>0.25</v>
      </c>
      <c r="AM16" s="645">
        <v>0.14285714285714285</v>
      </c>
      <c r="AN16" s="19">
        <f t="shared" si="8"/>
        <v>0.5714285714285714</v>
      </c>
      <c r="AO16" s="643">
        <v>0</v>
      </c>
      <c r="AP16" s="645">
        <v>0.2857142857142857</v>
      </c>
      <c r="AQ16" s="19" t="e">
        <f t="shared" si="9"/>
        <v>#DIV/0!</v>
      </c>
      <c r="AR16" s="643">
        <v>0</v>
      </c>
      <c r="AS16" s="645">
        <v>0.14285714285714285</v>
      </c>
      <c r="AT16" s="19" t="e">
        <f t="shared" si="10"/>
        <v>#DIV/0!</v>
      </c>
      <c r="AU16" s="643">
        <v>0.25</v>
      </c>
      <c r="AV16" s="645">
        <v>0.14285714285714285</v>
      </c>
      <c r="AW16" s="19">
        <f t="shared" si="11"/>
        <v>0.5714285714285714</v>
      </c>
      <c r="AX16" s="647">
        <f t="shared" si="12"/>
        <v>1.1428571428571428</v>
      </c>
      <c r="AY16" s="19">
        <f t="shared" si="13"/>
        <v>1.1428571428571428</v>
      </c>
    </row>
    <row r="17" spans="1:51" s="22" customFormat="1" ht="61.5" thickTop="1" thickBot="1">
      <c r="A17" s="2846"/>
      <c r="B17" s="2915"/>
      <c r="C17" s="76" t="s">
        <v>364</v>
      </c>
      <c r="D17" s="623" t="s">
        <v>116</v>
      </c>
      <c r="E17" s="76" t="s">
        <v>117</v>
      </c>
      <c r="F17" s="76" t="s">
        <v>17</v>
      </c>
      <c r="G17" s="637">
        <v>8359</v>
      </c>
      <c r="H17" s="78"/>
      <c r="I17" s="79"/>
      <c r="J17" s="78"/>
      <c r="K17" s="76" t="s">
        <v>118</v>
      </c>
      <c r="L17" s="625">
        <v>0</v>
      </c>
      <c r="M17" s="59"/>
      <c r="N17" s="19" t="e">
        <f t="shared" si="0"/>
        <v>#DIV/0!</v>
      </c>
      <c r="O17" s="625">
        <v>0</v>
      </c>
      <c r="P17" s="59"/>
      <c r="Q17" s="19" t="e">
        <f t="shared" si="1"/>
        <v>#DIV/0!</v>
      </c>
      <c r="R17" s="625">
        <v>1588</v>
      </c>
      <c r="S17" s="59">
        <v>1407</v>
      </c>
      <c r="T17" s="19">
        <f t="shared" si="2"/>
        <v>0.8860201511335013</v>
      </c>
      <c r="U17" s="625">
        <v>1290</v>
      </c>
      <c r="V17" s="59">
        <v>86</v>
      </c>
      <c r="W17" s="19">
        <f t="shared" si="3"/>
        <v>6.6666666666666666E-2</v>
      </c>
      <c r="X17" s="625">
        <v>375</v>
      </c>
      <c r="Y17" s="59">
        <v>226</v>
      </c>
      <c r="Z17" s="19">
        <f t="shared" si="4"/>
        <v>0.60266666666666668</v>
      </c>
      <c r="AA17" s="625">
        <v>422</v>
      </c>
      <c r="AB17" s="59">
        <v>239</v>
      </c>
      <c r="AC17" s="19">
        <f t="shared" si="5"/>
        <v>0.56635071090047395</v>
      </c>
      <c r="AD17" s="58">
        <f t="shared" si="14"/>
        <v>1958</v>
      </c>
      <c r="AE17" s="19">
        <f>+AD17/(L17+O17+R17+U17+X17+AA17)</f>
        <v>0.53278911564625853</v>
      </c>
      <c r="AF17" s="625">
        <v>777</v>
      </c>
      <c r="AG17" s="59">
        <v>577</v>
      </c>
      <c r="AH17" s="19">
        <f t="shared" si="6"/>
        <v>0.7425997425997426</v>
      </c>
      <c r="AI17" s="625">
        <v>1187</v>
      </c>
      <c r="AJ17" s="59">
        <v>774</v>
      </c>
      <c r="AK17" s="19">
        <f t="shared" si="7"/>
        <v>0.65206402695871946</v>
      </c>
      <c r="AL17" s="625">
        <v>1611</v>
      </c>
      <c r="AM17" s="59">
        <v>874</v>
      </c>
      <c r="AN17" s="19">
        <f t="shared" si="8"/>
        <v>0.54252017380508999</v>
      </c>
      <c r="AO17" s="625">
        <v>629</v>
      </c>
      <c r="AP17" s="59">
        <v>1019</v>
      </c>
      <c r="AQ17" s="19">
        <f t="shared" si="9"/>
        <v>1.6200317965023847</v>
      </c>
      <c r="AR17" s="625">
        <v>433</v>
      </c>
      <c r="AS17" s="59">
        <v>4283</v>
      </c>
      <c r="AT17" s="19">
        <f t="shared" si="10"/>
        <v>9.8914549653579673</v>
      </c>
      <c r="AU17" s="625">
        <v>47</v>
      </c>
      <c r="AV17" s="59">
        <v>851</v>
      </c>
      <c r="AW17" s="19">
        <f t="shared" si="11"/>
        <v>18.106382978723403</v>
      </c>
      <c r="AX17" s="625">
        <f t="shared" si="12"/>
        <v>10336</v>
      </c>
      <c r="AY17" s="19">
        <f t="shared" si="13"/>
        <v>1.2365115444431152</v>
      </c>
    </row>
    <row r="18" spans="1:51" s="22" customFormat="1" ht="76.5" thickTop="1" thickBot="1">
      <c r="A18" s="2846"/>
      <c r="B18" s="2915"/>
      <c r="C18" s="2917" t="s">
        <v>216</v>
      </c>
      <c r="D18" s="627" t="s">
        <v>120</v>
      </c>
      <c r="E18" s="81" t="s">
        <v>121</v>
      </c>
      <c r="F18" s="81" t="s">
        <v>10</v>
      </c>
      <c r="G18" s="648">
        <v>0.64100000000000001</v>
      </c>
      <c r="H18" s="82"/>
      <c r="I18" s="629"/>
      <c r="J18" s="82"/>
      <c r="K18" s="81" t="s">
        <v>7</v>
      </c>
      <c r="L18" s="643">
        <v>0</v>
      </c>
      <c r="M18" s="649"/>
      <c r="N18" s="19" t="e">
        <f t="shared" si="0"/>
        <v>#DIV/0!</v>
      </c>
      <c r="O18" s="643">
        <v>0</v>
      </c>
      <c r="P18" s="649"/>
      <c r="Q18" s="19" t="e">
        <f t="shared" si="1"/>
        <v>#DIV/0!</v>
      </c>
      <c r="R18" s="643">
        <v>0</v>
      </c>
      <c r="S18" s="649"/>
      <c r="T18" s="19" t="e">
        <f t="shared" si="2"/>
        <v>#DIV/0!</v>
      </c>
      <c r="U18" s="643">
        <v>0</v>
      </c>
      <c r="V18" s="649">
        <v>1</v>
      </c>
      <c r="W18" s="19" t="e">
        <f t="shared" si="3"/>
        <v>#DIV/0!</v>
      </c>
      <c r="X18" s="643">
        <v>0</v>
      </c>
      <c r="Y18" s="649"/>
      <c r="Z18" s="19" t="e">
        <f t="shared" si="4"/>
        <v>#DIV/0!</v>
      </c>
      <c r="AA18" s="643">
        <v>0</v>
      </c>
      <c r="AB18" s="649"/>
      <c r="AC18" s="19" t="e">
        <f t="shared" si="5"/>
        <v>#DIV/0!</v>
      </c>
      <c r="AD18" s="646">
        <v>1</v>
      </c>
      <c r="AE18" s="19">
        <f t="shared" si="15"/>
        <v>1.5600624024960998</v>
      </c>
      <c r="AF18" s="643">
        <v>0</v>
      </c>
      <c r="AG18" s="649"/>
      <c r="AH18" s="19" t="e">
        <f t="shared" si="6"/>
        <v>#DIV/0!</v>
      </c>
      <c r="AI18" s="643">
        <v>0</v>
      </c>
      <c r="AJ18" s="649">
        <f>+(0.833333333333333)</f>
        <v>0.83333333333333304</v>
      </c>
      <c r="AK18" s="19" t="e">
        <f t="shared" si="7"/>
        <v>#DIV/0!</v>
      </c>
      <c r="AL18" s="643">
        <v>0</v>
      </c>
      <c r="AM18" s="649"/>
      <c r="AN18" s="19" t="e">
        <f t="shared" si="8"/>
        <v>#DIV/0!</v>
      </c>
      <c r="AO18" s="643">
        <v>0</v>
      </c>
      <c r="AP18" s="649"/>
      <c r="AQ18" s="19" t="e">
        <f t="shared" si="9"/>
        <v>#DIV/0!</v>
      </c>
      <c r="AR18" s="643">
        <v>0</v>
      </c>
      <c r="AS18" s="649"/>
      <c r="AT18" s="19" t="e">
        <f t="shared" si="10"/>
        <v>#DIV/0!</v>
      </c>
      <c r="AU18" s="643">
        <v>0.64100000000000001</v>
      </c>
      <c r="AV18" s="650">
        <v>0.8</v>
      </c>
      <c r="AW18" s="19">
        <f t="shared" si="11"/>
        <v>1.2480499219968799</v>
      </c>
      <c r="AX18" s="651">
        <v>0.84615384615384615</v>
      </c>
      <c r="AY18" s="19">
        <f t="shared" si="13"/>
        <v>1.3200528021120845</v>
      </c>
    </row>
    <row r="19" spans="1:51" s="22" customFormat="1" ht="61.5" thickTop="1" thickBot="1">
      <c r="A19" s="2846"/>
      <c r="B19" s="2915"/>
      <c r="C19" s="2918"/>
      <c r="D19" s="623" t="s">
        <v>122</v>
      </c>
      <c r="E19" s="76" t="s">
        <v>123</v>
      </c>
      <c r="F19" s="76" t="s">
        <v>10</v>
      </c>
      <c r="G19" s="652">
        <v>1</v>
      </c>
      <c r="H19" s="78"/>
      <c r="I19" s="79"/>
      <c r="J19" s="78"/>
      <c r="K19" s="76" t="s">
        <v>7</v>
      </c>
      <c r="L19" s="653">
        <v>0</v>
      </c>
      <c r="M19" s="50"/>
      <c r="N19" s="19" t="e">
        <f t="shared" si="0"/>
        <v>#DIV/0!</v>
      </c>
      <c r="O19" s="654">
        <v>0</v>
      </c>
      <c r="P19" s="52"/>
      <c r="Q19" s="19" t="e">
        <f t="shared" si="1"/>
        <v>#DIV/0!</v>
      </c>
      <c r="R19" s="653">
        <v>0</v>
      </c>
      <c r="S19" s="50"/>
      <c r="T19" s="19" t="e">
        <f t="shared" si="2"/>
        <v>#DIV/0!</v>
      </c>
      <c r="U19" s="653">
        <v>1</v>
      </c>
      <c r="V19" s="50"/>
      <c r="W19" s="19">
        <f t="shared" si="3"/>
        <v>0</v>
      </c>
      <c r="X19" s="653">
        <v>0</v>
      </c>
      <c r="Y19" s="50">
        <v>1</v>
      </c>
      <c r="Z19" s="19" t="e">
        <f t="shared" si="4"/>
        <v>#DIV/0!</v>
      </c>
      <c r="AA19" s="653">
        <v>0</v>
      </c>
      <c r="AB19" s="50"/>
      <c r="AC19" s="19" t="e">
        <f t="shared" si="5"/>
        <v>#DIV/0!</v>
      </c>
      <c r="AD19" s="49">
        <v>1</v>
      </c>
      <c r="AE19" s="19">
        <f t="shared" si="15"/>
        <v>1</v>
      </c>
      <c r="AF19" s="653">
        <v>0</v>
      </c>
      <c r="AG19" s="50"/>
      <c r="AH19" s="19" t="e">
        <f t="shared" si="6"/>
        <v>#DIV/0!</v>
      </c>
      <c r="AI19" s="653">
        <v>0</v>
      </c>
      <c r="AJ19" s="50"/>
      <c r="AK19" s="19" t="e">
        <f t="shared" si="7"/>
        <v>#DIV/0!</v>
      </c>
      <c r="AL19" s="653">
        <v>0</v>
      </c>
      <c r="AM19" s="50"/>
      <c r="AN19" s="19" t="e">
        <f t="shared" si="8"/>
        <v>#DIV/0!</v>
      </c>
      <c r="AO19" s="653">
        <v>1</v>
      </c>
      <c r="AP19" s="50"/>
      <c r="AQ19" s="19">
        <f t="shared" si="9"/>
        <v>0</v>
      </c>
      <c r="AR19" s="653">
        <v>0</v>
      </c>
      <c r="AS19" s="50">
        <v>1</v>
      </c>
      <c r="AT19" s="19" t="e">
        <f t="shared" si="10"/>
        <v>#DIV/0!</v>
      </c>
      <c r="AU19" s="653">
        <v>0</v>
      </c>
      <c r="AV19" s="50"/>
      <c r="AW19" s="19" t="e">
        <f t="shared" si="11"/>
        <v>#DIV/0!</v>
      </c>
      <c r="AX19" s="653">
        <v>1</v>
      </c>
      <c r="AY19" s="19">
        <f t="shared" si="13"/>
        <v>1</v>
      </c>
    </row>
    <row r="20" spans="1:51" s="22" customFormat="1" ht="76.5" thickTop="1" thickBot="1">
      <c r="A20" s="2846"/>
      <c r="B20" s="2915"/>
      <c r="C20" s="2918"/>
      <c r="D20" s="627" t="s">
        <v>124</v>
      </c>
      <c r="E20" s="81" t="s">
        <v>125</v>
      </c>
      <c r="F20" s="81" t="s">
        <v>10</v>
      </c>
      <c r="G20" s="642">
        <v>1</v>
      </c>
      <c r="H20" s="82"/>
      <c r="I20" s="629"/>
      <c r="J20" s="82"/>
      <c r="K20" s="81" t="s">
        <v>7</v>
      </c>
      <c r="L20" s="655">
        <v>0</v>
      </c>
      <c r="M20" s="45"/>
      <c r="N20" s="19" t="e">
        <f t="shared" si="0"/>
        <v>#DIV/0!</v>
      </c>
      <c r="O20" s="655">
        <v>0</v>
      </c>
      <c r="P20" s="45"/>
      <c r="Q20" s="19" t="e">
        <f t="shared" si="1"/>
        <v>#DIV/0!</v>
      </c>
      <c r="R20" s="655">
        <v>1</v>
      </c>
      <c r="S20" s="45"/>
      <c r="T20" s="19">
        <f t="shared" si="2"/>
        <v>0</v>
      </c>
      <c r="U20" s="655">
        <v>0</v>
      </c>
      <c r="V20" s="45">
        <v>1</v>
      </c>
      <c r="W20" s="19" t="e">
        <f t="shared" si="3"/>
        <v>#DIV/0!</v>
      </c>
      <c r="X20" s="655">
        <v>0</v>
      </c>
      <c r="Y20" s="45"/>
      <c r="Z20" s="19" t="e">
        <f t="shared" si="4"/>
        <v>#DIV/0!</v>
      </c>
      <c r="AA20" s="655">
        <v>1</v>
      </c>
      <c r="AB20" s="45"/>
      <c r="AC20" s="19">
        <f t="shared" si="5"/>
        <v>0</v>
      </c>
      <c r="AD20" s="44">
        <v>1</v>
      </c>
      <c r="AE20" s="19">
        <f t="shared" si="15"/>
        <v>1</v>
      </c>
      <c r="AF20" s="655">
        <v>0</v>
      </c>
      <c r="AG20" s="45"/>
      <c r="AH20" s="19" t="e">
        <f t="shared" si="6"/>
        <v>#DIV/0!</v>
      </c>
      <c r="AI20" s="655">
        <v>0</v>
      </c>
      <c r="AJ20" s="45"/>
      <c r="AK20" s="19" t="e">
        <f t="shared" si="7"/>
        <v>#DIV/0!</v>
      </c>
      <c r="AL20" s="655">
        <v>1</v>
      </c>
      <c r="AM20" s="45"/>
      <c r="AN20" s="19">
        <f t="shared" si="8"/>
        <v>0</v>
      </c>
      <c r="AO20" s="655">
        <v>0</v>
      </c>
      <c r="AP20" s="45">
        <v>1</v>
      </c>
      <c r="AQ20" s="19" t="e">
        <f t="shared" si="9"/>
        <v>#DIV/0!</v>
      </c>
      <c r="AR20" s="655">
        <v>0</v>
      </c>
      <c r="AS20" s="45">
        <v>1</v>
      </c>
      <c r="AT20" s="19" t="e">
        <f t="shared" si="10"/>
        <v>#DIV/0!</v>
      </c>
      <c r="AU20" s="655">
        <v>1</v>
      </c>
      <c r="AV20" s="45">
        <v>0</v>
      </c>
      <c r="AW20" s="19">
        <f t="shared" si="11"/>
        <v>0</v>
      </c>
      <c r="AX20" s="655">
        <v>1</v>
      </c>
      <c r="AY20" s="19">
        <f t="shared" si="13"/>
        <v>1</v>
      </c>
    </row>
    <row r="21" spans="1:51" s="22" customFormat="1" ht="46.5" thickTop="1" thickBot="1">
      <c r="A21" s="2846"/>
      <c r="B21" s="2915"/>
      <c r="C21" s="2918"/>
      <c r="D21" s="623" t="s">
        <v>365</v>
      </c>
      <c r="E21" s="76" t="s">
        <v>127</v>
      </c>
      <c r="F21" s="76" t="s">
        <v>10</v>
      </c>
      <c r="G21" s="652">
        <v>0.7</v>
      </c>
      <c r="H21" s="78"/>
      <c r="I21" s="79"/>
      <c r="J21" s="78"/>
      <c r="K21" s="76" t="s">
        <v>7</v>
      </c>
      <c r="L21" s="653">
        <v>0.7</v>
      </c>
      <c r="M21" s="50"/>
      <c r="N21" s="19">
        <f t="shared" si="0"/>
        <v>0</v>
      </c>
      <c r="O21" s="653">
        <v>0.7</v>
      </c>
      <c r="P21" s="50"/>
      <c r="Q21" s="19">
        <f t="shared" si="1"/>
        <v>0</v>
      </c>
      <c r="R21" s="653">
        <v>0.7</v>
      </c>
      <c r="S21" s="50"/>
      <c r="T21" s="19">
        <f t="shared" si="2"/>
        <v>0</v>
      </c>
      <c r="U21" s="653">
        <v>0.7</v>
      </c>
      <c r="V21" s="50"/>
      <c r="W21" s="19">
        <f t="shared" si="3"/>
        <v>0</v>
      </c>
      <c r="X21" s="653">
        <v>0.7</v>
      </c>
      <c r="Y21" s="50"/>
      <c r="Z21" s="19">
        <f t="shared" si="4"/>
        <v>0</v>
      </c>
      <c r="AA21" s="653">
        <v>0.7</v>
      </c>
      <c r="AB21" s="50">
        <v>1</v>
      </c>
      <c r="AC21" s="19">
        <f t="shared" si="5"/>
        <v>1.4285714285714286</v>
      </c>
      <c r="AD21" s="49">
        <v>1</v>
      </c>
      <c r="AE21" s="19">
        <f t="shared" si="15"/>
        <v>1.4285714285714286</v>
      </c>
      <c r="AF21" s="653">
        <v>0.7</v>
      </c>
      <c r="AG21" s="50">
        <v>1</v>
      </c>
      <c r="AH21" s="19">
        <f t="shared" si="6"/>
        <v>1.4285714285714286</v>
      </c>
      <c r="AI21" s="653">
        <v>0.7</v>
      </c>
      <c r="AJ21" s="50">
        <v>1</v>
      </c>
      <c r="AK21" s="19">
        <f t="shared" si="7"/>
        <v>1.4285714285714286</v>
      </c>
      <c r="AL21" s="653">
        <v>0.7</v>
      </c>
      <c r="AM21" s="50">
        <v>1</v>
      </c>
      <c r="AN21" s="19">
        <f t="shared" si="8"/>
        <v>1.4285714285714286</v>
      </c>
      <c r="AO21" s="653">
        <v>0.7</v>
      </c>
      <c r="AP21" s="50">
        <v>1</v>
      </c>
      <c r="AQ21" s="19">
        <f t="shared" si="9"/>
        <v>1.4285714285714286</v>
      </c>
      <c r="AR21" s="653">
        <v>0.7</v>
      </c>
      <c r="AS21" s="50">
        <v>1</v>
      </c>
      <c r="AT21" s="19">
        <f t="shared" si="10"/>
        <v>1.4285714285714286</v>
      </c>
      <c r="AU21" s="653">
        <v>0.7</v>
      </c>
      <c r="AV21" s="305">
        <v>1</v>
      </c>
      <c r="AW21" s="19">
        <f t="shared" si="11"/>
        <v>1.4285714285714286</v>
      </c>
      <c r="AX21" s="656">
        <v>1</v>
      </c>
      <c r="AY21" s="19">
        <f t="shared" si="13"/>
        <v>1.4285714285714286</v>
      </c>
    </row>
    <row r="22" spans="1:51" s="22" customFormat="1" ht="91.5" thickTop="1" thickBot="1">
      <c r="A22" s="2846"/>
      <c r="B22" s="2915"/>
      <c r="C22" s="2918"/>
      <c r="D22" s="627" t="s">
        <v>128</v>
      </c>
      <c r="E22" s="81" t="s">
        <v>129</v>
      </c>
      <c r="F22" s="81" t="s">
        <v>10</v>
      </c>
      <c r="G22" s="642">
        <v>1</v>
      </c>
      <c r="H22" s="82"/>
      <c r="I22" s="629"/>
      <c r="J22" s="82"/>
      <c r="K22" s="81" t="s">
        <v>7</v>
      </c>
      <c r="L22" s="655">
        <v>1</v>
      </c>
      <c r="M22" s="45"/>
      <c r="N22" s="19">
        <f t="shared" si="0"/>
        <v>0</v>
      </c>
      <c r="O22" s="655">
        <v>1</v>
      </c>
      <c r="P22" s="45"/>
      <c r="Q22" s="19">
        <f t="shared" si="1"/>
        <v>0</v>
      </c>
      <c r="R22" s="655">
        <v>1</v>
      </c>
      <c r="S22" s="45"/>
      <c r="T22" s="19">
        <f t="shared" si="2"/>
        <v>0</v>
      </c>
      <c r="U22" s="655">
        <v>1</v>
      </c>
      <c r="V22" s="45"/>
      <c r="W22" s="19">
        <f t="shared" si="3"/>
        <v>0</v>
      </c>
      <c r="X22" s="655">
        <v>1</v>
      </c>
      <c r="Y22" s="45">
        <v>1</v>
      </c>
      <c r="Z22" s="19">
        <f t="shared" si="4"/>
        <v>1</v>
      </c>
      <c r="AA22" s="655">
        <v>1</v>
      </c>
      <c r="AB22" s="45"/>
      <c r="AC22" s="19">
        <f t="shared" si="5"/>
        <v>0</v>
      </c>
      <c r="AD22" s="44">
        <v>1</v>
      </c>
      <c r="AE22" s="19">
        <f t="shared" si="15"/>
        <v>1</v>
      </c>
      <c r="AF22" s="655">
        <v>1</v>
      </c>
      <c r="AG22" s="45"/>
      <c r="AH22" s="19">
        <f t="shared" si="6"/>
        <v>0</v>
      </c>
      <c r="AI22" s="655">
        <v>1</v>
      </c>
      <c r="AJ22" s="45"/>
      <c r="AK22" s="19">
        <f t="shared" si="7"/>
        <v>0</v>
      </c>
      <c r="AL22" s="655">
        <v>1</v>
      </c>
      <c r="AM22" s="45"/>
      <c r="AN22" s="19">
        <f t="shared" si="8"/>
        <v>0</v>
      </c>
      <c r="AO22" s="655">
        <v>1</v>
      </c>
      <c r="AP22" s="45">
        <v>1</v>
      </c>
      <c r="AQ22" s="19">
        <f t="shared" si="9"/>
        <v>1</v>
      </c>
      <c r="AR22" s="655">
        <v>1</v>
      </c>
      <c r="AS22" s="45"/>
      <c r="AT22" s="19">
        <f t="shared" si="10"/>
        <v>0</v>
      </c>
      <c r="AU22" s="655">
        <v>1</v>
      </c>
      <c r="AV22" s="45"/>
      <c r="AW22" s="19">
        <f t="shared" si="11"/>
        <v>0</v>
      </c>
      <c r="AX22" s="655">
        <v>1</v>
      </c>
      <c r="AY22" s="19">
        <f t="shared" si="13"/>
        <v>1</v>
      </c>
    </row>
    <row r="23" spans="1:51" s="22" customFormat="1" ht="76.5" thickTop="1" thickBot="1">
      <c r="A23" s="2846"/>
      <c r="B23" s="2915"/>
      <c r="C23" s="2918"/>
      <c r="D23" s="623" t="s">
        <v>179</v>
      </c>
      <c r="E23" s="76" t="s">
        <v>131</v>
      </c>
      <c r="F23" s="76" t="s">
        <v>10</v>
      </c>
      <c r="G23" s="652">
        <v>1</v>
      </c>
      <c r="H23" s="78"/>
      <c r="I23" s="79"/>
      <c r="J23" s="78"/>
      <c r="K23" s="76" t="s">
        <v>7</v>
      </c>
      <c r="L23" s="653">
        <v>1</v>
      </c>
      <c r="M23" s="50"/>
      <c r="N23" s="19">
        <f t="shared" si="0"/>
        <v>0</v>
      </c>
      <c r="O23" s="653">
        <v>1</v>
      </c>
      <c r="P23" s="50"/>
      <c r="Q23" s="19">
        <f t="shared" si="1"/>
        <v>0</v>
      </c>
      <c r="R23" s="653">
        <v>1</v>
      </c>
      <c r="S23" s="50">
        <v>1</v>
      </c>
      <c r="T23" s="19">
        <f t="shared" si="2"/>
        <v>1</v>
      </c>
      <c r="U23" s="653">
        <v>1</v>
      </c>
      <c r="V23" s="50">
        <v>1</v>
      </c>
      <c r="W23" s="19">
        <f t="shared" si="3"/>
        <v>1</v>
      </c>
      <c r="X23" s="653">
        <v>1</v>
      </c>
      <c r="Y23" s="50">
        <v>1</v>
      </c>
      <c r="Z23" s="19">
        <f t="shared" si="4"/>
        <v>1</v>
      </c>
      <c r="AA23" s="653">
        <v>1</v>
      </c>
      <c r="AB23" s="50">
        <v>1</v>
      </c>
      <c r="AC23" s="19">
        <f t="shared" si="5"/>
        <v>1</v>
      </c>
      <c r="AD23" s="49">
        <v>1</v>
      </c>
      <c r="AE23" s="19">
        <f t="shared" si="15"/>
        <v>1</v>
      </c>
      <c r="AF23" s="653">
        <v>1</v>
      </c>
      <c r="AG23" s="50">
        <v>1</v>
      </c>
      <c r="AH23" s="19">
        <f t="shared" si="6"/>
        <v>1</v>
      </c>
      <c r="AI23" s="653">
        <v>1</v>
      </c>
      <c r="AJ23" s="50">
        <v>1</v>
      </c>
      <c r="AK23" s="19">
        <f t="shared" si="7"/>
        <v>1</v>
      </c>
      <c r="AL23" s="653">
        <v>1</v>
      </c>
      <c r="AM23" s="50">
        <v>1</v>
      </c>
      <c r="AN23" s="19">
        <f t="shared" si="8"/>
        <v>1</v>
      </c>
      <c r="AO23" s="653">
        <v>1</v>
      </c>
      <c r="AP23" s="50">
        <v>1</v>
      </c>
      <c r="AQ23" s="19">
        <f t="shared" si="9"/>
        <v>1</v>
      </c>
      <c r="AR23" s="653">
        <v>1</v>
      </c>
      <c r="AS23" s="50">
        <v>1</v>
      </c>
      <c r="AT23" s="19">
        <f t="shared" si="10"/>
        <v>1</v>
      </c>
      <c r="AU23" s="653">
        <v>1</v>
      </c>
      <c r="AV23" s="305">
        <v>0.66666666666666663</v>
      </c>
      <c r="AW23" s="19">
        <f t="shared" si="11"/>
        <v>0.66666666666666663</v>
      </c>
      <c r="AX23" s="653">
        <f>+(S23+V23+Y23+AB23+AG23+AJ23+AM23+AP23+AS23+AV23)/10</f>
        <v>0.96666666666666656</v>
      </c>
      <c r="AY23" s="19">
        <f t="shared" si="13"/>
        <v>0.96666666666666656</v>
      </c>
    </row>
    <row r="24" spans="1:51" s="22" customFormat="1" ht="76.5" thickTop="1" thickBot="1">
      <c r="A24" s="2847"/>
      <c r="B24" s="2916"/>
      <c r="C24" s="2919"/>
      <c r="D24" s="627" t="s">
        <v>132</v>
      </c>
      <c r="E24" s="81" t="s">
        <v>133</v>
      </c>
      <c r="F24" s="81" t="s">
        <v>10</v>
      </c>
      <c r="G24" s="642">
        <v>1</v>
      </c>
      <c r="H24" s="82"/>
      <c r="I24" s="629"/>
      <c r="J24" s="82"/>
      <c r="K24" s="81" t="s">
        <v>7</v>
      </c>
      <c r="L24" s="655">
        <v>0</v>
      </c>
      <c r="M24" s="45"/>
      <c r="N24" s="19" t="e">
        <f t="shared" si="0"/>
        <v>#DIV/0!</v>
      </c>
      <c r="O24" s="655">
        <v>0</v>
      </c>
      <c r="P24" s="45"/>
      <c r="Q24" s="19" t="e">
        <f t="shared" si="1"/>
        <v>#DIV/0!</v>
      </c>
      <c r="R24" s="655">
        <v>0</v>
      </c>
      <c r="S24" s="45">
        <v>1</v>
      </c>
      <c r="T24" s="19" t="e">
        <f t="shared" si="2"/>
        <v>#DIV/0!</v>
      </c>
      <c r="U24" s="655">
        <v>0</v>
      </c>
      <c r="V24" s="45">
        <v>1</v>
      </c>
      <c r="W24" s="19" t="e">
        <f t="shared" si="3"/>
        <v>#DIV/0!</v>
      </c>
      <c r="X24" s="655">
        <v>0</v>
      </c>
      <c r="Y24" s="45">
        <v>1</v>
      </c>
      <c r="Z24" s="19" t="e">
        <f t="shared" si="4"/>
        <v>#DIV/0!</v>
      </c>
      <c r="AA24" s="655">
        <v>0</v>
      </c>
      <c r="AB24" s="45">
        <v>1</v>
      </c>
      <c r="AC24" s="19" t="e">
        <f t="shared" si="5"/>
        <v>#DIV/0!</v>
      </c>
      <c r="AD24" s="45">
        <v>1</v>
      </c>
      <c r="AE24" s="19">
        <f t="shared" si="15"/>
        <v>1</v>
      </c>
      <c r="AF24" s="655">
        <v>0</v>
      </c>
      <c r="AG24" s="45"/>
      <c r="AH24" s="19" t="e">
        <f t="shared" si="6"/>
        <v>#DIV/0!</v>
      </c>
      <c r="AI24" s="655">
        <v>1</v>
      </c>
      <c r="AJ24" s="45"/>
      <c r="AK24" s="19">
        <f t="shared" si="7"/>
        <v>0</v>
      </c>
      <c r="AL24" s="655">
        <v>0</v>
      </c>
      <c r="AM24" s="45"/>
      <c r="AN24" s="19" t="e">
        <f t="shared" si="8"/>
        <v>#DIV/0!</v>
      </c>
      <c r="AO24" s="655">
        <v>0</v>
      </c>
      <c r="AP24" s="45"/>
      <c r="AQ24" s="19" t="e">
        <f t="shared" si="9"/>
        <v>#DIV/0!</v>
      </c>
      <c r="AR24" s="655">
        <v>0</v>
      </c>
      <c r="AS24" s="45"/>
      <c r="AT24" s="19" t="e">
        <f t="shared" si="10"/>
        <v>#DIV/0!</v>
      </c>
      <c r="AU24" s="655">
        <v>0</v>
      </c>
      <c r="AV24" s="45"/>
      <c r="AW24" s="19" t="e">
        <f t="shared" si="11"/>
        <v>#DIV/0!</v>
      </c>
      <c r="AX24" s="45">
        <v>1</v>
      </c>
      <c r="AY24" s="19">
        <f t="shared" si="13"/>
        <v>1</v>
      </c>
    </row>
    <row r="25" spans="1:51" s="22" customFormat="1" ht="22.5" thickTop="1" thickBot="1">
      <c r="A25" s="2857" t="s">
        <v>141</v>
      </c>
      <c r="B25" s="2858"/>
      <c r="C25" s="2858"/>
      <c r="D25" s="2858"/>
      <c r="E25" s="2858"/>
      <c r="F25" s="2858"/>
      <c r="G25" s="2858"/>
      <c r="H25" s="2858"/>
      <c r="I25" s="2858"/>
      <c r="J25" s="2858"/>
      <c r="K25" s="2859"/>
      <c r="L25" s="55"/>
      <c r="M25" s="56"/>
      <c r="N25" s="657"/>
      <c r="O25" s="55"/>
      <c r="P25" s="56"/>
      <c r="Q25" s="657"/>
      <c r="R25" s="55"/>
      <c r="S25" s="56"/>
      <c r="T25" s="657"/>
      <c r="U25" s="55"/>
      <c r="V25" s="56"/>
      <c r="W25" s="657"/>
      <c r="X25" s="55"/>
      <c r="Y25" s="56"/>
      <c r="Z25" s="657"/>
      <c r="AA25" s="55"/>
      <c r="AB25" s="56"/>
      <c r="AC25" s="657"/>
      <c r="AD25" s="55"/>
      <c r="AE25" s="657"/>
      <c r="AF25" s="55"/>
      <c r="AG25" s="56"/>
      <c r="AH25" s="657"/>
      <c r="AI25" s="55"/>
      <c r="AJ25" s="56"/>
      <c r="AK25" s="657"/>
      <c r="AL25" s="55"/>
      <c r="AM25" s="56"/>
      <c r="AN25" s="657"/>
      <c r="AO25" s="55"/>
      <c r="AP25" s="56"/>
      <c r="AQ25" s="657"/>
      <c r="AR25" s="55"/>
      <c r="AS25" s="56"/>
      <c r="AT25" s="657"/>
      <c r="AU25" s="55"/>
      <c r="AV25" s="56"/>
      <c r="AW25" s="657"/>
      <c r="AX25" s="657"/>
      <c r="AY25" s="657"/>
    </row>
    <row r="26" spans="1:51" s="22" customFormat="1" ht="121.5" thickTop="1" thickBot="1">
      <c r="A26" s="2905" t="s">
        <v>181</v>
      </c>
      <c r="B26" s="2921" t="s">
        <v>314</v>
      </c>
      <c r="C26" s="76" t="s">
        <v>366</v>
      </c>
      <c r="D26" s="623" t="s">
        <v>144</v>
      </c>
      <c r="E26" s="658" t="s">
        <v>145</v>
      </c>
      <c r="F26" s="658" t="s">
        <v>17</v>
      </c>
      <c r="G26" s="659">
        <v>800</v>
      </c>
      <c r="H26" s="660"/>
      <c r="I26" s="659"/>
      <c r="J26" s="660"/>
      <c r="K26" s="658" t="s">
        <v>146</v>
      </c>
      <c r="L26" s="625">
        <v>0</v>
      </c>
      <c r="M26" s="59"/>
      <c r="N26" s="19" t="e">
        <f t="shared" si="0"/>
        <v>#DIV/0!</v>
      </c>
      <c r="O26" s="625">
        <v>0</v>
      </c>
      <c r="P26" s="59"/>
      <c r="Q26" s="19" t="e">
        <f t="shared" si="1"/>
        <v>#DIV/0!</v>
      </c>
      <c r="R26" s="625">
        <v>0</v>
      </c>
      <c r="S26" s="59"/>
      <c r="T26" s="19" t="e">
        <f t="shared" si="2"/>
        <v>#DIV/0!</v>
      </c>
      <c r="U26" s="625">
        <v>160</v>
      </c>
      <c r="V26" s="59">
        <v>243</v>
      </c>
      <c r="W26" s="19">
        <f t="shared" si="3"/>
        <v>1.51875</v>
      </c>
      <c r="X26" s="625">
        <v>0</v>
      </c>
      <c r="Y26" s="59"/>
      <c r="Z26" s="19" t="e">
        <f t="shared" si="4"/>
        <v>#DIV/0!</v>
      </c>
      <c r="AA26" s="625">
        <v>0</v>
      </c>
      <c r="AB26" s="59"/>
      <c r="AC26" s="19" t="e">
        <f t="shared" si="5"/>
        <v>#DIV/0!</v>
      </c>
      <c r="AD26" s="58">
        <f t="shared" si="14"/>
        <v>243</v>
      </c>
      <c r="AE26" s="19">
        <f>+AD26/(L26+O26+R26+U26+X26+AA26)</f>
        <v>1.51875</v>
      </c>
      <c r="AF26" s="625">
        <v>0</v>
      </c>
      <c r="AG26" s="59"/>
      <c r="AH26" s="19" t="e">
        <f t="shared" si="6"/>
        <v>#DIV/0!</v>
      </c>
      <c r="AI26" s="625">
        <v>240</v>
      </c>
      <c r="AJ26" s="59">
        <f>63+266+117+446</f>
        <v>892</v>
      </c>
      <c r="AK26" s="19">
        <f t="shared" si="7"/>
        <v>3.7166666666666668</v>
      </c>
      <c r="AL26" s="625">
        <v>0</v>
      </c>
      <c r="AM26" s="59"/>
      <c r="AN26" s="19" t="e">
        <f t="shared" si="8"/>
        <v>#DIV/0!</v>
      </c>
      <c r="AO26" s="625">
        <v>0</v>
      </c>
      <c r="AP26" s="59"/>
      <c r="AQ26" s="19" t="e">
        <f t="shared" si="9"/>
        <v>#DIV/0!</v>
      </c>
      <c r="AR26" s="625">
        <v>0</v>
      </c>
      <c r="AS26" s="59"/>
      <c r="AT26" s="19" t="e">
        <f t="shared" si="10"/>
        <v>#DIV/0!</v>
      </c>
      <c r="AU26" s="625">
        <v>400</v>
      </c>
      <c r="AV26" s="59">
        <v>535</v>
      </c>
      <c r="AW26" s="19">
        <f t="shared" si="11"/>
        <v>1.3374999999999999</v>
      </c>
      <c r="AX26" s="638">
        <f>+M26+P26+S26+V26+Y26+AB26+AG26+AJ26+AM26+AP26+AS26+AV26</f>
        <v>1670</v>
      </c>
      <c r="AY26" s="19">
        <f>+AX26/(L26+O26+R26+U26+X26+AA26+AF26+AI26+AL26+AO26+AR26+AU26)</f>
        <v>2.0874999999999999</v>
      </c>
    </row>
    <row r="27" spans="1:51" s="22" customFormat="1" ht="46.5" thickTop="1" thickBot="1">
      <c r="A27" s="2906"/>
      <c r="B27" s="2922"/>
      <c r="C27" s="81" t="s">
        <v>367</v>
      </c>
      <c r="D27" s="627" t="s">
        <v>319</v>
      </c>
      <c r="E27" s="661" t="s">
        <v>183</v>
      </c>
      <c r="F27" s="661" t="s">
        <v>17</v>
      </c>
      <c r="G27" s="662">
        <v>37</v>
      </c>
      <c r="H27" s="663"/>
      <c r="I27" s="664"/>
      <c r="J27" s="663"/>
      <c r="K27" s="661" t="s">
        <v>21</v>
      </c>
      <c r="L27" s="665">
        <v>0</v>
      </c>
      <c r="M27" s="28"/>
      <c r="N27" s="19" t="e">
        <f>+L27/M27</f>
        <v>#DIV/0!</v>
      </c>
      <c r="O27" s="665">
        <v>0</v>
      </c>
      <c r="P27" s="28"/>
      <c r="Q27" s="19" t="e">
        <f>+O27/P27</f>
        <v>#DIV/0!</v>
      </c>
      <c r="R27" s="665">
        <v>37</v>
      </c>
      <c r="S27" s="28">
        <v>37</v>
      </c>
      <c r="T27" s="19">
        <f>+R27/S27</f>
        <v>1</v>
      </c>
      <c r="U27" s="665">
        <v>37</v>
      </c>
      <c r="V27" s="28">
        <v>37</v>
      </c>
      <c r="W27" s="19">
        <f>+U27/V27</f>
        <v>1</v>
      </c>
      <c r="X27" s="665">
        <v>37</v>
      </c>
      <c r="Y27" s="28">
        <v>37</v>
      </c>
      <c r="Z27" s="19">
        <f>+X27/Y27</f>
        <v>1</v>
      </c>
      <c r="AA27" s="665">
        <v>37</v>
      </c>
      <c r="AB27" s="28">
        <v>37</v>
      </c>
      <c r="AC27" s="19">
        <f>+AA27/AB27</f>
        <v>1</v>
      </c>
      <c r="AD27" s="27">
        <f>(S27+V27+Y27+AB27)/4</f>
        <v>37</v>
      </c>
      <c r="AE27" s="19">
        <f>+G27/AD27</f>
        <v>1</v>
      </c>
      <c r="AF27" s="665">
        <v>37</v>
      </c>
      <c r="AG27" s="28">
        <v>37</v>
      </c>
      <c r="AH27" s="19">
        <f>+AF27/AG27</f>
        <v>1</v>
      </c>
      <c r="AI27" s="665">
        <v>37</v>
      </c>
      <c r="AJ27" s="28">
        <v>37</v>
      </c>
      <c r="AK27" s="19">
        <f>+AI27/AJ27</f>
        <v>1</v>
      </c>
      <c r="AL27" s="665">
        <v>37</v>
      </c>
      <c r="AM27" s="28">
        <v>37</v>
      </c>
      <c r="AN27" s="19">
        <f>+AL27/AM27</f>
        <v>1</v>
      </c>
      <c r="AO27" s="665">
        <v>37</v>
      </c>
      <c r="AP27" s="28">
        <v>31</v>
      </c>
      <c r="AQ27" s="19">
        <f>+AO27/AP27</f>
        <v>1.1935483870967742</v>
      </c>
      <c r="AR27" s="665">
        <v>37</v>
      </c>
      <c r="AS27" s="28">
        <v>34</v>
      </c>
      <c r="AT27" s="19">
        <f>+AR27/AS27</f>
        <v>1.088235294117647</v>
      </c>
      <c r="AU27" s="665">
        <v>37</v>
      </c>
      <c r="AV27" s="28">
        <v>29</v>
      </c>
      <c r="AW27" s="19">
        <f>+AU27/AV27</f>
        <v>1.2758620689655173</v>
      </c>
      <c r="AX27" s="665">
        <f>(S27+V27+Y27+AB27+AG27+AJ27+AM27+AP27+AS27)/10</f>
        <v>32.4</v>
      </c>
      <c r="AY27" s="19">
        <f>+G27/AX27</f>
        <v>1.1419753086419753</v>
      </c>
    </row>
    <row r="28" spans="1:51" s="22" customFormat="1" ht="76.5" thickTop="1" thickBot="1">
      <c r="A28" s="2920"/>
      <c r="B28" s="2922"/>
      <c r="C28" s="76" t="s">
        <v>368</v>
      </c>
      <c r="D28" s="666" t="s">
        <v>182</v>
      </c>
      <c r="E28" s="658" t="s">
        <v>149</v>
      </c>
      <c r="F28" s="658" t="s">
        <v>8</v>
      </c>
      <c r="G28" s="667">
        <v>10.199999999999999</v>
      </c>
      <c r="H28" s="660"/>
      <c r="I28" s="659"/>
      <c r="J28" s="660"/>
      <c r="K28" s="658" t="s">
        <v>9</v>
      </c>
      <c r="L28" s="625">
        <v>10.199999999999999</v>
      </c>
      <c r="M28" s="59">
        <v>5</v>
      </c>
      <c r="N28" s="19">
        <f>+L28/M28</f>
        <v>2.04</v>
      </c>
      <c r="O28" s="625">
        <v>10.199999999999999</v>
      </c>
      <c r="P28" s="59">
        <v>6</v>
      </c>
      <c r="Q28" s="19">
        <f>+O28/P28</f>
        <v>1.7</v>
      </c>
      <c r="R28" s="625">
        <v>10.199999999999999</v>
      </c>
      <c r="S28" s="59"/>
      <c r="T28" s="19" t="e">
        <f>+R28/S28</f>
        <v>#DIV/0!</v>
      </c>
      <c r="U28" s="625">
        <v>10.199999999999999</v>
      </c>
      <c r="V28" s="59"/>
      <c r="W28" s="19" t="e">
        <f>+U28/V28</f>
        <v>#DIV/0!</v>
      </c>
      <c r="X28" s="625">
        <v>10.199999999999999</v>
      </c>
      <c r="Y28" s="59"/>
      <c r="Z28" s="19" t="e">
        <f>+X28/Y28</f>
        <v>#DIV/0!</v>
      </c>
      <c r="AA28" s="625">
        <v>10.199999999999999</v>
      </c>
      <c r="AB28" s="59">
        <v>9</v>
      </c>
      <c r="AC28" s="19">
        <f>+AA28/AB28</f>
        <v>1.1333333333333333</v>
      </c>
      <c r="AD28" s="668">
        <f>(M28+P28+S28+V28+Y28+AB28)/3</f>
        <v>6.666666666666667</v>
      </c>
      <c r="AE28" s="19">
        <f>+G28/AD28</f>
        <v>1.5299999999999998</v>
      </c>
      <c r="AF28" s="625">
        <v>10.199999999999999</v>
      </c>
      <c r="AG28" s="59">
        <v>9</v>
      </c>
      <c r="AH28" s="19">
        <f>+AF28/AG28</f>
        <v>1.1333333333333333</v>
      </c>
      <c r="AI28" s="625">
        <v>10.199999999999999</v>
      </c>
      <c r="AJ28" s="59">
        <v>9</v>
      </c>
      <c r="AK28" s="19">
        <f>+AI28/AJ28</f>
        <v>1.1333333333333333</v>
      </c>
      <c r="AL28" s="625">
        <v>10.199999999999999</v>
      </c>
      <c r="AM28" s="59">
        <v>9</v>
      </c>
      <c r="AN28" s="19">
        <f>+AL28/AM28</f>
        <v>1.1333333333333333</v>
      </c>
      <c r="AO28" s="625">
        <v>10.199999999999999</v>
      </c>
      <c r="AP28" s="59">
        <v>9</v>
      </c>
      <c r="AQ28" s="19">
        <f>+AO28/AP28</f>
        <v>1.1333333333333333</v>
      </c>
      <c r="AR28" s="625">
        <v>10.199999999999999</v>
      </c>
      <c r="AS28" s="59">
        <v>9</v>
      </c>
      <c r="AT28" s="19">
        <f>+AR28/AS28</f>
        <v>1.1333333333333333</v>
      </c>
      <c r="AU28" s="625">
        <v>10.199999999999999</v>
      </c>
      <c r="AV28" s="59">
        <v>9</v>
      </c>
      <c r="AW28" s="19">
        <f>+AU28/AV28</f>
        <v>1.1333333333333333</v>
      </c>
      <c r="AX28" s="625">
        <f>(M28+P28+S28+V28+Y28+AB28+AG28+AJ28+AM28+AP28+AS28+AV28)/9</f>
        <v>8.2222222222222214</v>
      </c>
      <c r="AY28" s="19">
        <f>+G28/AX28</f>
        <v>1.2405405405405405</v>
      </c>
    </row>
    <row r="29" spans="1:51" s="22" customFormat="1" ht="22.5" thickTop="1" thickBot="1">
      <c r="A29" s="2842" t="s">
        <v>154</v>
      </c>
      <c r="B29" s="2843"/>
      <c r="C29" s="2843"/>
      <c r="D29" s="2843"/>
      <c r="E29" s="2843"/>
      <c r="F29" s="2843"/>
      <c r="G29" s="2843"/>
      <c r="H29" s="2843"/>
      <c r="I29" s="2843"/>
      <c r="J29" s="2843"/>
      <c r="K29" s="2844"/>
      <c r="L29" s="61"/>
      <c r="M29" s="62"/>
      <c r="N29" s="669"/>
      <c r="O29" s="61"/>
      <c r="P29" s="62"/>
      <c r="Q29" s="669"/>
      <c r="R29" s="61"/>
      <c r="S29" s="62"/>
      <c r="T29" s="669"/>
      <c r="U29" s="61"/>
      <c r="V29" s="62"/>
      <c r="W29" s="669"/>
      <c r="X29" s="61"/>
      <c r="Y29" s="62"/>
      <c r="Z29" s="669"/>
      <c r="AA29" s="61"/>
      <c r="AB29" s="62"/>
      <c r="AC29" s="669"/>
      <c r="AD29" s="61"/>
      <c r="AE29" s="669"/>
      <c r="AF29" s="61"/>
      <c r="AG29" s="62"/>
      <c r="AH29" s="669"/>
      <c r="AI29" s="61"/>
      <c r="AJ29" s="62"/>
      <c r="AK29" s="669"/>
      <c r="AL29" s="61"/>
      <c r="AM29" s="62"/>
      <c r="AN29" s="669"/>
      <c r="AO29" s="61"/>
      <c r="AP29" s="62"/>
      <c r="AQ29" s="669"/>
      <c r="AR29" s="61"/>
      <c r="AS29" s="62"/>
      <c r="AT29" s="669"/>
      <c r="AU29" s="61"/>
      <c r="AV29" s="62"/>
      <c r="AW29" s="669"/>
      <c r="AX29" s="669"/>
      <c r="AY29" s="669"/>
    </row>
    <row r="30" spans="1:51" s="22" customFormat="1" ht="64.5" thickTop="1" thickBot="1">
      <c r="A30" s="100" t="s">
        <v>155</v>
      </c>
      <c r="B30" s="433" t="s">
        <v>156</v>
      </c>
      <c r="C30" s="81" t="s">
        <v>369</v>
      </c>
      <c r="D30" s="627" t="s">
        <v>158</v>
      </c>
      <c r="E30" s="661" t="s">
        <v>159</v>
      </c>
      <c r="F30" s="661" t="s">
        <v>17</v>
      </c>
      <c r="G30" s="662">
        <v>14</v>
      </c>
      <c r="H30" s="663"/>
      <c r="I30" s="664"/>
      <c r="J30" s="663"/>
      <c r="K30" s="661" t="s">
        <v>27</v>
      </c>
      <c r="L30" s="665">
        <v>0</v>
      </c>
      <c r="M30" s="28"/>
      <c r="N30" s="19" t="e">
        <f t="shared" ref="N30" si="16">+M30/L30</f>
        <v>#DIV/0!</v>
      </c>
      <c r="O30" s="665">
        <v>0</v>
      </c>
      <c r="P30" s="28"/>
      <c r="Q30" s="19" t="e">
        <f t="shared" ref="Q30" si="17">+P30/O30</f>
        <v>#DIV/0!</v>
      </c>
      <c r="R30" s="665">
        <v>0</v>
      </c>
      <c r="S30" s="28"/>
      <c r="T30" s="19" t="e">
        <f t="shared" ref="T30" si="18">+S30/R30</f>
        <v>#DIV/0!</v>
      </c>
      <c r="U30" s="665">
        <v>0</v>
      </c>
      <c r="V30" s="28"/>
      <c r="W30" s="19" t="e">
        <f t="shared" ref="W30" si="19">+V30/U30</f>
        <v>#DIV/0!</v>
      </c>
      <c r="X30" s="665">
        <v>2</v>
      </c>
      <c r="Y30" s="28">
        <v>2</v>
      </c>
      <c r="Z30" s="19">
        <f t="shared" ref="Z30" si="20">+Y30/X30</f>
        <v>1</v>
      </c>
      <c r="AA30" s="665">
        <v>0</v>
      </c>
      <c r="AB30" s="28"/>
      <c r="AC30" s="19" t="e">
        <f t="shared" ref="AC30" si="21">+AB30/AA30</f>
        <v>#DIV/0!</v>
      </c>
      <c r="AD30" s="668">
        <f>M30+P30+S30+V30+Y30+AB30</f>
        <v>2</v>
      </c>
      <c r="AE30" s="19">
        <f>+AD30/(L30+O30+R30+U30+X30+AA30)</f>
        <v>1</v>
      </c>
      <c r="AF30" s="665">
        <v>1</v>
      </c>
      <c r="AG30" s="28">
        <v>1</v>
      </c>
      <c r="AH30" s="19">
        <f t="shared" ref="AH30" si="22">+AG30/AF30</f>
        <v>1</v>
      </c>
      <c r="AI30" s="665">
        <v>4</v>
      </c>
      <c r="AJ30" s="28">
        <v>4</v>
      </c>
      <c r="AK30" s="19">
        <f t="shared" ref="AK30" si="23">+AJ30/AI30</f>
        <v>1</v>
      </c>
      <c r="AL30" s="665">
        <v>3</v>
      </c>
      <c r="AM30" s="28">
        <v>3</v>
      </c>
      <c r="AN30" s="19">
        <f t="shared" ref="AN30" si="24">+AM30/AL30</f>
        <v>1</v>
      </c>
      <c r="AO30" s="665">
        <v>4</v>
      </c>
      <c r="AP30" s="28">
        <v>4</v>
      </c>
      <c r="AQ30" s="19">
        <f t="shared" ref="AQ30" si="25">+AP30/AO30</f>
        <v>1</v>
      </c>
      <c r="AR30" s="665">
        <v>0</v>
      </c>
      <c r="AS30" s="28"/>
      <c r="AT30" s="19" t="e">
        <f t="shared" ref="AT30" si="26">+AS30/AR30</f>
        <v>#DIV/0!</v>
      </c>
      <c r="AU30" s="665">
        <v>0</v>
      </c>
      <c r="AV30" s="28"/>
      <c r="AW30" s="19" t="e">
        <f t="shared" ref="AW30" si="27">+AV30/AU30</f>
        <v>#DIV/0!</v>
      </c>
      <c r="AX30" s="636">
        <f t="shared" ref="AX30" si="28">+M30+P30+S30+V30+Y30+AB30+AG30+AJ30+AM30+AP30+AS30+AV30</f>
        <v>14</v>
      </c>
      <c r="AY30" s="19">
        <f t="shared" ref="AY30" si="29">+AX30/G30</f>
        <v>1</v>
      </c>
    </row>
    <row r="31" spans="1:51" ht="17.25" thickTop="1"/>
  </sheetData>
  <sheetProtection algorithmName="SHA-512" hashValue="qLZ/TyeUDsG+YLz3w/W458TCHcjKE3Xd9viFnP3K+lxjLh7os7AFPY5UkqzmFj7TjLfaRdAnmzUH1uotBppwfw==" saltValue="8cL338+a4iRwmFNmrAOI3w==" spinCount="100000" sheet="1" objects="1" scenarios="1"/>
  <mergeCells count="36">
    <mergeCell ref="A29:K29"/>
    <mergeCell ref="A9:A24"/>
    <mergeCell ref="B9:B24"/>
    <mergeCell ref="C10:C13"/>
    <mergeCell ref="C18:C24"/>
    <mergeCell ref="A25:K25"/>
    <mergeCell ref="A26:A28"/>
    <mergeCell ref="B26:B28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F5:F7"/>
  </mergeCells>
  <conditionalFormatting sqref="AY30 AY26:AY28 AY9:AY13 AY15:AY24">
    <cfRule type="cellIs" dxfId="10489" priority="71" operator="greaterThan">
      <formula>110%</formula>
    </cfRule>
    <cfRule type="cellIs" dxfId="10488" priority="72" operator="between">
      <formula>100.001%</formula>
      <formula>110%</formula>
    </cfRule>
    <cfRule type="cellIs" dxfId="10487" priority="73" operator="between">
      <formula>70.001%</formula>
      <formula>100%</formula>
    </cfRule>
    <cfRule type="cellIs" dxfId="10486" priority="74" operator="between">
      <formula>0.00001%</formula>
      <formula>70%</formula>
    </cfRule>
    <cfRule type="cellIs" dxfId="10485" priority="75" operator="equal">
      <formula>0</formula>
    </cfRule>
  </conditionalFormatting>
  <conditionalFormatting sqref="AW9:AW24 AW30 AW26:AW28">
    <cfRule type="cellIs" dxfId="10484" priority="66" operator="greaterThan">
      <formula>110%</formula>
    </cfRule>
    <cfRule type="cellIs" dxfId="10483" priority="67" operator="between">
      <formula>100.001%</formula>
      <formula>110%</formula>
    </cfRule>
    <cfRule type="cellIs" dxfId="10482" priority="68" operator="between">
      <formula>70.001%</formula>
      <formula>100%</formula>
    </cfRule>
    <cfRule type="cellIs" dxfId="10481" priority="69" operator="between">
      <formula>0.00001%</formula>
      <formula>70%</formula>
    </cfRule>
    <cfRule type="cellIs" dxfId="10480" priority="70" operator="equal">
      <formula>0</formula>
    </cfRule>
  </conditionalFormatting>
  <conditionalFormatting sqref="AT9:AT24 AT30 AT26:AT28">
    <cfRule type="cellIs" dxfId="10479" priority="61" operator="greaterThan">
      <formula>110%</formula>
    </cfRule>
    <cfRule type="cellIs" dxfId="10478" priority="62" operator="between">
      <formula>100.001%</formula>
      <formula>110%</formula>
    </cfRule>
    <cfRule type="cellIs" dxfId="10477" priority="63" operator="between">
      <formula>70.001%</formula>
      <formula>100%</formula>
    </cfRule>
    <cfRule type="cellIs" dxfId="10476" priority="64" operator="between">
      <formula>0.00001%</formula>
      <formula>70%</formula>
    </cfRule>
    <cfRule type="cellIs" dxfId="10475" priority="65" operator="equal">
      <formula>0</formula>
    </cfRule>
  </conditionalFormatting>
  <conditionalFormatting sqref="AQ9:AQ24 AQ30 AQ26:AQ28">
    <cfRule type="cellIs" dxfId="10474" priority="56" operator="greaterThan">
      <formula>110%</formula>
    </cfRule>
    <cfRule type="cellIs" dxfId="10473" priority="57" operator="between">
      <formula>100.001%</formula>
      <formula>110%</formula>
    </cfRule>
    <cfRule type="cellIs" dxfId="10472" priority="58" operator="between">
      <formula>70.001%</formula>
      <formula>100%</formula>
    </cfRule>
    <cfRule type="cellIs" dxfId="10471" priority="59" operator="between">
      <formula>0.00001%</formula>
      <formula>70%</formula>
    </cfRule>
    <cfRule type="cellIs" dxfId="10470" priority="60" operator="equal">
      <formula>0</formula>
    </cfRule>
  </conditionalFormatting>
  <conditionalFormatting sqref="AN9:AN24 AN30 AN26:AN28">
    <cfRule type="cellIs" dxfId="10469" priority="51" operator="greaterThan">
      <formula>110%</formula>
    </cfRule>
    <cfRule type="cellIs" dxfId="10468" priority="52" operator="between">
      <formula>100.001%</formula>
      <formula>110%</formula>
    </cfRule>
    <cfRule type="cellIs" dxfId="10467" priority="53" operator="between">
      <formula>70.001%</formula>
      <formula>100%</formula>
    </cfRule>
    <cfRule type="cellIs" dxfId="10466" priority="54" operator="between">
      <formula>0.00001%</formula>
      <formula>70%</formula>
    </cfRule>
    <cfRule type="cellIs" dxfId="10465" priority="55" operator="equal">
      <formula>0</formula>
    </cfRule>
  </conditionalFormatting>
  <conditionalFormatting sqref="AK9:AK24 AK30 AK26:AK28">
    <cfRule type="cellIs" dxfId="10464" priority="46" operator="greaterThan">
      <formula>110%</formula>
    </cfRule>
    <cfRule type="cellIs" dxfId="10463" priority="47" operator="between">
      <formula>100.001%</formula>
      <formula>110%</formula>
    </cfRule>
    <cfRule type="cellIs" dxfId="10462" priority="48" operator="between">
      <formula>70.001%</formula>
      <formula>100%</formula>
    </cfRule>
    <cfRule type="cellIs" dxfId="10461" priority="49" operator="between">
      <formula>0.00001%</formula>
      <formula>70%</formula>
    </cfRule>
    <cfRule type="cellIs" dxfId="10460" priority="50" operator="equal">
      <formula>0</formula>
    </cfRule>
  </conditionalFormatting>
  <conditionalFormatting sqref="AH9:AH24 AH30 AH26:AH28">
    <cfRule type="cellIs" dxfId="10459" priority="41" operator="greaterThan">
      <formula>110%</formula>
    </cfRule>
    <cfRule type="cellIs" dxfId="10458" priority="42" operator="between">
      <formula>100.001%</formula>
      <formula>110%</formula>
    </cfRule>
    <cfRule type="cellIs" dxfId="10457" priority="43" operator="between">
      <formula>70.001%</formula>
      <formula>100%</formula>
    </cfRule>
    <cfRule type="cellIs" dxfId="10456" priority="44" operator="between">
      <formula>0.00001%</formula>
      <formula>70%</formula>
    </cfRule>
    <cfRule type="cellIs" dxfId="10455" priority="45" operator="equal">
      <formula>0</formula>
    </cfRule>
  </conditionalFormatting>
  <conditionalFormatting sqref="AE26:AE28 AE9:AE24 AE30">
    <cfRule type="cellIs" dxfId="10454" priority="36" operator="greaterThan">
      <formula>110%</formula>
    </cfRule>
    <cfRule type="cellIs" dxfId="10453" priority="37" operator="between">
      <formula>100.001%</formula>
      <formula>110%</formula>
    </cfRule>
    <cfRule type="cellIs" dxfId="10452" priority="38" operator="between">
      <formula>70.001%</formula>
      <formula>100%</formula>
    </cfRule>
    <cfRule type="cellIs" dxfId="10451" priority="39" operator="between">
      <formula>0.00001%</formula>
      <formula>70%</formula>
    </cfRule>
    <cfRule type="cellIs" dxfId="10450" priority="40" operator="equal">
      <formula>0</formula>
    </cfRule>
  </conditionalFormatting>
  <conditionalFormatting sqref="AC9:AC24 AC30 AC26:AC28">
    <cfRule type="cellIs" dxfId="10449" priority="31" operator="greaterThan">
      <formula>110%</formula>
    </cfRule>
    <cfRule type="cellIs" dxfId="10448" priority="32" operator="between">
      <formula>100.001%</formula>
      <formula>110%</formula>
    </cfRule>
    <cfRule type="cellIs" dxfId="10447" priority="33" operator="between">
      <formula>70.001%</formula>
      <formula>100%</formula>
    </cfRule>
    <cfRule type="cellIs" dxfId="10446" priority="34" operator="between">
      <formula>0.00001%</formula>
      <formula>70%</formula>
    </cfRule>
    <cfRule type="cellIs" dxfId="10445" priority="35" operator="equal">
      <formula>0</formula>
    </cfRule>
  </conditionalFormatting>
  <conditionalFormatting sqref="Z9:Z24 Z30 Z26:Z28">
    <cfRule type="cellIs" dxfId="10444" priority="26" operator="greaterThan">
      <formula>110%</formula>
    </cfRule>
    <cfRule type="cellIs" dxfId="10443" priority="27" operator="between">
      <formula>100.001%</formula>
      <formula>110%</formula>
    </cfRule>
    <cfRule type="cellIs" dxfId="10442" priority="28" operator="between">
      <formula>70.001%</formula>
      <formula>100%</formula>
    </cfRule>
    <cfRule type="cellIs" dxfId="10441" priority="29" operator="between">
      <formula>0.00001%</formula>
      <formula>70%</formula>
    </cfRule>
    <cfRule type="cellIs" dxfId="10440" priority="30" operator="equal">
      <formula>0</formula>
    </cfRule>
  </conditionalFormatting>
  <conditionalFormatting sqref="W9:W24 W30 W26:W28">
    <cfRule type="cellIs" dxfId="10439" priority="21" operator="greaterThan">
      <formula>110%</formula>
    </cfRule>
    <cfRule type="cellIs" dxfId="10438" priority="22" operator="between">
      <formula>100.001%</formula>
      <formula>110%</formula>
    </cfRule>
    <cfRule type="cellIs" dxfId="10437" priority="23" operator="between">
      <formula>70.001%</formula>
      <formula>100%</formula>
    </cfRule>
    <cfRule type="cellIs" dxfId="10436" priority="24" operator="between">
      <formula>0.00001%</formula>
      <formula>70%</formula>
    </cfRule>
    <cfRule type="cellIs" dxfId="10435" priority="25" operator="equal">
      <formula>0</formula>
    </cfRule>
  </conditionalFormatting>
  <conditionalFormatting sqref="T9:T24 T30 T26:T28">
    <cfRule type="cellIs" dxfId="10434" priority="16" operator="greaterThan">
      <formula>110%</formula>
    </cfRule>
    <cfRule type="cellIs" dxfId="10433" priority="17" operator="between">
      <formula>100.001%</formula>
      <formula>110%</formula>
    </cfRule>
    <cfRule type="cellIs" dxfId="10432" priority="18" operator="between">
      <formula>70.001%</formula>
      <formula>100%</formula>
    </cfRule>
    <cfRule type="cellIs" dxfId="10431" priority="19" operator="between">
      <formula>0.00001%</formula>
      <formula>70%</formula>
    </cfRule>
    <cfRule type="cellIs" dxfId="10430" priority="20" operator="equal">
      <formula>0</formula>
    </cfRule>
  </conditionalFormatting>
  <conditionalFormatting sqref="Q9:Q24 Q30 Q26:Q28">
    <cfRule type="cellIs" dxfId="10429" priority="11" operator="greaterThan">
      <formula>110%</formula>
    </cfRule>
    <cfRule type="cellIs" dxfId="10428" priority="12" operator="between">
      <formula>100.001%</formula>
      <formula>110%</formula>
    </cfRule>
    <cfRule type="cellIs" dxfId="10427" priority="13" operator="between">
      <formula>70.001%</formula>
      <formula>100%</formula>
    </cfRule>
    <cfRule type="cellIs" dxfId="10426" priority="14" operator="between">
      <formula>0.00001%</formula>
      <formula>70%</formula>
    </cfRule>
    <cfRule type="cellIs" dxfId="10425" priority="15" operator="equal">
      <formula>0</formula>
    </cfRule>
  </conditionalFormatting>
  <conditionalFormatting sqref="N9:N24 N30 N26:N28">
    <cfRule type="cellIs" dxfId="10424" priority="6" operator="greaterThan">
      <formula>110%</formula>
    </cfRule>
    <cfRule type="cellIs" dxfId="10423" priority="7" operator="between">
      <formula>100.001%</formula>
      <formula>110%</formula>
    </cfRule>
    <cfRule type="cellIs" dxfId="10422" priority="8" operator="between">
      <formula>70.001%</formula>
      <formula>100%</formula>
    </cfRule>
    <cfRule type="cellIs" dxfId="10421" priority="9" operator="between">
      <formula>0.00001%</formula>
      <formula>70%</formula>
    </cfRule>
    <cfRule type="cellIs" dxfId="10420" priority="10" operator="equal">
      <formula>0</formula>
    </cfRule>
  </conditionalFormatting>
  <conditionalFormatting sqref="AY14">
    <cfRule type="cellIs" dxfId="10419" priority="1" operator="greaterThan">
      <formula>110%</formula>
    </cfRule>
    <cfRule type="cellIs" dxfId="10418" priority="2" operator="between">
      <formula>100.001%</formula>
      <formula>110%</formula>
    </cfRule>
    <cfRule type="cellIs" dxfId="10417" priority="3" operator="between">
      <formula>70.001%</formula>
      <formula>100%</formula>
    </cfRule>
    <cfRule type="cellIs" dxfId="10416" priority="4" operator="between">
      <formula>0.00001%</formula>
      <formula>70%</formula>
    </cfRule>
    <cfRule type="cellIs" dxfId="10415" priority="5" operator="equal">
      <formula>0</formula>
    </cfRule>
  </conditionalFormatting>
  <hyperlinks>
    <hyperlink ref="D9" location="'IN1-3'!A1" display="IN1-3 Recaudo Bruto" xr:uid="{00000000-0004-0000-0400-000000000000}"/>
    <hyperlink ref="D10" location="'FIS-4'!A1" display="FIS-4 Gestión efectiva en fiscalización tributaria" xr:uid="{00000000-0004-0000-0400-000001000000}"/>
    <hyperlink ref="D11" location="'FIS-10'!A1" display="FIS-10 Gestión aceptada en fiscalización tributaria" xr:uid="{00000000-0004-0000-0400-000002000000}"/>
    <hyperlink ref="D12" location="'FIS-27'!A1" display="FIS-27 Reclasificación de no responsables a responsables" xr:uid="{00000000-0004-0000-0400-000003000000}"/>
    <hyperlink ref="D13" location="'FIS-17'!A1" display="FIS-17 Evacuación de expedientes en fiscalización tributaria" xr:uid="{00000000-0004-0000-0400-000004000000}"/>
    <hyperlink ref="D14" location="'IN1-4'!A1" display="IN1-4 Recaudo por gestión de cartera" xr:uid="{00000000-0004-0000-0400-000005000000}"/>
    <hyperlink ref="D15" location="'IN1-5'!A1" display="IN1-5 Inscritos en el Régimen Simple de Tributación - RST" xr:uid="{00000000-0004-0000-0400-000006000000}"/>
    <hyperlink ref="D16" location="'IN1-6.1'!A1" display="IN1-6.1 Grado de cumplimiento del cronograma de campañas del RST" xr:uid="{00000000-0004-0000-0400-000007000000}"/>
    <hyperlink ref="D17" location="'IN1-8'!A1" display="IN1-8 Contribuyentes habilitados como facturadores electrónicos" xr:uid="{00000000-0004-0000-0400-000008000000}"/>
    <hyperlink ref="D18" location="'JUR-3.1'!A1" display="JUR-3.1 Porcentaje de éxito de litigiosidad" xr:uid="{00000000-0004-0000-0400-000009000000}"/>
    <hyperlink ref="D19" location="'JUR-3.2'!A1" display="JUR-3.2 Porcentaje procesos judiciales revisados con mayor riesgo en Ekogui" xr:uid="{00000000-0004-0000-0400-00000A000000}"/>
    <hyperlink ref="D20" location="'JUR-3.3'!A1" display="JUR-3.3 Porcentaje de análisis de jurisprudencia remitidos junto con la copia de la sentencia " xr:uid="{00000000-0004-0000-0400-00000B000000}"/>
    <hyperlink ref="D21" location="'JUR-3.4'!A1" display="JUR-3.4 Porcentaje de procesos revisados con VoBo del Jefe" xr:uid="{00000000-0004-0000-0400-00000C000000}"/>
    <hyperlink ref="D22" location="'JUR-3.5'!A1" display="JUR-3.5 Porcentaje de requerimientos atendidos en oportunidad" xr:uid="{00000000-0004-0000-0400-00000D000000}"/>
    <hyperlink ref="D23" location="'JUR-3.6'!A1" display="JUR-3.6 Porcentaje funcionarios capacitaciones en cursos virtuales de la ANDJE" xr:uid="{00000000-0004-0000-0400-00000E000000}"/>
    <hyperlink ref="D24" location="'JUR-4'!A1" display="JUR-4 Porcentaje funcionarios que participaron en el concurso de escritura jurídica" xr:uid="{00000000-0004-0000-0400-00000F000000}"/>
    <hyperlink ref="D26" location="'IN1-11'!A1" display="IN1-11  Nivel de cobertura de personas sensibilizadas por el plan de cultura. ACTUALMENTE. Cumplimiento al Plan de Acción de Cultura de la Contribución" xr:uid="{00000000-0004-0000-0400-000010000000}"/>
    <hyperlink ref="D27" location="'IN1-15'!A1" display="IN1-15 Días en devoluciones ordinarias" xr:uid="{00000000-0004-0000-0400-000011000000}"/>
    <hyperlink ref="D28" location="'JUR-7'!A1" display="JUR-7  Oportunidad en las decisiones de los recursos Tributarios hasta su remisión a notificaciones" xr:uid="{00000000-0004-0000-0400-000012000000}"/>
    <hyperlink ref="D30" location="'DGRAE-25'!A1" display="DGRAE-25 Actividades que componen el  PIC para la Dirección de Gestión" xr:uid="{00000000-0004-0000-0400-000013000000}"/>
    <hyperlink ref="AZ4" location="'Consolidado '!A1" display="VOLVER" xr:uid="{00000000-0004-0000-0400-000014000000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Z15"/>
  <sheetViews>
    <sheetView topLeftCell="D1" zoomScale="80" zoomScaleNormal="80" workbookViewId="0">
      <selection activeCell="AY3" sqref="AY3"/>
    </sheetView>
  </sheetViews>
  <sheetFormatPr baseColWidth="10" defaultColWidth="11.42578125" defaultRowHeight="16.5"/>
  <cols>
    <col min="1" max="1" width="29.14062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30" width="20.7109375" style="8" hidden="1" customWidth="1"/>
    <col min="31" max="31" width="20.7109375" style="622" hidden="1" customWidth="1"/>
    <col min="32" max="49" width="20.7109375" style="8" hidden="1" customWidth="1"/>
    <col min="50" max="50" width="20.7109375" style="8" customWidth="1"/>
    <col min="51" max="51" width="11.42578125" style="622"/>
    <col min="52" max="16384" width="11.42578125" style="8"/>
  </cols>
  <sheetData>
    <row r="1" spans="1:52" ht="26.25">
      <c r="A1" s="2885"/>
      <c r="B1" s="2885"/>
      <c r="C1" s="2885" t="s">
        <v>1112</v>
      </c>
      <c r="D1" s="2885"/>
      <c r="E1" s="2885"/>
      <c r="F1" s="2885"/>
      <c r="G1" s="2885"/>
      <c r="H1" s="2885"/>
      <c r="I1" s="2885"/>
      <c r="J1" s="2885"/>
      <c r="K1" s="2885"/>
      <c r="AY1" s="444"/>
    </row>
    <row r="2" spans="1:52" ht="18.75" customHeight="1">
      <c r="A2" s="2885"/>
      <c r="B2" s="288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Y2" s="444"/>
    </row>
    <row r="3" spans="1:52" ht="18.75">
      <c r="A3" s="2885"/>
      <c r="B3" s="2885"/>
      <c r="C3" s="2865" t="s">
        <v>1113</v>
      </c>
      <c r="D3" s="2865"/>
      <c r="E3" s="2865"/>
      <c r="F3" s="2865"/>
      <c r="G3" s="2865"/>
      <c r="H3" s="2865"/>
      <c r="I3" s="2865"/>
      <c r="J3" s="2865"/>
      <c r="K3" s="2865"/>
      <c r="AY3" s="545" t="s">
        <v>185</v>
      </c>
    </row>
    <row r="4" spans="1:52" ht="27" thickBot="1">
      <c r="A4" s="3102"/>
      <c r="B4" s="3102"/>
      <c r="C4" s="2885"/>
      <c r="D4" s="2885"/>
      <c r="E4" s="2885"/>
      <c r="F4" s="2885"/>
      <c r="G4" s="2885"/>
      <c r="H4" s="2885"/>
      <c r="I4" s="2885"/>
      <c r="J4" s="2885"/>
      <c r="K4" s="2885"/>
      <c r="AY4" s="444"/>
      <c r="AZ4" s="444">
        <f>+(AY9+AY10+AY12+AY14)/4</f>
        <v>1.0215605069399349</v>
      </c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4" t="s">
        <v>84</v>
      </c>
      <c r="M8" s="14" t="s">
        <v>85</v>
      </c>
      <c r="N8" s="16" t="s">
        <v>86</v>
      </c>
      <c r="O8" s="14" t="s">
        <v>84</v>
      </c>
      <c r="P8" s="14" t="s">
        <v>85</v>
      </c>
      <c r="Q8" s="16" t="s">
        <v>86</v>
      </c>
      <c r="R8" s="14" t="s">
        <v>84</v>
      </c>
      <c r="S8" s="14" t="s">
        <v>85</v>
      </c>
      <c r="T8" s="16" t="s">
        <v>86</v>
      </c>
      <c r="U8" s="14" t="s">
        <v>84</v>
      </c>
      <c r="V8" s="14" t="s">
        <v>85</v>
      </c>
      <c r="W8" s="16" t="s">
        <v>86</v>
      </c>
      <c r="X8" s="14" t="s">
        <v>84</v>
      </c>
      <c r="Y8" s="14" t="s">
        <v>85</v>
      </c>
      <c r="Z8" s="16" t="s">
        <v>86</v>
      </c>
      <c r="AA8" s="14" t="s">
        <v>84</v>
      </c>
      <c r="AB8" s="14" t="s">
        <v>85</v>
      </c>
      <c r="AC8" s="16" t="s">
        <v>86</v>
      </c>
      <c r="AD8" s="16" t="s">
        <v>87</v>
      </c>
      <c r="AE8" s="71" t="s">
        <v>6</v>
      </c>
      <c r="AF8" s="14" t="s">
        <v>84</v>
      </c>
      <c r="AG8" s="14" t="s">
        <v>85</v>
      </c>
      <c r="AH8" s="16" t="s">
        <v>86</v>
      </c>
      <c r="AI8" s="14" t="s">
        <v>84</v>
      </c>
      <c r="AJ8" s="14" t="s">
        <v>85</v>
      </c>
      <c r="AK8" s="16" t="s">
        <v>86</v>
      </c>
      <c r="AL8" s="14" t="s">
        <v>84</v>
      </c>
      <c r="AM8" s="14" t="s">
        <v>85</v>
      </c>
      <c r="AN8" s="16" t="s">
        <v>86</v>
      </c>
      <c r="AO8" s="14" t="s">
        <v>84</v>
      </c>
      <c r="AP8" s="14" t="s">
        <v>85</v>
      </c>
      <c r="AQ8" s="16" t="s">
        <v>86</v>
      </c>
      <c r="AR8" s="14" t="s">
        <v>84</v>
      </c>
      <c r="AS8" s="14" t="s">
        <v>85</v>
      </c>
      <c r="AT8" s="16" t="s">
        <v>86</v>
      </c>
      <c r="AU8" s="14" t="s">
        <v>84</v>
      </c>
      <c r="AV8" s="14" t="s">
        <v>85</v>
      </c>
      <c r="AW8" s="16" t="s">
        <v>86</v>
      </c>
      <c r="AX8" s="14" t="s">
        <v>87</v>
      </c>
      <c r="AY8" s="110" t="s">
        <v>6</v>
      </c>
    </row>
    <row r="9" spans="1:52" s="22" customFormat="1" ht="57.75" thickTop="1" thickBot="1">
      <c r="A9" s="2846" t="s">
        <v>88</v>
      </c>
      <c r="B9" s="2024" t="s">
        <v>94</v>
      </c>
      <c r="C9" s="172" t="s">
        <v>780</v>
      </c>
      <c r="D9" s="171" t="s">
        <v>1114</v>
      </c>
      <c r="E9" s="133" t="s">
        <v>97</v>
      </c>
      <c r="F9" s="133" t="s">
        <v>18</v>
      </c>
      <c r="G9" s="505">
        <v>596</v>
      </c>
      <c r="H9" s="126"/>
      <c r="I9" s="946"/>
      <c r="J9" s="126"/>
      <c r="K9" s="172" t="s">
        <v>20</v>
      </c>
      <c r="L9" s="765">
        <v>0</v>
      </c>
      <c r="M9" s="567"/>
      <c r="N9" s="73"/>
      <c r="O9" s="765">
        <v>0</v>
      </c>
      <c r="P9" s="567"/>
      <c r="Q9" s="73"/>
      <c r="R9" s="765">
        <v>0</v>
      </c>
      <c r="S9" s="567"/>
      <c r="T9" s="73"/>
      <c r="U9" s="765">
        <v>0</v>
      </c>
      <c r="V9" s="567"/>
      <c r="W9" s="73"/>
      <c r="X9" s="765">
        <v>0</v>
      </c>
      <c r="Y9" s="567"/>
      <c r="Z9" s="73"/>
      <c r="AA9" s="765">
        <v>0</v>
      </c>
      <c r="AB9" s="567"/>
      <c r="AC9" s="73"/>
      <c r="AD9" s="2772">
        <f>+M9+P9+S9+V9+Y9+AB9</f>
        <v>0</v>
      </c>
      <c r="AE9" s="73"/>
      <c r="AF9" s="765">
        <v>0</v>
      </c>
      <c r="AG9" s="567"/>
      <c r="AH9" s="73"/>
      <c r="AI9" s="765">
        <v>0</v>
      </c>
      <c r="AJ9" s="567"/>
      <c r="AK9" s="73"/>
      <c r="AL9" s="765">
        <v>0</v>
      </c>
      <c r="AM9" s="567"/>
      <c r="AN9" s="73"/>
      <c r="AO9" s="765">
        <v>0</v>
      </c>
      <c r="AP9" s="567">
        <v>0</v>
      </c>
      <c r="AQ9" s="73"/>
      <c r="AR9" s="2772">
        <v>0</v>
      </c>
      <c r="AS9" s="567">
        <v>0</v>
      </c>
      <c r="AT9" s="73"/>
      <c r="AU9" s="2773">
        <f>596/1000000</f>
        <v>5.9599999999999996E-4</v>
      </c>
      <c r="AV9" s="2774">
        <f>596/1000000</f>
        <v>5.9599999999999996E-4</v>
      </c>
      <c r="AW9" s="73">
        <f>+AV9/AU9</f>
        <v>1</v>
      </c>
      <c r="AX9" s="2775">
        <v>596</v>
      </c>
      <c r="AY9" s="73">
        <f>+AX9/G9</f>
        <v>1</v>
      </c>
    </row>
    <row r="10" spans="1:52" s="22" customFormat="1" ht="114" thickTop="1" thickBot="1">
      <c r="A10" s="2846"/>
      <c r="B10" s="2776" t="s">
        <v>418</v>
      </c>
      <c r="C10" s="2777" t="s">
        <v>948</v>
      </c>
      <c r="D10" s="111" t="s">
        <v>1115</v>
      </c>
      <c r="E10" s="177" t="s">
        <v>139</v>
      </c>
      <c r="F10" s="177" t="s">
        <v>101</v>
      </c>
      <c r="G10" s="2778">
        <v>2800000000</v>
      </c>
      <c r="H10" s="2779"/>
      <c r="I10" s="2780"/>
      <c r="J10" s="2779"/>
      <c r="K10" s="177" t="s">
        <v>140</v>
      </c>
      <c r="L10" s="776">
        <v>233333333.33333337</v>
      </c>
      <c r="M10" s="2781">
        <v>111911519</v>
      </c>
      <c r="N10" s="73">
        <f>+M10/L10</f>
        <v>0.47962079571428562</v>
      </c>
      <c r="O10" s="776">
        <v>233333333.33333299</v>
      </c>
      <c r="P10" s="769">
        <v>104064984</v>
      </c>
      <c r="Q10" s="73">
        <f>+P10/O10</f>
        <v>0.44599278857142921</v>
      </c>
      <c r="R10" s="776">
        <v>233333333.33333337</v>
      </c>
      <c r="S10" s="769">
        <v>116598146</v>
      </c>
      <c r="T10" s="73">
        <f>+S10/R10</f>
        <v>0.49970633999999992</v>
      </c>
      <c r="U10" s="776">
        <v>462777777.77777803</v>
      </c>
      <c r="V10" s="769">
        <v>105572458</v>
      </c>
      <c r="W10" s="73">
        <f>+V10/U10</f>
        <v>0.22812776038415353</v>
      </c>
      <c r="X10" s="776">
        <v>462777777.77777791</v>
      </c>
      <c r="Y10" s="769">
        <v>6194820</v>
      </c>
      <c r="Z10" s="73">
        <f>+Y10/X10</f>
        <v>1.3386165666266502E-2</v>
      </c>
      <c r="AA10" s="776">
        <v>462777777.77777791</v>
      </c>
      <c r="AB10" s="769">
        <v>28008416</v>
      </c>
      <c r="AC10" s="73">
        <f>+AB10/AA10</f>
        <v>6.0522387515005986E-2</v>
      </c>
      <c r="AD10" s="2782">
        <f>+M10+P10+S10+V10+Y10+AB10</f>
        <v>472350343</v>
      </c>
      <c r="AE10" s="73">
        <f>+AD10/G10</f>
        <v>0.16869655107142856</v>
      </c>
      <c r="AF10" s="776">
        <v>462777777.77777791</v>
      </c>
      <c r="AG10" s="769">
        <v>310635537</v>
      </c>
      <c r="AH10" s="73">
        <f>+AG10/AF10</f>
        <v>0.67124125642256882</v>
      </c>
      <c r="AI10" s="776">
        <v>57244444</v>
      </c>
      <c r="AJ10" s="769">
        <v>161986512</v>
      </c>
      <c r="AK10" s="73">
        <f>+AJ10/AI10</f>
        <v>2.8297333449513458</v>
      </c>
      <c r="AL10" s="776">
        <v>57244444</v>
      </c>
      <c r="AM10" s="769">
        <v>230658151</v>
      </c>
      <c r="AN10" s="73">
        <f>+AM10/AL10</f>
        <v>4.0293543771689002</v>
      </c>
      <c r="AO10" s="776">
        <v>57244444</v>
      </c>
      <c r="AP10" s="769">
        <v>266212921</v>
      </c>
      <c r="AQ10" s="73">
        <f>+AP10/AO10</f>
        <v>4.6504586715874119</v>
      </c>
      <c r="AR10" s="2782">
        <v>38577778</v>
      </c>
      <c r="AS10" s="769">
        <v>321366382</v>
      </c>
      <c r="AT10" s="73">
        <f>+AS10/AR10</f>
        <v>8.3303497158389987</v>
      </c>
      <c r="AU10" s="2782">
        <v>38577778</v>
      </c>
      <c r="AV10" s="769">
        <v>285540559</v>
      </c>
      <c r="AW10" s="73">
        <f>+AV10/AU10</f>
        <v>7.4016849544833816</v>
      </c>
      <c r="AX10" s="776">
        <f>+M10+P10+S10+V10+Y10+AB10+AG10+AJ10+AM10+AP10+AS10+AV10</f>
        <v>2048750405</v>
      </c>
      <c r="AY10" s="73">
        <f>+AX10/G10</f>
        <v>0.73169657321428572</v>
      </c>
    </row>
    <row r="11" spans="1:52" ht="22.5" thickTop="1" thickBot="1">
      <c r="A11" s="2970" t="s">
        <v>682</v>
      </c>
      <c r="B11" s="2860"/>
      <c r="C11" s="2860"/>
      <c r="D11" s="2858"/>
      <c r="E11" s="2858"/>
      <c r="F11" s="2858"/>
      <c r="G11" s="2858"/>
      <c r="H11" s="2858"/>
      <c r="I11" s="2858"/>
      <c r="J11" s="2858"/>
      <c r="K11" s="2859"/>
      <c r="L11" s="1585"/>
      <c r="M11" s="1586"/>
      <c r="N11" s="1586"/>
      <c r="O11" s="1585"/>
      <c r="P11" s="1586"/>
      <c r="Q11" s="1586"/>
      <c r="R11" s="1585"/>
      <c r="S11" s="1586"/>
      <c r="T11" s="1586"/>
      <c r="U11" s="1585"/>
      <c r="V11" s="1586"/>
      <c r="W11" s="1586"/>
      <c r="X11" s="1585"/>
      <c r="Y11" s="1586"/>
      <c r="Z11" s="1586"/>
      <c r="AA11" s="1585"/>
      <c r="AB11" s="1586"/>
      <c r="AC11" s="1586"/>
      <c r="AD11" s="1587"/>
      <c r="AE11" s="19"/>
      <c r="AF11" s="1585"/>
      <c r="AG11" s="1586"/>
      <c r="AH11" s="1586"/>
      <c r="AI11" s="1585"/>
      <c r="AJ11" s="1586"/>
      <c r="AK11" s="1586"/>
      <c r="AL11" s="1585"/>
      <c r="AM11" s="1586"/>
      <c r="AN11" s="1586"/>
      <c r="AO11" s="1585"/>
      <c r="AP11" s="1586"/>
      <c r="AQ11" s="1586"/>
      <c r="AR11" s="1585"/>
      <c r="AS11" s="1586"/>
      <c r="AT11" s="1586"/>
      <c r="AU11" s="1585"/>
      <c r="AV11" s="1586"/>
      <c r="AW11" s="1586"/>
      <c r="AX11" s="1585"/>
      <c r="AY11" s="1585"/>
    </row>
    <row r="12" spans="1:52" s="1453" customFormat="1" ht="106.5" thickTop="1" thickBot="1">
      <c r="A12" s="2716" t="s">
        <v>181</v>
      </c>
      <c r="B12" s="2723" t="s">
        <v>314</v>
      </c>
      <c r="C12" s="1410" t="s">
        <v>632</v>
      </c>
      <c r="D12" s="1034" t="s">
        <v>144</v>
      </c>
      <c r="E12" s="1404" t="s">
        <v>633</v>
      </c>
      <c r="F12" s="1405" t="s">
        <v>17</v>
      </c>
      <c r="G12" s="1400">
        <v>110</v>
      </c>
      <c r="H12" s="1686"/>
      <c r="I12" s="1687"/>
      <c r="J12" s="1688"/>
      <c r="K12" s="1400" t="s">
        <v>146</v>
      </c>
      <c r="L12" s="141">
        <v>0</v>
      </c>
      <c r="M12" s="142"/>
      <c r="N12" s="19" t="e">
        <f t="shared" ref="N12" si="0">+M12/L12</f>
        <v>#DIV/0!</v>
      </c>
      <c r="O12" s="209">
        <v>0</v>
      </c>
      <c r="P12" s="142"/>
      <c r="Q12" s="19" t="e">
        <f t="shared" ref="Q12" si="1">+P12/O12</f>
        <v>#DIV/0!</v>
      </c>
      <c r="R12" s="209">
        <v>0</v>
      </c>
      <c r="S12" s="142"/>
      <c r="T12" s="19" t="e">
        <f t="shared" ref="T12" si="2">+S12/R12</f>
        <v>#DIV/0!</v>
      </c>
      <c r="U12" s="209">
        <v>22</v>
      </c>
      <c r="V12" s="142">
        <v>26</v>
      </c>
      <c r="W12" s="19">
        <f t="shared" ref="W12" si="3">+V12/U12</f>
        <v>1.1818181818181819</v>
      </c>
      <c r="X12" s="209">
        <v>0</v>
      </c>
      <c r="Y12" s="142"/>
      <c r="Z12" s="19" t="e">
        <f t="shared" ref="Z12" si="4">+Y12/X12</f>
        <v>#DIV/0!</v>
      </c>
      <c r="AA12" s="209">
        <v>0</v>
      </c>
      <c r="AB12" s="142"/>
      <c r="AC12" s="19" t="e">
        <f t="shared" ref="AC12" si="5">+AB12/AA12</f>
        <v>#DIV/0!</v>
      </c>
      <c r="AD12" s="1398">
        <f t="shared" ref="AD12" si="6">+AB12+Y12+V12+S12+P12+M12</f>
        <v>26</v>
      </c>
      <c r="AE12" s="19">
        <f t="shared" ref="AE12" si="7">+AD12/G12</f>
        <v>0.23636363636363636</v>
      </c>
      <c r="AF12" s="209">
        <v>0</v>
      </c>
      <c r="AG12" s="142"/>
      <c r="AH12" s="19" t="e">
        <f t="shared" ref="AH12" si="8">+AG12/AF12</f>
        <v>#DIV/0!</v>
      </c>
      <c r="AI12" s="209">
        <v>33</v>
      </c>
      <c r="AJ12" s="142">
        <v>30</v>
      </c>
      <c r="AK12" s="19">
        <f t="shared" ref="AK12" si="9">+AJ12/AI12</f>
        <v>0.90909090909090906</v>
      </c>
      <c r="AL12" s="209">
        <v>0</v>
      </c>
      <c r="AM12" s="142"/>
      <c r="AN12" s="19" t="e">
        <f t="shared" ref="AN12" si="10">+AM12/AL12</f>
        <v>#DIV/0!</v>
      </c>
      <c r="AO12" s="209">
        <v>0</v>
      </c>
      <c r="AP12" s="142"/>
      <c r="AQ12" s="19" t="e">
        <f t="shared" ref="AQ12" si="11">+AP12/AO12</f>
        <v>#DIV/0!</v>
      </c>
      <c r="AR12" s="209">
        <v>0</v>
      </c>
      <c r="AS12" s="142"/>
      <c r="AT12" s="19" t="e">
        <f t="shared" ref="AT12" si="12">+AS12/AR12</f>
        <v>#DIV/0!</v>
      </c>
      <c r="AU12" s="209">
        <v>55</v>
      </c>
      <c r="AV12" s="142">
        <v>93</v>
      </c>
      <c r="AW12" s="19">
        <f t="shared" ref="AW12" si="13">+AV12/AU12</f>
        <v>1.6909090909090909</v>
      </c>
      <c r="AX12" s="209">
        <f t="shared" ref="AX12" si="14">+M12+P12+S12+V12+Y12+AB12+AG12+AJ12+AM12+AP12+AS12+AV12</f>
        <v>149</v>
      </c>
      <c r="AY12" s="19">
        <f>+AX12/G12</f>
        <v>1.3545454545454545</v>
      </c>
    </row>
    <row r="13" spans="1:52" ht="22.5" thickTop="1" thickBot="1">
      <c r="A13" s="2843" t="s">
        <v>635</v>
      </c>
      <c r="B13" s="2843"/>
      <c r="C13" s="2843"/>
      <c r="D13" s="2843"/>
      <c r="E13" s="2843"/>
      <c r="F13" s="2843"/>
      <c r="G13" s="2843"/>
      <c r="H13" s="2843"/>
      <c r="I13" s="2843"/>
      <c r="J13" s="2843"/>
      <c r="K13" s="2843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1"/>
      <c r="AY13" s="201"/>
    </row>
    <row r="14" spans="1:52" ht="46.5" thickTop="1" thickBot="1">
      <c r="A14" s="202" t="s">
        <v>155</v>
      </c>
      <c r="B14" s="97" t="s">
        <v>156</v>
      </c>
      <c r="C14" s="74" t="s">
        <v>157</v>
      </c>
      <c r="D14" s="111" t="s">
        <v>158</v>
      </c>
      <c r="E14" s="74" t="s">
        <v>159</v>
      </c>
      <c r="F14" s="74" t="s">
        <v>265</v>
      </c>
      <c r="G14" s="203">
        <v>6</v>
      </c>
      <c r="H14" s="99">
        <v>10</v>
      </c>
      <c r="I14" s="204"/>
      <c r="J14" s="204"/>
      <c r="K14" s="25" t="s">
        <v>27</v>
      </c>
      <c r="L14" s="205">
        <v>0</v>
      </c>
      <c r="M14" s="206"/>
      <c r="N14" s="19" t="e">
        <f t="shared" ref="N14" si="15">+M14/L14</f>
        <v>#DIV/0!</v>
      </c>
      <c r="O14" s="205">
        <v>0</v>
      </c>
      <c r="P14" s="206"/>
      <c r="Q14" s="19" t="e">
        <f t="shared" ref="Q14" si="16">+P14/O14</f>
        <v>#DIV/0!</v>
      </c>
      <c r="R14" s="205">
        <v>0</v>
      </c>
      <c r="S14" s="206"/>
      <c r="T14" s="19" t="e">
        <f t="shared" ref="T14" si="17">+S14/R14</f>
        <v>#DIV/0!</v>
      </c>
      <c r="U14" s="205">
        <v>0</v>
      </c>
      <c r="V14" s="206"/>
      <c r="W14" s="19" t="e">
        <f t="shared" ref="W14" si="18">+V14/U14</f>
        <v>#DIV/0!</v>
      </c>
      <c r="X14" s="205">
        <v>2</v>
      </c>
      <c r="Y14" s="206">
        <v>2</v>
      </c>
      <c r="Z14" s="19">
        <f t="shared" ref="Z14" si="19">+Y14/X14</f>
        <v>1</v>
      </c>
      <c r="AA14" s="205">
        <v>0</v>
      </c>
      <c r="AB14" s="206"/>
      <c r="AC14" s="19" t="e">
        <f t="shared" ref="AC14" si="20">+AB14/AA14</f>
        <v>#DIV/0!</v>
      </c>
      <c r="AD14" s="207">
        <f>+Y14</f>
        <v>2</v>
      </c>
      <c r="AE14" s="19">
        <f t="shared" ref="AE14" si="21">+AD14/G14</f>
        <v>0.33333333333333331</v>
      </c>
      <c r="AF14" s="205">
        <v>1</v>
      </c>
      <c r="AG14" s="206">
        <v>1</v>
      </c>
      <c r="AH14" s="208">
        <f t="shared" ref="AH14" si="22">+AG14/AF14</f>
        <v>1</v>
      </c>
      <c r="AI14" s="205">
        <v>0</v>
      </c>
      <c r="AJ14" s="206"/>
      <c r="AK14" s="208" t="e">
        <f t="shared" ref="AK14" si="23">+AJ14/AI14</f>
        <v>#DIV/0!</v>
      </c>
      <c r="AL14" s="205">
        <v>0</v>
      </c>
      <c r="AM14" s="206"/>
      <c r="AN14" s="208" t="e">
        <f t="shared" ref="AN14" si="24">+AM14/AL14</f>
        <v>#DIV/0!</v>
      </c>
      <c r="AO14" s="205">
        <v>3</v>
      </c>
      <c r="AP14" s="206">
        <v>3</v>
      </c>
      <c r="AQ14" s="19">
        <f t="shared" ref="AQ14" si="25">+AP14/AO14</f>
        <v>1</v>
      </c>
      <c r="AR14" s="205">
        <v>0</v>
      </c>
      <c r="AS14" s="206"/>
      <c r="AT14" s="19" t="e">
        <f t="shared" ref="AT14" si="26">+AS14/AR14</f>
        <v>#DIV/0!</v>
      </c>
      <c r="AU14" s="205">
        <v>0</v>
      </c>
      <c r="AV14" s="206"/>
      <c r="AW14" s="19" t="e">
        <f t="shared" ref="AW14" si="27">+AV14/AU14</f>
        <v>#DIV/0!</v>
      </c>
      <c r="AX14" s="209">
        <f>+AP14+AG14+Y14</f>
        <v>6</v>
      </c>
      <c r="AY14" s="19">
        <f>+AX14/G14</f>
        <v>1</v>
      </c>
    </row>
    <row r="15" spans="1:52" ht="17.25" thickTop="1"/>
  </sheetData>
  <sheetProtection algorithmName="SHA-512" hashValue="8OeD5+IPQM2F5og9+I/xq/hH+Yiv25rnOxeofxpTAChMuvqaTQVo0JXI8K1B1CgApwGzTb6cR3+RVvSVPWnQSA==" saltValue="uBSPhexE0DTFMVWlu35AhA==" spinCount="100000" sheet="1" objects="1" scenarios="1"/>
  <mergeCells count="32">
    <mergeCell ref="O5:Q7"/>
    <mergeCell ref="A1:B4"/>
    <mergeCell ref="C1:K1"/>
    <mergeCell ref="C2:K2"/>
    <mergeCell ref="C3:K3"/>
    <mergeCell ref="C4:K4"/>
    <mergeCell ref="A5:A7"/>
    <mergeCell ref="B5:B7"/>
    <mergeCell ref="C5:C7"/>
    <mergeCell ref="D5:D7"/>
    <mergeCell ref="E5:E7"/>
    <mergeCell ref="AL5:AN7"/>
    <mergeCell ref="AO5:AQ7"/>
    <mergeCell ref="AR5:AT7"/>
    <mergeCell ref="AU5:AW7"/>
    <mergeCell ref="AX5:AY7"/>
    <mergeCell ref="A8:K8"/>
    <mergeCell ref="A9:A10"/>
    <mergeCell ref="A11:K11"/>
    <mergeCell ref="A13:K13"/>
    <mergeCell ref="AI5:AK7"/>
    <mergeCell ref="R5:T7"/>
    <mergeCell ref="U5:W7"/>
    <mergeCell ref="X5:Z7"/>
    <mergeCell ref="AA5:AC7"/>
    <mergeCell ref="AD5:AE7"/>
    <mergeCell ref="AF5:AH7"/>
    <mergeCell ref="F5:F7"/>
    <mergeCell ref="G5:G7"/>
    <mergeCell ref="H5:J6"/>
    <mergeCell ref="K5:K7"/>
    <mergeCell ref="L5:N7"/>
  </mergeCells>
  <conditionalFormatting sqref="AE9:AE10">
    <cfRule type="cellIs" dxfId="274" priority="271" operator="greaterThan">
      <formula>110%</formula>
    </cfRule>
    <cfRule type="cellIs" dxfId="273" priority="272" operator="between">
      <formula>100.001%</formula>
      <formula>110%</formula>
    </cfRule>
    <cfRule type="cellIs" dxfId="272" priority="273" operator="between">
      <formula>70.001%</formula>
      <formula>100%</formula>
    </cfRule>
    <cfRule type="cellIs" dxfId="271" priority="274" operator="between">
      <formula>0.00001%</formula>
      <formula>70%</formula>
    </cfRule>
    <cfRule type="cellIs" dxfId="270" priority="275" operator="equal">
      <formula>0</formula>
    </cfRule>
  </conditionalFormatting>
  <conditionalFormatting sqref="AY9:AY10">
    <cfRule type="cellIs" dxfId="269" priority="266" operator="greaterThan">
      <formula>110%</formula>
    </cfRule>
    <cfRule type="cellIs" dxfId="268" priority="267" operator="between">
      <formula>100.001%</formula>
      <formula>110%</formula>
    </cfRule>
    <cfRule type="cellIs" dxfId="267" priority="268" operator="between">
      <formula>70.001%</formula>
      <formula>100%</formula>
    </cfRule>
    <cfRule type="cellIs" dxfId="266" priority="269" operator="between">
      <formula>0.00001%</formula>
      <formula>70%</formula>
    </cfRule>
    <cfRule type="cellIs" dxfId="265" priority="270" operator="equal">
      <formula>0</formula>
    </cfRule>
  </conditionalFormatting>
  <conditionalFormatting sqref="N9">
    <cfRule type="cellIs" dxfId="264" priority="261" operator="greaterThan">
      <formula>110%</formula>
    </cfRule>
    <cfRule type="cellIs" dxfId="263" priority="262" operator="between">
      <formula>100.001%</formula>
      <formula>110%</formula>
    </cfRule>
    <cfRule type="cellIs" dxfId="262" priority="263" operator="between">
      <formula>70.001%</formula>
      <formula>100%</formula>
    </cfRule>
    <cfRule type="cellIs" dxfId="261" priority="264" operator="between">
      <formula>0.00001%</formula>
      <formula>70%</formula>
    </cfRule>
    <cfRule type="cellIs" dxfId="260" priority="265" operator="equal">
      <formula>0</formula>
    </cfRule>
  </conditionalFormatting>
  <conditionalFormatting sqref="N10">
    <cfRule type="cellIs" dxfId="259" priority="256" operator="greaterThan">
      <formula>110%</formula>
    </cfRule>
    <cfRule type="cellIs" dxfId="258" priority="257" operator="between">
      <formula>100.001%</formula>
      <formula>110%</formula>
    </cfRule>
    <cfRule type="cellIs" dxfId="257" priority="258" operator="between">
      <formula>70.001%</formula>
      <formula>100%</formula>
    </cfRule>
    <cfRule type="cellIs" dxfId="256" priority="259" operator="between">
      <formula>0.00001%</formula>
      <formula>70%</formula>
    </cfRule>
    <cfRule type="cellIs" dxfId="255" priority="260" operator="equal">
      <formula>0</formula>
    </cfRule>
  </conditionalFormatting>
  <conditionalFormatting sqref="Q9">
    <cfRule type="cellIs" dxfId="254" priority="251" operator="greaterThan">
      <formula>110%</formula>
    </cfRule>
    <cfRule type="cellIs" dxfId="253" priority="252" operator="between">
      <formula>100.001%</formula>
      <formula>110%</formula>
    </cfRule>
    <cfRule type="cellIs" dxfId="252" priority="253" operator="between">
      <formula>70.001%</formula>
      <formula>100%</formula>
    </cfRule>
    <cfRule type="cellIs" dxfId="251" priority="254" operator="between">
      <formula>0.00001%</formula>
      <formula>70%</formula>
    </cfRule>
    <cfRule type="cellIs" dxfId="250" priority="255" operator="equal">
      <formula>0</formula>
    </cfRule>
  </conditionalFormatting>
  <conditionalFormatting sqref="Q10">
    <cfRule type="cellIs" dxfId="249" priority="246" operator="greaterThan">
      <formula>110%</formula>
    </cfRule>
    <cfRule type="cellIs" dxfId="248" priority="247" operator="between">
      <formula>100.001%</formula>
      <formula>110%</formula>
    </cfRule>
    <cfRule type="cellIs" dxfId="247" priority="248" operator="between">
      <formula>70.001%</formula>
      <formula>100%</formula>
    </cfRule>
    <cfRule type="cellIs" dxfId="246" priority="249" operator="between">
      <formula>0.00001%</formula>
      <formula>70%</formula>
    </cfRule>
    <cfRule type="cellIs" dxfId="245" priority="250" operator="equal">
      <formula>0</formula>
    </cfRule>
  </conditionalFormatting>
  <conditionalFormatting sqref="T9">
    <cfRule type="cellIs" dxfId="244" priority="241" operator="greaterThan">
      <formula>110%</formula>
    </cfRule>
    <cfRule type="cellIs" dxfId="243" priority="242" operator="between">
      <formula>100.001%</formula>
      <formula>110%</formula>
    </cfRule>
    <cfRule type="cellIs" dxfId="242" priority="243" operator="between">
      <formula>70.001%</formula>
      <formula>100%</formula>
    </cfRule>
    <cfRule type="cellIs" dxfId="241" priority="244" operator="between">
      <formula>0.00001%</formula>
      <formula>70%</formula>
    </cfRule>
    <cfRule type="cellIs" dxfId="240" priority="245" operator="equal">
      <formula>0</formula>
    </cfRule>
  </conditionalFormatting>
  <conditionalFormatting sqref="T10">
    <cfRule type="cellIs" dxfId="239" priority="236" operator="greaterThan">
      <formula>110%</formula>
    </cfRule>
    <cfRule type="cellIs" dxfId="238" priority="237" operator="between">
      <formula>100.001%</formula>
      <formula>110%</formula>
    </cfRule>
    <cfRule type="cellIs" dxfId="237" priority="238" operator="between">
      <formula>70.001%</formula>
      <formula>100%</formula>
    </cfRule>
    <cfRule type="cellIs" dxfId="236" priority="239" operator="between">
      <formula>0.00001%</formula>
      <formula>70%</formula>
    </cfRule>
    <cfRule type="cellIs" dxfId="235" priority="240" operator="equal">
      <formula>0</formula>
    </cfRule>
  </conditionalFormatting>
  <conditionalFormatting sqref="W9">
    <cfRule type="cellIs" dxfId="234" priority="231" operator="greaterThan">
      <formula>110%</formula>
    </cfRule>
    <cfRule type="cellIs" dxfId="233" priority="232" operator="between">
      <formula>100.001%</formula>
      <formula>110%</formula>
    </cfRule>
    <cfRule type="cellIs" dxfId="232" priority="233" operator="between">
      <formula>70.001%</formula>
      <formula>100%</formula>
    </cfRule>
    <cfRule type="cellIs" dxfId="231" priority="234" operator="between">
      <formula>0.00001%</formula>
      <formula>70%</formula>
    </cfRule>
    <cfRule type="cellIs" dxfId="230" priority="235" operator="equal">
      <formula>0</formula>
    </cfRule>
  </conditionalFormatting>
  <conditionalFormatting sqref="W10">
    <cfRule type="cellIs" dxfId="229" priority="226" operator="greaterThan">
      <formula>110%</formula>
    </cfRule>
    <cfRule type="cellIs" dxfId="228" priority="227" operator="between">
      <formula>100.001%</formula>
      <formula>110%</formula>
    </cfRule>
    <cfRule type="cellIs" dxfId="227" priority="228" operator="between">
      <formula>70.001%</formula>
      <formula>100%</formula>
    </cfRule>
    <cfRule type="cellIs" dxfId="226" priority="229" operator="between">
      <formula>0.00001%</formula>
      <formula>70%</formula>
    </cfRule>
    <cfRule type="cellIs" dxfId="225" priority="230" operator="equal">
      <formula>0</formula>
    </cfRule>
  </conditionalFormatting>
  <conditionalFormatting sqref="Z9">
    <cfRule type="cellIs" dxfId="224" priority="221" operator="greaterThan">
      <formula>110%</formula>
    </cfRule>
    <cfRule type="cellIs" dxfId="223" priority="222" operator="between">
      <formula>100.001%</formula>
      <formula>110%</formula>
    </cfRule>
    <cfRule type="cellIs" dxfId="222" priority="223" operator="between">
      <formula>70.001%</formula>
      <formula>100%</formula>
    </cfRule>
    <cfRule type="cellIs" dxfId="221" priority="224" operator="between">
      <formula>0.00001%</formula>
      <formula>70%</formula>
    </cfRule>
    <cfRule type="cellIs" dxfId="220" priority="225" operator="equal">
      <formula>0</formula>
    </cfRule>
  </conditionalFormatting>
  <conditionalFormatting sqref="Z10">
    <cfRule type="cellIs" dxfId="219" priority="216" operator="greaterThan">
      <formula>110%</formula>
    </cfRule>
    <cfRule type="cellIs" dxfId="218" priority="217" operator="between">
      <formula>100.001%</formula>
      <formula>110%</formula>
    </cfRule>
    <cfRule type="cellIs" dxfId="217" priority="218" operator="between">
      <formula>70.001%</formula>
      <formula>100%</formula>
    </cfRule>
    <cfRule type="cellIs" dxfId="216" priority="219" operator="between">
      <formula>0.00001%</formula>
      <formula>70%</formula>
    </cfRule>
    <cfRule type="cellIs" dxfId="215" priority="220" operator="equal">
      <formula>0</formula>
    </cfRule>
  </conditionalFormatting>
  <conditionalFormatting sqref="AC9">
    <cfRule type="cellIs" dxfId="214" priority="211" operator="greaterThan">
      <formula>110%</formula>
    </cfRule>
    <cfRule type="cellIs" dxfId="213" priority="212" operator="between">
      <formula>100.001%</formula>
      <formula>110%</formula>
    </cfRule>
    <cfRule type="cellIs" dxfId="212" priority="213" operator="between">
      <formula>70.001%</formula>
      <formula>100%</formula>
    </cfRule>
    <cfRule type="cellIs" dxfId="211" priority="214" operator="between">
      <formula>0.00001%</formula>
      <formula>70%</formula>
    </cfRule>
    <cfRule type="cellIs" dxfId="210" priority="215" operator="equal">
      <formula>0</formula>
    </cfRule>
  </conditionalFormatting>
  <conditionalFormatting sqref="AC10">
    <cfRule type="cellIs" dxfId="209" priority="206" operator="greaterThan">
      <formula>110%</formula>
    </cfRule>
    <cfRule type="cellIs" dxfId="208" priority="207" operator="between">
      <formula>100.001%</formula>
      <formula>110%</formula>
    </cfRule>
    <cfRule type="cellIs" dxfId="207" priority="208" operator="between">
      <formula>70.001%</formula>
      <formula>100%</formula>
    </cfRule>
    <cfRule type="cellIs" dxfId="206" priority="209" operator="between">
      <formula>0.00001%</formula>
      <formula>70%</formula>
    </cfRule>
    <cfRule type="cellIs" dxfId="205" priority="210" operator="equal">
      <formula>0</formula>
    </cfRule>
  </conditionalFormatting>
  <conditionalFormatting sqref="AH9">
    <cfRule type="cellIs" dxfId="204" priority="201" operator="greaterThan">
      <formula>110%</formula>
    </cfRule>
    <cfRule type="cellIs" dxfId="203" priority="202" operator="between">
      <formula>100.001%</formula>
      <formula>110%</formula>
    </cfRule>
    <cfRule type="cellIs" dxfId="202" priority="203" operator="between">
      <formula>70.001%</formula>
      <formula>100%</formula>
    </cfRule>
    <cfRule type="cellIs" dxfId="201" priority="204" operator="between">
      <formula>0.00001%</formula>
      <formula>70%</formula>
    </cfRule>
    <cfRule type="cellIs" dxfId="200" priority="205" operator="equal">
      <formula>0</formula>
    </cfRule>
  </conditionalFormatting>
  <conditionalFormatting sqref="AH10">
    <cfRule type="cellIs" dxfId="199" priority="196" operator="greaterThan">
      <formula>110%</formula>
    </cfRule>
    <cfRule type="cellIs" dxfId="198" priority="197" operator="between">
      <formula>100.001%</formula>
      <formula>110%</formula>
    </cfRule>
    <cfRule type="cellIs" dxfId="197" priority="198" operator="between">
      <formula>70.001%</formula>
      <formula>100%</formula>
    </cfRule>
    <cfRule type="cellIs" dxfId="196" priority="199" operator="between">
      <formula>0.00001%</formula>
      <formula>70%</formula>
    </cfRule>
    <cfRule type="cellIs" dxfId="195" priority="200" operator="equal">
      <formula>0</formula>
    </cfRule>
  </conditionalFormatting>
  <conditionalFormatting sqref="AK9">
    <cfRule type="cellIs" dxfId="194" priority="191" operator="greaterThan">
      <formula>110%</formula>
    </cfRule>
    <cfRule type="cellIs" dxfId="193" priority="192" operator="between">
      <formula>100.001%</formula>
      <formula>110%</formula>
    </cfRule>
    <cfRule type="cellIs" dxfId="192" priority="193" operator="between">
      <formula>70.001%</formula>
      <formula>100%</formula>
    </cfRule>
    <cfRule type="cellIs" dxfId="191" priority="194" operator="between">
      <formula>0.00001%</formula>
      <formula>70%</formula>
    </cfRule>
    <cfRule type="cellIs" dxfId="190" priority="195" operator="equal">
      <formula>0</formula>
    </cfRule>
  </conditionalFormatting>
  <conditionalFormatting sqref="AK10">
    <cfRule type="cellIs" dxfId="189" priority="186" operator="greaterThan">
      <formula>110%</formula>
    </cfRule>
    <cfRule type="cellIs" dxfId="188" priority="187" operator="between">
      <formula>100.001%</formula>
      <formula>110%</formula>
    </cfRule>
    <cfRule type="cellIs" dxfId="187" priority="188" operator="between">
      <formula>70.001%</formula>
      <formula>100%</formula>
    </cfRule>
    <cfRule type="cellIs" dxfId="186" priority="189" operator="between">
      <formula>0.00001%</formula>
      <formula>70%</formula>
    </cfRule>
    <cfRule type="cellIs" dxfId="185" priority="190" operator="equal">
      <formula>0</formula>
    </cfRule>
  </conditionalFormatting>
  <conditionalFormatting sqref="AN9">
    <cfRule type="cellIs" dxfId="184" priority="181" operator="greaterThan">
      <formula>110%</formula>
    </cfRule>
    <cfRule type="cellIs" dxfId="183" priority="182" operator="between">
      <formula>100.001%</formula>
      <formula>110%</formula>
    </cfRule>
    <cfRule type="cellIs" dxfId="182" priority="183" operator="between">
      <formula>70.001%</formula>
      <formula>100%</formula>
    </cfRule>
    <cfRule type="cellIs" dxfId="181" priority="184" operator="between">
      <formula>0.00001%</formula>
      <formula>70%</formula>
    </cfRule>
    <cfRule type="cellIs" dxfId="180" priority="185" operator="equal">
      <formula>0</formula>
    </cfRule>
  </conditionalFormatting>
  <conditionalFormatting sqref="AN10">
    <cfRule type="cellIs" dxfId="179" priority="176" operator="greaterThan">
      <formula>110%</formula>
    </cfRule>
    <cfRule type="cellIs" dxfId="178" priority="177" operator="between">
      <formula>100.001%</formula>
      <formula>110%</formula>
    </cfRule>
    <cfRule type="cellIs" dxfId="177" priority="178" operator="between">
      <formula>70.001%</formula>
      <formula>100%</formula>
    </cfRule>
    <cfRule type="cellIs" dxfId="176" priority="179" operator="between">
      <formula>0.00001%</formula>
      <formula>70%</formula>
    </cfRule>
    <cfRule type="cellIs" dxfId="175" priority="180" operator="equal">
      <formula>0</formula>
    </cfRule>
  </conditionalFormatting>
  <conditionalFormatting sqref="AQ9">
    <cfRule type="cellIs" dxfId="174" priority="171" operator="greaterThan">
      <formula>110%</formula>
    </cfRule>
    <cfRule type="cellIs" dxfId="173" priority="172" operator="between">
      <formula>100.001%</formula>
      <formula>110%</formula>
    </cfRule>
    <cfRule type="cellIs" dxfId="172" priority="173" operator="between">
      <formula>70.001%</formula>
      <formula>100%</formula>
    </cfRule>
    <cfRule type="cellIs" dxfId="171" priority="174" operator="between">
      <formula>0.00001%</formula>
      <formula>70%</formula>
    </cfRule>
    <cfRule type="cellIs" dxfId="170" priority="175" operator="equal">
      <formula>0</formula>
    </cfRule>
  </conditionalFormatting>
  <conditionalFormatting sqref="AQ10">
    <cfRule type="cellIs" dxfId="169" priority="166" operator="greaterThan">
      <formula>110%</formula>
    </cfRule>
    <cfRule type="cellIs" dxfId="168" priority="167" operator="between">
      <formula>100.001%</formula>
      <formula>110%</formula>
    </cfRule>
    <cfRule type="cellIs" dxfId="167" priority="168" operator="between">
      <formula>70.001%</formula>
      <formula>100%</formula>
    </cfRule>
    <cfRule type="cellIs" dxfId="166" priority="169" operator="between">
      <formula>0.00001%</formula>
      <formula>70%</formula>
    </cfRule>
    <cfRule type="cellIs" dxfId="165" priority="170" operator="equal">
      <formula>0</formula>
    </cfRule>
  </conditionalFormatting>
  <conditionalFormatting sqref="AT9">
    <cfRule type="cellIs" dxfId="164" priority="161" operator="greaterThan">
      <formula>110%</formula>
    </cfRule>
    <cfRule type="cellIs" dxfId="163" priority="162" operator="between">
      <formula>100.001%</formula>
      <formula>110%</formula>
    </cfRule>
    <cfRule type="cellIs" dxfId="162" priority="163" operator="between">
      <formula>70.001%</formula>
      <formula>100%</formula>
    </cfRule>
    <cfRule type="cellIs" dxfId="161" priority="164" operator="between">
      <formula>0.00001%</formula>
      <formula>70%</formula>
    </cfRule>
    <cfRule type="cellIs" dxfId="160" priority="165" operator="equal">
      <formula>0</formula>
    </cfRule>
  </conditionalFormatting>
  <conditionalFormatting sqref="AT10">
    <cfRule type="cellIs" dxfId="159" priority="156" operator="greaterThan">
      <formula>110%</formula>
    </cfRule>
    <cfRule type="cellIs" dxfId="158" priority="157" operator="between">
      <formula>100.001%</formula>
      <formula>110%</formula>
    </cfRule>
    <cfRule type="cellIs" dxfId="157" priority="158" operator="between">
      <formula>70.001%</formula>
      <formula>100%</formula>
    </cfRule>
    <cfRule type="cellIs" dxfId="156" priority="159" operator="between">
      <formula>0.00001%</formula>
      <formula>70%</formula>
    </cfRule>
    <cfRule type="cellIs" dxfId="155" priority="160" operator="equal">
      <formula>0</formula>
    </cfRule>
  </conditionalFormatting>
  <conditionalFormatting sqref="AW9">
    <cfRule type="cellIs" dxfId="154" priority="151" operator="greaterThan">
      <formula>110%</formula>
    </cfRule>
    <cfRule type="cellIs" dxfId="153" priority="152" operator="between">
      <formula>100.001%</formula>
      <formula>110%</formula>
    </cfRule>
    <cfRule type="cellIs" dxfId="152" priority="153" operator="between">
      <formula>70.001%</formula>
      <formula>100%</formula>
    </cfRule>
    <cfRule type="cellIs" dxfId="151" priority="154" operator="between">
      <formula>0.00001%</formula>
      <formula>70%</formula>
    </cfRule>
    <cfRule type="cellIs" dxfId="150" priority="155" operator="equal">
      <formula>0</formula>
    </cfRule>
  </conditionalFormatting>
  <conditionalFormatting sqref="AW10">
    <cfRule type="cellIs" dxfId="149" priority="146" operator="greaterThan">
      <formula>110%</formula>
    </cfRule>
    <cfRule type="cellIs" dxfId="148" priority="147" operator="between">
      <formula>100.001%</formula>
      <formula>110%</formula>
    </cfRule>
    <cfRule type="cellIs" dxfId="147" priority="148" operator="between">
      <formula>70.001%</formula>
      <formula>100%</formula>
    </cfRule>
    <cfRule type="cellIs" dxfId="146" priority="149" operator="between">
      <formula>0.00001%</formula>
      <formula>70%</formula>
    </cfRule>
    <cfRule type="cellIs" dxfId="145" priority="150" operator="equal">
      <formula>0</formula>
    </cfRule>
  </conditionalFormatting>
  <conditionalFormatting sqref="AE14">
    <cfRule type="cellIs" dxfId="144" priority="141" operator="greaterThan">
      <formula>110%</formula>
    </cfRule>
    <cfRule type="cellIs" dxfId="143" priority="142" operator="between">
      <formula>100.001%</formula>
      <formula>110%</formula>
    </cfRule>
    <cfRule type="cellIs" dxfId="142" priority="143" operator="between">
      <formula>70.001%</formula>
      <formula>100%</formula>
    </cfRule>
    <cfRule type="cellIs" dxfId="141" priority="144" operator="between">
      <formula>0.00001%</formula>
      <formula>70%</formula>
    </cfRule>
    <cfRule type="cellIs" dxfId="140" priority="145" operator="equal">
      <formula>0</formula>
    </cfRule>
  </conditionalFormatting>
  <conditionalFormatting sqref="AY14">
    <cfRule type="cellIs" dxfId="139" priority="136" operator="greaterThan">
      <formula>110%</formula>
    </cfRule>
    <cfRule type="cellIs" dxfId="138" priority="137" operator="between">
      <formula>100.001%</formula>
      <formula>110%</formula>
    </cfRule>
    <cfRule type="cellIs" dxfId="137" priority="138" operator="between">
      <formula>70.001%</formula>
      <formula>100%</formula>
    </cfRule>
    <cfRule type="cellIs" dxfId="136" priority="139" operator="between">
      <formula>0.00001%</formula>
      <formula>70%</formula>
    </cfRule>
    <cfRule type="cellIs" dxfId="135" priority="140" operator="equal">
      <formula>0</formula>
    </cfRule>
  </conditionalFormatting>
  <conditionalFormatting sqref="N14">
    <cfRule type="cellIs" dxfId="134" priority="131" operator="greaterThan">
      <formula>110%</formula>
    </cfRule>
    <cfRule type="cellIs" dxfId="133" priority="132" operator="between">
      <formula>100.001%</formula>
      <formula>110%</formula>
    </cfRule>
    <cfRule type="cellIs" dxfId="132" priority="133" operator="between">
      <formula>70.001%</formula>
      <formula>100%</formula>
    </cfRule>
    <cfRule type="cellIs" dxfId="131" priority="134" operator="between">
      <formula>0.00001%</formula>
      <formula>70%</formula>
    </cfRule>
    <cfRule type="cellIs" dxfId="130" priority="135" operator="equal">
      <formula>0</formula>
    </cfRule>
  </conditionalFormatting>
  <conditionalFormatting sqref="Q14">
    <cfRule type="cellIs" dxfId="129" priority="126" operator="greaterThan">
      <formula>110%</formula>
    </cfRule>
    <cfRule type="cellIs" dxfId="128" priority="127" operator="between">
      <formula>100.001%</formula>
      <formula>110%</formula>
    </cfRule>
    <cfRule type="cellIs" dxfId="127" priority="128" operator="between">
      <formula>70.001%</formula>
      <formula>100%</formula>
    </cfRule>
    <cfRule type="cellIs" dxfId="126" priority="129" operator="between">
      <formula>0.00001%</formula>
      <formula>70%</formula>
    </cfRule>
    <cfRule type="cellIs" dxfId="125" priority="130" operator="equal">
      <formula>0</formula>
    </cfRule>
  </conditionalFormatting>
  <conditionalFormatting sqref="T14">
    <cfRule type="cellIs" dxfId="124" priority="121" operator="greaterThan">
      <formula>110%</formula>
    </cfRule>
    <cfRule type="cellIs" dxfId="123" priority="122" operator="between">
      <formula>100.001%</formula>
      <formula>110%</formula>
    </cfRule>
    <cfRule type="cellIs" dxfId="122" priority="123" operator="between">
      <formula>70.001%</formula>
      <formula>100%</formula>
    </cfRule>
    <cfRule type="cellIs" dxfId="121" priority="124" operator="between">
      <formula>0.00001%</formula>
      <formula>70%</formula>
    </cfRule>
    <cfRule type="cellIs" dxfId="120" priority="125" operator="equal">
      <formula>0</formula>
    </cfRule>
  </conditionalFormatting>
  <conditionalFormatting sqref="W14">
    <cfRule type="cellIs" dxfId="119" priority="116" operator="greaterThan">
      <formula>110%</formula>
    </cfRule>
    <cfRule type="cellIs" dxfId="118" priority="117" operator="between">
      <formula>100.001%</formula>
      <formula>110%</formula>
    </cfRule>
    <cfRule type="cellIs" dxfId="117" priority="118" operator="between">
      <formula>70.001%</formula>
      <formula>100%</formula>
    </cfRule>
    <cfRule type="cellIs" dxfId="116" priority="119" operator="between">
      <formula>0.00001%</formula>
      <formula>70%</formula>
    </cfRule>
    <cfRule type="cellIs" dxfId="115" priority="120" operator="equal">
      <formula>0</formula>
    </cfRule>
  </conditionalFormatting>
  <conditionalFormatting sqref="Z14">
    <cfRule type="cellIs" dxfId="114" priority="111" operator="greaterThan">
      <formula>110%</formula>
    </cfRule>
    <cfRule type="cellIs" dxfId="113" priority="112" operator="between">
      <formula>100.001%</formula>
      <formula>110%</formula>
    </cfRule>
    <cfRule type="cellIs" dxfId="112" priority="113" operator="between">
      <formula>70.001%</formula>
      <formula>100%</formula>
    </cfRule>
    <cfRule type="cellIs" dxfId="111" priority="114" operator="between">
      <formula>0.00001%</formula>
      <formula>70%</formula>
    </cfRule>
    <cfRule type="cellIs" dxfId="110" priority="115" operator="equal">
      <formula>0</formula>
    </cfRule>
  </conditionalFormatting>
  <conditionalFormatting sqref="AC14">
    <cfRule type="cellIs" dxfId="109" priority="106" operator="greaterThan">
      <formula>110%</formula>
    </cfRule>
    <cfRule type="cellIs" dxfId="108" priority="107" operator="between">
      <formula>100.001%</formula>
      <formula>110%</formula>
    </cfRule>
    <cfRule type="cellIs" dxfId="107" priority="108" operator="between">
      <formula>70.001%</formula>
      <formula>100%</formula>
    </cfRule>
    <cfRule type="cellIs" dxfId="106" priority="109" operator="between">
      <formula>0.00001%</formula>
      <formula>70%</formula>
    </cfRule>
    <cfRule type="cellIs" dxfId="105" priority="110" operator="equal">
      <formula>0</formula>
    </cfRule>
  </conditionalFormatting>
  <conditionalFormatting sqref="AH14">
    <cfRule type="cellIs" dxfId="104" priority="101" operator="greaterThan">
      <formula>110%</formula>
    </cfRule>
    <cfRule type="cellIs" dxfId="103" priority="102" operator="between">
      <formula>100.001%</formula>
      <formula>110%</formula>
    </cfRule>
    <cfRule type="cellIs" dxfId="102" priority="103" operator="between">
      <formula>70.001%</formula>
      <formula>100%</formula>
    </cfRule>
    <cfRule type="cellIs" dxfId="101" priority="104" operator="between">
      <formula>0.00001%</formula>
      <formula>70%</formula>
    </cfRule>
    <cfRule type="cellIs" dxfId="100" priority="105" operator="equal">
      <formula>0</formula>
    </cfRule>
  </conditionalFormatting>
  <conditionalFormatting sqref="AK14">
    <cfRule type="cellIs" dxfId="99" priority="96" operator="greaterThan">
      <formula>110%</formula>
    </cfRule>
    <cfRule type="cellIs" dxfId="98" priority="97" operator="between">
      <formula>100.001%</formula>
      <formula>110%</formula>
    </cfRule>
    <cfRule type="cellIs" dxfId="97" priority="98" operator="between">
      <formula>70.001%</formula>
      <formula>100%</formula>
    </cfRule>
    <cfRule type="cellIs" dxfId="96" priority="99" operator="between">
      <formula>0.00001%</formula>
      <formula>70%</formula>
    </cfRule>
    <cfRule type="cellIs" dxfId="95" priority="100" operator="equal">
      <formula>0</formula>
    </cfRule>
  </conditionalFormatting>
  <conditionalFormatting sqref="AN14">
    <cfRule type="cellIs" dxfId="94" priority="91" operator="greaterThan">
      <formula>110%</formula>
    </cfRule>
    <cfRule type="cellIs" dxfId="93" priority="92" operator="between">
      <formula>100.001%</formula>
      <formula>110%</formula>
    </cfRule>
    <cfRule type="cellIs" dxfId="92" priority="93" operator="between">
      <formula>70.001%</formula>
      <formula>100%</formula>
    </cfRule>
    <cfRule type="cellIs" dxfId="91" priority="94" operator="between">
      <formula>0.00001%</formula>
      <formula>70%</formula>
    </cfRule>
    <cfRule type="cellIs" dxfId="90" priority="95" operator="equal">
      <formula>0</formula>
    </cfRule>
  </conditionalFormatting>
  <conditionalFormatting sqref="AQ14">
    <cfRule type="cellIs" dxfId="89" priority="86" operator="greaterThan">
      <formula>110%</formula>
    </cfRule>
    <cfRule type="cellIs" dxfId="88" priority="87" operator="between">
      <formula>100.001%</formula>
      <formula>110%</formula>
    </cfRule>
    <cfRule type="cellIs" dxfId="87" priority="88" operator="between">
      <formula>70.001%</formula>
      <formula>100%</formula>
    </cfRule>
    <cfRule type="cellIs" dxfId="86" priority="89" operator="between">
      <formula>0.00001%</formula>
      <formula>70%</formula>
    </cfRule>
    <cfRule type="cellIs" dxfId="85" priority="90" operator="equal">
      <formula>0</formula>
    </cfRule>
  </conditionalFormatting>
  <conditionalFormatting sqref="AT14">
    <cfRule type="cellIs" dxfId="84" priority="81" operator="greaterThan">
      <formula>110%</formula>
    </cfRule>
    <cfRule type="cellIs" dxfId="83" priority="82" operator="between">
      <formula>100.001%</formula>
      <formula>110%</formula>
    </cfRule>
    <cfRule type="cellIs" dxfId="82" priority="83" operator="between">
      <formula>70.001%</formula>
      <formula>100%</formula>
    </cfRule>
    <cfRule type="cellIs" dxfId="81" priority="84" operator="between">
      <formula>0.00001%</formula>
      <formula>70%</formula>
    </cfRule>
    <cfRule type="cellIs" dxfId="80" priority="85" operator="equal">
      <formula>0</formula>
    </cfRule>
  </conditionalFormatting>
  <conditionalFormatting sqref="AW14">
    <cfRule type="cellIs" dxfId="79" priority="76" operator="greaterThan">
      <formula>110%</formula>
    </cfRule>
    <cfRule type="cellIs" dxfId="78" priority="77" operator="between">
      <formula>100.001%</formula>
      <formula>110%</formula>
    </cfRule>
    <cfRule type="cellIs" dxfId="77" priority="78" operator="between">
      <formula>70.001%</formula>
      <formula>100%</formula>
    </cfRule>
    <cfRule type="cellIs" dxfId="76" priority="79" operator="between">
      <formula>0.00001%</formula>
      <formula>70%</formula>
    </cfRule>
    <cfRule type="cellIs" dxfId="75" priority="80" operator="equal">
      <formula>0</formula>
    </cfRule>
  </conditionalFormatting>
  <conditionalFormatting sqref="AE11">
    <cfRule type="cellIs" dxfId="74" priority="71" operator="greaterThan">
      <formula>110%</formula>
    </cfRule>
    <cfRule type="cellIs" dxfId="73" priority="72" operator="between">
      <formula>100.001%</formula>
      <formula>110%</formula>
    </cfRule>
    <cfRule type="cellIs" dxfId="72" priority="73" operator="between">
      <formula>70.001%</formula>
      <formula>100%</formula>
    </cfRule>
    <cfRule type="cellIs" dxfId="71" priority="74" operator="between">
      <formula>0.00001%</formula>
      <formula>70%</formula>
    </cfRule>
    <cfRule type="cellIs" dxfId="70" priority="75" operator="equal">
      <formula>0</formula>
    </cfRule>
  </conditionalFormatting>
  <conditionalFormatting sqref="AE12">
    <cfRule type="cellIs" dxfId="69" priority="66" operator="greaterThan">
      <formula>110%</formula>
    </cfRule>
    <cfRule type="cellIs" dxfId="68" priority="67" operator="between">
      <formula>100.001%</formula>
      <formula>110%</formula>
    </cfRule>
    <cfRule type="cellIs" dxfId="67" priority="68" operator="between">
      <formula>70.001%</formula>
      <formula>100%</formula>
    </cfRule>
    <cfRule type="cellIs" dxfId="66" priority="69" operator="between">
      <formula>0.00001%</formula>
      <formula>70%</formula>
    </cfRule>
    <cfRule type="cellIs" dxfId="65" priority="70" operator="equal">
      <formula>0</formula>
    </cfRule>
  </conditionalFormatting>
  <conditionalFormatting sqref="AY12">
    <cfRule type="cellIs" dxfId="64" priority="61" operator="greaterThan">
      <formula>110%</formula>
    </cfRule>
    <cfRule type="cellIs" dxfId="63" priority="62" operator="between">
      <formula>100.001%</formula>
      <formula>110%</formula>
    </cfRule>
    <cfRule type="cellIs" dxfId="62" priority="63" operator="between">
      <formula>70.001%</formula>
      <formula>100%</formula>
    </cfRule>
    <cfRule type="cellIs" dxfId="61" priority="64" operator="between">
      <formula>0.00001%</formula>
      <formula>70%</formula>
    </cfRule>
    <cfRule type="cellIs" dxfId="60" priority="65" operator="equal">
      <formula>0</formula>
    </cfRule>
  </conditionalFormatting>
  <conditionalFormatting sqref="N12">
    <cfRule type="cellIs" dxfId="59" priority="56" operator="greaterThan">
      <formula>110%</formula>
    </cfRule>
    <cfRule type="cellIs" dxfId="58" priority="57" operator="between">
      <formula>100.001%</formula>
      <formula>110%</formula>
    </cfRule>
    <cfRule type="cellIs" dxfId="57" priority="58" operator="between">
      <formula>70.001%</formula>
      <formula>100%</formula>
    </cfRule>
    <cfRule type="cellIs" dxfId="56" priority="59" operator="between">
      <formula>0.00001%</formula>
      <formula>70%</formula>
    </cfRule>
    <cfRule type="cellIs" dxfId="55" priority="60" operator="equal">
      <formula>0</formula>
    </cfRule>
  </conditionalFormatting>
  <conditionalFormatting sqref="Q12">
    <cfRule type="cellIs" dxfId="54" priority="51" operator="greaterThan">
      <formula>110%</formula>
    </cfRule>
    <cfRule type="cellIs" dxfId="53" priority="52" operator="between">
      <formula>100.001%</formula>
      <formula>110%</formula>
    </cfRule>
    <cfRule type="cellIs" dxfId="52" priority="53" operator="between">
      <formula>70.001%</formula>
      <formula>100%</formula>
    </cfRule>
    <cfRule type="cellIs" dxfId="51" priority="54" operator="between">
      <formula>0.00001%</formula>
      <formula>70%</formula>
    </cfRule>
    <cfRule type="cellIs" dxfId="50" priority="55" operator="equal">
      <formula>0</formula>
    </cfRule>
  </conditionalFormatting>
  <conditionalFormatting sqref="T12">
    <cfRule type="cellIs" dxfId="49" priority="46" operator="greaterThan">
      <formula>110%</formula>
    </cfRule>
    <cfRule type="cellIs" dxfId="48" priority="47" operator="between">
      <formula>100.001%</formula>
      <formula>110%</formula>
    </cfRule>
    <cfRule type="cellIs" dxfId="47" priority="48" operator="between">
      <formula>70.001%</formula>
      <formula>100%</formula>
    </cfRule>
    <cfRule type="cellIs" dxfId="46" priority="49" operator="between">
      <formula>0.00001%</formula>
      <formula>70%</formula>
    </cfRule>
    <cfRule type="cellIs" dxfId="45" priority="50" operator="equal">
      <formula>0</formula>
    </cfRule>
  </conditionalFormatting>
  <conditionalFormatting sqref="W12">
    <cfRule type="cellIs" dxfId="44" priority="41" operator="greaterThan">
      <formula>110%</formula>
    </cfRule>
    <cfRule type="cellIs" dxfId="43" priority="42" operator="between">
      <formula>100.001%</formula>
      <formula>110%</formula>
    </cfRule>
    <cfRule type="cellIs" dxfId="42" priority="43" operator="between">
      <formula>70.001%</formula>
      <formula>100%</formula>
    </cfRule>
    <cfRule type="cellIs" dxfId="41" priority="44" operator="between">
      <formula>0.00001%</formula>
      <formula>70%</formula>
    </cfRule>
    <cfRule type="cellIs" dxfId="40" priority="45" operator="equal">
      <formula>0</formula>
    </cfRule>
  </conditionalFormatting>
  <conditionalFormatting sqref="Z12">
    <cfRule type="cellIs" dxfId="39" priority="36" operator="greaterThan">
      <formula>110%</formula>
    </cfRule>
    <cfRule type="cellIs" dxfId="38" priority="37" operator="between">
      <formula>100.001%</formula>
      <formula>110%</formula>
    </cfRule>
    <cfRule type="cellIs" dxfId="37" priority="38" operator="between">
      <formula>70.001%</formula>
      <formula>100%</formula>
    </cfRule>
    <cfRule type="cellIs" dxfId="36" priority="39" operator="between">
      <formula>0.00001%</formula>
      <formula>70%</formula>
    </cfRule>
    <cfRule type="cellIs" dxfId="35" priority="40" operator="equal">
      <formula>0</formula>
    </cfRule>
  </conditionalFormatting>
  <conditionalFormatting sqref="AC12">
    <cfRule type="cellIs" dxfId="34" priority="31" operator="greaterThan">
      <formula>110%</formula>
    </cfRule>
    <cfRule type="cellIs" dxfId="33" priority="32" operator="between">
      <formula>100.001%</formula>
      <formula>110%</formula>
    </cfRule>
    <cfRule type="cellIs" dxfId="32" priority="33" operator="between">
      <formula>70.001%</formula>
      <formula>100%</formula>
    </cfRule>
    <cfRule type="cellIs" dxfId="31" priority="34" operator="between">
      <formula>0.00001%</formula>
      <formula>70%</formula>
    </cfRule>
    <cfRule type="cellIs" dxfId="30" priority="35" operator="equal">
      <formula>0</formula>
    </cfRule>
  </conditionalFormatting>
  <conditionalFormatting sqref="AH12">
    <cfRule type="cellIs" dxfId="29" priority="26" operator="greaterThan">
      <formula>110%</formula>
    </cfRule>
    <cfRule type="cellIs" dxfId="28" priority="27" operator="between">
      <formula>100.001%</formula>
      <formula>110%</formula>
    </cfRule>
    <cfRule type="cellIs" dxfId="27" priority="28" operator="between">
      <formula>70.001%</formula>
      <formula>100%</formula>
    </cfRule>
    <cfRule type="cellIs" dxfId="26" priority="29" operator="between">
      <formula>0.00001%</formula>
      <formula>70%</formula>
    </cfRule>
    <cfRule type="cellIs" dxfId="25" priority="30" operator="equal">
      <formula>0</formula>
    </cfRule>
  </conditionalFormatting>
  <conditionalFormatting sqref="AK12">
    <cfRule type="cellIs" dxfId="24" priority="21" operator="greaterThan">
      <formula>110%</formula>
    </cfRule>
    <cfRule type="cellIs" dxfId="23" priority="22" operator="between">
      <formula>100.001%</formula>
      <formula>110%</formula>
    </cfRule>
    <cfRule type="cellIs" dxfId="22" priority="23" operator="between">
      <formula>70.001%</formula>
      <formula>100%</formula>
    </cfRule>
    <cfRule type="cellIs" dxfId="21" priority="24" operator="between">
      <formula>0.00001%</formula>
      <formula>70%</formula>
    </cfRule>
    <cfRule type="cellIs" dxfId="20" priority="25" operator="equal">
      <formula>0</formula>
    </cfRule>
  </conditionalFormatting>
  <conditionalFormatting sqref="AN12">
    <cfRule type="cellIs" dxfId="19" priority="16" operator="greaterThan">
      <formula>110%</formula>
    </cfRule>
    <cfRule type="cellIs" dxfId="18" priority="17" operator="between">
      <formula>100.001%</formula>
      <formula>110%</formula>
    </cfRule>
    <cfRule type="cellIs" dxfId="17" priority="18" operator="between">
      <formula>70.001%</formula>
      <formula>100%</formula>
    </cfRule>
    <cfRule type="cellIs" dxfId="16" priority="19" operator="between">
      <formula>0.00001%</formula>
      <formula>70%</formula>
    </cfRule>
    <cfRule type="cellIs" dxfId="15" priority="20" operator="equal">
      <formula>0</formula>
    </cfRule>
  </conditionalFormatting>
  <conditionalFormatting sqref="AQ12">
    <cfRule type="cellIs" dxfId="14" priority="11" operator="greaterThan">
      <formula>110%</formula>
    </cfRule>
    <cfRule type="cellIs" dxfId="13" priority="12" operator="between">
      <formula>100.001%</formula>
      <formula>110%</formula>
    </cfRule>
    <cfRule type="cellIs" dxfId="12" priority="13" operator="between">
      <formula>70.001%</formula>
      <formula>100%</formula>
    </cfRule>
    <cfRule type="cellIs" dxfId="11" priority="14" operator="between">
      <formula>0.00001%</formula>
      <formula>70%</formula>
    </cfRule>
    <cfRule type="cellIs" dxfId="10" priority="15" operator="equal">
      <formula>0</formula>
    </cfRule>
  </conditionalFormatting>
  <conditionalFormatting sqref="AT12">
    <cfRule type="cellIs" dxfId="9" priority="6" operator="greaterThan">
      <formula>110%</formula>
    </cfRule>
    <cfRule type="cellIs" dxfId="8" priority="7" operator="between">
      <formula>100.001%</formula>
      <formula>110%</formula>
    </cfRule>
    <cfRule type="cellIs" dxfId="7" priority="8" operator="between">
      <formula>70.001%</formula>
      <formula>100%</formula>
    </cfRule>
    <cfRule type="cellIs" dxfId="6" priority="9" operator="between">
      <formula>0.00001%</formula>
      <formula>70%</formula>
    </cfRule>
    <cfRule type="cellIs" dxfId="5" priority="10" operator="equal">
      <formula>0</formula>
    </cfRule>
  </conditionalFormatting>
  <conditionalFormatting sqref="AW12">
    <cfRule type="cellIs" dxfId="4" priority="1" operator="greaterThan">
      <formula>110%</formula>
    </cfRule>
    <cfRule type="cellIs" dxfId="3" priority="2" operator="between">
      <formula>100.001%</formula>
      <formula>110%</formula>
    </cfRule>
    <cfRule type="cellIs" dxfId="2" priority="3" operator="between">
      <formula>70.001%</formula>
      <formula>100%</formula>
    </cfRule>
    <cfRule type="cellIs" dxfId="1" priority="4" operator="between">
      <formula>0.00001%</formula>
      <formula>70%</formula>
    </cfRule>
    <cfRule type="cellIs" dxfId="0" priority="5" operator="equal">
      <formula>0</formula>
    </cfRule>
  </conditionalFormatting>
  <hyperlinks>
    <hyperlink ref="D9" location="'IN1-3'!A1" display="IN1-3. Recaudo Bruto" xr:uid="{00000000-0004-0000-3100-000000000000}"/>
    <hyperlink ref="D10" location="'FIS-24'!A1" display="FIS-24. Valor decomisos de mercancías en firme" xr:uid="{00000000-0004-0000-3100-000001000000}"/>
    <hyperlink ref="D14" location="'DGRAE-25'!A1" display="DGRAE-25 Actividades que componen el  PIC para la Dirección de Gestión" xr:uid="{00000000-0004-0000-3100-000002000000}"/>
    <hyperlink ref="D11" location="'ADU-13'!A1" display="ADU-13 Efectividad en los Controles a los  usuarios de comercio - Hallazgos en visitas de usuarios no visitados anteriormente" xr:uid="{00000000-0004-0000-3100-000003000000}"/>
    <hyperlink ref="D12" location="'IN1-11'!A1" display="IN1-11  Nivel de cobertura de personas sensibilizadas por el plan de cultura. ACTUALMENTE. Cumplimiento al Plan de Acción de Cultura de la Contribución" xr:uid="{00000000-0004-0000-3100-000004000000}"/>
    <hyperlink ref="AY3" location="'Consolidado '!A1" display="VOLVER" xr:uid="{00000000-0004-0000-3100-000005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31"/>
  <sheetViews>
    <sheetView topLeftCell="E1" zoomScale="70" zoomScaleNormal="70" workbookViewId="0">
      <selection activeCell="BE22" sqref="BE22"/>
    </sheetView>
  </sheetViews>
  <sheetFormatPr baseColWidth="10" defaultColWidth="11.42578125" defaultRowHeight="16.5"/>
  <cols>
    <col min="1" max="1" width="23.42578125" style="8" customWidth="1"/>
    <col min="2" max="2" width="37" style="8" customWidth="1"/>
    <col min="3" max="3" width="59.28515625" style="63" bestFit="1" customWidth="1"/>
    <col min="4" max="4" width="25.85546875" style="8" bestFit="1" customWidth="1"/>
    <col min="5" max="5" width="71.42578125" style="8" bestFit="1" customWidth="1"/>
    <col min="6" max="6" width="23.85546875" style="8" bestFit="1" customWidth="1"/>
    <col min="7" max="7" width="22.28515625" style="8" bestFit="1" customWidth="1"/>
    <col min="8" max="8" width="8.85546875" style="8" hidden="1" customWidth="1"/>
    <col min="9" max="9" width="9.140625" style="8" hidden="1" customWidth="1"/>
    <col min="10" max="10" width="10.28515625" style="8" hidden="1" customWidth="1"/>
    <col min="11" max="11" width="25.85546875" style="8" customWidth="1"/>
    <col min="12" max="13" width="21.7109375" style="8" hidden="1" customWidth="1"/>
    <col min="14" max="14" width="21.7109375" style="444" hidden="1" customWidth="1"/>
    <col min="15" max="49" width="21.7109375" style="8" hidden="1" customWidth="1"/>
    <col min="50" max="51" width="21.7109375" style="8" customWidth="1"/>
  </cols>
  <sheetData>
    <row r="1" spans="1:52" ht="26.25">
      <c r="A1" s="101" t="s">
        <v>370</v>
      </c>
      <c r="B1" s="101"/>
      <c r="C1" s="2885" t="s">
        <v>371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AZ2" s="670" t="s">
        <v>185</v>
      </c>
    </row>
    <row r="3" spans="1:52">
      <c r="A3" s="107"/>
      <c r="B3" s="108"/>
      <c r="C3" s="2866" t="s">
        <v>372</v>
      </c>
      <c r="D3" s="2867"/>
      <c r="E3" s="2867"/>
      <c r="F3" s="2867"/>
      <c r="G3" s="2867"/>
      <c r="H3" s="2867"/>
      <c r="I3" s="2867"/>
      <c r="J3" s="2867"/>
      <c r="K3" s="2867"/>
    </row>
    <row r="4" spans="1:52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  <c r="AZ4" s="370">
        <f>+(AY9+AY10+AY11+AY12+AY13+AY14+AY15+AY16+AY17+AY18+AY19+AY20+AY21+AY22+AY23+AY24+AY26+AY27+AY28+AY30)/20</f>
        <v>1.0760889348932494</v>
      </c>
    </row>
    <row r="5" spans="1:52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84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84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52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8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</row>
    <row r="8" spans="1:52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13" t="s">
        <v>86</v>
      </c>
      <c r="R8" s="16" t="s">
        <v>84</v>
      </c>
      <c r="S8" s="16" t="s">
        <v>85</v>
      </c>
      <c r="T8" s="13" t="s">
        <v>86</v>
      </c>
      <c r="U8" s="16" t="s">
        <v>84</v>
      </c>
      <c r="V8" s="16" t="s">
        <v>85</v>
      </c>
      <c r="W8" s="13" t="s">
        <v>86</v>
      </c>
      <c r="X8" s="16" t="s">
        <v>84</v>
      </c>
      <c r="Y8" s="16" t="s">
        <v>85</v>
      </c>
      <c r="Z8" s="13" t="s">
        <v>86</v>
      </c>
      <c r="AA8" s="16" t="s">
        <v>84</v>
      </c>
      <c r="AB8" s="16" t="s">
        <v>85</v>
      </c>
      <c r="AC8" s="13" t="s">
        <v>86</v>
      </c>
      <c r="AD8" s="16" t="s">
        <v>87</v>
      </c>
      <c r="AE8" s="16" t="s">
        <v>6</v>
      </c>
      <c r="AF8" s="13" t="s">
        <v>84</v>
      </c>
      <c r="AG8" s="14" t="s">
        <v>85</v>
      </c>
      <c r="AH8" s="13" t="s">
        <v>86</v>
      </c>
      <c r="AI8" s="16" t="s">
        <v>84</v>
      </c>
      <c r="AJ8" s="13" t="s">
        <v>85</v>
      </c>
      <c r="AK8" s="13" t="s">
        <v>86</v>
      </c>
      <c r="AL8" s="14" t="s">
        <v>84</v>
      </c>
      <c r="AM8" s="16" t="s">
        <v>85</v>
      </c>
      <c r="AN8" s="13" t="s">
        <v>86</v>
      </c>
      <c r="AO8" s="16" t="s">
        <v>84</v>
      </c>
      <c r="AP8" s="16" t="s">
        <v>85</v>
      </c>
      <c r="AQ8" s="13" t="s">
        <v>86</v>
      </c>
      <c r="AR8" s="16" t="s">
        <v>84</v>
      </c>
      <c r="AS8" s="13" t="s">
        <v>85</v>
      </c>
      <c r="AT8" s="13" t="s">
        <v>86</v>
      </c>
      <c r="AU8" s="13" t="s">
        <v>84</v>
      </c>
      <c r="AV8" s="14" t="s">
        <v>85</v>
      </c>
      <c r="AW8" s="13" t="s">
        <v>86</v>
      </c>
      <c r="AX8" s="13" t="s">
        <v>87</v>
      </c>
      <c r="AY8" s="14" t="s">
        <v>6</v>
      </c>
    </row>
    <row r="9" spans="1:52" ht="31.5" thickTop="1" thickBot="1">
      <c r="A9" s="2846" t="s">
        <v>88</v>
      </c>
      <c r="B9" s="2923" t="s">
        <v>94</v>
      </c>
      <c r="C9" s="25" t="s">
        <v>95</v>
      </c>
      <c r="D9" s="627" t="s">
        <v>96</v>
      </c>
      <c r="E9" s="25" t="s">
        <v>97</v>
      </c>
      <c r="F9" s="25" t="s">
        <v>18</v>
      </c>
      <c r="G9" s="26">
        <v>682128</v>
      </c>
      <c r="H9" s="98"/>
      <c r="I9" s="671" t="s">
        <v>98</v>
      </c>
      <c r="J9" s="98"/>
      <c r="K9" s="25" t="s">
        <v>20</v>
      </c>
      <c r="L9" s="630">
        <v>109414</v>
      </c>
      <c r="M9" s="584">
        <v>109414</v>
      </c>
      <c r="N9" s="19">
        <f>+M9/L9</f>
        <v>1</v>
      </c>
      <c r="O9" s="630">
        <v>47658</v>
      </c>
      <c r="P9" s="584">
        <v>47658</v>
      </c>
      <c r="Q9" s="19">
        <f>+P9/O9</f>
        <v>1</v>
      </c>
      <c r="R9" s="630">
        <v>47968</v>
      </c>
      <c r="S9" s="584">
        <v>47968</v>
      </c>
      <c r="T9" s="19">
        <f>+S9/R9</f>
        <v>1</v>
      </c>
      <c r="U9" s="630">
        <v>37685</v>
      </c>
      <c r="V9" s="584">
        <v>37685</v>
      </c>
      <c r="W9" s="19">
        <f>+V9/U9</f>
        <v>1</v>
      </c>
      <c r="X9" s="630">
        <v>54161</v>
      </c>
      <c r="Y9" s="584">
        <v>54161</v>
      </c>
      <c r="Z9" s="19">
        <f>+Y9/X9</f>
        <v>1</v>
      </c>
      <c r="AA9" s="630">
        <v>44223</v>
      </c>
      <c r="AB9" s="584">
        <v>44223</v>
      </c>
      <c r="AC9" s="19">
        <f>+AB9/AA9</f>
        <v>1</v>
      </c>
      <c r="AD9" s="565">
        <f>+M9+P9+S9+V9+Y9+AB9</f>
        <v>341109</v>
      </c>
      <c r="AE9" s="19">
        <f>AD9/G9</f>
        <v>0.5000659700232214</v>
      </c>
      <c r="AF9" s="630">
        <v>51832</v>
      </c>
      <c r="AG9" s="584">
        <v>51832</v>
      </c>
      <c r="AH9" s="19">
        <f>+AG9/AF9</f>
        <v>1</v>
      </c>
      <c r="AI9" s="630">
        <v>40151</v>
      </c>
      <c r="AJ9" s="584">
        <v>40151</v>
      </c>
      <c r="AK9" s="19">
        <f>+AJ9/AI9</f>
        <v>1</v>
      </c>
      <c r="AL9" s="630">
        <v>84833</v>
      </c>
      <c r="AM9" s="584">
        <v>84833</v>
      </c>
      <c r="AN9" s="19">
        <f>+AM9/AL9</f>
        <v>1</v>
      </c>
      <c r="AO9" s="630">
        <v>51372</v>
      </c>
      <c r="AP9" s="584">
        <v>51472</v>
      </c>
      <c r="AQ9" s="19">
        <f>+AP9/AO9</f>
        <v>1.001946585688702</v>
      </c>
      <c r="AR9" s="630">
        <v>70567</v>
      </c>
      <c r="AS9" s="584">
        <v>70567</v>
      </c>
      <c r="AT9" s="19">
        <f>+AS9/AR9</f>
        <v>1</v>
      </c>
      <c r="AU9" s="630">
        <v>42164</v>
      </c>
      <c r="AV9" s="584">
        <v>42164</v>
      </c>
      <c r="AW9" s="19">
        <f>+AV9/AU9</f>
        <v>1</v>
      </c>
      <c r="AX9" s="673">
        <f>+M9+P9+S9+V9+Y9+AB9+AG9+AJ9+AM9+AP9+AS9+AV9</f>
        <v>682128</v>
      </c>
      <c r="AY9" s="19">
        <f>+AX9/G9</f>
        <v>1</v>
      </c>
    </row>
    <row r="10" spans="1:52" ht="76.5" thickTop="1" thickBot="1">
      <c r="A10" s="2846"/>
      <c r="B10" s="2924"/>
      <c r="C10" s="2925" t="s">
        <v>301</v>
      </c>
      <c r="D10" s="623" t="s">
        <v>99</v>
      </c>
      <c r="E10" s="561" t="s">
        <v>100</v>
      </c>
      <c r="F10" s="561" t="s">
        <v>101</v>
      </c>
      <c r="G10" s="33">
        <v>57820000000</v>
      </c>
      <c r="H10" s="96"/>
      <c r="I10" s="33"/>
      <c r="J10" s="96"/>
      <c r="K10" s="561" t="s">
        <v>172</v>
      </c>
      <c r="L10" s="624">
        <v>4625600000</v>
      </c>
      <c r="M10" s="564">
        <v>2238988000</v>
      </c>
      <c r="N10" s="19">
        <f t="shared" ref="N10:N26" si="0">+M10/L10</f>
        <v>0.48404271878242822</v>
      </c>
      <c r="O10" s="624">
        <v>4625600000</v>
      </c>
      <c r="P10" s="564">
        <v>6520325193</v>
      </c>
      <c r="Q10" s="19">
        <f t="shared" ref="Q10:Q26" si="1">+P10/O10</f>
        <v>1.4096171724749222</v>
      </c>
      <c r="R10" s="624">
        <v>4625600000</v>
      </c>
      <c r="S10" s="564">
        <v>926019000</v>
      </c>
      <c r="T10" s="19">
        <f t="shared" ref="T10:T26" si="2">+S10/R10</f>
        <v>0.20019435316499481</v>
      </c>
      <c r="U10" s="624">
        <v>5203800000</v>
      </c>
      <c r="V10" s="564">
        <v>2412162000</v>
      </c>
      <c r="W10" s="19">
        <f t="shared" ref="W10:W26" si="3">+V10/U10</f>
        <v>0.46353856796956072</v>
      </c>
      <c r="X10" s="624">
        <v>5782000000</v>
      </c>
      <c r="Y10" s="564">
        <v>393722000</v>
      </c>
      <c r="Z10" s="19">
        <f t="shared" ref="Z10:Z26" si="4">+Y10/X10</f>
        <v>6.8094430992736071E-2</v>
      </c>
      <c r="AA10" s="624">
        <v>5782000000</v>
      </c>
      <c r="AB10" s="564">
        <v>2858070000</v>
      </c>
      <c r="AC10" s="19">
        <f t="shared" ref="AC10:AC26" si="5">+AB10/AA10</f>
        <v>0.49430473884469039</v>
      </c>
      <c r="AD10" s="562">
        <f t="shared" ref="AD10:AD26" si="6">+M10+P10+S10+V10+Y10+AB10</f>
        <v>15349286193</v>
      </c>
      <c r="AE10" s="19">
        <f t="shared" ref="AE10:AE26" si="7">AD10/G10</f>
        <v>0.26546672765479074</v>
      </c>
      <c r="AF10" s="624">
        <v>5782000000</v>
      </c>
      <c r="AG10" s="564">
        <v>2521780500</v>
      </c>
      <c r="AH10" s="19">
        <f t="shared" ref="AH10:AH26" si="8">+AG10/AF10</f>
        <v>0.43614328951919751</v>
      </c>
      <c r="AI10" s="624">
        <v>5782000000</v>
      </c>
      <c r="AJ10" s="564">
        <v>11635368600</v>
      </c>
      <c r="AK10" s="19">
        <f t="shared" ref="AK10:AK26" si="9">+AJ10/AI10</f>
        <v>2.0123432376340369</v>
      </c>
      <c r="AL10" s="624">
        <v>5782000000</v>
      </c>
      <c r="AM10" s="564">
        <v>4926774600</v>
      </c>
      <c r="AN10" s="19">
        <f t="shared" ref="AN10:AN26" si="10">+AM10/AL10</f>
        <v>0.8520883085437565</v>
      </c>
      <c r="AO10" s="624">
        <v>5782000000</v>
      </c>
      <c r="AP10" s="564">
        <v>3116300000</v>
      </c>
      <c r="AQ10" s="19">
        <f t="shared" ref="AQ10:AQ26" si="11">+AP10/AO10</f>
        <v>0.53896575579384298</v>
      </c>
      <c r="AR10" s="624">
        <v>2312800000</v>
      </c>
      <c r="AS10" s="564">
        <v>12541788110</v>
      </c>
      <c r="AT10" s="19">
        <f t="shared" ref="AT10:AT26" si="12">+AS10/AR10</f>
        <v>5.4227724446558287</v>
      </c>
      <c r="AU10" s="624">
        <v>1734600000</v>
      </c>
      <c r="AV10" s="564">
        <v>1689948700</v>
      </c>
      <c r="AW10" s="19">
        <f t="shared" ref="AW10:AW26" si="13">+AV10/AU10</f>
        <v>0.97425844575118181</v>
      </c>
      <c r="AX10" s="672">
        <f t="shared" ref="AX10:AX26" si="14">+M10+P10+S10+V10+Y10+AB10+AG10+AJ10+AM10+AP10+AS10+AV10</f>
        <v>51781246703</v>
      </c>
      <c r="AY10" s="19">
        <f t="shared" ref="AY10:AY26" si="15">+AX10/G10</f>
        <v>0.8955594379626427</v>
      </c>
    </row>
    <row r="11" spans="1:52" ht="76.5" thickTop="1" thickBot="1">
      <c r="A11" s="2846"/>
      <c r="B11" s="2924"/>
      <c r="C11" s="2926"/>
      <c r="D11" s="627" t="s">
        <v>102</v>
      </c>
      <c r="E11" s="25" t="s">
        <v>103</v>
      </c>
      <c r="F11" s="25" t="s">
        <v>101</v>
      </c>
      <c r="G11" s="30">
        <v>43600000000</v>
      </c>
      <c r="H11" s="386"/>
      <c r="I11" s="671"/>
      <c r="J11" s="386"/>
      <c r="K11" s="25" t="s">
        <v>172</v>
      </c>
      <c r="L11" s="630">
        <v>3488000000</v>
      </c>
      <c r="M11" s="584">
        <v>1518123000</v>
      </c>
      <c r="N11" s="19">
        <f t="shared" si="0"/>
        <v>0.43524168577981653</v>
      </c>
      <c r="O11" s="630">
        <v>3488000000</v>
      </c>
      <c r="P11" s="584">
        <v>1273201193</v>
      </c>
      <c r="Q11" s="19">
        <f t="shared" si="1"/>
        <v>0.36502327780963301</v>
      </c>
      <c r="R11" s="630">
        <v>3488000000</v>
      </c>
      <c r="S11" s="584">
        <v>750042000</v>
      </c>
      <c r="T11" s="19">
        <f t="shared" si="2"/>
        <v>0.21503497706422017</v>
      </c>
      <c r="U11" s="630">
        <v>3924000000</v>
      </c>
      <c r="V11" s="584">
        <v>2446545000</v>
      </c>
      <c r="W11" s="19">
        <f t="shared" si="3"/>
        <v>0.62348241590214071</v>
      </c>
      <c r="X11" s="630">
        <v>4360000000</v>
      </c>
      <c r="Y11" s="584">
        <v>381341000</v>
      </c>
      <c r="Z11" s="19">
        <f t="shared" si="4"/>
        <v>8.7463532110091738E-2</v>
      </c>
      <c r="AA11" s="630">
        <v>4360000000</v>
      </c>
      <c r="AB11" s="584">
        <v>2004084000</v>
      </c>
      <c r="AC11" s="19">
        <f t="shared" si="5"/>
        <v>0.45965229357798165</v>
      </c>
      <c r="AD11" s="565">
        <f t="shared" si="6"/>
        <v>8373336193</v>
      </c>
      <c r="AE11" s="19">
        <f t="shared" si="7"/>
        <v>0.19204899525229358</v>
      </c>
      <c r="AF11" s="630">
        <v>4360000000</v>
      </c>
      <c r="AG11" s="584">
        <v>6589160000</v>
      </c>
      <c r="AH11" s="19">
        <f t="shared" si="8"/>
        <v>1.5112752293577982</v>
      </c>
      <c r="AI11" s="630">
        <v>4360000000</v>
      </c>
      <c r="AJ11" s="584">
        <v>1537795000</v>
      </c>
      <c r="AK11" s="19">
        <f t="shared" si="9"/>
        <v>0.3527052752293578</v>
      </c>
      <c r="AL11" s="630">
        <v>4360000000</v>
      </c>
      <c r="AM11" s="584">
        <v>1848293000</v>
      </c>
      <c r="AN11" s="19">
        <f t="shared" si="10"/>
        <v>0.4239204128440367</v>
      </c>
      <c r="AO11" s="630">
        <v>4360000000</v>
      </c>
      <c r="AP11" s="584">
        <v>12255184000</v>
      </c>
      <c r="AQ11" s="19">
        <f t="shared" si="11"/>
        <v>2.8108220183486239</v>
      </c>
      <c r="AR11" s="630">
        <v>1744000000</v>
      </c>
      <c r="AS11" s="584">
        <v>1642279118</v>
      </c>
      <c r="AT11" s="19">
        <f t="shared" si="12"/>
        <v>0.9416738061926605</v>
      </c>
      <c r="AU11" s="630">
        <v>1308000000</v>
      </c>
      <c r="AV11" s="584">
        <v>639429700</v>
      </c>
      <c r="AW11" s="19">
        <f t="shared" si="13"/>
        <v>0.48886062691131499</v>
      </c>
      <c r="AX11" s="673">
        <f t="shared" si="14"/>
        <v>32885477011</v>
      </c>
      <c r="AY11" s="19">
        <f t="shared" si="15"/>
        <v>0.75425405988532113</v>
      </c>
    </row>
    <row r="12" spans="1:52" ht="76.5" thickTop="1" thickBot="1">
      <c r="A12" s="2846"/>
      <c r="B12" s="2924"/>
      <c r="C12" s="2926"/>
      <c r="D12" s="623" t="s">
        <v>104</v>
      </c>
      <c r="E12" s="561" t="s">
        <v>105</v>
      </c>
      <c r="F12" s="561" t="s">
        <v>24</v>
      </c>
      <c r="G12" s="561">
        <v>48</v>
      </c>
      <c r="H12" s="85"/>
      <c r="I12" s="674"/>
      <c r="J12" s="85"/>
      <c r="K12" s="561" t="s">
        <v>172</v>
      </c>
      <c r="L12" s="675"/>
      <c r="M12" s="36"/>
      <c r="N12" s="19" t="e">
        <f t="shared" si="0"/>
        <v>#DIV/0!</v>
      </c>
      <c r="O12" s="675"/>
      <c r="P12" s="36"/>
      <c r="Q12" s="19" t="e">
        <f t="shared" si="1"/>
        <v>#DIV/0!</v>
      </c>
      <c r="R12" s="675">
        <v>12</v>
      </c>
      <c r="S12" s="36">
        <v>1</v>
      </c>
      <c r="T12" s="19">
        <f t="shared" si="2"/>
        <v>8.3333333333333329E-2</v>
      </c>
      <c r="U12" s="675"/>
      <c r="V12" s="36"/>
      <c r="W12" s="19" t="e">
        <f t="shared" si="3"/>
        <v>#DIV/0!</v>
      </c>
      <c r="X12" s="675">
        <v>0</v>
      </c>
      <c r="Y12" s="36"/>
      <c r="Z12" s="19" t="e">
        <f t="shared" si="4"/>
        <v>#DIV/0!</v>
      </c>
      <c r="AA12" s="675">
        <v>12</v>
      </c>
      <c r="AB12" s="36"/>
      <c r="AC12" s="19">
        <f t="shared" si="5"/>
        <v>0</v>
      </c>
      <c r="AD12" s="37">
        <f>+S12+AB12</f>
        <v>1</v>
      </c>
      <c r="AE12" s="19">
        <f t="shared" si="7"/>
        <v>2.0833333333333332E-2</v>
      </c>
      <c r="AF12" s="675">
        <v>0</v>
      </c>
      <c r="AG12" s="36"/>
      <c r="AH12" s="19" t="e">
        <f t="shared" si="8"/>
        <v>#DIV/0!</v>
      </c>
      <c r="AI12" s="675">
        <v>0</v>
      </c>
      <c r="AJ12" s="36"/>
      <c r="AK12" s="19" t="e">
        <f t="shared" si="9"/>
        <v>#DIV/0!</v>
      </c>
      <c r="AL12" s="675">
        <v>12</v>
      </c>
      <c r="AM12" s="36">
        <v>13</v>
      </c>
      <c r="AN12" s="19">
        <f t="shared" si="10"/>
        <v>1.0833333333333333</v>
      </c>
      <c r="AO12" s="675">
        <v>0</v>
      </c>
      <c r="AP12" s="36"/>
      <c r="AQ12" s="19" t="e">
        <f t="shared" si="11"/>
        <v>#DIV/0!</v>
      </c>
      <c r="AR12" s="675"/>
      <c r="AS12" s="36"/>
      <c r="AT12" s="19" t="e">
        <f t="shared" si="12"/>
        <v>#DIV/0!</v>
      </c>
      <c r="AU12" s="675">
        <v>12</v>
      </c>
      <c r="AV12" s="36">
        <v>39</v>
      </c>
      <c r="AW12" s="19">
        <f t="shared" si="13"/>
        <v>3.25</v>
      </c>
      <c r="AX12" s="638">
        <f>+S12+AB12+AM12+AV12</f>
        <v>53</v>
      </c>
      <c r="AY12" s="19">
        <f t="shared" si="15"/>
        <v>1.1041666666666667</v>
      </c>
    </row>
    <row r="13" spans="1:52" ht="76.5" thickTop="1" thickBot="1">
      <c r="A13" s="2846"/>
      <c r="B13" s="2924"/>
      <c r="C13" s="2927"/>
      <c r="D13" s="627" t="s">
        <v>106</v>
      </c>
      <c r="E13" s="25" t="s">
        <v>107</v>
      </c>
      <c r="F13" s="25" t="s">
        <v>24</v>
      </c>
      <c r="G13" s="25">
        <v>240</v>
      </c>
      <c r="H13" s="98"/>
      <c r="I13" s="671"/>
      <c r="J13" s="98"/>
      <c r="K13" s="25" t="s">
        <v>172</v>
      </c>
      <c r="L13" s="676">
        <v>0</v>
      </c>
      <c r="M13" s="34"/>
      <c r="N13" s="19" t="e">
        <f t="shared" si="0"/>
        <v>#DIV/0!</v>
      </c>
      <c r="O13" s="676">
        <v>0</v>
      </c>
      <c r="P13" s="34"/>
      <c r="Q13" s="19" t="e">
        <f t="shared" si="1"/>
        <v>#DIV/0!</v>
      </c>
      <c r="R13" s="676">
        <v>0</v>
      </c>
      <c r="S13" s="34"/>
      <c r="T13" s="19" t="e">
        <f t="shared" si="2"/>
        <v>#DIV/0!</v>
      </c>
      <c r="U13" s="676">
        <v>0</v>
      </c>
      <c r="V13" s="34"/>
      <c r="W13" s="19" t="e">
        <f t="shared" si="3"/>
        <v>#DIV/0!</v>
      </c>
      <c r="X13" s="676">
        <v>0</v>
      </c>
      <c r="Y13" s="34"/>
      <c r="Z13" s="19" t="e">
        <f t="shared" si="4"/>
        <v>#DIV/0!</v>
      </c>
      <c r="AA13" s="676">
        <v>0</v>
      </c>
      <c r="AB13" s="34"/>
      <c r="AC13" s="19" t="e">
        <f t="shared" si="5"/>
        <v>#DIV/0!</v>
      </c>
      <c r="AD13" s="35">
        <f t="shared" si="6"/>
        <v>0</v>
      </c>
      <c r="AE13" s="19">
        <f t="shared" si="7"/>
        <v>0</v>
      </c>
      <c r="AF13" s="676">
        <v>120</v>
      </c>
      <c r="AG13" s="34">
        <v>136</v>
      </c>
      <c r="AH13" s="19">
        <f t="shared" si="8"/>
        <v>1.1333333333333333</v>
      </c>
      <c r="AI13" s="676">
        <v>0</v>
      </c>
      <c r="AJ13" s="34"/>
      <c r="AK13" s="19" t="e">
        <f t="shared" si="9"/>
        <v>#DIV/0!</v>
      </c>
      <c r="AL13" s="676">
        <v>0</v>
      </c>
      <c r="AM13" s="34"/>
      <c r="AN13" s="19" t="e">
        <f t="shared" si="10"/>
        <v>#DIV/0!</v>
      </c>
      <c r="AO13" s="676">
        <v>0</v>
      </c>
      <c r="AP13" s="34"/>
      <c r="AQ13" s="19" t="e">
        <f t="shared" si="11"/>
        <v>#DIV/0!</v>
      </c>
      <c r="AR13" s="676">
        <v>0</v>
      </c>
      <c r="AS13" s="34"/>
      <c r="AT13" s="19" t="e">
        <f t="shared" si="12"/>
        <v>#DIV/0!</v>
      </c>
      <c r="AU13" s="676">
        <v>120</v>
      </c>
      <c r="AV13" s="34">
        <v>106</v>
      </c>
      <c r="AW13" s="19">
        <f t="shared" si="13"/>
        <v>0.8833333333333333</v>
      </c>
      <c r="AX13" s="636">
        <f>+AG13+AV13</f>
        <v>242</v>
      </c>
      <c r="AY13" s="19">
        <f t="shared" si="15"/>
        <v>1.0083333333333333</v>
      </c>
    </row>
    <row r="14" spans="1:52" ht="46.5" thickTop="1" thickBot="1">
      <c r="A14" s="2846"/>
      <c r="B14" s="2924"/>
      <c r="C14" s="677" t="s">
        <v>108</v>
      </c>
      <c r="D14" s="678" t="s">
        <v>109</v>
      </c>
      <c r="E14" s="561" t="s">
        <v>373</v>
      </c>
      <c r="F14" s="561" t="s">
        <v>18</v>
      </c>
      <c r="G14" s="679">
        <v>157489</v>
      </c>
      <c r="H14" s="85"/>
      <c r="I14" s="674"/>
      <c r="J14" s="85"/>
      <c r="K14" s="561" t="s">
        <v>21</v>
      </c>
      <c r="L14" s="680">
        <v>14268</v>
      </c>
      <c r="M14" s="681">
        <v>25138.5</v>
      </c>
      <c r="N14" s="19">
        <f t="shared" si="0"/>
        <v>1.7618797308662741</v>
      </c>
      <c r="O14" s="680">
        <v>10870</v>
      </c>
      <c r="P14" s="681">
        <v>10348.799999999999</v>
      </c>
      <c r="Q14" s="19">
        <f t="shared" si="1"/>
        <v>0.95205151793928233</v>
      </c>
      <c r="R14" s="680">
        <v>12139</v>
      </c>
      <c r="S14" s="681">
        <v>10689</v>
      </c>
      <c r="T14" s="19">
        <f t="shared" si="2"/>
        <v>0.88055029244583571</v>
      </c>
      <c r="U14" s="680">
        <v>12075.64745010703</v>
      </c>
      <c r="V14" s="681">
        <v>5197.6000000000004</v>
      </c>
      <c r="W14" s="19">
        <f t="shared" si="3"/>
        <v>0.43041998546868249</v>
      </c>
      <c r="X14" s="680">
        <v>16259.308865863355</v>
      </c>
      <c r="Y14" s="681">
        <v>9248.9</v>
      </c>
      <c r="Z14" s="19">
        <f t="shared" si="4"/>
        <v>0.5688372166555119</v>
      </c>
      <c r="AA14" s="680">
        <v>14436.296900295874</v>
      </c>
      <c r="AB14" s="681">
        <v>7866.4</v>
      </c>
      <c r="AC14" s="19">
        <f t="shared" si="5"/>
        <v>0.54490428219433307</v>
      </c>
      <c r="AD14" s="682">
        <f>+S14+V14+Y14+AB14</f>
        <v>33001.9</v>
      </c>
      <c r="AE14" s="19">
        <f t="shared" si="7"/>
        <v>0.20955050828946784</v>
      </c>
      <c r="AF14" s="680">
        <v>11754.977235739159</v>
      </c>
      <c r="AG14" s="681">
        <v>14310.7</v>
      </c>
      <c r="AH14" s="19">
        <f t="shared" si="8"/>
        <v>1.2174162240391728</v>
      </c>
      <c r="AI14" s="680">
        <v>12104.278840856261</v>
      </c>
      <c r="AJ14" s="681">
        <v>6315.1</v>
      </c>
      <c r="AK14" s="19">
        <f t="shared" si="9"/>
        <v>0.52172459698171225</v>
      </c>
      <c r="AL14" s="680">
        <v>17204.615362615321</v>
      </c>
      <c r="AM14" s="681">
        <v>12727</v>
      </c>
      <c r="AN14" s="19">
        <f t="shared" si="10"/>
        <v>0.73974336140377006</v>
      </c>
      <c r="AO14" s="680">
        <v>13919.260379111935</v>
      </c>
      <c r="AP14" s="681">
        <v>41437.599999999999</v>
      </c>
      <c r="AQ14" s="19">
        <f t="shared" si="11"/>
        <v>2.9769972592928653</v>
      </c>
      <c r="AR14" s="680">
        <v>13180.642762123407</v>
      </c>
      <c r="AS14" s="681">
        <v>15218.6</v>
      </c>
      <c r="AT14" s="19">
        <f t="shared" si="12"/>
        <v>1.1546174397300999</v>
      </c>
      <c r="AU14" s="680">
        <v>9277.5735365789787</v>
      </c>
      <c r="AV14" s="681">
        <v>16068</v>
      </c>
      <c r="AW14" s="19">
        <f t="shared" si="13"/>
        <v>1.7319183660089781</v>
      </c>
      <c r="AX14" s="683">
        <f>+M14+P14+S14+V14+Y14+AB14+AG14+AJ14+AM14+AP14+AS14+AV14</f>
        <v>174566.2</v>
      </c>
      <c r="AY14" s="19">
        <f t="shared" si="15"/>
        <v>1.1084342398516722</v>
      </c>
    </row>
    <row r="15" spans="1:52" ht="46.5" thickTop="1" thickBot="1">
      <c r="A15" s="2846"/>
      <c r="B15" s="2924"/>
      <c r="C15" s="25" t="s">
        <v>350</v>
      </c>
      <c r="D15" s="627" t="s">
        <v>111</v>
      </c>
      <c r="E15" s="25" t="s">
        <v>112</v>
      </c>
      <c r="F15" s="25" t="s">
        <v>17</v>
      </c>
      <c r="G15" s="99">
        <v>510</v>
      </c>
      <c r="H15" s="98"/>
      <c r="I15" s="671"/>
      <c r="J15" s="98"/>
      <c r="K15" s="25" t="s">
        <v>20</v>
      </c>
      <c r="L15" s="665">
        <v>0</v>
      </c>
      <c r="M15" s="28"/>
      <c r="N15" s="19" t="e">
        <f t="shared" si="0"/>
        <v>#DIV/0!</v>
      </c>
      <c r="O15" s="665">
        <v>0</v>
      </c>
      <c r="P15" s="28"/>
      <c r="Q15" s="19" t="e">
        <f t="shared" si="1"/>
        <v>#DIV/0!</v>
      </c>
      <c r="R15" s="665">
        <v>69</v>
      </c>
      <c r="S15" s="28">
        <v>189</v>
      </c>
      <c r="T15" s="19">
        <f t="shared" si="2"/>
        <v>2.7391304347826089</v>
      </c>
      <c r="U15" s="665">
        <v>92</v>
      </c>
      <c r="V15" s="28">
        <v>7</v>
      </c>
      <c r="W15" s="19">
        <f t="shared" si="3"/>
        <v>7.6086956521739135E-2</v>
      </c>
      <c r="X15" s="665">
        <v>100</v>
      </c>
      <c r="Y15" s="28">
        <v>3</v>
      </c>
      <c r="Z15" s="19">
        <f t="shared" si="4"/>
        <v>0.03</v>
      </c>
      <c r="AA15" s="665">
        <v>107</v>
      </c>
      <c r="AB15" s="28">
        <v>20</v>
      </c>
      <c r="AC15" s="19">
        <f t="shared" si="5"/>
        <v>0.18691588785046728</v>
      </c>
      <c r="AD15" s="29">
        <v>0</v>
      </c>
      <c r="AE15" s="19">
        <f t="shared" si="7"/>
        <v>0</v>
      </c>
      <c r="AF15" s="665">
        <v>283</v>
      </c>
      <c r="AG15" s="28">
        <v>45</v>
      </c>
      <c r="AH15" s="19">
        <f t="shared" si="8"/>
        <v>0.15901060070671377</v>
      </c>
      <c r="AI15" s="665">
        <v>52</v>
      </c>
      <c r="AJ15" s="28">
        <v>23</v>
      </c>
      <c r="AK15" s="19">
        <f t="shared" si="9"/>
        <v>0.44230769230769229</v>
      </c>
      <c r="AL15" s="665">
        <v>42</v>
      </c>
      <c r="AM15" s="28">
        <v>40</v>
      </c>
      <c r="AN15" s="19">
        <f t="shared" si="10"/>
        <v>0.95238095238095233</v>
      </c>
      <c r="AO15" s="665">
        <v>31</v>
      </c>
      <c r="AP15" s="28">
        <v>19</v>
      </c>
      <c r="AQ15" s="19">
        <f t="shared" si="11"/>
        <v>0.61290322580645162</v>
      </c>
      <c r="AR15" s="665">
        <v>21</v>
      </c>
      <c r="AS15" s="28">
        <v>11</v>
      </c>
      <c r="AT15" s="19">
        <f>+AS15/AR15</f>
        <v>0.52380952380952384</v>
      </c>
      <c r="AU15" s="665">
        <v>10</v>
      </c>
      <c r="AV15" s="28">
        <v>10</v>
      </c>
      <c r="AW15" s="19">
        <f t="shared" si="13"/>
        <v>1</v>
      </c>
      <c r="AX15" s="636">
        <f>+S15+V15+Y15+AB15+AG15+AJ15+AM15+AP15+AS15+AV15</f>
        <v>367</v>
      </c>
      <c r="AY15" s="19">
        <f>+AX15/G15</f>
        <v>0.7196078431372549</v>
      </c>
    </row>
    <row r="16" spans="1:52" ht="61.5" thickTop="1" thickBot="1">
      <c r="A16" s="2846"/>
      <c r="B16" s="2924"/>
      <c r="C16" s="561" t="s">
        <v>113</v>
      </c>
      <c r="D16" s="623" t="s">
        <v>114</v>
      </c>
      <c r="E16" s="561" t="s">
        <v>374</v>
      </c>
      <c r="F16" s="561" t="s">
        <v>10</v>
      </c>
      <c r="G16" s="48">
        <v>1</v>
      </c>
      <c r="H16" s="85"/>
      <c r="I16" s="674"/>
      <c r="J16" s="85"/>
      <c r="K16" s="561" t="s">
        <v>20</v>
      </c>
      <c r="L16" s="684">
        <v>0</v>
      </c>
      <c r="M16" s="685"/>
      <c r="N16" s="19" t="e">
        <f t="shared" si="0"/>
        <v>#DIV/0!</v>
      </c>
      <c r="O16" s="684">
        <v>0</v>
      </c>
      <c r="P16" s="685"/>
      <c r="Q16" s="19" t="e">
        <f t="shared" si="1"/>
        <v>#DIV/0!</v>
      </c>
      <c r="R16" s="684">
        <v>0.25</v>
      </c>
      <c r="S16" s="685"/>
      <c r="T16" s="19">
        <f t="shared" si="2"/>
        <v>0</v>
      </c>
      <c r="U16" s="684">
        <v>0</v>
      </c>
      <c r="V16" s="685"/>
      <c r="W16" s="19" t="e">
        <f t="shared" si="3"/>
        <v>#DIV/0!</v>
      </c>
      <c r="X16" s="684">
        <v>0</v>
      </c>
      <c r="Y16" s="685"/>
      <c r="Z16" s="19" t="e">
        <f t="shared" si="4"/>
        <v>#DIV/0!</v>
      </c>
      <c r="AA16" s="684">
        <v>0.25</v>
      </c>
      <c r="AB16" s="685"/>
      <c r="AC16" s="19">
        <f t="shared" si="5"/>
        <v>0</v>
      </c>
      <c r="AD16" s="686">
        <f>+S16+AB16</f>
        <v>0</v>
      </c>
      <c r="AE16" s="19">
        <f t="shared" si="7"/>
        <v>0</v>
      </c>
      <c r="AF16" s="684">
        <v>0</v>
      </c>
      <c r="AG16" s="685"/>
      <c r="AH16" s="19" t="e">
        <f t="shared" si="8"/>
        <v>#DIV/0!</v>
      </c>
      <c r="AI16" s="684">
        <v>0</v>
      </c>
      <c r="AJ16" s="685"/>
      <c r="AK16" s="19" t="e">
        <f t="shared" si="9"/>
        <v>#DIV/0!</v>
      </c>
      <c r="AL16" s="684">
        <v>0.25</v>
      </c>
      <c r="AM16" s="685">
        <v>0.5</v>
      </c>
      <c r="AN16" s="19">
        <f t="shared" si="10"/>
        <v>2</v>
      </c>
      <c r="AO16" s="684">
        <v>0</v>
      </c>
      <c r="AP16" s="685"/>
      <c r="AQ16" s="19" t="e">
        <f t="shared" si="11"/>
        <v>#DIV/0!</v>
      </c>
      <c r="AR16" s="684">
        <v>0</v>
      </c>
      <c r="AS16" s="685"/>
      <c r="AT16" s="19" t="e">
        <f t="shared" si="12"/>
        <v>#DIV/0!</v>
      </c>
      <c r="AU16" s="684">
        <v>0.25</v>
      </c>
      <c r="AV16" s="685">
        <v>0.5</v>
      </c>
      <c r="AW16" s="19">
        <f t="shared" si="13"/>
        <v>2</v>
      </c>
      <c r="AX16" s="687">
        <f>+S16+AB16+AM16+AV16</f>
        <v>1</v>
      </c>
      <c r="AY16" s="19">
        <f t="shared" si="15"/>
        <v>1</v>
      </c>
    </row>
    <row r="17" spans="1:51" ht="46.5" thickTop="1" thickBot="1">
      <c r="A17" s="2846"/>
      <c r="B17" s="2924"/>
      <c r="C17" s="25" t="s">
        <v>375</v>
      </c>
      <c r="D17" s="627" t="s">
        <v>116</v>
      </c>
      <c r="E17" s="25" t="s">
        <v>117</v>
      </c>
      <c r="F17" s="25" t="s">
        <v>17</v>
      </c>
      <c r="G17" s="688">
        <v>9006</v>
      </c>
      <c r="H17" s="98"/>
      <c r="I17" s="671"/>
      <c r="J17" s="98"/>
      <c r="K17" s="25" t="s">
        <v>118</v>
      </c>
      <c r="L17" s="665"/>
      <c r="M17" s="28"/>
      <c r="N17" s="19" t="e">
        <f t="shared" si="0"/>
        <v>#DIV/0!</v>
      </c>
      <c r="O17" s="665"/>
      <c r="P17" s="28"/>
      <c r="Q17" s="19" t="e">
        <f t="shared" si="1"/>
        <v>#DIV/0!</v>
      </c>
      <c r="R17" s="665">
        <v>1711</v>
      </c>
      <c r="S17" s="28"/>
      <c r="T17" s="19">
        <f t="shared" si="2"/>
        <v>0</v>
      </c>
      <c r="U17" s="665">
        <v>1390</v>
      </c>
      <c r="V17" s="28"/>
      <c r="W17" s="19">
        <f t="shared" si="3"/>
        <v>0</v>
      </c>
      <c r="X17" s="665">
        <v>404</v>
      </c>
      <c r="Y17" s="28"/>
      <c r="Z17" s="19">
        <f t="shared" si="4"/>
        <v>0</v>
      </c>
      <c r="AA17" s="665">
        <v>454</v>
      </c>
      <c r="AB17" s="28"/>
      <c r="AC17" s="19">
        <f t="shared" si="5"/>
        <v>0</v>
      </c>
      <c r="AD17" s="29">
        <f>+S17+V17+Y17+AB17</f>
        <v>0</v>
      </c>
      <c r="AE17" s="19">
        <f t="shared" si="7"/>
        <v>0</v>
      </c>
      <c r="AF17" s="665">
        <v>837</v>
      </c>
      <c r="AG17" s="28"/>
      <c r="AH17" s="19">
        <f t="shared" si="8"/>
        <v>0</v>
      </c>
      <c r="AI17" s="665">
        <v>1279</v>
      </c>
      <c r="AJ17" s="28"/>
      <c r="AK17" s="19">
        <f t="shared" si="9"/>
        <v>0</v>
      </c>
      <c r="AL17" s="665">
        <v>1736</v>
      </c>
      <c r="AM17" s="28"/>
      <c r="AN17" s="19">
        <f t="shared" si="10"/>
        <v>0</v>
      </c>
      <c r="AO17" s="665">
        <v>678</v>
      </c>
      <c r="AP17" s="28">
        <v>4873</v>
      </c>
      <c r="AQ17" s="19">
        <f t="shared" si="11"/>
        <v>7.1873156342182893</v>
      </c>
      <c r="AR17" s="665">
        <v>466</v>
      </c>
      <c r="AS17" s="28">
        <v>5098</v>
      </c>
      <c r="AT17" s="19">
        <f t="shared" si="12"/>
        <v>10.939914163090128</v>
      </c>
      <c r="AU17" s="665">
        <v>51</v>
      </c>
      <c r="AV17" s="28">
        <v>415</v>
      </c>
      <c r="AW17" s="19">
        <f t="shared" si="13"/>
        <v>8.1372549019607838</v>
      </c>
      <c r="AX17" s="636">
        <f>+S17+V17+Y17+AB17+AG17+AJ17+AM17+AP17+AS17+AV17</f>
        <v>10386</v>
      </c>
      <c r="AY17" s="19">
        <f t="shared" si="15"/>
        <v>1.1532311792138574</v>
      </c>
    </row>
    <row r="18" spans="1:51" ht="61.5" thickTop="1" thickBot="1">
      <c r="A18" s="2846"/>
      <c r="B18" s="2924"/>
      <c r="C18" s="2928" t="s">
        <v>119</v>
      </c>
      <c r="D18" s="623" t="s">
        <v>120</v>
      </c>
      <c r="E18" s="561" t="s">
        <v>121</v>
      </c>
      <c r="F18" s="561" t="s">
        <v>10</v>
      </c>
      <c r="G18" s="561">
        <v>64.099999999999994</v>
      </c>
      <c r="H18" s="85"/>
      <c r="I18" s="674"/>
      <c r="J18" s="85"/>
      <c r="K18" s="561" t="s">
        <v>7</v>
      </c>
      <c r="L18" s="684">
        <v>0</v>
      </c>
      <c r="M18" s="685"/>
      <c r="N18" s="19" t="e">
        <f t="shared" si="0"/>
        <v>#DIV/0!</v>
      </c>
      <c r="O18" s="684">
        <v>0</v>
      </c>
      <c r="P18" s="685"/>
      <c r="Q18" s="19" t="e">
        <f t="shared" si="1"/>
        <v>#DIV/0!</v>
      </c>
      <c r="R18" s="684">
        <v>0</v>
      </c>
      <c r="S18" s="685"/>
      <c r="T18" s="19" t="e">
        <f t="shared" si="2"/>
        <v>#DIV/0!</v>
      </c>
      <c r="U18" s="684">
        <v>0</v>
      </c>
      <c r="V18" s="685"/>
      <c r="W18" s="19" t="e">
        <f t="shared" si="3"/>
        <v>#DIV/0!</v>
      </c>
      <c r="X18" s="684">
        <v>0</v>
      </c>
      <c r="Y18" s="685"/>
      <c r="Z18" s="19" t="e">
        <f t="shared" si="4"/>
        <v>#DIV/0!</v>
      </c>
      <c r="AA18" s="684">
        <v>0</v>
      </c>
      <c r="AB18" s="685"/>
      <c r="AC18" s="19" t="e">
        <f t="shared" si="5"/>
        <v>#DIV/0!</v>
      </c>
      <c r="AD18" s="686">
        <f t="shared" si="6"/>
        <v>0</v>
      </c>
      <c r="AE18" s="19">
        <f t="shared" si="7"/>
        <v>0</v>
      </c>
      <c r="AF18" s="684">
        <v>0</v>
      </c>
      <c r="AG18" s="685"/>
      <c r="AH18" s="19" t="e">
        <f t="shared" si="8"/>
        <v>#DIV/0!</v>
      </c>
      <c r="AI18" s="684">
        <v>0</v>
      </c>
      <c r="AJ18" s="685"/>
      <c r="AK18" s="19" t="e">
        <f t="shared" si="9"/>
        <v>#DIV/0!</v>
      </c>
      <c r="AL18" s="684">
        <v>0</v>
      </c>
      <c r="AM18" s="685"/>
      <c r="AN18" s="19" t="e">
        <f t="shared" si="10"/>
        <v>#DIV/0!</v>
      </c>
      <c r="AO18" s="684">
        <v>0</v>
      </c>
      <c r="AP18" s="685">
        <v>1</v>
      </c>
      <c r="AQ18" s="19" t="e">
        <f t="shared" si="11"/>
        <v>#DIV/0!</v>
      </c>
      <c r="AR18" s="684">
        <v>0</v>
      </c>
      <c r="AS18" s="685">
        <v>1</v>
      </c>
      <c r="AT18" s="19" t="e">
        <f t="shared" si="12"/>
        <v>#DIV/0!</v>
      </c>
      <c r="AU18" s="684">
        <v>0.64100000000000001</v>
      </c>
      <c r="AV18" s="685">
        <v>0.75</v>
      </c>
      <c r="AW18" s="19">
        <f t="shared" si="13"/>
        <v>1.1700468018720749</v>
      </c>
      <c r="AX18" s="653">
        <f>+AV18</f>
        <v>0.75</v>
      </c>
      <c r="AY18" s="19">
        <f>+AX18/G18*100</f>
        <v>1.1700468018720749</v>
      </c>
    </row>
    <row r="19" spans="1:51" ht="61.5" thickTop="1" thickBot="1">
      <c r="A19" s="2846"/>
      <c r="B19" s="2924"/>
      <c r="C19" s="2929"/>
      <c r="D19" s="627" t="s">
        <v>122</v>
      </c>
      <c r="E19" s="25" t="s">
        <v>123</v>
      </c>
      <c r="F19" s="25" t="s">
        <v>10</v>
      </c>
      <c r="G19" s="43">
        <v>1</v>
      </c>
      <c r="H19" s="98"/>
      <c r="I19" s="671"/>
      <c r="J19" s="98"/>
      <c r="K19" s="25" t="s">
        <v>7</v>
      </c>
      <c r="L19" s="655">
        <v>0</v>
      </c>
      <c r="M19" s="45"/>
      <c r="N19" s="19" t="e">
        <f t="shared" si="0"/>
        <v>#DIV/0!</v>
      </c>
      <c r="O19" s="655">
        <v>0</v>
      </c>
      <c r="P19" s="45"/>
      <c r="Q19" s="19" t="e">
        <f t="shared" si="1"/>
        <v>#DIV/0!</v>
      </c>
      <c r="R19" s="655">
        <v>0</v>
      </c>
      <c r="S19" s="45"/>
      <c r="T19" s="19" t="e">
        <f t="shared" si="2"/>
        <v>#DIV/0!</v>
      </c>
      <c r="U19" s="655">
        <v>1</v>
      </c>
      <c r="V19" s="45">
        <v>1</v>
      </c>
      <c r="W19" s="19">
        <f t="shared" si="3"/>
        <v>1</v>
      </c>
      <c r="X19" s="655">
        <v>0</v>
      </c>
      <c r="Y19" s="45"/>
      <c r="Z19" s="19" t="e">
        <f t="shared" si="4"/>
        <v>#DIV/0!</v>
      </c>
      <c r="AA19" s="655">
        <v>0</v>
      </c>
      <c r="AB19" s="45"/>
      <c r="AC19" s="19" t="e">
        <f t="shared" si="5"/>
        <v>#DIV/0!</v>
      </c>
      <c r="AD19" s="44">
        <f>(V19)</f>
        <v>1</v>
      </c>
      <c r="AE19" s="19">
        <f t="shared" si="7"/>
        <v>1</v>
      </c>
      <c r="AF19" s="655">
        <v>0</v>
      </c>
      <c r="AG19" s="45"/>
      <c r="AH19" s="19" t="e">
        <f t="shared" si="8"/>
        <v>#DIV/0!</v>
      </c>
      <c r="AI19" s="655">
        <v>0</v>
      </c>
      <c r="AJ19" s="45"/>
      <c r="AK19" s="19" t="e">
        <f t="shared" si="9"/>
        <v>#DIV/0!</v>
      </c>
      <c r="AL19" s="655">
        <v>0</v>
      </c>
      <c r="AM19" s="45"/>
      <c r="AN19" s="19" t="e">
        <f t="shared" si="10"/>
        <v>#DIV/0!</v>
      </c>
      <c r="AO19" s="655">
        <v>1</v>
      </c>
      <c r="AP19" s="45">
        <v>1</v>
      </c>
      <c r="AQ19" s="19">
        <f t="shared" si="11"/>
        <v>1</v>
      </c>
      <c r="AR19" s="655">
        <v>0</v>
      </c>
      <c r="AS19" s="45"/>
      <c r="AT19" s="19" t="e">
        <f t="shared" si="12"/>
        <v>#DIV/0!</v>
      </c>
      <c r="AU19" s="655">
        <v>0</v>
      </c>
      <c r="AV19" s="45"/>
      <c r="AW19" s="19" t="e">
        <f t="shared" si="13"/>
        <v>#DIV/0!</v>
      </c>
      <c r="AX19" s="655">
        <f>+(AD19+AP19)/2</f>
        <v>1</v>
      </c>
      <c r="AY19" s="19">
        <f t="shared" si="15"/>
        <v>1</v>
      </c>
    </row>
    <row r="20" spans="1:51" ht="61.5" thickTop="1" thickBot="1">
      <c r="A20" s="2846"/>
      <c r="B20" s="2924"/>
      <c r="C20" s="2929"/>
      <c r="D20" s="678" t="s">
        <v>124</v>
      </c>
      <c r="E20" s="561" t="s">
        <v>125</v>
      </c>
      <c r="F20" s="561" t="s">
        <v>10</v>
      </c>
      <c r="G20" s="48">
        <v>1</v>
      </c>
      <c r="H20" s="85"/>
      <c r="I20" s="674"/>
      <c r="J20" s="85"/>
      <c r="K20" s="561" t="s">
        <v>7</v>
      </c>
      <c r="L20" s="653">
        <v>0</v>
      </c>
      <c r="M20" s="50"/>
      <c r="N20" s="19" t="e">
        <f t="shared" si="0"/>
        <v>#DIV/0!</v>
      </c>
      <c r="O20" s="653">
        <v>0</v>
      </c>
      <c r="P20" s="50"/>
      <c r="Q20" s="19" t="e">
        <f t="shared" si="1"/>
        <v>#DIV/0!</v>
      </c>
      <c r="R20" s="653">
        <v>1</v>
      </c>
      <c r="S20" s="50">
        <v>1</v>
      </c>
      <c r="T20" s="19">
        <f t="shared" si="2"/>
        <v>1</v>
      </c>
      <c r="U20" s="653">
        <v>0</v>
      </c>
      <c r="V20" s="50"/>
      <c r="W20" s="19" t="e">
        <f t="shared" si="3"/>
        <v>#DIV/0!</v>
      </c>
      <c r="X20" s="653">
        <v>0</v>
      </c>
      <c r="Y20" s="50"/>
      <c r="Z20" s="19" t="e">
        <f t="shared" si="4"/>
        <v>#DIV/0!</v>
      </c>
      <c r="AA20" s="653">
        <v>0</v>
      </c>
      <c r="AB20" s="50"/>
      <c r="AC20" s="19" t="e">
        <f t="shared" si="5"/>
        <v>#DIV/0!</v>
      </c>
      <c r="AD20" s="49">
        <f>(S20+AB20)/2</f>
        <v>0.5</v>
      </c>
      <c r="AE20" s="19">
        <f t="shared" si="7"/>
        <v>0.5</v>
      </c>
      <c r="AF20" s="653">
        <v>0</v>
      </c>
      <c r="AG20" s="50"/>
      <c r="AH20" s="19" t="e">
        <f t="shared" si="8"/>
        <v>#DIV/0!</v>
      </c>
      <c r="AI20" s="653">
        <v>0</v>
      </c>
      <c r="AJ20" s="50"/>
      <c r="AK20" s="19" t="e">
        <f t="shared" si="9"/>
        <v>#DIV/0!</v>
      </c>
      <c r="AL20" s="653">
        <v>1</v>
      </c>
      <c r="AM20" s="50">
        <v>1</v>
      </c>
      <c r="AN20" s="19">
        <f t="shared" si="10"/>
        <v>1</v>
      </c>
      <c r="AO20" s="653">
        <v>0</v>
      </c>
      <c r="AP20" s="50"/>
      <c r="AQ20" s="19" t="e">
        <f t="shared" si="11"/>
        <v>#DIV/0!</v>
      </c>
      <c r="AR20" s="653">
        <v>0</v>
      </c>
      <c r="AS20" s="50"/>
      <c r="AT20" s="19" t="e">
        <f t="shared" si="12"/>
        <v>#DIV/0!</v>
      </c>
      <c r="AU20" s="653">
        <v>1</v>
      </c>
      <c r="AV20" s="50">
        <v>1</v>
      </c>
      <c r="AW20" s="19">
        <f t="shared" si="13"/>
        <v>1</v>
      </c>
      <c r="AX20" s="655">
        <f>(AM20+S20)/2</f>
        <v>1</v>
      </c>
      <c r="AY20" s="19">
        <f t="shared" si="15"/>
        <v>1</v>
      </c>
    </row>
    <row r="21" spans="1:51" ht="46.5" thickTop="1" thickBot="1">
      <c r="A21" s="2846"/>
      <c r="B21" s="2924"/>
      <c r="C21" s="2929"/>
      <c r="D21" s="627" t="s">
        <v>126</v>
      </c>
      <c r="E21" s="25" t="s">
        <v>127</v>
      </c>
      <c r="F21" s="25" t="s">
        <v>10</v>
      </c>
      <c r="G21" s="43">
        <v>0.6</v>
      </c>
      <c r="H21" s="98"/>
      <c r="I21" s="671"/>
      <c r="J21" s="98"/>
      <c r="K21" s="25" t="s">
        <v>7</v>
      </c>
      <c r="L21" s="655">
        <v>0.6</v>
      </c>
      <c r="M21" s="45">
        <v>0.6</v>
      </c>
      <c r="N21" s="19">
        <f t="shared" si="0"/>
        <v>1</v>
      </c>
      <c r="O21" s="655">
        <v>0.6</v>
      </c>
      <c r="P21" s="45">
        <v>0.6</v>
      </c>
      <c r="Q21" s="19">
        <f t="shared" si="1"/>
        <v>1</v>
      </c>
      <c r="R21" s="655">
        <v>0.6</v>
      </c>
      <c r="S21" s="45">
        <v>0.6</v>
      </c>
      <c r="T21" s="19">
        <f t="shared" si="2"/>
        <v>1</v>
      </c>
      <c r="U21" s="655">
        <v>0.6</v>
      </c>
      <c r="V21" s="45">
        <v>0.6</v>
      </c>
      <c r="W21" s="19">
        <f t="shared" si="3"/>
        <v>1</v>
      </c>
      <c r="X21" s="655">
        <v>0.6</v>
      </c>
      <c r="Y21" s="45">
        <v>0.6</v>
      </c>
      <c r="Z21" s="19">
        <f t="shared" si="4"/>
        <v>1</v>
      </c>
      <c r="AA21" s="655">
        <v>0.6</v>
      </c>
      <c r="AB21" s="45">
        <v>0.6</v>
      </c>
      <c r="AC21" s="19">
        <f t="shared" si="5"/>
        <v>1</v>
      </c>
      <c r="AD21" s="44">
        <f>(M21+P21+S21+V21+Y21+AB21)/6</f>
        <v>0.6</v>
      </c>
      <c r="AE21" s="19">
        <f t="shared" si="7"/>
        <v>1</v>
      </c>
      <c r="AF21" s="655">
        <v>0.6</v>
      </c>
      <c r="AG21" s="45">
        <v>0.6</v>
      </c>
      <c r="AH21" s="19">
        <f t="shared" si="8"/>
        <v>1</v>
      </c>
      <c r="AI21" s="655">
        <v>0.6</v>
      </c>
      <c r="AJ21" s="45">
        <v>0.6</v>
      </c>
      <c r="AK21" s="19">
        <f t="shared" si="9"/>
        <v>1</v>
      </c>
      <c r="AL21" s="655">
        <v>0.6</v>
      </c>
      <c r="AM21" s="45">
        <v>0.6</v>
      </c>
      <c r="AN21" s="19">
        <f t="shared" si="10"/>
        <v>1</v>
      </c>
      <c r="AO21" s="655">
        <v>0.6</v>
      </c>
      <c r="AP21" s="45">
        <v>0.6</v>
      </c>
      <c r="AQ21" s="19">
        <f t="shared" si="11"/>
        <v>1</v>
      </c>
      <c r="AR21" s="655">
        <v>0.6</v>
      </c>
      <c r="AS21" s="45">
        <v>0.6</v>
      </c>
      <c r="AT21" s="19">
        <f t="shared" si="12"/>
        <v>1</v>
      </c>
      <c r="AU21" s="655">
        <v>0.6</v>
      </c>
      <c r="AV21" s="45">
        <v>0.6</v>
      </c>
      <c r="AW21" s="19">
        <f t="shared" si="13"/>
        <v>1</v>
      </c>
      <c r="AX21" s="655">
        <f>(M21+P21+S21+V21+Y21+AB21+AG21+AJ21+AM21+AP21+AS21+AV21)/12</f>
        <v>0.59999999999999987</v>
      </c>
      <c r="AY21" s="19">
        <f t="shared" si="15"/>
        <v>0.99999999999999978</v>
      </c>
    </row>
    <row r="22" spans="1:51" ht="61.5" thickTop="1" thickBot="1">
      <c r="A22" s="2846"/>
      <c r="B22" s="2924"/>
      <c r="C22" s="2929"/>
      <c r="D22" s="678" t="s">
        <v>128</v>
      </c>
      <c r="E22" s="561" t="s">
        <v>129</v>
      </c>
      <c r="F22" s="561" t="s">
        <v>10</v>
      </c>
      <c r="G22" s="48">
        <v>1</v>
      </c>
      <c r="H22" s="85"/>
      <c r="I22" s="674"/>
      <c r="J22" s="85"/>
      <c r="K22" s="561" t="s">
        <v>7</v>
      </c>
      <c r="L22" s="653">
        <v>1</v>
      </c>
      <c r="M22" s="50">
        <v>0</v>
      </c>
      <c r="N22" s="19">
        <f t="shared" si="0"/>
        <v>0</v>
      </c>
      <c r="O22" s="653">
        <v>1</v>
      </c>
      <c r="P22" s="50">
        <v>0</v>
      </c>
      <c r="Q22" s="19">
        <f t="shared" si="1"/>
        <v>0</v>
      </c>
      <c r="R22" s="653">
        <v>1</v>
      </c>
      <c r="S22" s="50">
        <v>0</v>
      </c>
      <c r="T22" s="19">
        <f t="shared" si="2"/>
        <v>0</v>
      </c>
      <c r="U22" s="653">
        <v>1</v>
      </c>
      <c r="V22" s="50">
        <v>1</v>
      </c>
      <c r="W22" s="19">
        <f t="shared" si="3"/>
        <v>1</v>
      </c>
      <c r="X22" s="653">
        <v>1</v>
      </c>
      <c r="Y22" s="50">
        <v>1</v>
      </c>
      <c r="Z22" s="19">
        <f t="shared" si="4"/>
        <v>1</v>
      </c>
      <c r="AA22" s="653">
        <v>1</v>
      </c>
      <c r="AB22" s="50">
        <v>1</v>
      </c>
      <c r="AC22" s="19">
        <f t="shared" si="5"/>
        <v>1</v>
      </c>
      <c r="AD22" s="49">
        <f>(M22+P22+S22+V22+Y22+AB22)/6</f>
        <v>0.5</v>
      </c>
      <c r="AE22" s="19">
        <f t="shared" si="7"/>
        <v>0.5</v>
      </c>
      <c r="AF22" s="653">
        <v>1</v>
      </c>
      <c r="AG22" s="50">
        <v>0</v>
      </c>
      <c r="AH22" s="19">
        <f t="shared" si="8"/>
        <v>0</v>
      </c>
      <c r="AI22" s="653">
        <v>1</v>
      </c>
      <c r="AJ22" s="50">
        <v>0</v>
      </c>
      <c r="AK22" s="19">
        <f t="shared" si="9"/>
        <v>0</v>
      </c>
      <c r="AL22" s="653">
        <v>1</v>
      </c>
      <c r="AM22" s="50">
        <v>0</v>
      </c>
      <c r="AN22" s="19">
        <f t="shared" si="10"/>
        <v>0</v>
      </c>
      <c r="AO22" s="653">
        <v>1</v>
      </c>
      <c r="AP22" s="50">
        <v>1</v>
      </c>
      <c r="AQ22" s="19">
        <f t="shared" si="11"/>
        <v>1</v>
      </c>
      <c r="AR22" s="653">
        <v>1</v>
      </c>
      <c r="AS22" s="50">
        <v>1</v>
      </c>
      <c r="AT22" s="19">
        <f t="shared" si="12"/>
        <v>1</v>
      </c>
      <c r="AU22" s="653">
        <v>1</v>
      </c>
      <c r="AV22" s="50"/>
      <c r="AW22" s="19">
        <f t="shared" si="13"/>
        <v>0</v>
      </c>
      <c r="AX22" s="655">
        <f>(M22+P22+S22+V22+Y22+AB22+AG22+AJ22+AM22+AP22+AS22+AV22)/5</f>
        <v>1</v>
      </c>
      <c r="AY22" s="19">
        <f t="shared" si="15"/>
        <v>1</v>
      </c>
    </row>
    <row r="23" spans="1:51" ht="61.5" thickTop="1" thickBot="1">
      <c r="A23" s="2846"/>
      <c r="B23" s="2924"/>
      <c r="C23" s="2929"/>
      <c r="D23" s="678" t="s">
        <v>130</v>
      </c>
      <c r="E23" s="25" t="s">
        <v>131</v>
      </c>
      <c r="F23" s="25" t="s">
        <v>10</v>
      </c>
      <c r="G23" s="43">
        <v>1</v>
      </c>
      <c r="H23" s="98"/>
      <c r="I23" s="671"/>
      <c r="J23" s="98"/>
      <c r="K23" s="25" t="s">
        <v>7</v>
      </c>
      <c r="L23" s="655">
        <v>1</v>
      </c>
      <c r="M23" s="45"/>
      <c r="N23" s="19">
        <f t="shared" si="0"/>
        <v>0</v>
      </c>
      <c r="O23" s="655">
        <v>1</v>
      </c>
      <c r="P23" s="45"/>
      <c r="Q23" s="19">
        <f t="shared" si="1"/>
        <v>0</v>
      </c>
      <c r="R23" s="655">
        <v>1</v>
      </c>
      <c r="S23" s="45"/>
      <c r="T23" s="19">
        <f t="shared" si="2"/>
        <v>0</v>
      </c>
      <c r="U23" s="655">
        <v>1</v>
      </c>
      <c r="V23" s="45">
        <v>7.4999999999999997E-2</v>
      </c>
      <c r="W23" s="19">
        <f t="shared" si="3"/>
        <v>7.4999999999999997E-2</v>
      </c>
      <c r="X23" s="655">
        <v>1</v>
      </c>
      <c r="Y23" s="45">
        <v>0.25</v>
      </c>
      <c r="Z23" s="19">
        <f t="shared" si="4"/>
        <v>0.25</v>
      </c>
      <c r="AA23" s="655">
        <v>1</v>
      </c>
      <c r="AB23" s="45">
        <v>0.35</v>
      </c>
      <c r="AC23" s="19">
        <f t="shared" si="5"/>
        <v>0.35</v>
      </c>
      <c r="AD23" s="44">
        <f>(M23+P23+S23+V23+Y23+AB23)/6</f>
        <v>0.1125</v>
      </c>
      <c r="AE23" s="19">
        <f t="shared" si="7"/>
        <v>0.1125</v>
      </c>
      <c r="AF23" s="655">
        <v>1</v>
      </c>
      <c r="AG23" s="45">
        <v>0.45</v>
      </c>
      <c r="AH23" s="19">
        <f t="shared" si="8"/>
        <v>0.45</v>
      </c>
      <c r="AI23" s="655">
        <v>1</v>
      </c>
      <c r="AJ23" s="45">
        <v>0.55000000000000004</v>
      </c>
      <c r="AK23" s="19">
        <f t="shared" si="9"/>
        <v>0.55000000000000004</v>
      </c>
      <c r="AL23" s="655">
        <v>1</v>
      </c>
      <c r="AM23" s="45">
        <v>0.6</v>
      </c>
      <c r="AN23" s="19">
        <f t="shared" si="10"/>
        <v>0.6</v>
      </c>
      <c r="AO23" s="655">
        <v>1</v>
      </c>
      <c r="AP23" s="45">
        <v>0.7</v>
      </c>
      <c r="AQ23" s="19">
        <f t="shared" si="11"/>
        <v>0.7</v>
      </c>
      <c r="AR23" s="655">
        <v>1</v>
      </c>
      <c r="AS23" s="45">
        <v>1</v>
      </c>
      <c r="AT23" s="19">
        <f t="shared" si="12"/>
        <v>1</v>
      </c>
      <c r="AU23" s="655">
        <v>1</v>
      </c>
      <c r="AV23" s="45">
        <v>1.1000000000000001</v>
      </c>
      <c r="AW23" s="19">
        <f t="shared" si="13"/>
        <v>1.1000000000000001</v>
      </c>
      <c r="AX23" s="655">
        <f>AV23</f>
        <v>1.1000000000000001</v>
      </c>
      <c r="AY23" s="19">
        <f t="shared" si="15"/>
        <v>1.1000000000000001</v>
      </c>
    </row>
    <row r="24" spans="1:51" ht="61.5" thickTop="1" thickBot="1">
      <c r="A24" s="2846"/>
      <c r="B24" s="2924"/>
      <c r="C24" s="2930"/>
      <c r="D24" s="678" t="s">
        <v>132</v>
      </c>
      <c r="E24" s="561" t="s">
        <v>133</v>
      </c>
      <c r="F24" s="561" t="s">
        <v>10</v>
      </c>
      <c r="G24" s="48">
        <v>1</v>
      </c>
      <c r="H24" s="85"/>
      <c r="I24" s="674"/>
      <c r="J24" s="85"/>
      <c r="K24" s="561" t="s">
        <v>7</v>
      </c>
      <c r="L24" s="653">
        <v>0</v>
      </c>
      <c r="M24" s="50"/>
      <c r="N24" s="19" t="e">
        <f t="shared" si="0"/>
        <v>#DIV/0!</v>
      </c>
      <c r="O24" s="653">
        <v>0</v>
      </c>
      <c r="P24" s="50"/>
      <c r="Q24" s="19" t="e">
        <f t="shared" si="1"/>
        <v>#DIV/0!</v>
      </c>
      <c r="R24" s="653">
        <v>0</v>
      </c>
      <c r="S24" s="50"/>
      <c r="T24" s="19" t="e">
        <f t="shared" si="2"/>
        <v>#DIV/0!</v>
      </c>
      <c r="U24" s="653">
        <v>0</v>
      </c>
      <c r="V24" s="50"/>
      <c r="W24" s="19" t="e">
        <f t="shared" si="3"/>
        <v>#DIV/0!</v>
      </c>
      <c r="X24" s="653">
        <v>0</v>
      </c>
      <c r="Y24" s="50"/>
      <c r="Z24" s="19" t="e">
        <f t="shared" si="4"/>
        <v>#DIV/0!</v>
      </c>
      <c r="AA24" s="653">
        <v>1</v>
      </c>
      <c r="AB24" s="50">
        <v>1.5</v>
      </c>
      <c r="AC24" s="19">
        <f t="shared" si="5"/>
        <v>1.5</v>
      </c>
      <c r="AD24" s="49">
        <f t="shared" si="6"/>
        <v>1.5</v>
      </c>
      <c r="AE24" s="19">
        <f t="shared" si="7"/>
        <v>1.5</v>
      </c>
      <c r="AF24" s="653">
        <v>0</v>
      </c>
      <c r="AG24" s="50"/>
      <c r="AH24" s="19" t="e">
        <f t="shared" si="8"/>
        <v>#DIV/0!</v>
      </c>
      <c r="AI24" s="653">
        <v>0</v>
      </c>
      <c r="AJ24" s="50"/>
      <c r="AK24" s="19" t="e">
        <f t="shared" si="9"/>
        <v>#DIV/0!</v>
      </c>
      <c r="AL24" s="653">
        <v>0</v>
      </c>
      <c r="AM24" s="50"/>
      <c r="AN24" s="19" t="e">
        <f t="shared" si="10"/>
        <v>#DIV/0!</v>
      </c>
      <c r="AO24" s="653">
        <v>0</v>
      </c>
      <c r="AP24" s="50"/>
      <c r="AQ24" s="19" t="e">
        <f t="shared" si="11"/>
        <v>#DIV/0!</v>
      </c>
      <c r="AR24" s="653">
        <v>0</v>
      </c>
      <c r="AS24" s="50"/>
      <c r="AT24" s="19" t="e">
        <f t="shared" si="12"/>
        <v>#DIV/0!</v>
      </c>
      <c r="AU24" s="653">
        <v>0</v>
      </c>
      <c r="AV24" s="50"/>
      <c r="AW24" s="19" t="e">
        <f t="shared" si="13"/>
        <v>#DIV/0!</v>
      </c>
      <c r="AX24" s="655">
        <f>AB24</f>
        <v>1.5</v>
      </c>
      <c r="AY24" s="19">
        <f t="shared" si="15"/>
        <v>1.5</v>
      </c>
    </row>
    <row r="25" spans="1:51" ht="22.5" thickTop="1" thickBot="1">
      <c r="A25" s="2857" t="s">
        <v>141</v>
      </c>
      <c r="B25" s="2858"/>
      <c r="C25" s="2858"/>
      <c r="D25" s="2858"/>
      <c r="E25" s="2858"/>
      <c r="F25" s="2858"/>
      <c r="G25" s="2858"/>
      <c r="H25" s="2858"/>
      <c r="I25" s="2858"/>
      <c r="J25" s="2858"/>
      <c r="K25" s="2859"/>
      <c r="L25" s="55"/>
      <c r="M25" s="56"/>
      <c r="N25" s="657"/>
      <c r="O25" s="55"/>
      <c r="P25" s="56"/>
      <c r="Q25" s="657"/>
      <c r="R25" s="55"/>
      <c r="S25" s="56"/>
      <c r="T25" s="657"/>
      <c r="U25" s="55"/>
      <c r="V25" s="56"/>
      <c r="W25" s="657"/>
      <c r="X25" s="55"/>
      <c r="Y25" s="56"/>
      <c r="Z25" s="657"/>
      <c r="AA25" s="55"/>
      <c r="AB25" s="56"/>
      <c r="AC25" s="657"/>
      <c r="AD25" s="55"/>
      <c r="AE25" s="657"/>
      <c r="AF25" s="55"/>
      <c r="AG25" s="56"/>
      <c r="AH25" s="657"/>
      <c r="AI25" s="55"/>
      <c r="AJ25" s="56"/>
      <c r="AK25" s="657"/>
      <c r="AL25" s="55"/>
      <c r="AM25" s="56"/>
      <c r="AN25" s="657"/>
      <c r="AO25" s="55"/>
      <c r="AP25" s="56"/>
      <c r="AQ25" s="657"/>
      <c r="AR25" s="55"/>
      <c r="AS25" s="56"/>
      <c r="AT25" s="657"/>
      <c r="AU25" s="55"/>
      <c r="AV25" s="56"/>
      <c r="AW25" s="657"/>
      <c r="AX25" s="657"/>
      <c r="AY25" s="657"/>
    </row>
    <row r="26" spans="1:51" ht="106.5" thickTop="1" thickBot="1">
      <c r="A26" s="2906" t="s">
        <v>376</v>
      </c>
      <c r="B26" s="2863" t="s">
        <v>143</v>
      </c>
      <c r="C26" s="2788" t="s">
        <v>377</v>
      </c>
      <c r="D26" s="689" t="s">
        <v>144</v>
      </c>
      <c r="E26" s="418" t="s">
        <v>145</v>
      </c>
      <c r="F26" s="418" t="s">
        <v>17</v>
      </c>
      <c r="G26" s="690">
        <v>450</v>
      </c>
      <c r="H26" s="691"/>
      <c r="I26" s="692"/>
      <c r="J26" s="691"/>
      <c r="K26" s="418" t="s">
        <v>146</v>
      </c>
      <c r="L26" s="665">
        <v>0</v>
      </c>
      <c r="M26" s="28"/>
      <c r="N26" s="19" t="e">
        <f t="shared" si="0"/>
        <v>#DIV/0!</v>
      </c>
      <c r="O26" s="665"/>
      <c r="P26" s="28"/>
      <c r="Q26" s="19" t="e">
        <f t="shared" si="1"/>
        <v>#DIV/0!</v>
      </c>
      <c r="R26" s="665">
        <v>0</v>
      </c>
      <c r="S26" s="28"/>
      <c r="T26" s="19" t="e">
        <f t="shared" si="2"/>
        <v>#DIV/0!</v>
      </c>
      <c r="U26" s="665">
        <v>90</v>
      </c>
      <c r="V26" s="28">
        <v>67</v>
      </c>
      <c r="W26" s="19">
        <f t="shared" si="3"/>
        <v>0.74444444444444446</v>
      </c>
      <c r="X26" s="665">
        <v>0</v>
      </c>
      <c r="Y26" s="28"/>
      <c r="Z26" s="19" t="e">
        <f t="shared" si="4"/>
        <v>#DIV/0!</v>
      </c>
      <c r="AA26" s="665"/>
      <c r="AB26" s="28"/>
      <c r="AC26" s="19" t="e">
        <f t="shared" si="5"/>
        <v>#DIV/0!</v>
      </c>
      <c r="AD26" s="29">
        <f t="shared" si="6"/>
        <v>67</v>
      </c>
      <c r="AE26" s="19">
        <f t="shared" si="7"/>
        <v>0.14888888888888888</v>
      </c>
      <c r="AF26" s="665"/>
      <c r="AG26" s="28"/>
      <c r="AH26" s="19" t="e">
        <f t="shared" si="8"/>
        <v>#DIV/0!</v>
      </c>
      <c r="AI26" s="665">
        <v>135</v>
      </c>
      <c r="AJ26" s="28">
        <v>332</v>
      </c>
      <c r="AK26" s="19">
        <f t="shared" si="9"/>
        <v>2.4592592592592593</v>
      </c>
      <c r="AL26" s="665"/>
      <c r="AM26" s="28"/>
      <c r="AN26" s="19" t="e">
        <f t="shared" si="10"/>
        <v>#DIV/0!</v>
      </c>
      <c r="AO26" s="665">
        <v>0</v>
      </c>
      <c r="AP26" s="28"/>
      <c r="AQ26" s="19" t="e">
        <f t="shared" si="11"/>
        <v>#DIV/0!</v>
      </c>
      <c r="AR26" s="665">
        <v>0</v>
      </c>
      <c r="AS26" s="28"/>
      <c r="AT26" s="19" t="e">
        <f t="shared" si="12"/>
        <v>#DIV/0!</v>
      </c>
      <c r="AU26" s="665">
        <v>225</v>
      </c>
      <c r="AV26" s="28">
        <v>277</v>
      </c>
      <c r="AW26" s="19">
        <f t="shared" si="13"/>
        <v>1.231111111111111</v>
      </c>
      <c r="AX26" s="665">
        <f t="shared" si="14"/>
        <v>676</v>
      </c>
      <c r="AY26" s="19">
        <f t="shared" si="15"/>
        <v>1.5022222222222221</v>
      </c>
    </row>
    <row r="27" spans="1:51" ht="61.5" thickTop="1" thickBot="1">
      <c r="A27" s="2906"/>
      <c r="B27" s="2864"/>
      <c r="C27" s="2787" t="s">
        <v>378</v>
      </c>
      <c r="D27" s="666" t="s">
        <v>148</v>
      </c>
      <c r="E27" s="371" t="s">
        <v>149</v>
      </c>
      <c r="F27" s="371" t="s">
        <v>8</v>
      </c>
      <c r="G27" s="57">
        <v>10.199999999999999</v>
      </c>
      <c r="H27" s="693"/>
      <c r="I27" s="694"/>
      <c r="J27" s="693"/>
      <c r="K27" s="371" t="s">
        <v>9</v>
      </c>
      <c r="L27" s="625">
        <v>10.199999999999999</v>
      </c>
      <c r="M27" s="59">
        <v>9.6</v>
      </c>
      <c r="N27" s="19">
        <f>+L27/M27</f>
        <v>1.0625</v>
      </c>
      <c r="O27" s="625">
        <v>10.199999999999999</v>
      </c>
      <c r="P27" s="59">
        <v>9</v>
      </c>
      <c r="Q27" s="19">
        <f>+O27/P27</f>
        <v>1.1333333333333333</v>
      </c>
      <c r="R27" s="625">
        <v>10.199999999999999</v>
      </c>
      <c r="S27" s="59">
        <v>8.6</v>
      </c>
      <c r="T27" s="19">
        <f>+R27/S27</f>
        <v>1.1860465116279069</v>
      </c>
      <c r="U27" s="625">
        <v>10.199999999999999</v>
      </c>
      <c r="V27" s="59"/>
      <c r="W27" s="19" t="e">
        <f>+U27/V27</f>
        <v>#DIV/0!</v>
      </c>
      <c r="X27" s="625">
        <v>10.199999999999999</v>
      </c>
      <c r="Y27" s="59"/>
      <c r="Z27" s="19" t="e">
        <f>+X27/Y27</f>
        <v>#DIV/0!</v>
      </c>
      <c r="AA27" s="625">
        <v>10.199999999999999</v>
      </c>
      <c r="AB27" s="59">
        <v>10.5</v>
      </c>
      <c r="AC27" s="19">
        <f>+AA27/AB27</f>
        <v>0.97142857142857131</v>
      </c>
      <c r="AD27" s="60">
        <f>(M27+P27+S27+V27+Y27+AB27)/6</f>
        <v>6.2833333333333341</v>
      </c>
      <c r="AE27" s="19">
        <f>+G27/AD27</f>
        <v>1.6233421750663126</v>
      </c>
      <c r="AF27" s="625">
        <v>10.199999999999999</v>
      </c>
      <c r="AG27" s="59">
        <v>8.9</v>
      </c>
      <c r="AH27" s="19">
        <f>+AF27/AG27</f>
        <v>1.146067415730337</v>
      </c>
      <c r="AI27" s="625">
        <v>10.199999999999999</v>
      </c>
      <c r="AJ27" s="59"/>
      <c r="AK27" s="19" t="e">
        <f>+AI27/AJ27</f>
        <v>#DIV/0!</v>
      </c>
      <c r="AL27" s="625">
        <v>10.199999999999999</v>
      </c>
      <c r="AM27" s="59">
        <v>6.93</v>
      </c>
      <c r="AN27" s="19">
        <f>+AL27/AM27</f>
        <v>1.4718614718614718</v>
      </c>
      <c r="AO27" s="625">
        <v>10.199999999999999</v>
      </c>
      <c r="AP27" s="59">
        <v>6.5</v>
      </c>
      <c r="AQ27" s="19">
        <f>+AO27/AP27</f>
        <v>1.5692307692307692</v>
      </c>
      <c r="AR27" s="625">
        <v>10.199999999999999</v>
      </c>
      <c r="AS27" s="59">
        <v>10.57</v>
      </c>
      <c r="AT27" s="19">
        <f>+AR27/AS27</f>
        <v>0.96499526963103111</v>
      </c>
      <c r="AU27" s="625">
        <v>10.199999999999999</v>
      </c>
      <c r="AV27" s="59">
        <v>10.199999999999999</v>
      </c>
      <c r="AW27" s="19">
        <f>+AU27/AV27</f>
        <v>1</v>
      </c>
      <c r="AX27" s="625">
        <f>(M27+P27+S27+V27+Y27+AB27+AG27+AJ27+AM27+AP27+AS27+AV27)/12</f>
        <v>6.7333333333333334</v>
      </c>
      <c r="AY27" s="19">
        <f>+G27/AX27</f>
        <v>1.5148514851485146</v>
      </c>
    </row>
    <row r="28" spans="1:51" ht="57.75" thickTop="1" thickBot="1">
      <c r="A28" s="2906"/>
      <c r="B28" s="695" t="s">
        <v>150</v>
      </c>
      <c r="C28" s="2788" t="s">
        <v>379</v>
      </c>
      <c r="D28" s="696" t="s">
        <v>319</v>
      </c>
      <c r="E28" s="418" t="s">
        <v>153</v>
      </c>
      <c r="F28" s="418" t="s">
        <v>17</v>
      </c>
      <c r="G28" s="697">
        <v>37</v>
      </c>
      <c r="H28" s="691"/>
      <c r="I28" s="692"/>
      <c r="J28" s="691"/>
      <c r="K28" s="418" t="s">
        <v>21</v>
      </c>
      <c r="L28" s="698">
        <v>37</v>
      </c>
      <c r="M28" s="699">
        <v>52</v>
      </c>
      <c r="N28" s="19">
        <f>+L28/M28</f>
        <v>0.71153846153846156</v>
      </c>
      <c r="O28" s="698">
        <v>37</v>
      </c>
      <c r="P28" s="699">
        <v>44</v>
      </c>
      <c r="Q28" s="19">
        <f>+O28/P28</f>
        <v>0.84090909090909094</v>
      </c>
      <c r="R28" s="698">
        <v>37</v>
      </c>
      <c r="S28" s="699">
        <v>41</v>
      </c>
      <c r="T28" s="19">
        <f>+R28/S28</f>
        <v>0.90243902439024393</v>
      </c>
      <c r="U28" s="698">
        <v>37</v>
      </c>
      <c r="V28" s="699">
        <v>43</v>
      </c>
      <c r="W28" s="19">
        <f>+U28/V28</f>
        <v>0.86046511627906974</v>
      </c>
      <c r="X28" s="698">
        <v>37</v>
      </c>
      <c r="Y28" s="699">
        <v>32</v>
      </c>
      <c r="Z28" s="19">
        <f>+X28/Y28</f>
        <v>1.15625</v>
      </c>
      <c r="AA28" s="698">
        <v>37</v>
      </c>
      <c r="AB28" s="699">
        <v>13</v>
      </c>
      <c r="AC28" s="19">
        <f>+AA28/AB28</f>
        <v>2.8461538461538463</v>
      </c>
      <c r="AD28" s="700">
        <f>+(S28+V28+Y28+AB28)/4</f>
        <v>32.25</v>
      </c>
      <c r="AE28" s="19">
        <f>+G28/AD28</f>
        <v>1.1472868217054264</v>
      </c>
      <c r="AF28" s="698">
        <v>37</v>
      </c>
      <c r="AG28" s="699">
        <v>15</v>
      </c>
      <c r="AH28" s="19">
        <f>+AF28/AG28</f>
        <v>2.4666666666666668</v>
      </c>
      <c r="AI28" s="698">
        <v>37</v>
      </c>
      <c r="AJ28" s="699">
        <v>37</v>
      </c>
      <c r="AK28" s="19">
        <f>+AI28/AJ28</f>
        <v>1</v>
      </c>
      <c r="AL28" s="698">
        <v>37</v>
      </c>
      <c r="AM28" s="699">
        <v>41</v>
      </c>
      <c r="AN28" s="19">
        <f>+AL28/AM28</f>
        <v>0.90243902439024393</v>
      </c>
      <c r="AO28" s="698">
        <v>37</v>
      </c>
      <c r="AP28" s="699">
        <v>43</v>
      </c>
      <c r="AQ28" s="19">
        <f>+AO28/AP28</f>
        <v>0.86046511627906974</v>
      </c>
      <c r="AR28" s="698">
        <v>37</v>
      </c>
      <c r="AS28" s="699">
        <v>43</v>
      </c>
      <c r="AT28" s="19">
        <f>+AR28/AS28</f>
        <v>0.86046511627906974</v>
      </c>
      <c r="AU28" s="698">
        <v>37</v>
      </c>
      <c r="AV28" s="699">
        <v>44</v>
      </c>
      <c r="AW28" s="19">
        <f>+AU28/AV28</f>
        <v>0.84090909090909094</v>
      </c>
      <c r="AX28" s="701">
        <f>+(M28+P28+S28+V28+Y28+AB28+AG28+AJ28+AM28+AP28+AS28+AV28)/12</f>
        <v>37.333333333333336</v>
      </c>
      <c r="AY28" s="19">
        <f>+G28/AX28</f>
        <v>0.99107142857142849</v>
      </c>
    </row>
    <row r="29" spans="1:51" ht="22.5" thickTop="1" thickBot="1">
      <c r="A29" s="2842" t="s">
        <v>154</v>
      </c>
      <c r="B29" s="2843"/>
      <c r="C29" s="2843"/>
      <c r="D29" s="2843"/>
      <c r="E29" s="2843"/>
      <c r="F29" s="2843"/>
      <c r="G29" s="2843"/>
      <c r="H29" s="2843"/>
      <c r="I29" s="2843"/>
      <c r="J29" s="2843"/>
      <c r="K29" s="2844"/>
      <c r="L29" s="61"/>
      <c r="M29" s="62"/>
      <c r="N29" s="702"/>
      <c r="O29" s="61"/>
      <c r="P29" s="62"/>
      <c r="Q29" s="702"/>
      <c r="R29" s="61"/>
      <c r="S29" s="62"/>
      <c r="T29" s="702"/>
      <c r="U29" s="61"/>
      <c r="V29" s="62"/>
      <c r="W29" s="702"/>
      <c r="X29" s="61"/>
      <c r="Y29" s="62"/>
      <c r="Z29" s="702"/>
      <c r="AA29" s="61"/>
      <c r="AB29" s="62"/>
      <c r="AC29" s="702"/>
      <c r="AD29" s="61"/>
      <c r="AE29" s="702"/>
      <c r="AF29" s="61"/>
      <c r="AG29" s="62"/>
      <c r="AH29" s="702"/>
      <c r="AI29" s="61"/>
      <c r="AJ29" s="62"/>
      <c r="AK29" s="702"/>
      <c r="AL29" s="61"/>
      <c r="AM29" s="62"/>
      <c r="AN29" s="702"/>
      <c r="AO29" s="61"/>
      <c r="AP29" s="62"/>
      <c r="AQ29" s="702"/>
      <c r="AR29" s="61"/>
      <c r="AS29" s="62"/>
      <c r="AT29" s="702"/>
      <c r="AU29" s="61"/>
      <c r="AV29" s="62"/>
      <c r="AW29" s="702"/>
      <c r="AX29" s="702"/>
      <c r="AY29" s="702"/>
    </row>
    <row r="30" spans="1:51" ht="64.5" thickTop="1" thickBot="1">
      <c r="A30" s="100" t="s">
        <v>155</v>
      </c>
      <c r="B30" s="703" t="s">
        <v>156</v>
      </c>
      <c r="C30" s="2787" t="s">
        <v>320</v>
      </c>
      <c r="D30" s="666" t="s">
        <v>158</v>
      </c>
      <c r="E30" s="371" t="s">
        <v>159</v>
      </c>
      <c r="F30" s="371" t="s">
        <v>17</v>
      </c>
      <c r="G30" s="57">
        <v>14</v>
      </c>
      <c r="H30" s="693"/>
      <c r="I30" s="694"/>
      <c r="J30" s="693"/>
      <c r="K30" s="371" t="s">
        <v>27</v>
      </c>
      <c r="L30" s="625">
        <v>0</v>
      </c>
      <c r="M30" s="59"/>
      <c r="N30" s="19" t="e">
        <f t="shared" ref="N30" si="16">+M30/L30</f>
        <v>#DIV/0!</v>
      </c>
      <c r="O30" s="625">
        <v>0</v>
      </c>
      <c r="P30" s="59"/>
      <c r="Q30" s="19" t="e">
        <f t="shared" ref="Q30" si="17">+P30/O30</f>
        <v>#DIV/0!</v>
      </c>
      <c r="R30" s="625">
        <v>0</v>
      </c>
      <c r="S30" s="59"/>
      <c r="T30" s="19" t="e">
        <f t="shared" ref="T30" si="18">+S30/R30</f>
        <v>#DIV/0!</v>
      </c>
      <c r="U30" s="625">
        <v>0</v>
      </c>
      <c r="V30" s="59"/>
      <c r="W30" s="19" t="e">
        <f t="shared" ref="W30" si="19">+V30/U30</f>
        <v>#DIV/0!</v>
      </c>
      <c r="X30" s="625">
        <v>2</v>
      </c>
      <c r="Y30" s="59">
        <v>2</v>
      </c>
      <c r="Z30" s="19">
        <f t="shared" ref="Z30" si="20">+Y30/X30</f>
        <v>1</v>
      </c>
      <c r="AA30" s="625">
        <v>0</v>
      </c>
      <c r="AB30" s="59"/>
      <c r="AC30" s="19" t="e">
        <f t="shared" ref="AC30" si="21">+AB30/AA30</f>
        <v>#DIV/0!</v>
      </c>
      <c r="AD30" s="60">
        <f t="shared" ref="AD30" si="22">+M30+P30+S30+V30+Y30+AB30</f>
        <v>2</v>
      </c>
      <c r="AE30" s="19">
        <f t="shared" ref="AE30" si="23">AD30/G30</f>
        <v>0.14285714285714285</v>
      </c>
      <c r="AF30" s="625">
        <v>1</v>
      </c>
      <c r="AG30" s="59">
        <v>1</v>
      </c>
      <c r="AH30" s="19">
        <f t="shared" ref="AH30" si="24">+AG30/AF30</f>
        <v>1</v>
      </c>
      <c r="AI30" s="625">
        <v>4</v>
      </c>
      <c r="AJ30" s="59">
        <v>4</v>
      </c>
      <c r="AK30" s="19">
        <f t="shared" ref="AK30" si="25">+AJ30/AI30</f>
        <v>1</v>
      </c>
      <c r="AL30" s="625">
        <v>3</v>
      </c>
      <c r="AM30" s="59">
        <v>3</v>
      </c>
      <c r="AN30" s="19">
        <f t="shared" ref="AN30" si="26">+AM30/AL30</f>
        <v>1</v>
      </c>
      <c r="AO30" s="625">
        <v>4</v>
      </c>
      <c r="AP30" s="59">
        <v>4</v>
      </c>
      <c r="AQ30" s="19">
        <f t="shared" ref="AQ30" si="27">+AP30/AO30</f>
        <v>1</v>
      </c>
      <c r="AR30" s="625">
        <v>0</v>
      </c>
      <c r="AS30" s="59"/>
      <c r="AT30" s="19" t="e">
        <f t="shared" ref="AT30" si="28">+AS30/AR30</f>
        <v>#DIV/0!</v>
      </c>
      <c r="AU30" s="625">
        <v>0</v>
      </c>
      <c r="AV30" s="59"/>
      <c r="AW30" s="19" t="e">
        <f t="shared" ref="AW30" si="29">+AV30/AU30</f>
        <v>#DIV/0!</v>
      </c>
      <c r="AX30" s="625">
        <f t="shared" ref="AX30" si="30">+M30+P30+S30+V30+Y30+AB30+AG30+AJ30+AM30+AP30+AS30+AV30</f>
        <v>14</v>
      </c>
      <c r="AY30" s="19">
        <f t="shared" ref="AY30" si="31">+AX30/G30</f>
        <v>1</v>
      </c>
    </row>
    <row r="31" spans="1:51" ht="17.25" thickTop="1"/>
  </sheetData>
  <sheetProtection algorithmName="SHA-512" hashValue="NX0U5GjYPjXK7mOJvaLUkvJJcu3hJQKrBYGG+pntkMPc7Raof0hMzuB/ZbM4RhObnxyfGndS1JEM6pxCQhf8aA==" saltValue="aVS0AFAZJc1S9RSyRbr5Zg==" spinCount="100000" sheet="1" objects="1" scenarios="1"/>
  <mergeCells count="35">
    <mergeCell ref="A25:K25"/>
    <mergeCell ref="A26:A28"/>
    <mergeCell ref="B26:B27"/>
    <mergeCell ref="A29:K29"/>
    <mergeCell ref="AO5:AQ7"/>
    <mergeCell ref="L5:N7"/>
    <mergeCell ref="O5:Q7"/>
    <mergeCell ref="R5:T7"/>
    <mergeCell ref="U5:W7"/>
    <mergeCell ref="AR5:AT7"/>
    <mergeCell ref="AU5:AW7"/>
    <mergeCell ref="AX5:AY7"/>
    <mergeCell ref="A8:K8"/>
    <mergeCell ref="A9:A24"/>
    <mergeCell ref="B9:B24"/>
    <mergeCell ref="C10:C13"/>
    <mergeCell ref="C18:C24"/>
    <mergeCell ref="X5:Z7"/>
    <mergeCell ref="AA5:AC7"/>
    <mergeCell ref="AD5:AE7"/>
    <mergeCell ref="AF5:AH7"/>
    <mergeCell ref="AI5:AK7"/>
    <mergeCell ref="AL5:AN7"/>
    <mergeCell ref="H5:J6"/>
    <mergeCell ref="K5:K7"/>
    <mergeCell ref="C1:K1"/>
    <mergeCell ref="C2:K2"/>
    <mergeCell ref="C3:K3"/>
    <mergeCell ref="A5:A7"/>
    <mergeCell ref="B5:B7"/>
    <mergeCell ref="C5:C7"/>
    <mergeCell ref="D5:D7"/>
    <mergeCell ref="E5:E7"/>
    <mergeCell ref="F5:F7"/>
    <mergeCell ref="G5:G7"/>
  </mergeCells>
  <conditionalFormatting sqref="AY9:AY24 AY30 AY26:AY28">
    <cfRule type="cellIs" dxfId="10414" priority="66" operator="greaterThan">
      <formula>110%</formula>
    </cfRule>
    <cfRule type="cellIs" dxfId="10413" priority="67" operator="between">
      <formula>100.001%</formula>
      <formula>110%</formula>
    </cfRule>
    <cfRule type="cellIs" dxfId="10412" priority="68" operator="between">
      <formula>70.001%</formula>
      <formula>100%</formula>
    </cfRule>
    <cfRule type="cellIs" dxfId="10411" priority="69" operator="between">
      <formula>0.00001%</formula>
      <formula>70%</formula>
    </cfRule>
    <cfRule type="cellIs" dxfId="10410" priority="70" operator="equal">
      <formula>0</formula>
    </cfRule>
  </conditionalFormatting>
  <conditionalFormatting sqref="AW9:AW24 AW30 AW26:AW28">
    <cfRule type="cellIs" dxfId="10409" priority="61" operator="greaterThan">
      <formula>110%</formula>
    </cfRule>
    <cfRule type="cellIs" dxfId="10408" priority="62" operator="between">
      <formula>100.001%</formula>
      <formula>110%</formula>
    </cfRule>
    <cfRule type="cellIs" dxfId="10407" priority="63" operator="between">
      <formula>70.001%</formula>
      <formula>100%</formula>
    </cfRule>
    <cfRule type="cellIs" dxfId="10406" priority="64" operator="between">
      <formula>0.00001%</formula>
      <formula>70%</formula>
    </cfRule>
    <cfRule type="cellIs" dxfId="10405" priority="65" operator="equal">
      <formula>0</formula>
    </cfRule>
  </conditionalFormatting>
  <conditionalFormatting sqref="AT9:AT24 AT30 AT26:AT28">
    <cfRule type="cellIs" dxfId="10404" priority="56" operator="greaterThan">
      <formula>110%</formula>
    </cfRule>
    <cfRule type="cellIs" dxfId="10403" priority="57" operator="between">
      <formula>100.001%</formula>
      <formula>110%</formula>
    </cfRule>
    <cfRule type="cellIs" dxfId="10402" priority="58" operator="between">
      <formula>70.001%</formula>
      <formula>100%</formula>
    </cfRule>
    <cfRule type="cellIs" dxfId="10401" priority="59" operator="between">
      <formula>0.00001%</formula>
      <formula>70%</formula>
    </cfRule>
    <cfRule type="cellIs" dxfId="10400" priority="60" operator="equal">
      <formula>0</formula>
    </cfRule>
  </conditionalFormatting>
  <conditionalFormatting sqref="AQ9:AQ24 AQ30 AQ26:AQ28">
    <cfRule type="cellIs" dxfId="10399" priority="51" operator="greaterThan">
      <formula>110%</formula>
    </cfRule>
    <cfRule type="cellIs" dxfId="10398" priority="52" operator="between">
      <formula>100.001%</formula>
      <formula>110%</formula>
    </cfRule>
    <cfRule type="cellIs" dxfId="10397" priority="53" operator="between">
      <formula>70.001%</formula>
      <formula>100%</formula>
    </cfRule>
    <cfRule type="cellIs" dxfId="10396" priority="54" operator="between">
      <formula>0.00001%</formula>
      <formula>70%</formula>
    </cfRule>
    <cfRule type="cellIs" dxfId="10395" priority="55" operator="equal">
      <formula>0</formula>
    </cfRule>
  </conditionalFormatting>
  <conditionalFormatting sqref="AN9:AN24 AN30 AN26:AN28">
    <cfRule type="cellIs" dxfId="10394" priority="46" operator="greaterThan">
      <formula>110%</formula>
    </cfRule>
    <cfRule type="cellIs" dxfId="10393" priority="47" operator="between">
      <formula>100.001%</formula>
      <formula>110%</formula>
    </cfRule>
    <cfRule type="cellIs" dxfId="10392" priority="48" operator="between">
      <formula>70.001%</formula>
      <formula>100%</formula>
    </cfRule>
    <cfRule type="cellIs" dxfId="10391" priority="49" operator="between">
      <formula>0.00001%</formula>
      <formula>70%</formula>
    </cfRule>
    <cfRule type="cellIs" dxfId="10390" priority="50" operator="equal">
      <formula>0</formula>
    </cfRule>
  </conditionalFormatting>
  <conditionalFormatting sqref="AK9:AK24 AK30 AK26:AK28">
    <cfRule type="cellIs" dxfId="10389" priority="41" operator="greaterThan">
      <formula>110%</formula>
    </cfRule>
    <cfRule type="cellIs" dxfId="10388" priority="42" operator="between">
      <formula>100.001%</formula>
      <formula>110%</formula>
    </cfRule>
    <cfRule type="cellIs" dxfId="10387" priority="43" operator="between">
      <formula>70.001%</formula>
      <formula>100%</formula>
    </cfRule>
    <cfRule type="cellIs" dxfId="10386" priority="44" operator="between">
      <formula>0.00001%</formula>
      <formula>70%</formula>
    </cfRule>
    <cfRule type="cellIs" dxfId="10385" priority="45" operator="equal">
      <formula>0</formula>
    </cfRule>
  </conditionalFormatting>
  <conditionalFormatting sqref="AH9:AH24 AH30 AH26:AH28">
    <cfRule type="cellIs" dxfId="10384" priority="36" operator="greaterThan">
      <formula>110%</formula>
    </cfRule>
    <cfRule type="cellIs" dxfId="10383" priority="37" operator="between">
      <formula>100.001%</formula>
      <formula>110%</formula>
    </cfRule>
    <cfRule type="cellIs" dxfId="10382" priority="38" operator="between">
      <formula>70.001%</formula>
      <formula>100%</formula>
    </cfRule>
    <cfRule type="cellIs" dxfId="10381" priority="39" operator="between">
      <formula>0.00001%</formula>
      <formula>70%</formula>
    </cfRule>
    <cfRule type="cellIs" dxfId="10380" priority="40" operator="equal">
      <formula>0</formula>
    </cfRule>
  </conditionalFormatting>
  <conditionalFormatting sqref="AE9:AE24 AE30 AE26:AE28">
    <cfRule type="cellIs" dxfId="10379" priority="31" operator="greaterThan">
      <formula>110%</formula>
    </cfRule>
    <cfRule type="cellIs" dxfId="10378" priority="32" operator="between">
      <formula>100.001%</formula>
      <formula>110%</formula>
    </cfRule>
    <cfRule type="cellIs" dxfId="10377" priority="33" operator="between">
      <formula>70.001%</formula>
      <formula>100%</formula>
    </cfRule>
    <cfRule type="cellIs" dxfId="10376" priority="34" operator="between">
      <formula>0.00001%</formula>
      <formula>70%</formula>
    </cfRule>
    <cfRule type="cellIs" dxfId="10375" priority="35" operator="equal">
      <formula>0</formula>
    </cfRule>
  </conditionalFormatting>
  <conditionalFormatting sqref="AC9:AC24 AC30 AC26:AC28">
    <cfRule type="cellIs" dxfId="10374" priority="26" operator="greaterThan">
      <formula>110%</formula>
    </cfRule>
    <cfRule type="cellIs" dxfId="10373" priority="27" operator="between">
      <formula>100.001%</formula>
      <formula>110%</formula>
    </cfRule>
    <cfRule type="cellIs" dxfId="10372" priority="28" operator="between">
      <formula>70.001%</formula>
      <formula>100%</formula>
    </cfRule>
    <cfRule type="cellIs" dxfId="10371" priority="29" operator="between">
      <formula>0.00001%</formula>
      <formula>70%</formula>
    </cfRule>
    <cfRule type="cellIs" dxfId="10370" priority="30" operator="equal">
      <formula>0</formula>
    </cfRule>
  </conditionalFormatting>
  <conditionalFormatting sqref="Z9:Z24 Z30 Z26:Z28">
    <cfRule type="cellIs" dxfId="10369" priority="21" operator="greaterThan">
      <formula>110%</formula>
    </cfRule>
    <cfRule type="cellIs" dxfId="10368" priority="22" operator="between">
      <formula>100.001%</formula>
      <formula>110%</formula>
    </cfRule>
    <cfRule type="cellIs" dxfId="10367" priority="23" operator="between">
      <formula>70.001%</formula>
      <formula>100%</formula>
    </cfRule>
    <cfRule type="cellIs" dxfId="10366" priority="24" operator="between">
      <formula>0.00001%</formula>
      <formula>70%</formula>
    </cfRule>
    <cfRule type="cellIs" dxfId="10365" priority="25" operator="equal">
      <formula>0</formula>
    </cfRule>
  </conditionalFormatting>
  <conditionalFormatting sqref="W9:W24 W30 W26:W28">
    <cfRule type="cellIs" dxfId="10364" priority="16" operator="greaterThan">
      <formula>110%</formula>
    </cfRule>
    <cfRule type="cellIs" dxfId="10363" priority="17" operator="between">
      <formula>100.001%</formula>
      <formula>110%</formula>
    </cfRule>
    <cfRule type="cellIs" dxfId="10362" priority="18" operator="between">
      <formula>70.001%</formula>
      <formula>100%</formula>
    </cfRule>
    <cfRule type="cellIs" dxfId="10361" priority="19" operator="between">
      <formula>0.00001%</formula>
      <formula>70%</formula>
    </cfRule>
    <cfRule type="cellIs" dxfId="10360" priority="20" operator="equal">
      <formula>0</formula>
    </cfRule>
  </conditionalFormatting>
  <conditionalFormatting sqref="T9:T24 T30 T26:T28">
    <cfRule type="cellIs" dxfId="10359" priority="11" operator="greaterThan">
      <formula>110%</formula>
    </cfRule>
    <cfRule type="cellIs" dxfId="10358" priority="12" operator="between">
      <formula>100.001%</formula>
      <formula>110%</formula>
    </cfRule>
    <cfRule type="cellIs" dxfId="10357" priority="13" operator="between">
      <formula>70.001%</formula>
      <formula>100%</formula>
    </cfRule>
    <cfRule type="cellIs" dxfId="10356" priority="14" operator="between">
      <formula>0.00001%</formula>
      <formula>70%</formula>
    </cfRule>
    <cfRule type="cellIs" dxfId="10355" priority="15" operator="equal">
      <formula>0</formula>
    </cfRule>
  </conditionalFormatting>
  <conditionalFormatting sqref="Q9:Q24 Q30 Q26:Q28">
    <cfRule type="cellIs" dxfId="10354" priority="6" operator="greaterThan">
      <formula>110%</formula>
    </cfRule>
    <cfRule type="cellIs" dxfId="10353" priority="7" operator="between">
      <formula>100.001%</formula>
      <formula>110%</formula>
    </cfRule>
    <cfRule type="cellIs" dxfId="10352" priority="8" operator="between">
      <formula>70.001%</formula>
      <formula>100%</formula>
    </cfRule>
    <cfRule type="cellIs" dxfId="10351" priority="9" operator="between">
      <formula>0.00001%</formula>
      <formula>70%</formula>
    </cfRule>
    <cfRule type="cellIs" dxfId="10350" priority="10" operator="equal">
      <formula>0</formula>
    </cfRule>
  </conditionalFormatting>
  <conditionalFormatting sqref="N9:N24 N30 N26:N28">
    <cfRule type="cellIs" dxfId="10349" priority="1" operator="greaterThan">
      <formula>110%</formula>
    </cfRule>
    <cfRule type="cellIs" dxfId="10348" priority="2" operator="between">
      <formula>100.001%</formula>
      <formula>110%</formula>
    </cfRule>
    <cfRule type="cellIs" dxfId="10347" priority="3" operator="between">
      <formula>70.001%</formula>
      <formula>100%</formula>
    </cfRule>
    <cfRule type="cellIs" dxfId="10346" priority="4" operator="between">
      <formula>0.00001%</formula>
      <formula>70%</formula>
    </cfRule>
    <cfRule type="cellIs" dxfId="10345" priority="5" operator="equal">
      <formula>0</formula>
    </cfRule>
  </conditionalFormatting>
  <hyperlinks>
    <hyperlink ref="D9" location="'IN1-3'!A1" display="IN1-3 Recaudo Bruto" xr:uid="{00000000-0004-0000-0500-000000000000}"/>
    <hyperlink ref="D10" location="'FIS-4'!A1" display="FIS-4 Gestión efectiva en fiscalización tributaria" xr:uid="{00000000-0004-0000-0500-000001000000}"/>
    <hyperlink ref="D11" location="'FIS-10'!A1" display="FIS-10 Gestión aceptada en fiscalización tributaria" xr:uid="{00000000-0004-0000-0500-000002000000}"/>
    <hyperlink ref="D12" location="'FIS-27'!A1" display="FIS-27 Reclasificación de no responsables a responsables" xr:uid="{00000000-0004-0000-0500-000003000000}"/>
    <hyperlink ref="D13" location="'FIS-17'!A1" display="FIS-17 Evacuación de expedientes en fiscalización tributaria" xr:uid="{00000000-0004-0000-0500-000004000000}"/>
    <hyperlink ref="D14" location="'IN1-4'!A1" display="IN1-4 Recaudo por gestión de cartera" xr:uid="{00000000-0004-0000-0500-000005000000}"/>
    <hyperlink ref="D15" location="'IN1-5'!A1" display="IN1-5 Inscritos en el Régimen Simple de Tributación - RST" xr:uid="{00000000-0004-0000-0500-000006000000}"/>
    <hyperlink ref="D16" location="'IN1-6.1'!A1" display="IN1-6.1 Grado de cumplimiento del cronograma de campañas del RST" xr:uid="{00000000-0004-0000-0500-000007000000}"/>
    <hyperlink ref="D17" location="'IN1-8'!A1" display="IN1-8 Contribuyentes habilitados como facturadores electrónicos" xr:uid="{00000000-0004-0000-0500-000008000000}"/>
    <hyperlink ref="D18" location="'JUR-3.1'!A1" display="JUR-3.1 Porcentaje de éxito de litigiosidad" xr:uid="{00000000-0004-0000-0500-000009000000}"/>
    <hyperlink ref="D19" location="'JUR-3.2'!A1" display="JUR-3.2 Porcentaje procesos judiciales revisados con mayor riesgo en Ekogui" xr:uid="{00000000-0004-0000-0500-00000A000000}"/>
    <hyperlink ref="D20" location="'JUR-3.3'!A1" display="JUR-3.3 Porcentaje de análisis de jurisprudencia remitidos junto con la copia de la sentencia " xr:uid="{00000000-0004-0000-0500-00000B000000}"/>
    <hyperlink ref="D21" location="'JUR-3.4'!A1" display="JUR-3.4 Porcentaje de procesos revisados con VoBo del Jefe " xr:uid="{00000000-0004-0000-0500-00000C000000}"/>
    <hyperlink ref="D22" location="'JUR-3.5'!A1" display="JUR-3.5 Porcentaje de requerimientos atendidos en oportunidad" xr:uid="{00000000-0004-0000-0500-00000D000000}"/>
    <hyperlink ref="D23" location="'JUR-3.6'!A1" display="JUR-3.6 Porcentaje de funcionarios capacitaciones en cursos virtuales de la ANDJE" xr:uid="{00000000-0004-0000-0500-00000E000000}"/>
    <hyperlink ref="D24" location="'JUR-4'!A1" display="JUR-4 Porcentaje funcionarios que participaron en el concurso de escritura jurídica" xr:uid="{00000000-0004-0000-0500-00000F000000}"/>
    <hyperlink ref="D26" location="'IN1-11'!A1" display="IN1-11  Nivel de cobertura de personas sensibilizadas por el plan de cultura. ACTUALMENTE. Cumplimiento al Plan de Acción de Cultura de la Contribución" xr:uid="{00000000-0004-0000-0500-000010000000}"/>
    <hyperlink ref="D27" location="'JUR-7'!A1" display="JUR-7 Oportunidad en las decisiones de los recursos tributarios hasta su remisión a notificaciones" xr:uid="{00000000-0004-0000-0500-000011000000}"/>
    <hyperlink ref="D28" location="'IN1-15'!A1" display="IN1-15 Días en devoluciones ordinarias" xr:uid="{00000000-0004-0000-0500-000012000000}"/>
    <hyperlink ref="D30" location="'DGRAE-25'!A1" display="DGRAE-25 Actividades que componen el  PIC para la Dirección de Gestión" xr:uid="{00000000-0004-0000-0500-000013000000}"/>
    <hyperlink ref="AZ2" location="'Consolidado '!A1" display="VOLVER" xr:uid="{00000000-0004-0000-0500-000014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33"/>
  <sheetViews>
    <sheetView topLeftCell="A19" zoomScale="70" zoomScaleNormal="70" workbookViewId="0">
      <selection activeCell="BA21" sqref="BA21"/>
    </sheetView>
  </sheetViews>
  <sheetFormatPr baseColWidth="10" defaultColWidth="11.42578125" defaultRowHeight="16.5"/>
  <cols>
    <col min="1" max="1" width="22.42578125" style="8" customWidth="1"/>
    <col min="2" max="2" width="37" style="8" customWidth="1"/>
    <col min="3" max="3" width="59.28515625" style="63" bestFit="1" customWidth="1"/>
    <col min="4" max="4" width="25.85546875" style="63" bestFit="1" customWidth="1"/>
    <col min="5" max="5" width="71.42578125" style="8" bestFit="1" customWidth="1"/>
    <col min="6" max="6" width="23.85546875" style="8" bestFit="1" customWidth="1"/>
    <col min="7" max="7" width="23" style="8" customWidth="1"/>
    <col min="8" max="8" width="8.85546875" style="8" hidden="1" customWidth="1"/>
    <col min="9" max="9" width="21.140625" style="8" hidden="1" customWidth="1"/>
    <col min="10" max="10" width="10.28515625" style="8" hidden="1" customWidth="1"/>
    <col min="11" max="11" width="25.85546875" style="8" customWidth="1"/>
    <col min="12" max="13" width="21.7109375" style="8" hidden="1" customWidth="1"/>
    <col min="14" max="14" width="21.7109375" style="620" hidden="1" customWidth="1"/>
    <col min="15" max="49" width="21.7109375" style="8" hidden="1" customWidth="1"/>
    <col min="50" max="50" width="27.85546875" style="8" customWidth="1"/>
    <col min="51" max="51" width="21.7109375" style="621" customWidth="1"/>
    <col min="52" max="16384" width="11.42578125" style="8"/>
  </cols>
  <sheetData>
    <row r="1" spans="1:52" ht="26.25">
      <c r="A1" s="101"/>
      <c r="B1" s="101"/>
      <c r="C1" s="2885" t="s">
        <v>380</v>
      </c>
      <c r="D1" s="2885"/>
      <c r="E1" s="2885"/>
      <c r="F1" s="2885"/>
      <c r="G1" s="2885"/>
      <c r="H1" s="2885"/>
      <c r="I1" s="2885"/>
      <c r="J1" s="2885"/>
      <c r="K1" s="2885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2865"/>
      <c r="I2" s="2865"/>
      <c r="J2" s="2865"/>
      <c r="K2" s="2865"/>
      <c r="Q2" s="704"/>
      <c r="T2" s="704"/>
      <c r="W2" s="704"/>
      <c r="Z2" s="704"/>
      <c r="AC2" s="704"/>
      <c r="AH2" s="704"/>
      <c r="AK2" s="704"/>
      <c r="AN2" s="704"/>
      <c r="AQ2" s="704"/>
      <c r="AT2" s="704"/>
    </row>
    <row r="3" spans="1:52" ht="17.25">
      <c r="A3" s="107"/>
      <c r="B3" s="108"/>
      <c r="C3" s="2866" t="s">
        <v>381</v>
      </c>
      <c r="D3" s="2867"/>
      <c r="E3" s="2867"/>
      <c r="F3" s="2867"/>
      <c r="G3" s="2867"/>
      <c r="H3" s="2867"/>
      <c r="I3" s="2867"/>
      <c r="J3" s="2867"/>
      <c r="K3" s="2867"/>
      <c r="Q3" s="704"/>
      <c r="T3" s="704"/>
      <c r="W3" s="704"/>
      <c r="Z3" s="704"/>
      <c r="AC3" s="704"/>
      <c r="AH3" s="704"/>
      <c r="AK3" s="704"/>
      <c r="AN3" s="704"/>
      <c r="AQ3" s="704"/>
      <c r="AT3" s="704"/>
    </row>
    <row r="4" spans="1:52" ht="18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</row>
    <row r="5" spans="1:52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931"/>
      <c r="X5" s="2840" t="s">
        <v>74</v>
      </c>
      <c r="Y5" s="2841"/>
      <c r="Z5" s="2931"/>
      <c r="AA5" s="2840" t="s">
        <v>75</v>
      </c>
      <c r="AB5" s="2841"/>
      <c r="AC5" s="2931"/>
      <c r="AD5" s="2840" t="s">
        <v>188</v>
      </c>
      <c r="AE5" s="2884"/>
      <c r="AF5" s="2840" t="s">
        <v>76</v>
      </c>
      <c r="AG5" s="2841"/>
      <c r="AH5" s="2884"/>
      <c r="AI5" s="2840" t="s">
        <v>77</v>
      </c>
      <c r="AJ5" s="2841"/>
      <c r="AK5" s="2931"/>
      <c r="AL5" s="2840" t="s">
        <v>78</v>
      </c>
      <c r="AM5" s="2841"/>
      <c r="AN5" s="2931"/>
      <c r="AO5" s="2840" t="s">
        <v>79</v>
      </c>
      <c r="AP5" s="2841"/>
      <c r="AQ5" s="2931"/>
      <c r="AR5" s="2840" t="s">
        <v>80</v>
      </c>
      <c r="AS5" s="2841"/>
      <c r="AT5" s="2931"/>
      <c r="AU5" s="2840" t="s">
        <v>81</v>
      </c>
      <c r="AV5" s="2841"/>
      <c r="AW5" s="2884"/>
      <c r="AX5" s="2840" t="s">
        <v>82</v>
      </c>
      <c r="AY5" s="2841"/>
    </row>
    <row r="6" spans="1:52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931"/>
      <c r="X6" s="2840"/>
      <c r="Y6" s="2841"/>
      <c r="Z6" s="2931"/>
      <c r="AA6" s="2840"/>
      <c r="AB6" s="2841"/>
      <c r="AC6" s="2931"/>
      <c r="AD6" s="2840"/>
      <c r="AE6" s="2884"/>
      <c r="AF6" s="2840"/>
      <c r="AG6" s="2841"/>
      <c r="AH6" s="2884"/>
      <c r="AI6" s="2840"/>
      <c r="AJ6" s="2841"/>
      <c r="AK6" s="2931"/>
      <c r="AL6" s="2840"/>
      <c r="AM6" s="2841"/>
      <c r="AN6" s="2931"/>
      <c r="AO6" s="2840"/>
      <c r="AP6" s="2841"/>
      <c r="AQ6" s="2931"/>
      <c r="AR6" s="2840"/>
      <c r="AS6" s="2841"/>
      <c r="AT6" s="2931"/>
      <c r="AU6" s="2840"/>
      <c r="AV6" s="2841"/>
      <c r="AW6" s="2884"/>
      <c r="AX6" s="2840"/>
      <c r="AY6" s="2841"/>
      <c r="AZ6" s="545" t="s">
        <v>185</v>
      </c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932"/>
      <c r="X7" s="2836"/>
      <c r="Y7" s="2837"/>
      <c r="Z7" s="2932"/>
      <c r="AA7" s="2836"/>
      <c r="AB7" s="2837"/>
      <c r="AC7" s="2932"/>
      <c r="AD7" s="2836"/>
      <c r="AE7" s="2838"/>
      <c r="AF7" s="2836"/>
      <c r="AG7" s="2837"/>
      <c r="AH7" s="2838"/>
      <c r="AI7" s="2836"/>
      <c r="AJ7" s="2837"/>
      <c r="AK7" s="2932"/>
      <c r="AL7" s="2836"/>
      <c r="AM7" s="2837"/>
      <c r="AN7" s="2932"/>
      <c r="AO7" s="2836"/>
      <c r="AP7" s="2837"/>
      <c r="AQ7" s="2932"/>
      <c r="AR7" s="2836"/>
      <c r="AS7" s="2837"/>
      <c r="AT7" s="2932"/>
      <c r="AU7" s="2836"/>
      <c r="AV7" s="2837"/>
      <c r="AW7" s="2838"/>
      <c r="AX7" s="2840"/>
      <c r="AY7" s="2841"/>
    </row>
    <row r="8" spans="1:52" customFormat="1" ht="22.5" thickTop="1" thickBot="1">
      <c r="A8" s="2839" t="s">
        <v>83</v>
      </c>
      <c r="B8" s="2839"/>
      <c r="C8" s="2907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7" t="s">
        <v>86</v>
      </c>
      <c r="O8" s="13" t="s">
        <v>84</v>
      </c>
      <c r="P8" s="14" t="s">
        <v>85</v>
      </c>
      <c r="Q8" s="16" t="s">
        <v>86</v>
      </c>
      <c r="R8" s="16" t="s">
        <v>84</v>
      </c>
      <c r="S8" s="16" t="s">
        <v>85</v>
      </c>
      <c r="T8" s="16" t="s">
        <v>86</v>
      </c>
      <c r="U8" s="16" t="s">
        <v>84</v>
      </c>
      <c r="V8" s="16" t="s">
        <v>85</v>
      </c>
      <c r="W8" s="16" t="s">
        <v>86</v>
      </c>
      <c r="X8" s="16" t="s">
        <v>84</v>
      </c>
      <c r="Y8" s="16" t="s">
        <v>85</v>
      </c>
      <c r="Z8" s="16" t="s">
        <v>86</v>
      </c>
      <c r="AA8" s="16" t="s">
        <v>84</v>
      </c>
      <c r="AB8" s="16" t="s">
        <v>85</v>
      </c>
      <c r="AC8" s="16" t="s">
        <v>86</v>
      </c>
      <c r="AD8" s="16" t="s">
        <v>87</v>
      </c>
      <c r="AE8" s="16" t="s">
        <v>6</v>
      </c>
      <c r="AF8" s="13" t="s">
        <v>84</v>
      </c>
      <c r="AG8" s="14" t="s">
        <v>85</v>
      </c>
      <c r="AH8" s="16" t="s">
        <v>86</v>
      </c>
      <c r="AI8" s="16" t="s">
        <v>84</v>
      </c>
      <c r="AJ8" s="13" t="s">
        <v>85</v>
      </c>
      <c r="AK8" s="16" t="s">
        <v>86</v>
      </c>
      <c r="AL8" s="14" t="s">
        <v>84</v>
      </c>
      <c r="AM8" s="16" t="s">
        <v>85</v>
      </c>
      <c r="AN8" s="16" t="s">
        <v>86</v>
      </c>
      <c r="AO8" s="16" t="s">
        <v>84</v>
      </c>
      <c r="AP8" s="16" t="s">
        <v>85</v>
      </c>
      <c r="AQ8" s="16" t="s">
        <v>86</v>
      </c>
      <c r="AR8" s="16" t="s">
        <v>84</v>
      </c>
      <c r="AS8" s="13" t="s">
        <v>85</v>
      </c>
      <c r="AT8" s="16" t="s">
        <v>86</v>
      </c>
      <c r="AU8" s="13" t="s">
        <v>84</v>
      </c>
      <c r="AV8" s="14" t="s">
        <v>85</v>
      </c>
      <c r="AW8" s="16" t="s">
        <v>86</v>
      </c>
      <c r="AX8" s="13" t="s">
        <v>87</v>
      </c>
      <c r="AY8" s="110" t="s">
        <v>6</v>
      </c>
      <c r="AZ8" s="370">
        <f>+(AY9+AY10+AY11+AY12+AY13+AY14+AY15+AY16+AY17+AY18+AY19+AY20+AY21+AY22+AY23+AY24+AY25+AY27+AY28+AY29+AY31)/21</f>
        <v>1.0282336786811082</v>
      </c>
    </row>
    <row r="9" spans="1:52" s="80" customFormat="1" ht="31.5" thickTop="1" thickBot="1">
      <c r="A9" s="2845" t="s">
        <v>88</v>
      </c>
      <c r="B9" s="2848" t="s">
        <v>94</v>
      </c>
      <c r="C9" s="706" t="s">
        <v>382</v>
      </c>
      <c r="D9" s="707" t="s">
        <v>96</v>
      </c>
      <c r="E9" s="708" t="s">
        <v>97</v>
      </c>
      <c r="F9" s="708" t="s">
        <v>168</v>
      </c>
      <c r="G9" s="709">
        <v>21005427</v>
      </c>
      <c r="H9" s="708"/>
      <c r="I9" s="708" t="s">
        <v>98</v>
      </c>
      <c r="J9" s="710"/>
      <c r="K9" s="708" t="s">
        <v>20</v>
      </c>
      <c r="L9" s="20">
        <v>1750452.25</v>
      </c>
      <c r="M9" s="21">
        <v>1750452.25</v>
      </c>
      <c r="N9" s="19">
        <f>+M9/L9</f>
        <v>1</v>
      </c>
      <c r="O9" s="20">
        <v>1750452.25</v>
      </c>
      <c r="P9" s="21">
        <v>1750452.25</v>
      </c>
      <c r="Q9" s="19">
        <f>+P9/O9</f>
        <v>1</v>
      </c>
      <c r="R9" s="20">
        <v>1750452.25</v>
      </c>
      <c r="S9" s="21">
        <v>1750452.25</v>
      </c>
      <c r="T9" s="19">
        <f>+S9/R9</f>
        <v>1</v>
      </c>
      <c r="U9" s="20">
        <v>1750452.25</v>
      </c>
      <c r="V9" s="21">
        <v>1750452.25</v>
      </c>
      <c r="W9" s="19">
        <f>+V9/U9</f>
        <v>1</v>
      </c>
      <c r="X9" s="20">
        <v>1750452.25</v>
      </c>
      <c r="Y9" s="21">
        <v>1750452.25</v>
      </c>
      <c r="Z9" s="19">
        <f>+Y9/X9</f>
        <v>1</v>
      </c>
      <c r="AA9" s="20">
        <v>1750452.25</v>
      </c>
      <c r="AB9" s="21">
        <v>1750452.25</v>
      </c>
      <c r="AC9" s="19">
        <f>+AB9/AA9</f>
        <v>1</v>
      </c>
      <c r="AD9" s="20">
        <f>+M9+P9+S9+V9+Y9+AB9</f>
        <v>10502713.5</v>
      </c>
      <c r="AE9" s="19">
        <f>AD9/G9</f>
        <v>0.5</v>
      </c>
      <c r="AF9" s="20">
        <v>1750452.25</v>
      </c>
      <c r="AG9" s="21">
        <v>1750452.25</v>
      </c>
      <c r="AH9" s="19">
        <f>+AG9/AF9</f>
        <v>1</v>
      </c>
      <c r="AI9" s="20">
        <v>1750452.25</v>
      </c>
      <c r="AJ9" s="21">
        <v>1750452.25</v>
      </c>
      <c r="AK9" s="19">
        <f>+AJ9/AI9</f>
        <v>1</v>
      </c>
      <c r="AL9" s="20">
        <v>1750452.25</v>
      </c>
      <c r="AM9" s="21">
        <v>1750452.25</v>
      </c>
      <c r="AN9" s="19">
        <f>+AM9/AL9</f>
        <v>1</v>
      </c>
      <c r="AO9" s="20">
        <v>1750452.25</v>
      </c>
      <c r="AP9" s="21">
        <v>1750452.25</v>
      </c>
      <c r="AQ9" s="19">
        <f>+AP9/AO9</f>
        <v>1</v>
      </c>
      <c r="AR9" s="20">
        <v>1750452.25</v>
      </c>
      <c r="AS9" s="21">
        <v>1750452.25</v>
      </c>
      <c r="AT9" s="19">
        <f>+AS9/AR9</f>
        <v>1</v>
      </c>
      <c r="AU9" s="20">
        <v>1750452.25</v>
      </c>
      <c r="AV9" s="21">
        <v>1750452.25</v>
      </c>
      <c r="AW9" s="19">
        <f>+AV9/AU9</f>
        <v>1</v>
      </c>
      <c r="AX9" s="20">
        <f>+M9+P9+S9+V9+Y9+AB9+AG9+AJ9+AM9+AP9+AS9+AV9</f>
        <v>21005427</v>
      </c>
      <c r="AY9" s="19">
        <f>+AX9/G9</f>
        <v>1</v>
      </c>
    </row>
    <row r="10" spans="1:52" s="80" customFormat="1" ht="76.5" thickTop="1" thickBot="1">
      <c r="A10" s="2846"/>
      <c r="B10" s="2849"/>
      <c r="C10" s="2933" t="s">
        <v>383</v>
      </c>
      <c r="D10" s="712" t="s">
        <v>99</v>
      </c>
      <c r="E10" s="713" t="s">
        <v>302</v>
      </c>
      <c r="F10" s="713" t="s">
        <v>101</v>
      </c>
      <c r="G10" s="714">
        <v>627690000000</v>
      </c>
      <c r="H10" s="713"/>
      <c r="I10" s="714">
        <v>627690000000</v>
      </c>
      <c r="J10" s="715"/>
      <c r="K10" s="81" t="s">
        <v>172</v>
      </c>
      <c r="L10" s="31">
        <v>50215200000</v>
      </c>
      <c r="M10" s="32">
        <v>3198581700</v>
      </c>
      <c r="N10" s="19">
        <f t="shared" ref="N10:N27" si="0">+M10/L10</f>
        <v>6.3697480045882521E-2</v>
      </c>
      <c r="O10" s="31">
        <v>50215200000</v>
      </c>
      <c r="P10" s="32">
        <v>24064017850</v>
      </c>
      <c r="Q10" s="19">
        <f t="shared" ref="Q10:Q27" si="1">+P10/O10</f>
        <v>0.47921780357341998</v>
      </c>
      <c r="R10" s="31">
        <v>50215200000</v>
      </c>
      <c r="S10" s="32">
        <v>11973416210</v>
      </c>
      <c r="T10" s="19">
        <f t="shared" ref="T10:T27" si="2">+S10/R10</f>
        <v>0.23844206953273112</v>
      </c>
      <c r="U10" s="31">
        <v>56492100000</v>
      </c>
      <c r="V10" s="32">
        <v>3311057090</v>
      </c>
      <c r="W10" s="19">
        <f t="shared" ref="W10:W27" si="3">+V10/U10</f>
        <v>5.8610975516930688E-2</v>
      </c>
      <c r="X10" s="31">
        <v>62769000000</v>
      </c>
      <c r="Y10" s="32">
        <v>7025181960</v>
      </c>
      <c r="Z10" s="19">
        <f t="shared" ref="Z10:Z27" si="4">+Y10/X10</f>
        <v>0.11192120250442097</v>
      </c>
      <c r="AA10" s="31">
        <v>62769000000</v>
      </c>
      <c r="AB10" s="32">
        <v>5503744430</v>
      </c>
      <c r="AC10" s="19">
        <f t="shared" ref="AC10:AC25" si="5">+AB10/AA10</f>
        <v>8.7682525291146909E-2</v>
      </c>
      <c r="AD10" s="31">
        <f t="shared" ref="AD10:AD27" si="6">+M10+P10+S10+V10+Y10+AB10</f>
        <v>55075999240</v>
      </c>
      <c r="AE10" s="19">
        <f t="shared" ref="AE10:AE27" si="7">AD10/G10</f>
        <v>8.774394882824324E-2</v>
      </c>
      <c r="AF10" s="31">
        <v>62769000000</v>
      </c>
      <c r="AG10" s="32">
        <v>42635884930</v>
      </c>
      <c r="AH10" s="19">
        <f t="shared" ref="AH10:AH27" si="8">+AG10/AF10</f>
        <v>0.67925066402204914</v>
      </c>
      <c r="AI10" s="31">
        <v>62769000000</v>
      </c>
      <c r="AJ10" s="32">
        <v>25826546360</v>
      </c>
      <c r="AK10" s="19">
        <f>+AJ10/AI10</f>
        <v>0.41145384441364369</v>
      </c>
      <c r="AL10" s="31">
        <v>62769000000</v>
      </c>
      <c r="AM10" s="32">
        <v>240590509108</v>
      </c>
      <c r="AN10" s="19">
        <f>+AM10/AL10</f>
        <v>3.832951124089917</v>
      </c>
      <c r="AO10" s="31">
        <v>62769000000</v>
      </c>
      <c r="AP10" s="32">
        <v>281577332674</v>
      </c>
      <c r="AQ10" s="19">
        <f t="shared" ref="AQ10:AQ27" si="9">+AP10/AO10</f>
        <v>4.4859298805779924</v>
      </c>
      <c r="AR10" s="31">
        <v>25107600000</v>
      </c>
      <c r="AS10" s="32">
        <v>49277549240</v>
      </c>
      <c r="AT10" s="19">
        <f t="shared" ref="AT10:AT27" si="10">+AS10/AR10</f>
        <v>1.9626547037550384</v>
      </c>
      <c r="AU10" s="31">
        <v>18830700000</v>
      </c>
      <c r="AV10" s="32">
        <v>53155637602</v>
      </c>
      <c r="AW10" s="19">
        <f t="shared" ref="AW10:AW27" si="11">+AV10/AU10</f>
        <v>2.822817930400888</v>
      </c>
      <c r="AX10" s="31">
        <f t="shared" ref="AX10:AX27" si="12">+M10+P10+S10+V10+Y10+AB10+AG10+AJ10+AM10+AP10+AS10+AV10</f>
        <v>748139459154</v>
      </c>
      <c r="AY10" s="19">
        <f t="shared" ref="AY10:AY27" si="13">+AX10/G10</f>
        <v>1.1918932262008317</v>
      </c>
    </row>
    <row r="11" spans="1:52" s="22" customFormat="1" ht="31.5" thickTop="1" thickBot="1">
      <c r="A11" s="2846"/>
      <c r="B11" s="2849"/>
      <c r="C11" s="2934"/>
      <c r="D11" s="716" t="s">
        <v>303</v>
      </c>
      <c r="E11" s="708" t="s">
        <v>302</v>
      </c>
      <c r="F11" s="708" t="s">
        <v>168</v>
      </c>
      <c r="G11" s="717">
        <v>47000</v>
      </c>
      <c r="H11" s="708"/>
      <c r="I11" s="717">
        <v>47000</v>
      </c>
      <c r="J11" s="710"/>
      <c r="K11" s="708" t="s">
        <v>304</v>
      </c>
      <c r="L11" s="20">
        <v>2350</v>
      </c>
      <c r="M11" s="21">
        <v>346.3</v>
      </c>
      <c r="N11" s="19">
        <f t="shared" si="0"/>
        <v>0.14736170212765959</v>
      </c>
      <c r="O11" s="20">
        <v>2350</v>
      </c>
      <c r="P11" s="21">
        <v>1981.63</v>
      </c>
      <c r="Q11" s="19">
        <f t="shared" si="1"/>
        <v>0.84324680851063838</v>
      </c>
      <c r="R11" s="20">
        <v>2820</v>
      </c>
      <c r="S11" s="21">
        <v>872.41</v>
      </c>
      <c r="T11" s="19">
        <f t="shared" si="2"/>
        <v>0.30936524822695033</v>
      </c>
      <c r="U11" s="20">
        <v>4700</v>
      </c>
      <c r="V11" s="21">
        <v>0</v>
      </c>
      <c r="W11" s="19">
        <f t="shared" si="3"/>
        <v>0</v>
      </c>
      <c r="X11" s="20">
        <v>4700</v>
      </c>
      <c r="Y11" s="21">
        <v>28.6</v>
      </c>
      <c r="Z11" s="19">
        <f t="shared" si="4"/>
        <v>6.0851063829787241E-3</v>
      </c>
      <c r="AA11" s="20">
        <v>4700</v>
      </c>
      <c r="AB11" s="21">
        <v>0</v>
      </c>
      <c r="AC11" s="19">
        <f t="shared" si="5"/>
        <v>0</v>
      </c>
      <c r="AD11" s="20">
        <f t="shared" si="6"/>
        <v>3228.94</v>
      </c>
      <c r="AE11" s="19">
        <f t="shared" si="7"/>
        <v>6.8700851063829782E-2</v>
      </c>
      <c r="AF11" s="20">
        <v>4700</v>
      </c>
      <c r="AG11" s="21">
        <v>0</v>
      </c>
      <c r="AH11" s="19">
        <f t="shared" si="8"/>
        <v>0</v>
      </c>
      <c r="AI11" s="20">
        <v>4700</v>
      </c>
      <c r="AJ11" s="21">
        <v>35.93</v>
      </c>
      <c r="AK11" s="19">
        <f t="shared" ref="AK11:AK27" si="14">+AJ11/AI11</f>
        <v>7.6446808510638297E-3</v>
      </c>
      <c r="AL11" s="20">
        <v>4700</v>
      </c>
      <c r="AM11" s="21">
        <v>202.58</v>
      </c>
      <c r="AN11" s="19">
        <f t="shared" ref="AN11:AN27" si="15">+AM11/AL11</f>
        <v>4.3102127659574468E-2</v>
      </c>
      <c r="AO11" s="20">
        <v>4700</v>
      </c>
      <c r="AP11" s="21">
        <v>36.86</v>
      </c>
      <c r="AQ11" s="19">
        <f t="shared" si="9"/>
        <v>7.8425531914893612E-3</v>
      </c>
      <c r="AR11" s="20">
        <v>4700</v>
      </c>
      <c r="AS11" s="21">
        <v>351.8</v>
      </c>
      <c r="AT11" s="19">
        <f t="shared" si="10"/>
        <v>7.4851063829787234E-2</v>
      </c>
      <c r="AU11" s="20">
        <v>1880</v>
      </c>
      <c r="AV11" s="21">
        <v>12409.91</v>
      </c>
      <c r="AW11" s="19">
        <f t="shared" si="11"/>
        <v>6.6010159574468084</v>
      </c>
      <c r="AX11" s="20">
        <f t="shared" si="12"/>
        <v>16266.02</v>
      </c>
      <c r="AY11" s="19">
        <f t="shared" si="13"/>
        <v>0.34608553191489361</v>
      </c>
    </row>
    <row r="12" spans="1:52" s="22" customFormat="1" ht="76.5" thickTop="1" thickBot="1">
      <c r="A12" s="2846"/>
      <c r="B12" s="2849"/>
      <c r="C12" s="2934"/>
      <c r="D12" s="712" t="s">
        <v>102</v>
      </c>
      <c r="E12" s="713" t="s">
        <v>274</v>
      </c>
      <c r="F12" s="713" t="s">
        <v>101</v>
      </c>
      <c r="G12" s="714">
        <v>474400000000</v>
      </c>
      <c r="H12" s="713"/>
      <c r="I12" s="714">
        <v>474400000000</v>
      </c>
      <c r="J12" s="715"/>
      <c r="K12" s="81" t="s">
        <v>172</v>
      </c>
      <c r="L12" s="718">
        <v>37952000000</v>
      </c>
      <c r="M12" s="39">
        <v>2236052000</v>
      </c>
      <c r="N12" s="19">
        <f t="shared" si="0"/>
        <v>5.8917896290050592E-2</v>
      </c>
      <c r="O12" s="718">
        <v>37952000000</v>
      </c>
      <c r="P12" s="39">
        <v>9060132700</v>
      </c>
      <c r="Q12" s="19">
        <f t="shared" si="1"/>
        <v>0.23872609348650928</v>
      </c>
      <c r="R12" s="718">
        <v>37952000000</v>
      </c>
      <c r="S12" s="39">
        <v>18230331000</v>
      </c>
      <c r="T12" s="19">
        <f t="shared" si="2"/>
        <v>0.4803523134485666</v>
      </c>
      <c r="U12" s="718">
        <v>42696000000</v>
      </c>
      <c r="V12" s="39">
        <v>2713655000</v>
      </c>
      <c r="W12" s="19">
        <f t="shared" si="3"/>
        <v>6.35575932171632E-2</v>
      </c>
      <c r="X12" s="718">
        <v>47440000000</v>
      </c>
      <c r="Y12" s="39">
        <v>10339112000</v>
      </c>
      <c r="Z12" s="19">
        <f t="shared" si="4"/>
        <v>0.21794080944350758</v>
      </c>
      <c r="AA12" s="718">
        <v>47440000000</v>
      </c>
      <c r="AB12" s="39">
        <v>1333078000</v>
      </c>
      <c r="AC12" s="19">
        <f t="shared" si="5"/>
        <v>2.8100295109612143E-2</v>
      </c>
      <c r="AD12" s="38">
        <v>43912360700</v>
      </c>
      <c r="AE12" s="19">
        <f t="shared" si="7"/>
        <v>9.2563998102866779E-2</v>
      </c>
      <c r="AF12" s="718">
        <v>47440000000</v>
      </c>
      <c r="AG12" s="39">
        <v>14431576000</v>
      </c>
      <c r="AH12" s="19">
        <f t="shared" si="8"/>
        <v>0.3042069139966273</v>
      </c>
      <c r="AI12" s="718">
        <v>47440000000</v>
      </c>
      <c r="AJ12" s="39">
        <v>12718329000</v>
      </c>
      <c r="AK12" s="19">
        <f t="shared" si="14"/>
        <v>0.26809293844856663</v>
      </c>
      <c r="AL12" s="718">
        <v>47440000000</v>
      </c>
      <c r="AM12" s="39">
        <v>22484139000</v>
      </c>
      <c r="AN12" s="19">
        <f t="shared" si="15"/>
        <v>0.47394896711635748</v>
      </c>
      <c r="AO12" s="718">
        <v>47440000000</v>
      </c>
      <c r="AP12" s="39">
        <v>183051562000</v>
      </c>
      <c r="AQ12" s="19">
        <f t="shared" si="9"/>
        <v>3.8585911045531196</v>
      </c>
      <c r="AR12" s="718">
        <v>18976000000</v>
      </c>
      <c r="AS12" s="39">
        <v>35953240000</v>
      </c>
      <c r="AT12" s="19">
        <f t="shared" si="10"/>
        <v>1.8946690556492412</v>
      </c>
      <c r="AU12" s="718">
        <v>14232000000</v>
      </c>
      <c r="AV12" s="39">
        <v>52465333513</v>
      </c>
      <c r="AW12" s="19">
        <f t="shared" si="11"/>
        <v>3.6864343390247329</v>
      </c>
      <c r="AX12" s="718">
        <f t="shared" si="12"/>
        <v>365016540213</v>
      </c>
      <c r="AY12" s="19">
        <f t="shared" si="13"/>
        <v>0.76942778291104552</v>
      </c>
    </row>
    <row r="13" spans="1:52" s="22" customFormat="1" ht="76.5" thickTop="1" thickBot="1">
      <c r="A13" s="2846"/>
      <c r="B13" s="2849"/>
      <c r="C13" s="2934"/>
      <c r="D13" s="707" t="s">
        <v>104</v>
      </c>
      <c r="E13" s="708" t="s">
        <v>105</v>
      </c>
      <c r="F13" s="708" t="s">
        <v>24</v>
      </c>
      <c r="G13" s="708">
        <v>160</v>
      </c>
      <c r="H13" s="708"/>
      <c r="I13" s="708">
        <v>160</v>
      </c>
      <c r="J13" s="710"/>
      <c r="K13" s="76" t="s">
        <v>172</v>
      </c>
      <c r="L13" s="625">
        <v>0</v>
      </c>
      <c r="M13" s="59"/>
      <c r="N13" s="19" t="e">
        <f t="shared" si="0"/>
        <v>#DIV/0!</v>
      </c>
      <c r="O13" s="625">
        <v>0</v>
      </c>
      <c r="P13" s="59"/>
      <c r="Q13" s="19" t="e">
        <f t="shared" si="1"/>
        <v>#DIV/0!</v>
      </c>
      <c r="R13" s="625">
        <v>40</v>
      </c>
      <c r="S13" s="59">
        <v>8</v>
      </c>
      <c r="T13" s="19">
        <f t="shared" si="2"/>
        <v>0.2</v>
      </c>
      <c r="U13" s="625">
        <v>0</v>
      </c>
      <c r="V13" s="59"/>
      <c r="W13" s="19" t="e">
        <f t="shared" si="3"/>
        <v>#DIV/0!</v>
      </c>
      <c r="X13" s="638">
        <v>0</v>
      </c>
      <c r="Y13" s="719"/>
      <c r="Z13" s="19" t="e">
        <f t="shared" si="4"/>
        <v>#DIV/0!</v>
      </c>
      <c r="AA13" s="625">
        <v>40</v>
      </c>
      <c r="AB13" s="59">
        <v>0</v>
      </c>
      <c r="AC13" s="19">
        <f t="shared" si="5"/>
        <v>0</v>
      </c>
      <c r="AD13" s="60">
        <f>+S13+AB13</f>
        <v>8</v>
      </c>
      <c r="AE13" s="19">
        <f t="shared" si="7"/>
        <v>0.05</v>
      </c>
      <c r="AF13" s="625">
        <v>0</v>
      </c>
      <c r="AG13" s="59"/>
      <c r="AH13" s="19" t="e">
        <f t="shared" si="8"/>
        <v>#DIV/0!</v>
      </c>
      <c r="AI13" s="625">
        <v>0</v>
      </c>
      <c r="AJ13" s="59"/>
      <c r="AK13" s="19" t="e">
        <f t="shared" si="14"/>
        <v>#DIV/0!</v>
      </c>
      <c r="AL13" s="625">
        <v>40</v>
      </c>
      <c r="AM13" s="59">
        <v>12</v>
      </c>
      <c r="AN13" s="19">
        <f t="shared" si="15"/>
        <v>0.3</v>
      </c>
      <c r="AO13" s="625">
        <v>0</v>
      </c>
      <c r="AP13" s="59"/>
      <c r="AQ13" s="19" t="e">
        <f t="shared" si="9"/>
        <v>#DIV/0!</v>
      </c>
      <c r="AR13" s="625">
        <v>0</v>
      </c>
      <c r="AS13" s="59"/>
      <c r="AT13" s="19" t="e">
        <f t="shared" si="10"/>
        <v>#DIV/0!</v>
      </c>
      <c r="AU13" s="625">
        <v>40</v>
      </c>
      <c r="AV13" s="59">
        <v>210</v>
      </c>
      <c r="AW13" s="19">
        <f t="shared" si="11"/>
        <v>5.25</v>
      </c>
      <c r="AX13" s="638">
        <f>+AD13+AM13+AV13</f>
        <v>230</v>
      </c>
      <c r="AY13" s="19">
        <f t="shared" si="13"/>
        <v>1.4375</v>
      </c>
    </row>
    <row r="14" spans="1:52" s="22" customFormat="1" ht="76.5" thickTop="1" thickBot="1">
      <c r="A14" s="2846"/>
      <c r="B14" s="2849"/>
      <c r="C14" s="2935"/>
      <c r="D14" s="712" t="s">
        <v>106</v>
      </c>
      <c r="E14" s="720" t="s">
        <v>173</v>
      </c>
      <c r="F14" s="720" t="s">
        <v>24</v>
      </c>
      <c r="G14" s="713">
        <v>552</v>
      </c>
      <c r="H14" s="713"/>
      <c r="I14" s="713">
        <v>552</v>
      </c>
      <c r="J14" s="715"/>
      <c r="K14" s="81" t="s">
        <v>172</v>
      </c>
      <c r="L14" s="676">
        <v>0</v>
      </c>
      <c r="M14" s="34"/>
      <c r="N14" s="19" t="e">
        <f t="shared" si="0"/>
        <v>#DIV/0!</v>
      </c>
      <c r="O14" s="676">
        <v>0</v>
      </c>
      <c r="P14" s="34"/>
      <c r="Q14" s="19" t="e">
        <f t="shared" si="1"/>
        <v>#DIV/0!</v>
      </c>
      <c r="R14" s="676">
        <v>0</v>
      </c>
      <c r="S14" s="34"/>
      <c r="T14" s="19" t="e">
        <f t="shared" si="2"/>
        <v>#DIV/0!</v>
      </c>
      <c r="U14" s="676">
        <v>0</v>
      </c>
      <c r="V14" s="34"/>
      <c r="W14" s="19" t="e">
        <f t="shared" si="3"/>
        <v>#DIV/0!</v>
      </c>
      <c r="X14" s="721">
        <v>0</v>
      </c>
      <c r="Y14" s="722"/>
      <c r="Z14" s="19" t="e">
        <f t="shared" si="4"/>
        <v>#DIV/0!</v>
      </c>
      <c r="AA14" s="676">
        <v>0</v>
      </c>
      <c r="AB14" s="34"/>
      <c r="AC14" s="19" t="e">
        <f t="shared" si="5"/>
        <v>#DIV/0!</v>
      </c>
      <c r="AD14" s="35">
        <f t="shared" si="6"/>
        <v>0</v>
      </c>
      <c r="AE14" s="19">
        <f t="shared" si="7"/>
        <v>0</v>
      </c>
      <c r="AF14" s="676">
        <v>276</v>
      </c>
      <c r="AG14" s="34">
        <v>318</v>
      </c>
      <c r="AH14" s="19">
        <f t="shared" si="8"/>
        <v>1.1521739130434783</v>
      </c>
      <c r="AI14" s="676">
        <v>0</v>
      </c>
      <c r="AJ14" s="34"/>
      <c r="AK14" s="19" t="e">
        <f t="shared" si="14"/>
        <v>#DIV/0!</v>
      </c>
      <c r="AL14" s="676">
        <v>0</v>
      </c>
      <c r="AM14" s="34"/>
      <c r="AN14" s="19" t="e">
        <f t="shared" si="15"/>
        <v>#DIV/0!</v>
      </c>
      <c r="AO14" s="676">
        <v>0</v>
      </c>
      <c r="AP14" s="34"/>
      <c r="AQ14" s="19" t="e">
        <f t="shared" si="9"/>
        <v>#DIV/0!</v>
      </c>
      <c r="AR14" s="676">
        <v>0</v>
      </c>
      <c r="AS14" s="34"/>
      <c r="AT14" s="19" t="e">
        <f t="shared" si="10"/>
        <v>#DIV/0!</v>
      </c>
      <c r="AU14" s="676">
        <v>276</v>
      </c>
      <c r="AV14" s="34">
        <v>366</v>
      </c>
      <c r="AW14" s="19">
        <f t="shared" si="11"/>
        <v>1.326086956521739</v>
      </c>
      <c r="AX14" s="721">
        <f>+AG14+AV14</f>
        <v>684</v>
      </c>
      <c r="AY14" s="19">
        <f t="shared" si="13"/>
        <v>1.2391304347826086</v>
      </c>
    </row>
    <row r="15" spans="1:52" s="22" customFormat="1" ht="61.5" thickTop="1" thickBot="1">
      <c r="A15" s="2846"/>
      <c r="B15" s="2849"/>
      <c r="C15" s="658" t="s">
        <v>384</v>
      </c>
      <c r="D15" s="623" t="s">
        <v>109</v>
      </c>
      <c r="E15" s="76" t="s">
        <v>385</v>
      </c>
      <c r="F15" s="76" t="s">
        <v>168</v>
      </c>
      <c r="G15" s="723">
        <v>1853700.4037015233</v>
      </c>
      <c r="H15" s="76"/>
      <c r="I15" s="723">
        <v>1853700.4037015233</v>
      </c>
      <c r="J15" s="76"/>
      <c r="K15" s="76" t="s">
        <v>21</v>
      </c>
      <c r="L15" s="20">
        <v>0</v>
      </c>
      <c r="M15" s="21"/>
      <c r="N15" s="19" t="e">
        <f t="shared" si="0"/>
        <v>#DIV/0!</v>
      </c>
      <c r="O15" s="20">
        <v>0</v>
      </c>
      <c r="P15" s="21"/>
      <c r="Q15" s="19" t="e">
        <f t="shared" si="1"/>
        <v>#DIV/0!</v>
      </c>
      <c r="R15" s="20">
        <v>408377.43234791799</v>
      </c>
      <c r="S15" s="21">
        <v>439755.5</v>
      </c>
      <c r="T15" s="19">
        <f t="shared" si="2"/>
        <v>1.0768359492141315</v>
      </c>
      <c r="U15" s="20">
        <v>125009.09359622141</v>
      </c>
      <c r="V15" s="21">
        <v>71288.2</v>
      </c>
      <c r="W15" s="19">
        <f t="shared" si="3"/>
        <v>0.57026411398726273</v>
      </c>
      <c r="X15" s="20">
        <v>181666.57881295154</v>
      </c>
      <c r="Y15" s="21">
        <v>114406.7</v>
      </c>
      <c r="Z15" s="19">
        <f t="shared" si="4"/>
        <v>0.62976195592804107</v>
      </c>
      <c r="AA15" s="20">
        <v>140781.0401787548</v>
      </c>
      <c r="AB15" s="21">
        <v>125417.9</v>
      </c>
      <c r="AC15" s="19">
        <f t="shared" si="5"/>
        <v>0.89087209357703512</v>
      </c>
      <c r="AD15" s="20">
        <f t="shared" si="6"/>
        <v>750868.3</v>
      </c>
      <c r="AE15" s="19">
        <f t="shared" si="7"/>
        <v>0.40506453928619973</v>
      </c>
      <c r="AF15" s="20">
        <v>157174.04007826227</v>
      </c>
      <c r="AG15" s="21">
        <v>117940.6</v>
      </c>
      <c r="AH15" s="19">
        <f t="shared" si="8"/>
        <v>0.75038218742276641</v>
      </c>
      <c r="AI15" s="20">
        <v>195344.24154100602</v>
      </c>
      <c r="AJ15" s="21">
        <v>84914</v>
      </c>
      <c r="AK15" s="19">
        <f t="shared" si="14"/>
        <v>0.43468903577674767</v>
      </c>
      <c r="AL15" s="20">
        <v>211143.34288014655</v>
      </c>
      <c r="AM15" s="21">
        <v>169920.9</v>
      </c>
      <c r="AN15" s="19">
        <f t="shared" si="15"/>
        <v>0.80476560464638436</v>
      </c>
      <c r="AO15" s="20">
        <v>194361.2176040794</v>
      </c>
      <c r="AP15" s="21">
        <v>133464.79999999999</v>
      </c>
      <c r="AQ15" s="19">
        <f t="shared" si="9"/>
        <v>0.68668431719682088</v>
      </c>
      <c r="AR15" s="20">
        <v>136544.58261380219</v>
      </c>
      <c r="AS15" s="21">
        <v>173526</v>
      </c>
      <c r="AT15" s="19">
        <f t="shared" si="10"/>
        <v>1.2708376757120765</v>
      </c>
      <c r="AU15" s="20">
        <v>103298.83404838083</v>
      </c>
      <c r="AV15" s="21">
        <v>137606.6</v>
      </c>
      <c r="AW15" s="19">
        <f t="shared" si="11"/>
        <v>1.332121521677107</v>
      </c>
      <c r="AX15" s="20">
        <f t="shared" si="12"/>
        <v>1568241.2000000002</v>
      </c>
      <c r="AY15" s="19">
        <f t="shared" si="13"/>
        <v>0.84600574983340904</v>
      </c>
    </row>
    <row r="16" spans="1:52" s="22" customFormat="1" ht="46.5" thickTop="1" thickBot="1">
      <c r="A16" s="2846"/>
      <c r="B16" s="2849"/>
      <c r="C16" s="720" t="s">
        <v>386</v>
      </c>
      <c r="D16" s="627" t="s">
        <v>111</v>
      </c>
      <c r="E16" s="720" t="s">
        <v>112</v>
      </c>
      <c r="F16" s="720" t="s">
        <v>17</v>
      </c>
      <c r="G16" s="720">
        <v>2931</v>
      </c>
      <c r="H16" s="720"/>
      <c r="I16" s="720">
        <v>4416</v>
      </c>
      <c r="J16" s="720"/>
      <c r="K16" s="720" t="s">
        <v>20</v>
      </c>
      <c r="L16" s="676">
        <v>0</v>
      </c>
      <c r="M16" s="34"/>
      <c r="N16" s="19" t="e">
        <f t="shared" si="0"/>
        <v>#DIV/0!</v>
      </c>
      <c r="O16" s="676">
        <v>0</v>
      </c>
      <c r="P16" s="34"/>
      <c r="Q16" s="19" t="e">
        <f t="shared" si="1"/>
        <v>#DIV/0!</v>
      </c>
      <c r="R16" s="676"/>
      <c r="S16" s="34"/>
      <c r="T16" s="19" t="e">
        <f t="shared" si="2"/>
        <v>#DIV/0!</v>
      </c>
      <c r="U16" s="676"/>
      <c r="V16" s="34"/>
      <c r="W16" s="19" t="e">
        <f t="shared" si="3"/>
        <v>#DIV/0!</v>
      </c>
      <c r="X16" s="676"/>
      <c r="Y16" s="722"/>
      <c r="Z16" s="19" t="e">
        <f t="shared" si="4"/>
        <v>#DIV/0!</v>
      </c>
      <c r="AA16" s="676"/>
      <c r="AB16" s="34"/>
      <c r="AC16" s="19" t="e">
        <f t="shared" si="5"/>
        <v>#DIV/0!</v>
      </c>
      <c r="AD16" s="35">
        <f t="shared" si="6"/>
        <v>0</v>
      </c>
      <c r="AE16" s="19">
        <f t="shared" si="7"/>
        <v>0</v>
      </c>
      <c r="AF16" s="676"/>
      <c r="AG16" s="34"/>
      <c r="AH16" s="19" t="e">
        <f t="shared" si="8"/>
        <v>#DIV/0!</v>
      </c>
      <c r="AI16" s="676"/>
      <c r="AJ16" s="34"/>
      <c r="AK16" s="19" t="e">
        <f t="shared" si="14"/>
        <v>#DIV/0!</v>
      </c>
      <c r="AL16" s="676"/>
      <c r="AM16" s="34"/>
      <c r="AN16" s="19" t="e">
        <f t="shared" si="15"/>
        <v>#DIV/0!</v>
      </c>
      <c r="AO16" s="676"/>
      <c r="AP16" s="34"/>
      <c r="AQ16" s="19" t="e">
        <f t="shared" si="9"/>
        <v>#DIV/0!</v>
      </c>
      <c r="AR16" s="676"/>
      <c r="AS16" s="34"/>
      <c r="AT16" s="19" t="e">
        <f t="shared" si="10"/>
        <v>#DIV/0!</v>
      </c>
      <c r="AU16" s="676">
        <v>2931</v>
      </c>
      <c r="AV16" s="34">
        <v>3329</v>
      </c>
      <c r="AW16" s="19">
        <f t="shared" si="11"/>
        <v>1.1357898328215625</v>
      </c>
      <c r="AX16" s="721">
        <f t="shared" si="12"/>
        <v>3329</v>
      </c>
      <c r="AY16" s="19">
        <f t="shared" si="13"/>
        <v>1.1357898328215625</v>
      </c>
    </row>
    <row r="17" spans="1:51" s="22" customFormat="1" ht="61.5" thickTop="1" thickBot="1">
      <c r="A17" s="2846"/>
      <c r="B17" s="2849"/>
      <c r="C17" s="76" t="s">
        <v>363</v>
      </c>
      <c r="D17" s="623" t="s">
        <v>114</v>
      </c>
      <c r="E17" s="76" t="s">
        <v>115</v>
      </c>
      <c r="F17" s="76" t="s">
        <v>10</v>
      </c>
      <c r="G17" s="724">
        <v>1</v>
      </c>
      <c r="H17" s="76"/>
      <c r="I17" s="724">
        <v>1</v>
      </c>
      <c r="J17" s="725"/>
      <c r="K17" s="76" t="s">
        <v>20</v>
      </c>
      <c r="L17" s="653">
        <v>0</v>
      </c>
      <c r="M17" s="50"/>
      <c r="N17" s="19" t="e">
        <f t="shared" si="0"/>
        <v>#DIV/0!</v>
      </c>
      <c r="O17" s="653">
        <v>0</v>
      </c>
      <c r="P17" s="50"/>
      <c r="Q17" s="19" t="e">
        <f t="shared" si="1"/>
        <v>#DIV/0!</v>
      </c>
      <c r="R17" s="653">
        <v>0.25</v>
      </c>
      <c r="S17" s="50">
        <v>0.25</v>
      </c>
      <c r="T17" s="19">
        <f t="shared" si="2"/>
        <v>1</v>
      </c>
      <c r="U17" s="653">
        <v>0</v>
      </c>
      <c r="V17" s="50"/>
      <c r="W17" s="19" t="e">
        <f t="shared" si="3"/>
        <v>#DIV/0!</v>
      </c>
      <c r="X17" s="656">
        <v>0</v>
      </c>
      <c r="Y17" s="305"/>
      <c r="Z17" s="19" t="e">
        <f t="shared" si="4"/>
        <v>#DIV/0!</v>
      </c>
      <c r="AA17" s="653">
        <v>0.25</v>
      </c>
      <c r="AB17" s="50">
        <v>0.25</v>
      </c>
      <c r="AC17" s="19">
        <f t="shared" si="5"/>
        <v>1</v>
      </c>
      <c r="AD17" s="51">
        <f t="shared" si="6"/>
        <v>0.5</v>
      </c>
      <c r="AE17" s="19">
        <f t="shared" si="7"/>
        <v>0.5</v>
      </c>
      <c r="AF17" s="653">
        <v>0</v>
      </c>
      <c r="AG17" s="50"/>
      <c r="AH17" s="19" t="e">
        <f t="shared" si="8"/>
        <v>#DIV/0!</v>
      </c>
      <c r="AI17" s="653">
        <v>0</v>
      </c>
      <c r="AJ17" s="50"/>
      <c r="AK17" s="19" t="e">
        <f t="shared" si="14"/>
        <v>#DIV/0!</v>
      </c>
      <c r="AL17" s="653">
        <v>0.25</v>
      </c>
      <c r="AM17" s="50">
        <v>0.25</v>
      </c>
      <c r="AN17" s="19">
        <f t="shared" si="15"/>
        <v>1</v>
      </c>
      <c r="AO17" s="653">
        <v>0</v>
      </c>
      <c r="AP17" s="50"/>
      <c r="AQ17" s="19" t="e">
        <f t="shared" si="9"/>
        <v>#DIV/0!</v>
      </c>
      <c r="AR17" s="653">
        <v>0</v>
      </c>
      <c r="AS17" s="50"/>
      <c r="AT17" s="19" t="e">
        <f t="shared" si="10"/>
        <v>#DIV/0!</v>
      </c>
      <c r="AU17" s="653">
        <v>0.25</v>
      </c>
      <c r="AV17" s="50">
        <v>0.25</v>
      </c>
      <c r="AW17" s="19">
        <f t="shared" si="11"/>
        <v>1</v>
      </c>
      <c r="AX17" s="656">
        <f t="shared" si="12"/>
        <v>1</v>
      </c>
      <c r="AY17" s="19">
        <f t="shared" si="13"/>
        <v>1</v>
      </c>
    </row>
    <row r="18" spans="1:51" s="22" customFormat="1" ht="46.5" thickTop="1" thickBot="1">
      <c r="A18" s="2846"/>
      <c r="B18" s="2849"/>
      <c r="C18" s="720" t="s">
        <v>387</v>
      </c>
      <c r="D18" s="627" t="s">
        <v>116</v>
      </c>
      <c r="E18" s="720" t="s">
        <v>117</v>
      </c>
      <c r="F18" s="720" t="s">
        <v>17</v>
      </c>
      <c r="G18" s="726">
        <v>56974</v>
      </c>
      <c r="H18" s="720"/>
      <c r="I18" s="720">
        <v>56974</v>
      </c>
      <c r="J18" s="720"/>
      <c r="K18" s="720" t="s">
        <v>118</v>
      </c>
      <c r="L18" s="676">
        <v>0</v>
      </c>
      <c r="M18" s="34"/>
      <c r="N18" s="19" t="e">
        <f t="shared" si="0"/>
        <v>#DIV/0!</v>
      </c>
      <c r="O18" s="676">
        <v>0</v>
      </c>
      <c r="P18" s="34"/>
      <c r="Q18" s="19" t="e">
        <f t="shared" si="1"/>
        <v>#DIV/0!</v>
      </c>
      <c r="R18" s="676">
        <v>10825</v>
      </c>
      <c r="S18" s="34">
        <v>15660</v>
      </c>
      <c r="T18" s="19">
        <f t="shared" si="2"/>
        <v>1.4466512702078522</v>
      </c>
      <c r="U18" s="676">
        <v>8791</v>
      </c>
      <c r="V18" s="34">
        <v>1015</v>
      </c>
      <c r="W18" s="19">
        <f t="shared" si="3"/>
        <v>0.11545899215106359</v>
      </c>
      <c r="X18" s="721">
        <v>2554</v>
      </c>
      <c r="Y18" s="722">
        <v>1144</v>
      </c>
      <c r="Z18" s="19">
        <f t="shared" si="4"/>
        <v>0.44792482380579485</v>
      </c>
      <c r="AA18" s="676">
        <v>2874</v>
      </c>
      <c r="AB18" s="34">
        <v>2083</v>
      </c>
      <c r="AC18" s="19">
        <f t="shared" si="5"/>
        <v>0.72477383437717469</v>
      </c>
      <c r="AD18" s="35">
        <f t="shared" si="6"/>
        <v>19902</v>
      </c>
      <c r="AE18" s="19">
        <f t="shared" si="7"/>
        <v>0.34931723242180646</v>
      </c>
      <c r="AF18" s="676">
        <v>5298</v>
      </c>
      <c r="AG18" s="34">
        <v>4979</v>
      </c>
      <c r="AH18" s="19">
        <f t="shared" si="8"/>
        <v>0.93978859947149873</v>
      </c>
      <c r="AI18" s="676">
        <v>8090</v>
      </c>
      <c r="AJ18" s="34">
        <v>2474</v>
      </c>
      <c r="AK18" s="19">
        <f t="shared" si="14"/>
        <v>0.30580964153275647</v>
      </c>
      <c r="AL18" s="676">
        <v>10981</v>
      </c>
      <c r="AM18" s="34">
        <v>9823</v>
      </c>
      <c r="AN18" s="19">
        <f t="shared" si="15"/>
        <v>0.89454512339495496</v>
      </c>
      <c r="AO18" s="676">
        <v>4289</v>
      </c>
      <c r="AP18" s="34">
        <v>7513</v>
      </c>
      <c r="AQ18" s="19">
        <f t="shared" si="9"/>
        <v>1.7516903707157845</v>
      </c>
      <c r="AR18" s="676">
        <v>2949</v>
      </c>
      <c r="AS18" s="34">
        <v>27573</v>
      </c>
      <c r="AT18" s="19">
        <f t="shared" si="10"/>
        <v>9.3499491353001023</v>
      </c>
      <c r="AU18" s="676">
        <v>323</v>
      </c>
      <c r="AV18" s="34">
        <v>7281</v>
      </c>
      <c r="AW18" s="19">
        <f t="shared" si="11"/>
        <v>22.541795665634673</v>
      </c>
      <c r="AX18" s="721">
        <f t="shared" si="12"/>
        <v>79545</v>
      </c>
      <c r="AY18" s="19">
        <f t="shared" si="13"/>
        <v>1.3961631621441359</v>
      </c>
    </row>
    <row r="19" spans="1:51" s="22" customFormat="1" ht="61.5" thickTop="1" thickBot="1">
      <c r="A19" s="2846"/>
      <c r="B19" s="2849"/>
      <c r="C19" s="2936" t="s">
        <v>388</v>
      </c>
      <c r="D19" s="728" t="s">
        <v>120</v>
      </c>
      <c r="E19" s="76" t="s">
        <v>121</v>
      </c>
      <c r="F19" s="76" t="s">
        <v>10</v>
      </c>
      <c r="G19" s="729">
        <v>0.64100000000000001</v>
      </c>
      <c r="H19" s="76"/>
      <c r="I19" s="652" t="s">
        <v>312</v>
      </c>
      <c r="J19" s="76"/>
      <c r="K19" s="76" t="s">
        <v>7</v>
      </c>
      <c r="L19" s="653">
        <v>0</v>
      </c>
      <c r="M19" s="50"/>
      <c r="N19" s="19" t="e">
        <f t="shared" si="0"/>
        <v>#DIV/0!</v>
      </c>
      <c r="O19" s="653">
        <v>0</v>
      </c>
      <c r="P19" s="50"/>
      <c r="Q19" s="19" t="e">
        <f t="shared" si="1"/>
        <v>#DIV/0!</v>
      </c>
      <c r="R19" s="653">
        <v>0</v>
      </c>
      <c r="S19" s="50"/>
      <c r="T19" s="19" t="e">
        <f t="shared" si="2"/>
        <v>#DIV/0!</v>
      </c>
      <c r="U19" s="653">
        <v>0</v>
      </c>
      <c r="V19" s="50"/>
      <c r="W19" s="19" t="e">
        <f t="shared" si="3"/>
        <v>#DIV/0!</v>
      </c>
      <c r="X19" s="653">
        <v>0</v>
      </c>
      <c r="Y19" s="50"/>
      <c r="Z19" s="19" t="e">
        <f t="shared" si="4"/>
        <v>#DIV/0!</v>
      </c>
      <c r="AA19" s="653">
        <v>0</v>
      </c>
      <c r="AB19" s="50"/>
      <c r="AC19" s="19" t="e">
        <f t="shared" si="5"/>
        <v>#DIV/0!</v>
      </c>
      <c r="AD19" s="51">
        <f t="shared" si="6"/>
        <v>0</v>
      </c>
      <c r="AE19" s="19">
        <f t="shared" si="7"/>
        <v>0</v>
      </c>
      <c r="AF19" s="653">
        <v>0</v>
      </c>
      <c r="AG19" s="50"/>
      <c r="AH19" s="19" t="e">
        <f t="shared" si="8"/>
        <v>#DIV/0!</v>
      </c>
      <c r="AI19" s="653">
        <v>0</v>
      </c>
      <c r="AJ19" s="50"/>
      <c r="AK19" s="19" t="e">
        <f t="shared" si="14"/>
        <v>#DIV/0!</v>
      </c>
      <c r="AL19" s="653">
        <v>0</v>
      </c>
      <c r="AM19" s="50"/>
      <c r="AN19" s="19" t="e">
        <f t="shared" si="15"/>
        <v>#DIV/0!</v>
      </c>
      <c r="AO19" s="653">
        <v>0</v>
      </c>
      <c r="AP19" s="50"/>
      <c r="AQ19" s="19" t="e">
        <f t="shared" si="9"/>
        <v>#DIV/0!</v>
      </c>
      <c r="AR19" s="653">
        <v>0</v>
      </c>
      <c r="AS19" s="50"/>
      <c r="AT19" s="19" t="e">
        <f t="shared" si="10"/>
        <v>#DIV/0!</v>
      </c>
      <c r="AU19" s="653">
        <v>0.64100000000000001</v>
      </c>
      <c r="AV19" s="50">
        <v>0.8095</v>
      </c>
      <c r="AW19" s="19">
        <f t="shared" si="11"/>
        <v>1.2628705148205928</v>
      </c>
      <c r="AX19" s="656">
        <f t="shared" si="12"/>
        <v>0.8095</v>
      </c>
      <c r="AY19" s="19">
        <f t="shared" si="13"/>
        <v>1.2628705148205928</v>
      </c>
    </row>
    <row r="20" spans="1:51" s="22" customFormat="1" ht="61.5" thickTop="1" thickBot="1">
      <c r="A20" s="2846"/>
      <c r="B20" s="2849"/>
      <c r="C20" s="2937"/>
      <c r="D20" s="731" t="s">
        <v>175</v>
      </c>
      <c r="E20" s="81" t="s">
        <v>123</v>
      </c>
      <c r="F20" s="81" t="s">
        <v>10</v>
      </c>
      <c r="G20" s="732">
        <v>1</v>
      </c>
      <c r="H20" s="81"/>
      <c r="I20" s="732">
        <v>1</v>
      </c>
      <c r="J20" s="81"/>
      <c r="K20" s="81" t="s">
        <v>7</v>
      </c>
      <c r="L20" s="655">
        <v>0</v>
      </c>
      <c r="M20" s="45"/>
      <c r="N20" s="19" t="e">
        <f t="shared" si="0"/>
        <v>#DIV/0!</v>
      </c>
      <c r="O20" s="655">
        <v>0</v>
      </c>
      <c r="P20" s="45"/>
      <c r="Q20" s="19" t="e">
        <f t="shared" si="1"/>
        <v>#DIV/0!</v>
      </c>
      <c r="R20" s="655">
        <v>0</v>
      </c>
      <c r="S20" s="45"/>
      <c r="T20" s="19" t="e">
        <f t="shared" si="2"/>
        <v>#DIV/0!</v>
      </c>
      <c r="U20" s="655">
        <v>1</v>
      </c>
      <c r="V20" s="45">
        <v>1</v>
      </c>
      <c r="W20" s="19">
        <f t="shared" si="3"/>
        <v>1</v>
      </c>
      <c r="X20" s="655">
        <v>0</v>
      </c>
      <c r="Y20" s="45"/>
      <c r="Z20" s="19" t="e">
        <f t="shared" si="4"/>
        <v>#DIV/0!</v>
      </c>
      <c r="AA20" s="655">
        <v>0</v>
      </c>
      <c r="AB20" s="45"/>
      <c r="AC20" s="19" t="e">
        <f t="shared" si="5"/>
        <v>#DIV/0!</v>
      </c>
      <c r="AD20" s="46">
        <f>(V20)</f>
        <v>1</v>
      </c>
      <c r="AE20" s="19">
        <f t="shared" si="7"/>
        <v>1</v>
      </c>
      <c r="AF20" s="655">
        <v>0</v>
      </c>
      <c r="AG20" s="45"/>
      <c r="AH20" s="19" t="e">
        <f t="shared" si="8"/>
        <v>#DIV/0!</v>
      </c>
      <c r="AI20" s="655">
        <v>0</v>
      </c>
      <c r="AJ20" s="45"/>
      <c r="AK20" s="19" t="e">
        <f t="shared" si="14"/>
        <v>#DIV/0!</v>
      </c>
      <c r="AL20" s="655">
        <v>0</v>
      </c>
      <c r="AM20" s="45"/>
      <c r="AN20" s="19" t="e">
        <f t="shared" si="15"/>
        <v>#DIV/0!</v>
      </c>
      <c r="AO20" s="655">
        <v>1</v>
      </c>
      <c r="AP20" s="45">
        <v>1</v>
      </c>
      <c r="AQ20" s="19">
        <f>+AP20/AP20</f>
        <v>1</v>
      </c>
      <c r="AR20" s="655">
        <v>0</v>
      </c>
      <c r="AS20" s="45"/>
      <c r="AT20" s="19" t="e">
        <f t="shared" si="10"/>
        <v>#DIV/0!</v>
      </c>
      <c r="AU20" s="655">
        <v>0</v>
      </c>
      <c r="AV20" s="45"/>
      <c r="AW20" s="19" t="e">
        <f t="shared" si="11"/>
        <v>#DIV/0!</v>
      </c>
      <c r="AX20" s="733">
        <f>+(V20+AP20)/2</f>
        <v>1</v>
      </c>
      <c r="AY20" s="19">
        <f t="shared" si="13"/>
        <v>1</v>
      </c>
    </row>
    <row r="21" spans="1:51" s="22" customFormat="1" ht="61.5" thickTop="1" thickBot="1">
      <c r="A21" s="2846"/>
      <c r="B21" s="2849"/>
      <c r="C21" s="2937"/>
      <c r="D21" s="728" t="s">
        <v>124</v>
      </c>
      <c r="E21" s="76" t="s">
        <v>125</v>
      </c>
      <c r="F21" s="76" t="s">
        <v>10</v>
      </c>
      <c r="G21" s="724">
        <v>1</v>
      </c>
      <c r="H21" s="76"/>
      <c r="I21" s="724">
        <v>1</v>
      </c>
      <c r="J21" s="76"/>
      <c r="K21" s="76" t="s">
        <v>7</v>
      </c>
      <c r="L21" s="653">
        <v>0</v>
      </c>
      <c r="M21" s="50"/>
      <c r="N21" s="19" t="e">
        <f t="shared" si="0"/>
        <v>#DIV/0!</v>
      </c>
      <c r="O21" s="653">
        <v>0</v>
      </c>
      <c r="P21" s="50"/>
      <c r="Q21" s="19" t="e">
        <f t="shared" si="1"/>
        <v>#DIV/0!</v>
      </c>
      <c r="R21" s="653">
        <v>1</v>
      </c>
      <c r="S21" s="50">
        <v>1</v>
      </c>
      <c r="T21" s="19">
        <f t="shared" si="2"/>
        <v>1</v>
      </c>
      <c r="U21" s="653">
        <v>0</v>
      </c>
      <c r="V21" s="50"/>
      <c r="W21" s="19" t="e">
        <f t="shared" si="3"/>
        <v>#DIV/0!</v>
      </c>
      <c r="X21" s="653">
        <v>0</v>
      </c>
      <c r="Y21" s="50"/>
      <c r="Z21" s="19" t="e">
        <f t="shared" si="4"/>
        <v>#DIV/0!</v>
      </c>
      <c r="AA21" s="653">
        <v>1</v>
      </c>
      <c r="AB21" s="50">
        <v>1</v>
      </c>
      <c r="AC21" s="19">
        <f t="shared" si="5"/>
        <v>1</v>
      </c>
      <c r="AD21" s="51">
        <f>(S21+AB21)/2</f>
        <v>1</v>
      </c>
      <c r="AE21" s="19">
        <f t="shared" si="7"/>
        <v>1</v>
      </c>
      <c r="AF21" s="653">
        <v>0</v>
      </c>
      <c r="AG21" s="50"/>
      <c r="AH21" s="19" t="e">
        <f t="shared" si="8"/>
        <v>#DIV/0!</v>
      </c>
      <c r="AI21" s="653">
        <v>0</v>
      </c>
      <c r="AJ21" s="50"/>
      <c r="AK21" s="19" t="e">
        <f t="shared" si="14"/>
        <v>#DIV/0!</v>
      </c>
      <c r="AL21" s="653">
        <v>1</v>
      </c>
      <c r="AM21" s="50">
        <v>1</v>
      </c>
      <c r="AN21" s="19">
        <f t="shared" si="15"/>
        <v>1</v>
      </c>
      <c r="AO21" s="653">
        <v>0</v>
      </c>
      <c r="AP21" s="50"/>
      <c r="AQ21" s="19" t="e">
        <f t="shared" si="9"/>
        <v>#DIV/0!</v>
      </c>
      <c r="AR21" s="653">
        <v>0</v>
      </c>
      <c r="AS21" s="50"/>
      <c r="AT21" s="19" t="e">
        <f t="shared" si="10"/>
        <v>#DIV/0!</v>
      </c>
      <c r="AU21" s="653">
        <v>1</v>
      </c>
      <c r="AV21" s="50">
        <v>1</v>
      </c>
      <c r="AW21" s="19">
        <f t="shared" si="11"/>
        <v>1</v>
      </c>
      <c r="AX21" s="656">
        <f>(S21+AB21+AM21+AV21)/4</f>
        <v>1</v>
      </c>
      <c r="AY21" s="19">
        <f t="shared" si="13"/>
        <v>1</v>
      </c>
    </row>
    <row r="22" spans="1:51" s="22" customFormat="1" ht="46.5" thickTop="1" thickBot="1">
      <c r="A22" s="2846"/>
      <c r="B22" s="2849"/>
      <c r="C22" s="2937"/>
      <c r="D22" s="731" t="s">
        <v>177</v>
      </c>
      <c r="E22" s="81" t="s">
        <v>127</v>
      </c>
      <c r="F22" s="81" t="s">
        <v>10</v>
      </c>
      <c r="G22" s="732">
        <v>0.2</v>
      </c>
      <c r="H22" s="81"/>
      <c r="I22" s="732">
        <v>1</v>
      </c>
      <c r="J22" s="81"/>
      <c r="K22" s="81" t="s">
        <v>7</v>
      </c>
      <c r="L22" s="655">
        <v>0.2</v>
      </c>
      <c r="M22" s="45">
        <v>0.2</v>
      </c>
      <c r="N22" s="19">
        <f>+M22/L22</f>
        <v>1</v>
      </c>
      <c r="O22" s="655">
        <v>0.2</v>
      </c>
      <c r="P22" s="45">
        <v>0.2</v>
      </c>
      <c r="Q22" s="19">
        <f t="shared" si="1"/>
        <v>1</v>
      </c>
      <c r="R22" s="655">
        <v>0.2</v>
      </c>
      <c r="S22" s="45">
        <v>0.2</v>
      </c>
      <c r="T22" s="19">
        <f t="shared" si="2"/>
        <v>1</v>
      </c>
      <c r="U22" s="655">
        <v>0.2</v>
      </c>
      <c r="V22" s="45">
        <v>0.2</v>
      </c>
      <c r="W22" s="19">
        <f t="shared" si="3"/>
        <v>1</v>
      </c>
      <c r="X22" s="655">
        <v>0.2</v>
      </c>
      <c r="Y22" s="45">
        <v>0.2</v>
      </c>
      <c r="Z22" s="19">
        <f t="shared" si="4"/>
        <v>1</v>
      </c>
      <c r="AA22" s="655">
        <v>0.2</v>
      </c>
      <c r="AB22" s="45">
        <v>0.2</v>
      </c>
      <c r="AC22" s="19">
        <f t="shared" si="5"/>
        <v>1</v>
      </c>
      <c r="AD22" s="46">
        <f>(M22+P22+S22+V22+Y22+AB22)/6</f>
        <v>0.19999999999999998</v>
      </c>
      <c r="AE22" s="19">
        <f t="shared" si="7"/>
        <v>0.99999999999999989</v>
      </c>
      <c r="AF22" s="655">
        <v>0.2</v>
      </c>
      <c r="AG22" s="45">
        <v>0.2</v>
      </c>
      <c r="AH22" s="19">
        <f t="shared" si="8"/>
        <v>1</v>
      </c>
      <c r="AI22" s="655">
        <v>0.2</v>
      </c>
      <c r="AJ22" s="45">
        <v>0.2</v>
      </c>
      <c r="AK22" s="19">
        <f t="shared" si="14"/>
        <v>1</v>
      </c>
      <c r="AL22" s="655">
        <v>0.2</v>
      </c>
      <c r="AM22" s="45">
        <v>0.2</v>
      </c>
      <c r="AN22" s="19">
        <f t="shared" si="15"/>
        <v>1</v>
      </c>
      <c r="AO22" s="655">
        <v>0.2</v>
      </c>
      <c r="AP22" s="45">
        <v>0.2</v>
      </c>
      <c r="AQ22" s="19">
        <f t="shared" si="9"/>
        <v>1</v>
      </c>
      <c r="AR22" s="655">
        <v>0.2</v>
      </c>
      <c r="AS22" s="45">
        <v>0.2</v>
      </c>
      <c r="AT22" s="19">
        <f t="shared" si="10"/>
        <v>1</v>
      </c>
      <c r="AU22" s="655">
        <v>0.2</v>
      </c>
      <c r="AV22" s="45">
        <v>0.2</v>
      </c>
      <c r="AW22" s="19">
        <f t="shared" si="11"/>
        <v>1</v>
      </c>
      <c r="AX22" s="733">
        <f>(M22+P22+S22+V22+Y22+AB22+AG22+AJ22+AM22+AP22+AS22+AV22)/12</f>
        <v>0.19999999999999998</v>
      </c>
      <c r="AY22" s="19">
        <f t="shared" si="13"/>
        <v>0.99999999999999989</v>
      </c>
    </row>
    <row r="23" spans="1:51" s="22" customFormat="1" ht="61.5" thickTop="1" thickBot="1">
      <c r="A23" s="2846"/>
      <c r="B23" s="2849"/>
      <c r="C23" s="2937"/>
      <c r="D23" s="728" t="s">
        <v>128</v>
      </c>
      <c r="E23" s="76" t="s">
        <v>389</v>
      </c>
      <c r="F23" s="76" t="s">
        <v>10</v>
      </c>
      <c r="G23" s="724">
        <v>1</v>
      </c>
      <c r="H23" s="76"/>
      <c r="I23" s="724">
        <v>1</v>
      </c>
      <c r="J23" s="76"/>
      <c r="K23" s="76" t="s">
        <v>7</v>
      </c>
      <c r="L23" s="653">
        <v>1</v>
      </c>
      <c r="M23" s="50">
        <v>1</v>
      </c>
      <c r="N23" s="19">
        <f t="shared" si="0"/>
        <v>1</v>
      </c>
      <c r="O23" s="653">
        <v>1</v>
      </c>
      <c r="P23" s="50">
        <v>1</v>
      </c>
      <c r="Q23" s="19">
        <f t="shared" si="1"/>
        <v>1</v>
      </c>
      <c r="R23" s="653">
        <v>1</v>
      </c>
      <c r="S23" s="50">
        <v>1</v>
      </c>
      <c r="T23" s="19">
        <f>+S23/R23</f>
        <v>1</v>
      </c>
      <c r="U23" s="653">
        <v>1</v>
      </c>
      <c r="V23" s="50">
        <v>1</v>
      </c>
      <c r="W23" s="19">
        <f t="shared" si="3"/>
        <v>1</v>
      </c>
      <c r="X23" s="653">
        <v>1</v>
      </c>
      <c r="Y23" s="50">
        <v>1</v>
      </c>
      <c r="Z23" s="19">
        <f t="shared" si="4"/>
        <v>1</v>
      </c>
      <c r="AA23" s="653">
        <v>1</v>
      </c>
      <c r="AB23" s="50">
        <v>1</v>
      </c>
      <c r="AC23" s="19">
        <f t="shared" si="5"/>
        <v>1</v>
      </c>
      <c r="AD23" s="51">
        <f>(M23+P23+S23+V23+Y23+AB23)/6</f>
        <v>1</v>
      </c>
      <c r="AE23" s="19">
        <f t="shared" si="7"/>
        <v>1</v>
      </c>
      <c r="AF23" s="653">
        <v>1</v>
      </c>
      <c r="AG23" s="50">
        <v>1</v>
      </c>
      <c r="AH23" s="19">
        <f t="shared" si="8"/>
        <v>1</v>
      </c>
      <c r="AI23" s="653">
        <v>1</v>
      </c>
      <c r="AJ23" s="50">
        <v>1</v>
      </c>
      <c r="AK23" s="19">
        <f t="shared" si="14"/>
        <v>1</v>
      </c>
      <c r="AL23" s="653">
        <v>1</v>
      </c>
      <c r="AM23" s="50">
        <v>1</v>
      </c>
      <c r="AN23" s="19">
        <f t="shared" si="15"/>
        <v>1</v>
      </c>
      <c r="AO23" s="653">
        <v>1</v>
      </c>
      <c r="AP23" s="50">
        <v>1</v>
      </c>
      <c r="AQ23" s="19">
        <f t="shared" si="9"/>
        <v>1</v>
      </c>
      <c r="AR23" s="653">
        <v>1</v>
      </c>
      <c r="AS23" s="50">
        <v>1</v>
      </c>
      <c r="AT23" s="19">
        <f t="shared" si="10"/>
        <v>1</v>
      </c>
      <c r="AU23" s="653">
        <v>1</v>
      </c>
      <c r="AV23" s="50">
        <v>1</v>
      </c>
      <c r="AW23" s="19">
        <f t="shared" si="11"/>
        <v>1</v>
      </c>
      <c r="AX23" s="656">
        <f>(M23+P23+S23+V23+Y23+AB23+AG23+AJ23+AM23+AP23+AS23+AV23)/12</f>
        <v>1</v>
      </c>
      <c r="AY23" s="19">
        <f t="shared" si="13"/>
        <v>1</v>
      </c>
    </row>
    <row r="24" spans="1:51" s="22" customFormat="1" ht="61.5" thickTop="1" thickBot="1">
      <c r="A24" s="2846"/>
      <c r="B24" s="2849"/>
      <c r="C24" s="2937"/>
      <c r="D24" s="731" t="s">
        <v>179</v>
      </c>
      <c r="E24" s="81" t="s">
        <v>131</v>
      </c>
      <c r="F24" s="81" t="s">
        <v>10</v>
      </c>
      <c r="G24" s="732">
        <v>1</v>
      </c>
      <c r="H24" s="81"/>
      <c r="I24" s="732">
        <v>1</v>
      </c>
      <c r="J24" s="81"/>
      <c r="K24" s="81" t="s">
        <v>7</v>
      </c>
      <c r="L24" s="655"/>
      <c r="M24" s="45"/>
      <c r="N24" s="19" t="e">
        <f t="shared" si="0"/>
        <v>#DIV/0!</v>
      </c>
      <c r="O24" s="655"/>
      <c r="P24" s="45"/>
      <c r="Q24" s="19" t="e">
        <f t="shared" si="1"/>
        <v>#DIV/0!</v>
      </c>
      <c r="R24" s="655"/>
      <c r="S24" s="45"/>
      <c r="T24" s="19" t="e">
        <f t="shared" si="2"/>
        <v>#DIV/0!</v>
      </c>
      <c r="U24" s="655">
        <v>1</v>
      </c>
      <c r="V24" s="45">
        <v>0.06</v>
      </c>
      <c r="W24" s="19">
        <f t="shared" si="3"/>
        <v>0.06</v>
      </c>
      <c r="X24" s="655">
        <v>1</v>
      </c>
      <c r="Y24" s="45">
        <v>0.13750000000000001</v>
      </c>
      <c r="Z24" s="19">
        <f t="shared" si="4"/>
        <v>0.13750000000000001</v>
      </c>
      <c r="AA24" s="655">
        <v>1</v>
      </c>
      <c r="AB24" s="45">
        <v>0.1875</v>
      </c>
      <c r="AC24" s="19">
        <f t="shared" si="5"/>
        <v>0.1875</v>
      </c>
      <c r="AD24" s="46">
        <f>(M24+P24+S24+V24+Y24+AB24)/6</f>
        <v>6.4166666666666664E-2</v>
      </c>
      <c r="AE24" s="19">
        <f t="shared" si="7"/>
        <v>6.4166666666666664E-2</v>
      </c>
      <c r="AF24" s="655">
        <v>1</v>
      </c>
      <c r="AG24" s="45">
        <v>0.27500000000000002</v>
      </c>
      <c r="AH24" s="19">
        <f t="shared" si="8"/>
        <v>0.27500000000000002</v>
      </c>
      <c r="AI24" s="655">
        <v>1</v>
      </c>
      <c r="AJ24" s="45">
        <v>0.32500000000000001</v>
      </c>
      <c r="AK24" s="19">
        <f t="shared" si="14"/>
        <v>0.32500000000000001</v>
      </c>
      <c r="AL24" s="655">
        <v>1</v>
      </c>
      <c r="AM24" s="45">
        <v>0.33750000000000002</v>
      </c>
      <c r="AN24" s="19">
        <f t="shared" si="15"/>
        <v>0.33750000000000002</v>
      </c>
      <c r="AO24" s="655">
        <v>1</v>
      </c>
      <c r="AP24" s="45">
        <v>0.33750000000000002</v>
      </c>
      <c r="AQ24" s="19">
        <f t="shared" si="9"/>
        <v>0.33750000000000002</v>
      </c>
      <c r="AR24" s="655">
        <v>1</v>
      </c>
      <c r="AS24" s="45">
        <v>0.83750000000000002</v>
      </c>
      <c r="AT24" s="19">
        <f t="shared" si="10"/>
        <v>0.83750000000000002</v>
      </c>
      <c r="AU24" s="655">
        <v>1</v>
      </c>
      <c r="AV24" s="45">
        <v>1.2775000000000001</v>
      </c>
      <c r="AW24" s="19">
        <f t="shared" si="11"/>
        <v>1.2775000000000001</v>
      </c>
      <c r="AX24" s="733">
        <f>(M24+P24+S24+V24+Y24+AB24+AG24+AJ24+AM24+AP24+AS24+AV24)/12</f>
        <v>0.31458333333333338</v>
      </c>
      <c r="AY24" s="19">
        <f t="shared" si="13"/>
        <v>0.31458333333333338</v>
      </c>
    </row>
    <row r="25" spans="1:51" s="22" customFormat="1" ht="61.5" thickTop="1" thickBot="1">
      <c r="A25" s="2846"/>
      <c r="B25" s="2850"/>
      <c r="C25" s="2938"/>
      <c r="D25" s="728" t="s">
        <v>132</v>
      </c>
      <c r="E25" s="76" t="s">
        <v>133</v>
      </c>
      <c r="F25" s="76" t="s">
        <v>10</v>
      </c>
      <c r="G25" s="724">
        <v>1</v>
      </c>
      <c r="H25" s="78"/>
      <c r="I25" s="724">
        <v>1</v>
      </c>
      <c r="J25" s="78"/>
      <c r="K25" s="76" t="s">
        <v>7</v>
      </c>
      <c r="L25" s="653">
        <v>0</v>
      </c>
      <c r="M25" s="50"/>
      <c r="N25" s="19" t="e">
        <f t="shared" si="0"/>
        <v>#DIV/0!</v>
      </c>
      <c r="O25" s="653">
        <v>0</v>
      </c>
      <c r="P25" s="50"/>
      <c r="Q25" s="19" t="e">
        <f t="shared" si="1"/>
        <v>#DIV/0!</v>
      </c>
      <c r="R25" s="653">
        <v>0</v>
      </c>
      <c r="S25" s="50"/>
      <c r="T25" s="19" t="e">
        <f t="shared" si="2"/>
        <v>#DIV/0!</v>
      </c>
      <c r="U25" s="653">
        <v>0</v>
      </c>
      <c r="V25" s="50"/>
      <c r="W25" s="19" t="e">
        <f t="shared" si="3"/>
        <v>#DIV/0!</v>
      </c>
      <c r="X25" s="653">
        <v>0</v>
      </c>
      <c r="Y25" s="50"/>
      <c r="Z25" s="19" t="e">
        <f t="shared" si="4"/>
        <v>#DIV/0!</v>
      </c>
      <c r="AA25" s="653">
        <v>0</v>
      </c>
      <c r="AB25" s="50"/>
      <c r="AC25" s="19" t="e">
        <f t="shared" si="5"/>
        <v>#DIV/0!</v>
      </c>
      <c r="AD25" s="51">
        <f>(M25+P25+S25+V25+Y25+AB25)/6</f>
        <v>0</v>
      </c>
      <c r="AE25" s="19">
        <f t="shared" si="7"/>
        <v>0</v>
      </c>
      <c r="AF25" s="653">
        <v>0</v>
      </c>
      <c r="AG25" s="50"/>
      <c r="AH25" s="19" t="e">
        <f t="shared" si="8"/>
        <v>#DIV/0!</v>
      </c>
      <c r="AI25" s="653">
        <v>1</v>
      </c>
      <c r="AJ25" s="50">
        <v>1.1399999999999999</v>
      </c>
      <c r="AK25" s="19">
        <f t="shared" si="14"/>
        <v>1.1399999999999999</v>
      </c>
      <c r="AL25" s="653">
        <v>0</v>
      </c>
      <c r="AM25" s="50"/>
      <c r="AN25" s="19" t="e">
        <f t="shared" si="15"/>
        <v>#DIV/0!</v>
      </c>
      <c r="AO25" s="653">
        <v>0</v>
      </c>
      <c r="AP25" s="50"/>
      <c r="AQ25" s="19" t="e">
        <f t="shared" si="9"/>
        <v>#DIV/0!</v>
      </c>
      <c r="AR25" s="653">
        <v>0</v>
      </c>
      <c r="AS25" s="50"/>
      <c r="AT25" s="19" t="e">
        <f t="shared" si="10"/>
        <v>#DIV/0!</v>
      </c>
      <c r="AU25" s="653">
        <v>0</v>
      </c>
      <c r="AV25" s="50"/>
      <c r="AW25" s="19" t="e">
        <f t="shared" si="11"/>
        <v>#DIV/0!</v>
      </c>
      <c r="AX25" s="656">
        <f>AJ25</f>
        <v>1.1399999999999999</v>
      </c>
      <c r="AY25" s="19">
        <f t="shared" si="13"/>
        <v>1.1399999999999999</v>
      </c>
    </row>
    <row r="26" spans="1:51" s="22" customFormat="1" ht="22.5" thickTop="1" thickBot="1">
      <c r="A26" s="2857" t="s">
        <v>141</v>
      </c>
      <c r="B26" s="2858"/>
      <c r="C26" s="2858"/>
      <c r="D26" s="2858"/>
      <c r="E26" s="2858"/>
      <c r="F26" s="2858"/>
      <c r="G26" s="2858"/>
      <c r="H26" s="2858"/>
      <c r="I26" s="2858"/>
      <c r="J26" s="2858"/>
      <c r="K26" s="2859"/>
      <c r="L26" s="55"/>
      <c r="M26" s="56"/>
      <c r="N26" s="55"/>
      <c r="O26" s="55"/>
      <c r="P26" s="56"/>
      <c r="Q26" s="55"/>
      <c r="R26" s="55"/>
      <c r="S26" s="56"/>
      <c r="T26" s="55"/>
      <c r="U26" s="55"/>
      <c r="V26" s="56"/>
      <c r="W26" s="55"/>
      <c r="X26" s="55"/>
      <c r="Y26" s="56"/>
      <c r="Z26" s="55"/>
      <c r="AA26" s="55"/>
      <c r="AB26" s="56"/>
      <c r="AC26" s="55"/>
      <c r="AD26" s="55"/>
      <c r="AE26" s="55"/>
      <c r="AF26" s="55"/>
      <c r="AG26" s="56"/>
      <c r="AH26" s="55"/>
      <c r="AI26" s="55"/>
      <c r="AJ26" s="56"/>
      <c r="AK26" s="55"/>
      <c r="AL26" s="55"/>
      <c r="AM26" s="56"/>
      <c r="AN26" s="55"/>
      <c r="AO26" s="55"/>
      <c r="AP26" s="56"/>
      <c r="AQ26" s="55"/>
      <c r="AR26" s="55"/>
      <c r="AS26" s="56"/>
      <c r="AT26" s="55"/>
      <c r="AU26" s="55"/>
      <c r="AV26" s="56"/>
      <c r="AW26" s="55"/>
      <c r="AX26" s="55"/>
      <c r="AY26" s="55"/>
    </row>
    <row r="27" spans="1:51" s="22" customFormat="1" ht="106.5" thickTop="1" thickBot="1">
      <c r="A27" s="2939" t="s">
        <v>181</v>
      </c>
      <c r="B27" s="2863" t="s">
        <v>314</v>
      </c>
      <c r="C27" s="734" t="s">
        <v>390</v>
      </c>
      <c r="D27" s="735" t="s">
        <v>144</v>
      </c>
      <c r="E27" s="734" t="s">
        <v>145</v>
      </c>
      <c r="F27" s="734" t="s">
        <v>17</v>
      </c>
      <c r="G27" s="734">
        <v>1250</v>
      </c>
      <c r="H27" s="734"/>
      <c r="I27" s="734" t="s">
        <v>316</v>
      </c>
      <c r="J27" s="734"/>
      <c r="K27" s="734" t="s">
        <v>146</v>
      </c>
      <c r="L27" s="636">
        <v>0</v>
      </c>
      <c r="M27" s="736"/>
      <c r="N27" s="19" t="e">
        <f t="shared" si="0"/>
        <v>#DIV/0!</v>
      </c>
      <c r="O27" s="665">
        <v>0</v>
      </c>
      <c r="P27" s="28"/>
      <c r="Q27" s="19" t="e">
        <f t="shared" si="1"/>
        <v>#DIV/0!</v>
      </c>
      <c r="R27" s="665">
        <v>0</v>
      </c>
      <c r="S27" s="28"/>
      <c r="T27" s="19" t="e">
        <f t="shared" si="2"/>
        <v>#DIV/0!</v>
      </c>
      <c r="U27" s="665">
        <v>170</v>
      </c>
      <c r="V27" s="28">
        <v>344</v>
      </c>
      <c r="W27" s="19">
        <f t="shared" si="3"/>
        <v>2.0235294117647058</v>
      </c>
      <c r="X27" s="665">
        <v>0</v>
      </c>
      <c r="Y27" s="28"/>
      <c r="Z27" s="19" t="e">
        <f t="shared" si="4"/>
        <v>#DIV/0!</v>
      </c>
      <c r="AA27" s="665">
        <v>0</v>
      </c>
      <c r="AB27" s="28"/>
      <c r="AC27" s="19"/>
      <c r="AD27" s="29">
        <f t="shared" si="6"/>
        <v>344</v>
      </c>
      <c r="AE27" s="19">
        <f t="shared" si="7"/>
        <v>0.2752</v>
      </c>
      <c r="AF27" s="665">
        <v>0</v>
      </c>
      <c r="AG27" s="28"/>
      <c r="AH27" s="19" t="e">
        <f t="shared" si="8"/>
        <v>#DIV/0!</v>
      </c>
      <c r="AI27" s="665">
        <v>405</v>
      </c>
      <c r="AJ27" s="28">
        <v>107</v>
      </c>
      <c r="AK27" s="19">
        <f t="shared" si="14"/>
        <v>0.26419753086419751</v>
      </c>
      <c r="AL27" s="665">
        <v>0</v>
      </c>
      <c r="AM27" s="28"/>
      <c r="AN27" s="19" t="e">
        <f t="shared" si="15"/>
        <v>#DIV/0!</v>
      </c>
      <c r="AO27" s="665">
        <v>0</v>
      </c>
      <c r="AP27" s="28"/>
      <c r="AQ27" s="19" t="e">
        <f t="shared" si="9"/>
        <v>#DIV/0!</v>
      </c>
      <c r="AR27" s="665">
        <v>0</v>
      </c>
      <c r="AS27" s="28"/>
      <c r="AT27" s="19" t="e">
        <f t="shared" si="10"/>
        <v>#DIV/0!</v>
      </c>
      <c r="AU27" s="665">
        <v>675</v>
      </c>
      <c r="AV27" s="28">
        <v>1014</v>
      </c>
      <c r="AW27" s="19">
        <f t="shared" si="11"/>
        <v>1.5022222222222221</v>
      </c>
      <c r="AX27" s="636">
        <f t="shared" si="12"/>
        <v>1465</v>
      </c>
      <c r="AY27" s="19">
        <f t="shared" si="13"/>
        <v>1.1719999999999999</v>
      </c>
    </row>
    <row r="28" spans="1:51" s="22" customFormat="1" ht="61.5" thickTop="1" thickBot="1">
      <c r="A28" s="2940"/>
      <c r="B28" s="2942"/>
      <c r="C28" s="561" t="s">
        <v>391</v>
      </c>
      <c r="D28" s="623" t="s">
        <v>148</v>
      </c>
      <c r="E28" s="561" t="s">
        <v>149</v>
      </c>
      <c r="F28" s="561" t="s">
        <v>8</v>
      </c>
      <c r="G28" s="561">
        <v>10.199999999999999</v>
      </c>
      <c r="H28" s="561"/>
      <c r="I28" s="561">
        <v>10.199999999999999</v>
      </c>
      <c r="J28" s="561"/>
      <c r="K28" s="561" t="s">
        <v>9</v>
      </c>
      <c r="L28" s="737">
        <v>10.199999999999999</v>
      </c>
      <c r="M28" s="719">
        <v>7.1</v>
      </c>
      <c r="N28" s="19">
        <f>+L28/M28</f>
        <v>1.436619718309859</v>
      </c>
      <c r="O28" s="625">
        <v>10.199999999999999</v>
      </c>
      <c r="P28" s="59">
        <v>7.5</v>
      </c>
      <c r="Q28" s="19">
        <f>+O28/P28</f>
        <v>1.3599999999999999</v>
      </c>
      <c r="R28" s="625">
        <v>10.199999999999999</v>
      </c>
      <c r="S28" s="59">
        <v>9</v>
      </c>
      <c r="T28" s="19">
        <f>+R28/S28</f>
        <v>1.1333333333333333</v>
      </c>
      <c r="U28" s="625">
        <v>10.199999999999999</v>
      </c>
      <c r="V28" s="59">
        <v>9.6999999999999993</v>
      </c>
      <c r="W28" s="19">
        <f>+U28/V28</f>
        <v>1.0515463917525774</v>
      </c>
      <c r="X28" s="625">
        <v>10.199999999999999</v>
      </c>
      <c r="Y28" s="59">
        <v>8.6999999999999993</v>
      </c>
      <c r="Z28" s="19">
        <f>+X28/Y28</f>
        <v>1.1724137931034484</v>
      </c>
      <c r="AA28" s="625">
        <v>10.199999999999999</v>
      </c>
      <c r="AB28" s="59">
        <v>8.6</v>
      </c>
      <c r="AC28" s="19">
        <f>+AA28/AB28</f>
        <v>1.1860465116279069</v>
      </c>
      <c r="AD28" s="60">
        <f>(M28+P28+S28+V28+Y28+AB28)/6</f>
        <v>8.4333333333333336</v>
      </c>
      <c r="AE28" s="19">
        <f>G28/AD28</f>
        <v>1.209486166007905</v>
      </c>
      <c r="AF28" s="625">
        <v>10.199999999999999</v>
      </c>
      <c r="AG28" s="59">
        <v>9.1</v>
      </c>
      <c r="AH28" s="19">
        <f>+AF28/AG28</f>
        <v>1.1208791208791209</v>
      </c>
      <c r="AI28" s="625">
        <v>10.199999999999999</v>
      </c>
      <c r="AJ28" s="59">
        <v>9.1999999999999993</v>
      </c>
      <c r="AK28" s="19">
        <f>+AI28/AJ28</f>
        <v>1.1086956521739131</v>
      </c>
      <c r="AL28" s="625">
        <v>10.199999999999999</v>
      </c>
      <c r="AM28" s="59">
        <v>9.3000000000000007</v>
      </c>
      <c r="AN28" s="19">
        <f>+AL28/AM28</f>
        <v>1.096774193548387</v>
      </c>
      <c r="AO28" s="625">
        <v>10.199999999999999</v>
      </c>
      <c r="AP28" s="59">
        <v>8.1999999999999993</v>
      </c>
      <c r="AQ28" s="19">
        <f>+AO28/AP28</f>
        <v>1.2439024390243902</v>
      </c>
      <c r="AR28" s="625">
        <v>10.199999999999999</v>
      </c>
      <c r="AS28" s="59">
        <v>8</v>
      </c>
      <c r="AT28" s="19">
        <f>+AR28/AS28</f>
        <v>1.2749999999999999</v>
      </c>
      <c r="AU28" s="625">
        <v>10.199999999999999</v>
      </c>
      <c r="AV28" s="59">
        <v>5.63</v>
      </c>
      <c r="AW28" s="19">
        <f>+AU28/AV28</f>
        <v>1.8117229129662522</v>
      </c>
      <c r="AX28" s="638">
        <f>(M28+P28+S28+V28+Y28+AB28+AG28+AJ28+AM28+AP28+AS28+AV28)/12</f>
        <v>8.3358333333333334</v>
      </c>
      <c r="AY28" s="19">
        <f>G28/AX28</f>
        <v>1.2236329101269618</v>
      </c>
    </row>
    <row r="29" spans="1:51" s="22" customFormat="1" ht="57.75" thickTop="1" thickBot="1">
      <c r="A29" s="2941"/>
      <c r="B29" s="695" t="s">
        <v>150</v>
      </c>
      <c r="C29" s="734" t="s">
        <v>318</v>
      </c>
      <c r="D29" s="735" t="s">
        <v>319</v>
      </c>
      <c r="E29" s="734" t="s">
        <v>183</v>
      </c>
      <c r="F29" s="734" t="s">
        <v>17</v>
      </c>
      <c r="G29" s="734">
        <v>37</v>
      </c>
      <c r="H29" s="734"/>
      <c r="I29" s="734">
        <v>37</v>
      </c>
      <c r="J29" s="734"/>
      <c r="K29" s="734" t="s">
        <v>21</v>
      </c>
      <c r="L29" s="636">
        <v>0</v>
      </c>
      <c r="M29" s="736"/>
      <c r="N29" s="19" t="e">
        <f>+L29/M29</f>
        <v>#DIV/0!</v>
      </c>
      <c r="O29" s="665">
        <v>0</v>
      </c>
      <c r="P29" s="28"/>
      <c r="Q29" s="19" t="e">
        <f>+O29/P29</f>
        <v>#DIV/0!</v>
      </c>
      <c r="R29" s="665">
        <v>37</v>
      </c>
      <c r="S29" s="28">
        <v>45</v>
      </c>
      <c r="T29" s="19">
        <f>+R29/S29</f>
        <v>0.82222222222222219</v>
      </c>
      <c r="U29" s="665">
        <v>37</v>
      </c>
      <c r="V29" s="28">
        <v>48</v>
      </c>
      <c r="W29" s="19">
        <f>+U29/V29</f>
        <v>0.77083333333333337</v>
      </c>
      <c r="X29" s="665">
        <v>37</v>
      </c>
      <c r="Y29" s="28">
        <v>36</v>
      </c>
      <c r="Z29" s="19">
        <f>+X29/Y29</f>
        <v>1.0277777777777777</v>
      </c>
      <c r="AA29" s="665">
        <v>37</v>
      </c>
      <c r="AB29" s="28">
        <v>35</v>
      </c>
      <c r="AC29" s="19">
        <f>+AA29/AB29</f>
        <v>1.0571428571428572</v>
      </c>
      <c r="AD29" s="29">
        <f>(M29+P29+S29+V29+Y29+AB29)/4</f>
        <v>41</v>
      </c>
      <c r="AE29" s="19">
        <f>G29/AD29</f>
        <v>0.90243902439024393</v>
      </c>
      <c r="AF29" s="665">
        <v>37</v>
      </c>
      <c r="AG29" s="28">
        <v>36</v>
      </c>
      <c r="AH29" s="19">
        <f>+AF29/AG29</f>
        <v>1.0277777777777777</v>
      </c>
      <c r="AI29" s="665">
        <v>37</v>
      </c>
      <c r="AJ29" s="28">
        <v>32</v>
      </c>
      <c r="AK29" s="19">
        <f>+AI29/AJ29</f>
        <v>1.15625</v>
      </c>
      <c r="AL29" s="665">
        <v>37</v>
      </c>
      <c r="AM29" s="28">
        <v>32</v>
      </c>
      <c r="AN29" s="19">
        <f>+AL29/AM29</f>
        <v>1.15625</v>
      </c>
      <c r="AO29" s="665">
        <v>37</v>
      </c>
      <c r="AP29" s="28">
        <v>32</v>
      </c>
      <c r="AQ29" s="19">
        <f>+AO29/AP29</f>
        <v>1.15625</v>
      </c>
      <c r="AR29" s="665">
        <v>37</v>
      </c>
      <c r="AS29" s="28"/>
      <c r="AT29" s="19" t="e">
        <f>+AR29/AS29</f>
        <v>#DIV/0!</v>
      </c>
      <c r="AU29" s="665">
        <v>37</v>
      </c>
      <c r="AV29" s="28">
        <v>35</v>
      </c>
      <c r="AW29" s="19">
        <f>+AU29/AV29</f>
        <v>1.0571428571428572</v>
      </c>
      <c r="AX29" s="636">
        <f>(M29+P29+S29+V29+Y29+AB29+AG29+AJ29+AM29+AP29+AS29+AV29)/10</f>
        <v>33.1</v>
      </c>
      <c r="AY29" s="19">
        <f>G29/AX29</f>
        <v>1.1178247734138973</v>
      </c>
    </row>
    <row r="30" spans="1:51" s="22" customFormat="1" ht="22.5" thickTop="1" thickBot="1">
      <c r="A30" s="2842" t="s">
        <v>154</v>
      </c>
      <c r="B30" s="2843"/>
      <c r="C30" s="2843"/>
      <c r="D30" s="2843"/>
      <c r="E30" s="2843"/>
      <c r="F30" s="2843"/>
      <c r="G30" s="2843"/>
      <c r="H30" s="2843"/>
      <c r="I30" s="2843"/>
      <c r="J30" s="2843"/>
      <c r="K30" s="2844"/>
      <c r="L30" s="61"/>
      <c r="M30" s="62"/>
      <c r="N30" s="61"/>
      <c r="O30" s="61"/>
      <c r="P30" s="62"/>
      <c r="Q30" s="61"/>
      <c r="R30" s="61"/>
      <c r="S30" s="62"/>
      <c r="T30" s="61"/>
      <c r="U30" s="61"/>
      <c r="V30" s="62"/>
      <c r="W30" s="61"/>
      <c r="X30" s="61"/>
      <c r="Y30" s="62"/>
      <c r="Z30" s="61"/>
      <c r="AA30" s="61"/>
      <c r="AB30" s="62"/>
      <c r="AC30" s="61"/>
      <c r="AD30" s="61"/>
      <c r="AE30" s="61"/>
      <c r="AF30" s="61"/>
      <c r="AG30" s="62"/>
      <c r="AH30" s="61"/>
      <c r="AI30" s="61"/>
      <c r="AJ30" s="62"/>
      <c r="AK30" s="61"/>
      <c r="AL30" s="61"/>
      <c r="AM30" s="62"/>
      <c r="AN30" s="61"/>
      <c r="AO30" s="61"/>
      <c r="AP30" s="62"/>
      <c r="AQ30" s="61"/>
      <c r="AR30" s="61"/>
      <c r="AS30" s="62"/>
      <c r="AT30" s="61"/>
      <c r="AU30" s="61"/>
      <c r="AV30" s="62"/>
      <c r="AW30" s="61"/>
      <c r="AX30" s="61"/>
      <c r="AY30" s="61"/>
    </row>
    <row r="31" spans="1:51" s="22" customFormat="1" ht="64.5" thickTop="1" thickBot="1">
      <c r="A31" s="738" t="s">
        <v>155</v>
      </c>
      <c r="B31" s="739" t="s">
        <v>156</v>
      </c>
      <c r="C31" s="740" t="s">
        <v>392</v>
      </c>
      <c r="D31" s="735" t="s">
        <v>158</v>
      </c>
      <c r="E31" s="734" t="s">
        <v>393</v>
      </c>
      <c r="F31" s="734" t="s">
        <v>17</v>
      </c>
      <c r="G31" s="734">
        <v>13</v>
      </c>
      <c r="H31" s="734"/>
      <c r="I31" s="734" t="s">
        <v>316</v>
      </c>
      <c r="J31" s="734"/>
      <c r="K31" s="734" t="s">
        <v>27</v>
      </c>
      <c r="L31" s="665">
        <v>0</v>
      </c>
      <c r="M31" s="28"/>
      <c r="N31" s="19" t="e">
        <f>+M31/L31</f>
        <v>#DIV/0!</v>
      </c>
      <c r="O31" s="741">
        <v>0</v>
      </c>
      <c r="P31" s="742"/>
      <c r="Q31" s="19" t="e">
        <f>+P31/O31</f>
        <v>#DIV/0!</v>
      </c>
      <c r="R31" s="741">
        <v>0</v>
      </c>
      <c r="S31" s="742"/>
      <c r="T31" s="19" t="e">
        <f>+S31/R31</f>
        <v>#DIV/0!</v>
      </c>
      <c r="U31" s="665">
        <v>0</v>
      </c>
      <c r="V31" s="28"/>
      <c r="W31" s="19" t="e">
        <f>+V31/U31</f>
        <v>#DIV/0!</v>
      </c>
      <c r="X31" s="665">
        <v>2</v>
      </c>
      <c r="Y31" s="28">
        <v>2</v>
      </c>
      <c r="Z31" s="19">
        <f>+Y31/X31</f>
        <v>1</v>
      </c>
      <c r="AA31" s="665">
        <v>0</v>
      </c>
      <c r="AB31" s="28"/>
      <c r="AC31" s="19" t="e">
        <f>+AB31/AA31</f>
        <v>#DIV/0!</v>
      </c>
      <c r="AD31" s="29">
        <f>+M31+P31+S31+V31+Y31+AB31</f>
        <v>2</v>
      </c>
      <c r="AE31" s="19">
        <f>AD31/G31</f>
        <v>0.15384615384615385</v>
      </c>
      <c r="AF31" s="665">
        <v>1</v>
      </c>
      <c r="AG31" s="28">
        <v>1</v>
      </c>
      <c r="AH31" s="19">
        <f>+AG31/AF31</f>
        <v>1</v>
      </c>
      <c r="AI31" s="665">
        <v>3</v>
      </c>
      <c r="AJ31" s="28">
        <v>3</v>
      </c>
      <c r="AK31" s="19">
        <f>+AJ31/AI31</f>
        <v>1</v>
      </c>
      <c r="AL31" s="665">
        <v>3</v>
      </c>
      <c r="AM31" s="28">
        <v>3</v>
      </c>
      <c r="AN31" s="19">
        <f>+AM31/AL31</f>
        <v>1</v>
      </c>
      <c r="AO31" s="665">
        <v>4</v>
      </c>
      <c r="AP31" s="28">
        <v>4</v>
      </c>
      <c r="AQ31" s="19">
        <f>+AP31/AO31</f>
        <v>1</v>
      </c>
      <c r="AR31" s="665">
        <v>0</v>
      </c>
      <c r="AS31" s="28"/>
      <c r="AT31" s="19" t="e">
        <f>+AS31/AR31</f>
        <v>#DIV/0!</v>
      </c>
      <c r="AU31" s="665">
        <v>0</v>
      </c>
      <c r="AV31" s="28"/>
      <c r="AW31" s="19" t="e">
        <f>+AV31/AU31</f>
        <v>#DIV/0!</v>
      </c>
      <c r="AX31" s="636">
        <f>+M31+P31+S31+V31+Y31+AB31+AG31+AJ31+AM31+AP31+AS31+AV31</f>
        <v>13</v>
      </c>
      <c r="AY31" s="19">
        <f>+AX31/G31</f>
        <v>1</v>
      </c>
    </row>
    <row r="32" spans="1:51" ht="17.25" thickTop="1">
      <c r="C32" s="64"/>
    </row>
    <row r="33" spans="52:52">
      <c r="AZ33" s="743"/>
    </row>
  </sheetData>
  <sheetProtection algorithmName="SHA-512" hashValue="fi/sFYlzSNJmqeW0Phz2IJy5EE8a8gogRw3HtkhMOJ7V8K3/m0g+2BV/CBoCKsGWP7hNdOw8PaQq8sjeJ95zzQ==" saltValue="sAnqIgHNJuUQVrlSJ4AHtQ==" spinCount="100000" sheet="1" objects="1" scenarios="1"/>
  <mergeCells count="35">
    <mergeCell ref="A26:K26"/>
    <mergeCell ref="A27:A29"/>
    <mergeCell ref="B27:B28"/>
    <mergeCell ref="A30:K30"/>
    <mergeCell ref="AO5:AQ7"/>
    <mergeCell ref="L5:N7"/>
    <mergeCell ref="O5:Q7"/>
    <mergeCell ref="R5:T7"/>
    <mergeCell ref="U5:W7"/>
    <mergeCell ref="AR5:AT7"/>
    <mergeCell ref="AU5:AW7"/>
    <mergeCell ref="AX5:AY7"/>
    <mergeCell ref="A8:K8"/>
    <mergeCell ref="A9:A25"/>
    <mergeCell ref="B9:B25"/>
    <mergeCell ref="C10:C14"/>
    <mergeCell ref="C19:C25"/>
    <mergeCell ref="X5:Z7"/>
    <mergeCell ref="AA5:AC7"/>
    <mergeCell ref="AD5:AE7"/>
    <mergeCell ref="AF5:AH7"/>
    <mergeCell ref="AI5:AK7"/>
    <mergeCell ref="AL5:AN7"/>
    <mergeCell ref="H5:J6"/>
    <mergeCell ref="K5:K7"/>
    <mergeCell ref="C1:K1"/>
    <mergeCell ref="C2:K2"/>
    <mergeCell ref="C3:K3"/>
    <mergeCell ref="A5:A7"/>
    <mergeCell ref="B5:B7"/>
    <mergeCell ref="C5:C7"/>
    <mergeCell ref="D5:D7"/>
    <mergeCell ref="E5:E7"/>
    <mergeCell ref="F5:F7"/>
    <mergeCell ref="G5:G7"/>
  </mergeCells>
  <conditionalFormatting sqref="AY9:AY25 AY31 AY27:AY29">
    <cfRule type="cellIs" dxfId="10344" priority="66" operator="greaterThan">
      <formula>110%</formula>
    </cfRule>
    <cfRule type="cellIs" dxfId="10343" priority="67" operator="between">
      <formula>100.001%</formula>
      <formula>110%</formula>
    </cfRule>
    <cfRule type="cellIs" dxfId="10342" priority="68" operator="between">
      <formula>70.001%</formula>
      <formula>100%</formula>
    </cfRule>
    <cfRule type="cellIs" dxfId="10341" priority="69" operator="between">
      <formula>0.00001%</formula>
      <formula>70%</formula>
    </cfRule>
    <cfRule type="cellIs" dxfId="10340" priority="70" operator="equal">
      <formula>0</formula>
    </cfRule>
  </conditionalFormatting>
  <conditionalFormatting sqref="AW9:AW25 AW31 AW27:AW29">
    <cfRule type="cellIs" dxfId="10339" priority="61" operator="greaterThan">
      <formula>110%</formula>
    </cfRule>
    <cfRule type="cellIs" dxfId="10338" priority="62" operator="between">
      <formula>100.001%</formula>
      <formula>110%</formula>
    </cfRule>
    <cfRule type="cellIs" dxfId="10337" priority="63" operator="between">
      <formula>70.001%</formula>
      <formula>100%</formula>
    </cfRule>
    <cfRule type="cellIs" dxfId="10336" priority="64" operator="between">
      <formula>0.00001%</formula>
      <formula>70%</formula>
    </cfRule>
    <cfRule type="cellIs" dxfId="10335" priority="65" operator="equal">
      <formula>0</formula>
    </cfRule>
  </conditionalFormatting>
  <conditionalFormatting sqref="AT9:AT25 AT31 AT27:AT29">
    <cfRule type="cellIs" dxfId="10334" priority="56" operator="greaterThan">
      <formula>110%</formula>
    </cfRule>
    <cfRule type="cellIs" dxfId="10333" priority="57" operator="between">
      <formula>100.001%</formula>
      <formula>110%</formula>
    </cfRule>
    <cfRule type="cellIs" dxfId="10332" priority="58" operator="between">
      <formula>70.001%</formula>
      <formula>100%</formula>
    </cfRule>
    <cfRule type="cellIs" dxfId="10331" priority="59" operator="between">
      <formula>0.00001%</formula>
      <formula>70%</formula>
    </cfRule>
    <cfRule type="cellIs" dxfId="10330" priority="60" operator="equal">
      <formula>0</formula>
    </cfRule>
  </conditionalFormatting>
  <conditionalFormatting sqref="AQ9:AQ25 AQ31 AQ27:AQ29">
    <cfRule type="cellIs" dxfId="10329" priority="51" operator="greaterThan">
      <formula>110%</formula>
    </cfRule>
    <cfRule type="cellIs" dxfId="10328" priority="52" operator="between">
      <formula>100.001%</formula>
      <formula>110%</formula>
    </cfRule>
    <cfRule type="cellIs" dxfId="10327" priority="53" operator="between">
      <formula>70.001%</formula>
      <formula>100%</formula>
    </cfRule>
    <cfRule type="cellIs" dxfId="10326" priority="54" operator="between">
      <formula>0.00001%</formula>
      <formula>70%</formula>
    </cfRule>
    <cfRule type="cellIs" dxfId="10325" priority="55" operator="equal">
      <formula>0</formula>
    </cfRule>
  </conditionalFormatting>
  <conditionalFormatting sqref="AN9:AN25 AN31 AN27:AN29">
    <cfRule type="cellIs" dxfId="10324" priority="46" operator="greaterThan">
      <formula>110%</formula>
    </cfRule>
    <cfRule type="cellIs" dxfId="10323" priority="47" operator="between">
      <formula>100.001%</formula>
      <formula>110%</formula>
    </cfRule>
    <cfRule type="cellIs" dxfId="10322" priority="48" operator="between">
      <formula>70.001%</formula>
      <formula>100%</formula>
    </cfRule>
    <cfRule type="cellIs" dxfId="10321" priority="49" operator="between">
      <formula>0.00001%</formula>
      <formula>70%</formula>
    </cfRule>
    <cfRule type="cellIs" dxfId="10320" priority="50" operator="equal">
      <formula>0</formula>
    </cfRule>
  </conditionalFormatting>
  <conditionalFormatting sqref="AK9:AK25 AK31 AK27:AK29">
    <cfRule type="cellIs" dxfId="10319" priority="41" operator="greaterThan">
      <formula>110%</formula>
    </cfRule>
    <cfRule type="cellIs" dxfId="10318" priority="42" operator="between">
      <formula>100.001%</formula>
      <formula>110%</formula>
    </cfRule>
    <cfRule type="cellIs" dxfId="10317" priority="43" operator="between">
      <formula>70.001%</formula>
      <formula>100%</formula>
    </cfRule>
    <cfRule type="cellIs" dxfId="10316" priority="44" operator="between">
      <formula>0.00001%</formula>
      <formula>70%</formula>
    </cfRule>
    <cfRule type="cellIs" dxfId="10315" priority="45" operator="equal">
      <formula>0</formula>
    </cfRule>
  </conditionalFormatting>
  <conditionalFormatting sqref="AH9:AH25 AH31 AH27:AH29">
    <cfRule type="cellIs" dxfId="10314" priority="36" operator="greaterThan">
      <formula>110%</formula>
    </cfRule>
    <cfRule type="cellIs" dxfId="10313" priority="37" operator="between">
      <formula>100.001%</formula>
      <formula>110%</formula>
    </cfRule>
    <cfRule type="cellIs" dxfId="10312" priority="38" operator="between">
      <formula>70.001%</formula>
      <formula>100%</formula>
    </cfRule>
    <cfRule type="cellIs" dxfId="10311" priority="39" operator="between">
      <formula>0.00001%</formula>
      <formula>70%</formula>
    </cfRule>
    <cfRule type="cellIs" dxfId="10310" priority="40" operator="equal">
      <formula>0</formula>
    </cfRule>
  </conditionalFormatting>
  <conditionalFormatting sqref="AE9:AE25 AE31 AE27:AE29">
    <cfRule type="cellIs" dxfId="10309" priority="31" operator="greaterThan">
      <formula>110%</formula>
    </cfRule>
    <cfRule type="cellIs" dxfId="10308" priority="32" operator="between">
      <formula>100.001%</formula>
      <formula>110%</formula>
    </cfRule>
    <cfRule type="cellIs" dxfId="10307" priority="33" operator="between">
      <formula>70.001%</formula>
      <formula>100%</formula>
    </cfRule>
    <cfRule type="cellIs" dxfId="10306" priority="34" operator="between">
      <formula>0.00001%</formula>
      <formula>70%</formula>
    </cfRule>
    <cfRule type="cellIs" dxfId="10305" priority="35" operator="equal">
      <formula>0</formula>
    </cfRule>
  </conditionalFormatting>
  <conditionalFormatting sqref="AC9:AC25 AC31 AC27:AC29">
    <cfRule type="cellIs" dxfId="10304" priority="26" operator="greaterThan">
      <formula>110%</formula>
    </cfRule>
    <cfRule type="cellIs" dxfId="10303" priority="27" operator="between">
      <formula>100.001%</formula>
      <formula>110%</formula>
    </cfRule>
    <cfRule type="cellIs" dxfId="10302" priority="28" operator="between">
      <formula>70.001%</formula>
      <formula>100%</formula>
    </cfRule>
    <cfRule type="cellIs" dxfId="10301" priority="29" operator="between">
      <formula>0.00001%</formula>
      <formula>70%</formula>
    </cfRule>
    <cfRule type="cellIs" dxfId="10300" priority="30" operator="equal">
      <formula>0</formula>
    </cfRule>
  </conditionalFormatting>
  <conditionalFormatting sqref="Z9:Z25 Z31 Z27:Z29">
    <cfRule type="cellIs" dxfId="10299" priority="21" operator="greaterThan">
      <formula>110%</formula>
    </cfRule>
    <cfRule type="cellIs" dxfId="10298" priority="22" operator="between">
      <formula>100.001%</formula>
      <formula>110%</formula>
    </cfRule>
    <cfRule type="cellIs" dxfId="10297" priority="23" operator="between">
      <formula>70.001%</formula>
      <formula>100%</formula>
    </cfRule>
    <cfRule type="cellIs" dxfId="10296" priority="24" operator="between">
      <formula>0.00001%</formula>
      <formula>70%</formula>
    </cfRule>
    <cfRule type="cellIs" dxfId="10295" priority="25" operator="equal">
      <formula>0</formula>
    </cfRule>
  </conditionalFormatting>
  <conditionalFormatting sqref="W9:W25 W31 W27:W29">
    <cfRule type="cellIs" dxfId="10294" priority="16" operator="greaterThan">
      <formula>110%</formula>
    </cfRule>
    <cfRule type="cellIs" dxfId="10293" priority="17" operator="between">
      <formula>100.001%</formula>
      <formula>110%</formula>
    </cfRule>
    <cfRule type="cellIs" dxfId="10292" priority="18" operator="between">
      <formula>70.001%</formula>
      <formula>100%</formula>
    </cfRule>
    <cfRule type="cellIs" dxfId="10291" priority="19" operator="between">
      <formula>0.00001%</formula>
      <formula>70%</formula>
    </cfRule>
    <cfRule type="cellIs" dxfId="10290" priority="20" operator="equal">
      <formula>0</formula>
    </cfRule>
  </conditionalFormatting>
  <conditionalFormatting sqref="T9:T25 T31 T27:T29">
    <cfRule type="cellIs" dxfId="10289" priority="11" operator="greaterThan">
      <formula>110%</formula>
    </cfRule>
    <cfRule type="cellIs" dxfId="10288" priority="12" operator="between">
      <formula>100.001%</formula>
      <formula>110%</formula>
    </cfRule>
    <cfRule type="cellIs" dxfId="10287" priority="13" operator="between">
      <formula>70.001%</formula>
      <formula>100%</formula>
    </cfRule>
    <cfRule type="cellIs" dxfId="10286" priority="14" operator="between">
      <formula>0.00001%</formula>
      <formula>70%</formula>
    </cfRule>
    <cfRule type="cellIs" dxfId="10285" priority="15" operator="equal">
      <formula>0</formula>
    </cfRule>
  </conditionalFormatting>
  <conditionalFormatting sqref="Q9:Q25 Q31 Q27:Q29">
    <cfRule type="cellIs" dxfId="10284" priority="6" operator="greaterThan">
      <formula>110%</formula>
    </cfRule>
    <cfRule type="cellIs" dxfId="10283" priority="7" operator="between">
      <formula>100.001%</formula>
      <formula>110%</formula>
    </cfRule>
    <cfRule type="cellIs" dxfId="10282" priority="8" operator="between">
      <formula>70.001%</formula>
      <formula>100%</formula>
    </cfRule>
    <cfRule type="cellIs" dxfId="10281" priority="9" operator="between">
      <formula>0.00001%</formula>
      <formula>70%</formula>
    </cfRule>
    <cfRule type="cellIs" dxfId="10280" priority="10" operator="equal">
      <formula>0</formula>
    </cfRule>
  </conditionalFormatting>
  <conditionalFormatting sqref="N9:N25 N31 N27:N29">
    <cfRule type="cellIs" dxfId="10279" priority="1" operator="greaterThan">
      <formula>110%</formula>
    </cfRule>
    <cfRule type="cellIs" dxfId="10278" priority="2" operator="between">
      <formula>100.001%</formula>
      <formula>110%</formula>
    </cfRule>
    <cfRule type="cellIs" dxfId="10277" priority="3" operator="between">
      <formula>70.001%</formula>
      <formula>100%</formula>
    </cfRule>
    <cfRule type="cellIs" dxfId="10276" priority="4" operator="between">
      <formula>0.00001%</formula>
      <formula>70%</formula>
    </cfRule>
    <cfRule type="cellIs" dxfId="10275" priority="5" operator="equal">
      <formula>0</formula>
    </cfRule>
  </conditionalFormatting>
  <hyperlinks>
    <hyperlink ref="D9" location="'IN1-3'!Área_de_impresión" display="IN1-3 Recaudo Bruto" xr:uid="{00000000-0004-0000-0600-000000000000}"/>
    <hyperlink ref="D10" location="'FIS-4'!Área_de_impresión" display="FIS-4 Gestión efectiva en fiscalización tributaria" xr:uid="{00000000-0004-0000-0600-000001000000}"/>
    <hyperlink ref="D11" location="'FIS-6'!Área_de_impresión" display="FIS-6 Gestión efectiva de Fiscalización Internacional" xr:uid="{00000000-0004-0000-0600-000002000000}"/>
    <hyperlink ref="D12" location="'FIS-10'!Área_de_impresión" display="FIS-10 Gestión aceptada en fiscalización tributaria" xr:uid="{00000000-0004-0000-0600-000003000000}"/>
    <hyperlink ref="D13" location="'FIS-27'!Área_de_impresión" display="FIS-27 Reclasificación de no responsables a responsables" xr:uid="{00000000-0004-0000-0600-000004000000}"/>
    <hyperlink ref="D14" location="'FIS-17'!Área_de_impresión" display="FIS-17 Evacuación de expedientes en fiscalización tributaria" xr:uid="{00000000-0004-0000-0600-000005000000}"/>
    <hyperlink ref="D15" location="'IN1-4'!Área_de_impresión" display="IN1-4 Recaudo por gestión de cartera" xr:uid="{00000000-0004-0000-0600-000006000000}"/>
    <hyperlink ref="D16" location="'IN1-5'!Área_de_impresión" display="IN1-5 Inscritos en el Régimen Simple de Tributación - RST" xr:uid="{00000000-0004-0000-0600-000007000000}"/>
    <hyperlink ref="D17" location="'IN1-6.1'!Área_de_impresión" display="IN1-6.1 Grado de cumplimiento del cronograma de campañas del RST" xr:uid="{00000000-0004-0000-0600-000008000000}"/>
    <hyperlink ref="D18" location="'IN1-8'!Área_de_impresión" display="IN1-8 Contribuyentes habilitados como facturadores electrónicos" xr:uid="{00000000-0004-0000-0600-000009000000}"/>
    <hyperlink ref="D19" location="'JUR-3.1'!Área_de_impresión" display="JUR-3.1 Porcentaje de éxito de litigiosidad" xr:uid="{00000000-0004-0000-0600-00000A000000}"/>
    <hyperlink ref="D20" location="'JUR-3.2'!Área_de_impresión" display="JUR-3.2 Porcentaje  procesos judiciales revisados con mayor riesgo en Ekogui" xr:uid="{00000000-0004-0000-0600-00000B000000}"/>
    <hyperlink ref="D21" location="'JUR-3.3'!Área_de_impresión" display="JUR-3.3 Porcentaje de análisis de jurisprudencia remitidos junto con la copia de la sentencia " xr:uid="{00000000-0004-0000-0600-00000C000000}"/>
    <hyperlink ref="D22" location="'JUR-3.4'!Área_de_impresión" display="JUR-3.4 Porcentaje  de procesos revisados con VoBo del Jefe " xr:uid="{00000000-0004-0000-0600-00000D000000}"/>
    <hyperlink ref="D23" location="'JUR-3.5'!Área_de_impresión" display="JUR-3.5 Porcentaje de requerimientos atendidos en oportunidad" xr:uid="{00000000-0004-0000-0600-00000E000000}"/>
    <hyperlink ref="D24" location="'JUR-3.6'!Área_de_impresión" display="JUR-3.6 Porcentaje funcionarios capacitaciones en cursos virtuales de la ANDJE" xr:uid="{00000000-0004-0000-0600-00000F000000}"/>
    <hyperlink ref="D25" location="'JUR-4'!Área_de_impresión" display="JUR-4 Porcentaje funcionarios que participaron en el concurso de escritura jurídica" xr:uid="{00000000-0004-0000-0600-000010000000}"/>
    <hyperlink ref="D27" location="'IN1-11'!Área_de_impresión" display="IN1-11  Nivel de cobertura de personas sensibilizadas por el plan de cultura. ACTUALMENTE. Cumplimiento al Plan de Acción de Cultura de la Contribución" xr:uid="{00000000-0004-0000-0600-000011000000}"/>
    <hyperlink ref="D28" location="'JUR-7'!Área_de_impresión" display="JUR-7 Oportunidad en las decisiones de los recursos tributarios hasta su remisión a notificaciones" xr:uid="{00000000-0004-0000-0600-000012000000}"/>
    <hyperlink ref="D29" location="'IN1-15'!Área_de_impresión" display="IN1-15 Días en devoluciones ordinarias" xr:uid="{00000000-0004-0000-0600-000013000000}"/>
    <hyperlink ref="D31" location="'DGRAE-25'!A1" display="DGRAE-25 Actividades que componen el  PIC para la Dirección de Gestión" xr:uid="{00000000-0004-0000-0600-000014000000}"/>
    <hyperlink ref="AZ6" location="'Consolidado '!A1" display="VOLVER" xr:uid="{00000000-0004-0000-0600-000015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Z31"/>
  <sheetViews>
    <sheetView zoomScale="60" zoomScaleNormal="60" workbookViewId="0">
      <selection activeCell="C17" sqref="C17:C23"/>
    </sheetView>
  </sheetViews>
  <sheetFormatPr baseColWidth="10" defaultColWidth="11.42578125" defaultRowHeight="16.5" customHeight="1" zeroHeight="1"/>
  <cols>
    <col min="1" max="1" width="22.85546875" style="8" customWidth="1"/>
    <col min="2" max="2" width="37" style="8" customWidth="1"/>
    <col min="3" max="3" width="59.28515625" style="63" bestFit="1" customWidth="1"/>
    <col min="4" max="4" width="25.85546875" style="63" bestFit="1" customWidth="1"/>
    <col min="5" max="5" width="71.42578125" style="8" bestFit="1" customWidth="1"/>
    <col min="6" max="6" width="23.85546875" style="8" bestFit="1" customWidth="1"/>
    <col min="7" max="7" width="24.85546875" style="8" customWidth="1"/>
    <col min="8" max="10" width="10.7109375" style="8" hidden="1" customWidth="1"/>
    <col min="11" max="11" width="28.28515625" style="8" customWidth="1"/>
    <col min="12" max="13" width="25.7109375" style="8" hidden="1" customWidth="1"/>
    <col min="14" max="14" width="25.7109375" style="444" hidden="1" customWidth="1"/>
    <col min="15" max="16" width="25.7109375" style="8" hidden="1" customWidth="1"/>
    <col min="17" max="17" width="25.7109375" style="444" hidden="1" customWidth="1"/>
    <col min="18" max="19" width="25.7109375" style="8" hidden="1" customWidth="1"/>
    <col min="20" max="20" width="25.7109375" style="444" hidden="1" customWidth="1"/>
    <col min="21" max="22" width="25.7109375" style="8" hidden="1" customWidth="1"/>
    <col min="23" max="23" width="25.7109375" style="444" hidden="1" customWidth="1"/>
    <col min="24" max="25" width="25.7109375" style="8" hidden="1" customWidth="1"/>
    <col min="26" max="26" width="25.7109375" style="444" hidden="1" customWidth="1"/>
    <col min="27" max="28" width="25.7109375" style="8" hidden="1" customWidth="1"/>
    <col min="29" max="29" width="25.7109375" style="444" hidden="1" customWidth="1"/>
    <col min="30" max="30" width="25.7109375" style="8" hidden="1" customWidth="1"/>
    <col min="31" max="31" width="25.7109375" style="444" hidden="1" customWidth="1"/>
    <col min="32" max="33" width="25.7109375" style="8" hidden="1" customWidth="1"/>
    <col min="34" max="34" width="25.7109375" style="444" hidden="1" customWidth="1"/>
    <col min="35" max="36" width="25.7109375" style="8" hidden="1" customWidth="1"/>
    <col min="37" max="37" width="25.7109375" style="444" hidden="1" customWidth="1"/>
    <col min="38" max="39" width="25.7109375" style="8" hidden="1" customWidth="1"/>
    <col min="40" max="40" width="25.7109375" style="444" hidden="1" customWidth="1"/>
    <col min="41" max="42" width="25.7109375" style="8" hidden="1" customWidth="1"/>
    <col min="43" max="43" width="25.7109375" style="444" hidden="1" customWidth="1"/>
    <col min="44" max="45" width="25.7109375" style="8" hidden="1" customWidth="1"/>
    <col min="46" max="46" width="25.7109375" style="444" hidden="1" customWidth="1"/>
    <col min="47" max="48" width="25.7109375" style="8" hidden="1" customWidth="1"/>
    <col min="49" max="49" width="25.7109375" style="444" hidden="1" customWidth="1"/>
    <col min="50" max="50" width="25.7109375" style="8" customWidth="1"/>
    <col min="51" max="51" width="18.140625" style="1004" customWidth="1"/>
    <col min="79" max="16384" width="11.42578125" style="8"/>
  </cols>
  <sheetData>
    <row r="1" spans="1:78" ht="26.25">
      <c r="A1" s="2885" t="s">
        <v>488</v>
      </c>
      <c r="B1" s="2885"/>
      <c r="C1" s="2885"/>
      <c r="D1" s="2885"/>
      <c r="E1" s="2885"/>
      <c r="F1" s="2885"/>
      <c r="G1" s="2885"/>
      <c r="H1" s="2885"/>
      <c r="I1" s="2885"/>
      <c r="J1" s="2885"/>
      <c r="K1" s="2885"/>
    </row>
    <row r="2" spans="1:78" ht="18.75" customHeight="1">
      <c r="A2" s="2865" t="s">
        <v>489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</row>
    <row r="3" spans="1:78">
      <c r="A3" s="2866" t="s">
        <v>490</v>
      </c>
      <c r="B3" s="2867"/>
      <c r="C3" s="2867"/>
      <c r="D3" s="2867"/>
      <c r="E3" s="2867"/>
      <c r="F3" s="2867"/>
      <c r="G3" s="2867"/>
      <c r="H3" s="2867"/>
      <c r="I3" s="2867"/>
      <c r="J3" s="2867"/>
      <c r="K3" s="2867"/>
    </row>
    <row r="4" spans="1:78" ht="17.25" thickBot="1">
      <c r="A4" s="70"/>
      <c r="B4" s="109"/>
      <c r="C4" s="109"/>
      <c r="D4" s="109"/>
      <c r="E4" s="109"/>
      <c r="F4" s="109"/>
      <c r="G4" s="109"/>
      <c r="H4" s="445"/>
      <c r="I4" s="70"/>
      <c r="J4" s="109"/>
      <c r="K4" s="109"/>
    </row>
    <row r="5" spans="1:78" ht="18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84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397</v>
      </c>
      <c r="AY5" s="2841"/>
      <c r="AZ5" s="670" t="s">
        <v>185</v>
      </c>
    </row>
    <row r="6" spans="1:78" ht="18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84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</row>
    <row r="7" spans="1:78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8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 s="1044">
        <f>(+AY9+AY10+AY11+AY12+AY13+AY14+AY15+AY16+AY17+AY18+AY19+AY20+AY21+AY22+AY23+AY25+AY26+AY27+AY29)/19</f>
        <v>1.223757468326707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</row>
    <row r="8" spans="1:78" customFormat="1" ht="22.5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3" t="s">
        <v>84</v>
      </c>
      <c r="M8" s="14" t="s">
        <v>85</v>
      </c>
      <c r="N8" s="446" t="s">
        <v>86</v>
      </c>
      <c r="O8" s="13" t="s">
        <v>84</v>
      </c>
      <c r="P8" s="14" t="s">
        <v>85</v>
      </c>
      <c r="Q8" s="446" t="s">
        <v>86</v>
      </c>
      <c r="R8" s="13" t="s">
        <v>84</v>
      </c>
      <c r="S8" s="14" t="s">
        <v>85</v>
      </c>
      <c r="T8" s="446" t="s">
        <v>86</v>
      </c>
      <c r="U8" s="13" t="s">
        <v>84</v>
      </c>
      <c r="V8" s="14" t="s">
        <v>85</v>
      </c>
      <c r="W8" s="446" t="s">
        <v>86</v>
      </c>
      <c r="X8" s="13" t="s">
        <v>84</v>
      </c>
      <c r="Y8" s="14" t="s">
        <v>85</v>
      </c>
      <c r="Z8" s="446" t="s">
        <v>86</v>
      </c>
      <c r="AA8" s="13" t="s">
        <v>84</v>
      </c>
      <c r="AB8" s="14" t="s">
        <v>85</v>
      </c>
      <c r="AC8" s="446" t="s">
        <v>86</v>
      </c>
      <c r="AD8" s="16" t="s">
        <v>87</v>
      </c>
      <c r="AE8" s="447" t="s">
        <v>6</v>
      </c>
      <c r="AF8" s="13" t="s">
        <v>84</v>
      </c>
      <c r="AG8" s="14" t="s">
        <v>85</v>
      </c>
      <c r="AH8" s="446" t="s">
        <v>86</v>
      </c>
      <c r="AI8" s="13" t="s">
        <v>84</v>
      </c>
      <c r="AJ8" s="14" t="s">
        <v>85</v>
      </c>
      <c r="AK8" s="446" t="s">
        <v>86</v>
      </c>
      <c r="AL8" s="13" t="s">
        <v>84</v>
      </c>
      <c r="AM8" s="14" t="s">
        <v>85</v>
      </c>
      <c r="AN8" s="446" t="s">
        <v>86</v>
      </c>
      <c r="AO8" s="13" t="s">
        <v>84</v>
      </c>
      <c r="AP8" s="14" t="s">
        <v>85</v>
      </c>
      <c r="AQ8" s="446" t="s">
        <v>86</v>
      </c>
      <c r="AR8" s="13" t="s">
        <v>84</v>
      </c>
      <c r="AS8" s="14" t="s">
        <v>85</v>
      </c>
      <c r="AT8" s="446" t="s">
        <v>86</v>
      </c>
      <c r="AU8" s="13" t="s">
        <v>84</v>
      </c>
      <c r="AV8" s="14" t="s">
        <v>85</v>
      </c>
      <c r="AW8" s="446" t="s">
        <v>86</v>
      </c>
      <c r="AX8" s="13" t="s">
        <v>87</v>
      </c>
      <c r="AY8" s="110" t="s">
        <v>6</v>
      </c>
    </row>
    <row r="9" spans="1:78" s="132" customFormat="1" ht="31.5" thickTop="1" thickBot="1">
      <c r="A9" s="2943" t="s">
        <v>88</v>
      </c>
      <c r="B9" s="2946" t="s">
        <v>166</v>
      </c>
      <c r="C9" s="72" t="s">
        <v>167</v>
      </c>
      <c r="D9" s="129" t="s">
        <v>90</v>
      </c>
      <c r="E9" s="72" t="s">
        <v>91</v>
      </c>
      <c r="F9" s="72" t="s">
        <v>168</v>
      </c>
      <c r="G9" s="1005">
        <f>17857678912/1000000</f>
        <v>17857.678911999999</v>
      </c>
      <c r="H9" s="72"/>
      <c r="I9" s="72"/>
      <c r="J9" s="72"/>
      <c r="K9" s="72" t="s">
        <v>25</v>
      </c>
      <c r="L9" s="1005">
        <v>512.49</v>
      </c>
      <c r="M9" s="1006">
        <v>181.78</v>
      </c>
      <c r="N9" s="73">
        <f>+M9/L9</f>
        <v>0.35469960389471011</v>
      </c>
      <c r="O9" s="1005">
        <v>24.92</v>
      </c>
      <c r="P9" s="1006">
        <v>188.251</v>
      </c>
      <c r="Q9" s="73">
        <f>+P9/O9</f>
        <v>7.554213483146067</v>
      </c>
      <c r="R9" s="1005">
        <v>20.83</v>
      </c>
      <c r="S9" s="1006">
        <v>181.327</v>
      </c>
      <c r="T9" s="73">
        <f>+S9/R9</f>
        <v>8.7050888142102743</v>
      </c>
      <c r="U9" s="1005">
        <v>1550.2</v>
      </c>
      <c r="V9" s="1006">
        <v>175.56100000000001</v>
      </c>
      <c r="W9" s="73">
        <f>+V9/U9</f>
        <v>0.11325054831634628</v>
      </c>
      <c r="X9" s="1005">
        <v>21.51</v>
      </c>
      <c r="Y9" s="1006">
        <v>178.88</v>
      </c>
      <c r="Z9" s="73">
        <f>+Y9/X9</f>
        <v>8.3161320316132024</v>
      </c>
      <c r="AA9" s="1005">
        <v>21.76</v>
      </c>
      <c r="AB9" s="1006">
        <v>174.62100000000001</v>
      </c>
      <c r="AC9" s="73">
        <f>+AB9/AA9</f>
        <v>8.0248621323529417</v>
      </c>
      <c r="AD9" s="1007">
        <f>+M9+P9+S9+V9+Y9+AB9</f>
        <v>1080.42</v>
      </c>
      <c r="AE9" s="73">
        <f>+AD9/G9</f>
        <v>6.0501703794997662E-2</v>
      </c>
      <c r="AF9" s="1005">
        <v>19.12</v>
      </c>
      <c r="AG9" s="1006">
        <v>177.24700000000001</v>
      </c>
      <c r="AH9" s="73">
        <f>+AG9/AF9</f>
        <v>9.270240585774058</v>
      </c>
      <c r="AI9" s="1005">
        <v>25.13</v>
      </c>
      <c r="AJ9" s="1006">
        <v>174.946</v>
      </c>
      <c r="AK9" s="73">
        <f>+AJ9/AI9</f>
        <v>6.9616394747313972</v>
      </c>
      <c r="AL9" s="1005">
        <v>27.21</v>
      </c>
      <c r="AM9" s="1006">
        <v>179.048</v>
      </c>
      <c r="AN9" s="73">
        <f>+AM9/AL9</f>
        <v>6.5802278574053652</v>
      </c>
      <c r="AO9" s="1005">
        <v>24.13</v>
      </c>
      <c r="AP9" s="1006">
        <v>178.422</v>
      </c>
      <c r="AQ9" s="73">
        <f>+AP9/AO9</f>
        <v>7.3941980936593454</v>
      </c>
      <c r="AR9" s="1005">
        <v>21.6</v>
      </c>
      <c r="AS9" s="1006">
        <v>177.78700000000001</v>
      </c>
      <c r="AT9" s="73">
        <f>+AS9/AR9</f>
        <v>8.23087962962963</v>
      </c>
      <c r="AU9" s="1005">
        <v>20.12</v>
      </c>
      <c r="AV9" s="1006">
        <v>15881</v>
      </c>
      <c r="AW9" s="73">
        <f>+AV9/AU9</f>
        <v>789.31411530815103</v>
      </c>
      <c r="AX9" s="1008">
        <f t="shared" ref="AX9:AX10" si="0">+M9+P9+S9+V9+Y9+AB9+AG9+AJ9+AM9+AP9+AS9+AV9</f>
        <v>17848.87</v>
      </c>
      <c r="AY9" s="73">
        <f t="shared" ref="AY9:AY10" si="1">+AX9/G9</f>
        <v>0.99950671573593586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</row>
    <row r="10" spans="1:78" s="1015" customFormat="1" ht="196.5" thickTop="1" thickBot="1">
      <c r="A10" s="2944"/>
      <c r="B10" s="2947"/>
      <c r="C10" s="74" t="s">
        <v>169</v>
      </c>
      <c r="D10" s="458" t="s">
        <v>92</v>
      </c>
      <c r="E10" s="459" t="s">
        <v>170</v>
      </c>
      <c r="F10" s="459" t="s">
        <v>17</v>
      </c>
      <c r="G10" s="1009">
        <v>5</v>
      </c>
      <c r="H10" s="459" t="s">
        <v>326</v>
      </c>
      <c r="I10" s="1010"/>
      <c r="J10" s="1010"/>
      <c r="K10" s="459" t="s">
        <v>26</v>
      </c>
      <c r="L10" s="1011">
        <v>0</v>
      </c>
      <c r="M10" s="1012"/>
      <c r="N10" s="73" t="e">
        <f t="shared" ref="N10:N29" si="2">+M10/L10</f>
        <v>#DIV/0!</v>
      </c>
      <c r="O10" s="1011">
        <v>0</v>
      </c>
      <c r="P10" s="1012"/>
      <c r="Q10" s="73" t="e">
        <f t="shared" ref="Q10:Q29" si="3">+P10/O10</f>
        <v>#DIV/0!</v>
      </c>
      <c r="R10" s="1011">
        <v>0</v>
      </c>
      <c r="S10" s="1012">
        <v>1</v>
      </c>
      <c r="T10" s="73" t="e">
        <f t="shared" ref="T10:T29" si="4">+S10/R10</f>
        <v>#DIV/0!</v>
      </c>
      <c r="U10" s="1011">
        <v>0</v>
      </c>
      <c r="V10" s="1012"/>
      <c r="W10" s="73" t="e">
        <f t="shared" ref="W10:W29" si="5">+V10/U10</f>
        <v>#DIV/0!</v>
      </c>
      <c r="X10" s="1011">
        <v>0</v>
      </c>
      <c r="Y10" s="1012"/>
      <c r="Z10" s="73" t="e">
        <f t="shared" ref="Z10:Z29" si="6">+Y10/X10</f>
        <v>#DIV/0!</v>
      </c>
      <c r="AA10" s="1011">
        <v>0</v>
      </c>
      <c r="AB10" s="1012">
        <v>1</v>
      </c>
      <c r="AC10" s="73" t="e">
        <f t="shared" ref="AC10" si="7">+AB10/AA10</f>
        <v>#DIV/0!</v>
      </c>
      <c r="AD10" s="1013">
        <f t="shared" ref="AD10" si="8">+M10+P10+S10+V10+Y10+AB10</f>
        <v>2</v>
      </c>
      <c r="AE10" s="73">
        <f t="shared" ref="AE10" si="9">+AD10/G10</f>
        <v>0.4</v>
      </c>
      <c r="AF10" s="1011">
        <v>0</v>
      </c>
      <c r="AG10" s="1012"/>
      <c r="AH10" s="73" t="e">
        <f t="shared" ref="AH10:AH29" si="10">+AG10/AF10</f>
        <v>#DIV/0!</v>
      </c>
      <c r="AI10" s="1011">
        <v>0</v>
      </c>
      <c r="AJ10" s="1012"/>
      <c r="AK10" s="73" t="e">
        <f t="shared" ref="AK10:AK29" si="11">+AJ10/AI10</f>
        <v>#DIV/0!</v>
      </c>
      <c r="AL10" s="1011">
        <v>0</v>
      </c>
      <c r="AM10" s="1012">
        <v>1</v>
      </c>
      <c r="AN10" s="73" t="e">
        <f t="shared" ref="AN10:AN29" si="12">+AM10/AL10</f>
        <v>#DIV/0!</v>
      </c>
      <c r="AO10" s="1011">
        <v>0</v>
      </c>
      <c r="AP10" s="1012"/>
      <c r="AQ10" s="73" t="e">
        <f t="shared" ref="AQ10:AQ29" si="13">+AP10/AO10</f>
        <v>#DIV/0!</v>
      </c>
      <c r="AR10" s="1011">
        <v>0</v>
      </c>
      <c r="AS10" s="1012">
        <v>1</v>
      </c>
      <c r="AT10" s="73" t="e">
        <f t="shared" ref="AT10:AT29" si="14">+AS10/AR10</f>
        <v>#DIV/0!</v>
      </c>
      <c r="AU10" s="1011">
        <v>0</v>
      </c>
      <c r="AV10" s="1012">
        <v>1</v>
      </c>
      <c r="AW10" s="73" t="e">
        <f t="shared" ref="AW10" si="15">+AV10/AU10</f>
        <v>#DIV/0!</v>
      </c>
      <c r="AX10" s="1014">
        <f t="shared" si="0"/>
        <v>5</v>
      </c>
      <c r="AY10" s="73">
        <f t="shared" si="1"/>
        <v>1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</row>
    <row r="11" spans="1:78" s="22" customFormat="1" ht="31.5" thickTop="1" thickBot="1">
      <c r="A11" s="2944"/>
      <c r="B11" s="2948" t="s">
        <v>94</v>
      </c>
      <c r="C11" s="1016" t="s">
        <v>491</v>
      </c>
      <c r="D11" s="627" t="s">
        <v>96</v>
      </c>
      <c r="E11" s="81" t="s">
        <v>97</v>
      </c>
      <c r="F11" s="81" t="s">
        <v>300</v>
      </c>
      <c r="G11" s="1007" t="s">
        <v>492</v>
      </c>
      <c r="H11" s="81"/>
      <c r="I11" s="81"/>
      <c r="J11" s="81"/>
      <c r="K11" s="81" t="s">
        <v>20</v>
      </c>
      <c r="L11" s="1008" t="s">
        <v>98</v>
      </c>
      <c r="M11" s="1007">
        <v>7210476863000</v>
      </c>
      <c r="N11" s="73" t="e">
        <f>+M11/L11</f>
        <v>#VALUE!</v>
      </c>
      <c r="O11" s="1008">
        <v>0</v>
      </c>
      <c r="P11" s="1007">
        <v>4236253252358</v>
      </c>
      <c r="Q11" s="73" t="e">
        <f>+P11/O11</f>
        <v>#DIV/0!</v>
      </c>
      <c r="R11" s="1008">
        <v>0</v>
      </c>
      <c r="S11" s="1007">
        <v>5155289626000</v>
      </c>
      <c r="T11" s="73" t="e">
        <f>+S11/R11</f>
        <v>#DIV/0!</v>
      </c>
      <c r="U11" s="1008">
        <v>0</v>
      </c>
      <c r="V11" s="1007">
        <v>4730404966466</v>
      </c>
      <c r="W11" s="73" t="e">
        <f>+V11/U11</f>
        <v>#DIV/0!</v>
      </c>
      <c r="X11" s="1008">
        <v>0</v>
      </c>
      <c r="Y11" s="1007">
        <v>4898081787161</v>
      </c>
      <c r="Z11" s="73" t="e">
        <f>+Y11/X11</f>
        <v>#DIV/0!</v>
      </c>
      <c r="AA11" s="1008">
        <v>0</v>
      </c>
      <c r="AB11" s="1007">
        <v>6148518411000</v>
      </c>
      <c r="AC11" s="73" t="e">
        <f>+AB11/AA11</f>
        <v>#DIV/0!</v>
      </c>
      <c r="AD11" s="1007">
        <f>+M11+P11+S11+V11+Y11+AB11</f>
        <v>32379024905985</v>
      </c>
      <c r="AE11" s="73" t="e">
        <f>+AD11/G11</f>
        <v>#VALUE!</v>
      </c>
      <c r="AF11" s="1008">
        <v>0</v>
      </c>
      <c r="AG11" s="1007">
        <v>4261296263291</v>
      </c>
      <c r="AH11" s="73" t="e">
        <f>+AG11/AF11</f>
        <v>#DIV/0!</v>
      </c>
      <c r="AI11" s="1008">
        <v>0</v>
      </c>
      <c r="AJ11" s="1007">
        <v>2750699609000</v>
      </c>
      <c r="AK11" s="73" t="e">
        <f>+AJ11/AI11</f>
        <v>#DIV/0!</v>
      </c>
      <c r="AL11" s="1008">
        <v>0</v>
      </c>
      <c r="AM11" s="1007">
        <v>4718661278000</v>
      </c>
      <c r="AN11" s="73" t="e">
        <f>+AM11/AL11</f>
        <v>#DIV/0!</v>
      </c>
      <c r="AO11" s="1008">
        <v>0</v>
      </c>
      <c r="AP11" s="1007">
        <v>2963452759789</v>
      </c>
      <c r="AQ11" s="73" t="e">
        <f>+AP11/AO11</f>
        <v>#DIV/0!</v>
      </c>
      <c r="AR11" s="1008">
        <v>0</v>
      </c>
      <c r="AS11" s="1007">
        <v>5488382893133</v>
      </c>
      <c r="AT11" s="73" t="e">
        <f>+AS11/AR11</f>
        <v>#DIV/0!</v>
      </c>
      <c r="AU11" s="1008">
        <v>0</v>
      </c>
      <c r="AV11" s="1007">
        <v>3271206917008</v>
      </c>
      <c r="AW11" s="73" t="e">
        <f>+AV11/AU11</f>
        <v>#DIV/0!</v>
      </c>
      <c r="AX11" s="1008">
        <f>55807288845264.1/1000000000000</f>
        <v>55.807288845264104</v>
      </c>
      <c r="AY11" s="73">
        <v>1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</row>
    <row r="12" spans="1:78" s="22" customFormat="1" ht="61.5" thickTop="1" thickBot="1">
      <c r="A12" s="2944"/>
      <c r="B12" s="2949"/>
      <c r="C12" s="2951" t="s">
        <v>383</v>
      </c>
      <c r="D12" s="623" t="s">
        <v>99</v>
      </c>
      <c r="E12" s="76" t="s">
        <v>100</v>
      </c>
      <c r="F12" s="76" t="s">
        <v>101</v>
      </c>
      <c r="G12" s="1017">
        <v>1470000000000</v>
      </c>
      <c r="H12" s="76"/>
      <c r="I12" s="76"/>
      <c r="J12" s="710"/>
      <c r="K12" s="76" t="s">
        <v>493</v>
      </c>
      <c r="L12" s="1018">
        <v>117600000000</v>
      </c>
      <c r="M12" s="1019">
        <v>86271132840</v>
      </c>
      <c r="N12" s="73">
        <f t="shared" si="2"/>
        <v>0.73359806836734698</v>
      </c>
      <c r="O12" s="1018">
        <v>117600000000</v>
      </c>
      <c r="P12" s="1019">
        <v>159989605510</v>
      </c>
      <c r="Q12" s="73">
        <f t="shared" si="3"/>
        <v>1.3604558291666666</v>
      </c>
      <c r="R12" s="1018">
        <v>117600000000</v>
      </c>
      <c r="S12" s="1019">
        <v>199118282350</v>
      </c>
      <c r="T12" s="73">
        <f t="shared" si="4"/>
        <v>1.6931826730442177</v>
      </c>
      <c r="U12" s="1018">
        <v>132300000000</v>
      </c>
      <c r="V12" s="1019">
        <v>208089527600</v>
      </c>
      <c r="W12" s="73">
        <f t="shared" si="5"/>
        <v>1.5728611307634164</v>
      </c>
      <c r="X12" s="1018">
        <v>147000000000</v>
      </c>
      <c r="Y12" s="1019">
        <v>22435080860</v>
      </c>
      <c r="Z12" s="73">
        <f t="shared" si="6"/>
        <v>0.15261959768707484</v>
      </c>
      <c r="AA12" s="1018">
        <v>147000000000</v>
      </c>
      <c r="AB12" s="1019">
        <v>793372133910</v>
      </c>
      <c r="AC12" s="73">
        <f t="shared" ref="AC12:AC25" si="16">+AB12/AA12</f>
        <v>5.3970893463265304</v>
      </c>
      <c r="AD12" s="1007">
        <f t="shared" ref="AD12:AD25" si="17">+M12+P12+S12+V12+Y12+AB12</f>
        <v>1469275763070</v>
      </c>
      <c r="AE12" s="73">
        <f t="shared" ref="AE12:AE25" si="18">+AD12/G12</f>
        <v>0.99950732181632651</v>
      </c>
      <c r="AF12" s="1018">
        <v>147000000000</v>
      </c>
      <c r="AG12" s="1019">
        <v>501313066280</v>
      </c>
      <c r="AH12" s="73">
        <f t="shared" si="10"/>
        <v>3.4102929678911567</v>
      </c>
      <c r="AI12" s="1018">
        <v>147000000000</v>
      </c>
      <c r="AJ12" s="1019">
        <v>126035953460</v>
      </c>
      <c r="AK12" s="73">
        <f t="shared" si="11"/>
        <v>0.85738743850340138</v>
      </c>
      <c r="AL12" s="1018">
        <v>147000000000</v>
      </c>
      <c r="AM12" s="1019">
        <v>99238183639</v>
      </c>
      <c r="AN12" s="73">
        <f t="shared" si="12"/>
        <v>0.67508968461904761</v>
      </c>
      <c r="AO12" s="1018">
        <v>147000000000</v>
      </c>
      <c r="AP12" s="1019">
        <v>85209986246</v>
      </c>
      <c r="AQ12" s="73">
        <f t="shared" si="13"/>
        <v>0.5796597703809524</v>
      </c>
      <c r="AR12" s="1018">
        <v>58800000000</v>
      </c>
      <c r="AS12" s="1019">
        <v>610251925458</v>
      </c>
      <c r="AT12" s="73">
        <f t="shared" si="14"/>
        <v>10.378434106428571</v>
      </c>
      <c r="AU12" s="1018">
        <v>44100000000</v>
      </c>
      <c r="AV12" s="1019">
        <v>117610183282</v>
      </c>
      <c r="AW12" s="73">
        <f t="shared" ref="AW12:AW25" si="19">+AV12/AU12</f>
        <v>2.6668975800907031</v>
      </c>
      <c r="AX12" s="1018">
        <f t="shared" ref="AX12:AX23" si="20">+M12+P12+S12+V12+Y12+AB12+AG12+AJ12+AM12+AP12+AS12+AV12</f>
        <v>3008935061435</v>
      </c>
      <c r="AY12" s="73">
        <f t="shared" ref="AY12:AY23" si="21">+AX12/G12</f>
        <v>2.0468945996156465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</row>
    <row r="13" spans="1:78" s="22" customFormat="1" ht="31.5" thickTop="1" thickBot="1">
      <c r="A13" s="2944"/>
      <c r="B13" s="2949"/>
      <c r="C13" s="2952"/>
      <c r="D13" s="689" t="s">
        <v>303</v>
      </c>
      <c r="E13" s="81" t="s">
        <v>348</v>
      </c>
      <c r="F13" s="81" t="s">
        <v>18</v>
      </c>
      <c r="G13" s="1020">
        <v>229000</v>
      </c>
      <c r="H13" s="81"/>
      <c r="I13" s="81"/>
      <c r="J13" s="715"/>
      <c r="K13" s="81" t="s">
        <v>304</v>
      </c>
      <c r="L13" s="1008">
        <v>11450</v>
      </c>
      <c r="M13" s="1007">
        <v>0</v>
      </c>
      <c r="N13" s="73">
        <f t="shared" si="2"/>
        <v>0</v>
      </c>
      <c r="O13" s="1008">
        <v>11450</v>
      </c>
      <c r="P13" s="1007">
        <v>565.46</v>
      </c>
      <c r="Q13" s="73">
        <f t="shared" si="3"/>
        <v>4.9385152838427954E-2</v>
      </c>
      <c r="R13" s="1008">
        <v>13740</v>
      </c>
      <c r="S13" s="1007"/>
      <c r="T13" s="73">
        <f t="shared" si="4"/>
        <v>0</v>
      </c>
      <c r="U13" s="1008">
        <v>22900</v>
      </c>
      <c r="V13" s="1007">
        <v>0</v>
      </c>
      <c r="W13" s="73">
        <f t="shared" si="5"/>
        <v>0</v>
      </c>
      <c r="X13" s="1008">
        <v>22900</v>
      </c>
      <c r="Y13" s="1007">
        <v>328.16</v>
      </c>
      <c r="Z13" s="73">
        <f t="shared" si="6"/>
        <v>1.4330131004366814E-2</v>
      </c>
      <c r="AA13" s="1008">
        <v>22900</v>
      </c>
      <c r="AB13" s="1007">
        <v>1912.82</v>
      </c>
      <c r="AC13" s="73">
        <f t="shared" si="16"/>
        <v>8.3529257641921401E-2</v>
      </c>
      <c r="AD13" s="1007">
        <f t="shared" si="17"/>
        <v>2806.44</v>
      </c>
      <c r="AE13" s="73">
        <f t="shared" si="18"/>
        <v>1.2255196506550218E-2</v>
      </c>
      <c r="AF13" s="1008">
        <v>22900</v>
      </c>
      <c r="AG13" s="1007">
        <v>3174.4</v>
      </c>
      <c r="AH13" s="73">
        <f t="shared" si="10"/>
        <v>0.13862008733624454</v>
      </c>
      <c r="AI13" s="1008">
        <v>22900</v>
      </c>
      <c r="AJ13" s="1007">
        <v>2011.51</v>
      </c>
      <c r="AK13" s="73">
        <f t="shared" si="11"/>
        <v>8.7838864628820956E-2</v>
      </c>
      <c r="AL13" s="1008">
        <v>22900</v>
      </c>
      <c r="AM13" s="1007"/>
      <c r="AN13" s="73">
        <f t="shared" si="12"/>
        <v>0</v>
      </c>
      <c r="AO13" s="1008">
        <v>22900</v>
      </c>
      <c r="AP13" s="1007">
        <v>82114.52</v>
      </c>
      <c r="AQ13" s="73">
        <f t="shared" si="13"/>
        <v>3.5857868995633191</v>
      </c>
      <c r="AR13" s="1008">
        <v>22900</v>
      </c>
      <c r="AS13" s="1007">
        <v>246826.07</v>
      </c>
      <c r="AT13" s="73">
        <f t="shared" si="14"/>
        <v>10.778431004366812</v>
      </c>
      <c r="AU13" s="1008">
        <v>9160</v>
      </c>
      <c r="AV13" s="1007">
        <v>239393.3</v>
      </c>
      <c r="AW13" s="73">
        <f t="shared" si="19"/>
        <v>26.134639737991264</v>
      </c>
      <c r="AX13" s="1008">
        <f t="shared" si="20"/>
        <v>576326.24</v>
      </c>
      <c r="AY13" s="73">
        <f t="shared" si="21"/>
        <v>2.5167084716157206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</row>
    <row r="14" spans="1:78" s="22" customFormat="1" ht="61.5" thickTop="1" thickBot="1">
      <c r="A14" s="2944"/>
      <c r="B14" s="2949"/>
      <c r="C14" s="2952"/>
      <c r="D14" s="623" t="s">
        <v>102</v>
      </c>
      <c r="E14" s="76" t="s">
        <v>103</v>
      </c>
      <c r="F14" s="76" t="s">
        <v>101</v>
      </c>
      <c r="G14" s="1017">
        <v>1111000000000</v>
      </c>
      <c r="H14" s="76"/>
      <c r="I14" s="76"/>
      <c r="J14" s="710"/>
      <c r="K14" s="76" t="s">
        <v>493</v>
      </c>
      <c r="L14" s="1021">
        <v>88880000000</v>
      </c>
      <c r="M14" s="1022">
        <v>4546027000</v>
      </c>
      <c r="N14" s="73">
        <f t="shared" si="2"/>
        <v>5.1147918541854187E-2</v>
      </c>
      <c r="O14" s="1021">
        <v>88880000000</v>
      </c>
      <c r="P14" s="1022">
        <v>145055714510</v>
      </c>
      <c r="Q14" s="73">
        <f t="shared" si="3"/>
        <v>1.6320399922367237</v>
      </c>
      <c r="R14" s="1021">
        <v>88880000000</v>
      </c>
      <c r="S14" s="1022">
        <v>206313603530</v>
      </c>
      <c r="T14" s="73">
        <f t="shared" si="4"/>
        <v>2.3212601657290728</v>
      </c>
      <c r="U14" s="1021">
        <v>99990000000</v>
      </c>
      <c r="V14" s="1022">
        <v>206677064000</v>
      </c>
      <c r="W14" s="73">
        <f t="shared" si="5"/>
        <v>2.0669773377337735</v>
      </c>
      <c r="X14" s="1021">
        <v>111100000000</v>
      </c>
      <c r="Y14" s="1022">
        <v>16685508600</v>
      </c>
      <c r="Z14" s="73">
        <f t="shared" si="6"/>
        <v>0.15018459585958596</v>
      </c>
      <c r="AA14" s="1021">
        <v>111100000000</v>
      </c>
      <c r="AB14" s="1022">
        <v>270788069160</v>
      </c>
      <c r="AC14" s="73">
        <f t="shared" si="16"/>
        <v>2.4373363560756074</v>
      </c>
      <c r="AD14" s="1007">
        <f t="shared" si="17"/>
        <v>850065986800</v>
      </c>
      <c r="AE14" s="73">
        <f t="shared" si="18"/>
        <v>0.76513590171017098</v>
      </c>
      <c r="AF14" s="1021">
        <v>111100000000</v>
      </c>
      <c r="AG14" s="1022">
        <v>81551662000</v>
      </c>
      <c r="AH14" s="73">
        <f t="shared" si="10"/>
        <v>0.73403836183618365</v>
      </c>
      <c r="AI14" s="1021">
        <v>111100000000</v>
      </c>
      <c r="AJ14" s="1022">
        <v>15415013000</v>
      </c>
      <c r="AK14" s="73">
        <f t="shared" si="11"/>
        <v>0.13874899189918991</v>
      </c>
      <c r="AL14" s="1021">
        <v>111100000000</v>
      </c>
      <c r="AM14" s="1022">
        <v>21962076000</v>
      </c>
      <c r="AN14" s="73">
        <f t="shared" si="12"/>
        <v>0.19767845184518451</v>
      </c>
      <c r="AO14" s="1021">
        <v>111100000000</v>
      </c>
      <c r="AP14" s="1022">
        <v>68844187600</v>
      </c>
      <c r="AQ14" s="73">
        <f t="shared" si="13"/>
        <v>0.61965965436543657</v>
      </c>
      <c r="AR14" s="1021">
        <v>44440000000</v>
      </c>
      <c r="AS14" s="1022">
        <v>66888095000</v>
      </c>
      <c r="AT14" s="73">
        <f t="shared" si="14"/>
        <v>1.5051326507650764</v>
      </c>
      <c r="AU14" s="1021">
        <v>33330000000</v>
      </c>
      <c r="AV14" s="1022">
        <v>56001001000</v>
      </c>
      <c r="AW14" s="73">
        <f t="shared" si="19"/>
        <v>1.6801980498049804</v>
      </c>
      <c r="AX14" s="1021">
        <f t="shared" si="20"/>
        <v>1160728021400</v>
      </c>
      <c r="AY14" s="73">
        <f t="shared" si="21"/>
        <v>1.0447596952295231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</row>
    <row r="15" spans="1:78" s="22" customFormat="1" ht="61.5" thickTop="1" thickBot="1">
      <c r="A15" s="2944"/>
      <c r="B15" s="2949"/>
      <c r="C15" s="2953"/>
      <c r="D15" s="627" t="s">
        <v>106</v>
      </c>
      <c r="E15" s="81" t="s">
        <v>173</v>
      </c>
      <c r="F15" s="81" t="s">
        <v>24</v>
      </c>
      <c r="G15" s="1023">
        <v>708</v>
      </c>
      <c r="H15" s="715"/>
      <c r="I15" s="1024"/>
      <c r="J15" s="715"/>
      <c r="K15" s="81" t="s">
        <v>493</v>
      </c>
      <c r="L15" s="857">
        <v>0</v>
      </c>
      <c r="M15" s="1025"/>
      <c r="N15" s="73" t="e">
        <f t="shared" si="2"/>
        <v>#DIV/0!</v>
      </c>
      <c r="O15" s="857">
        <v>0</v>
      </c>
      <c r="P15" s="1025"/>
      <c r="Q15" s="73" t="e">
        <f t="shared" si="3"/>
        <v>#DIV/0!</v>
      </c>
      <c r="R15" s="857">
        <v>0</v>
      </c>
      <c r="S15" s="1025"/>
      <c r="T15" s="73" t="e">
        <f t="shared" si="4"/>
        <v>#DIV/0!</v>
      </c>
      <c r="U15" s="857">
        <v>0</v>
      </c>
      <c r="V15" s="1025"/>
      <c r="W15" s="73" t="e">
        <f t="shared" si="5"/>
        <v>#DIV/0!</v>
      </c>
      <c r="X15" s="857">
        <v>0</v>
      </c>
      <c r="Y15" s="1025"/>
      <c r="Z15" s="73" t="e">
        <f t="shared" si="6"/>
        <v>#DIV/0!</v>
      </c>
      <c r="AA15" s="857">
        <v>0</v>
      </c>
      <c r="AB15" s="1025"/>
      <c r="AC15" s="73" t="e">
        <f t="shared" si="16"/>
        <v>#DIV/0!</v>
      </c>
      <c r="AD15" s="1025">
        <f t="shared" si="17"/>
        <v>0</v>
      </c>
      <c r="AE15" s="73">
        <f t="shared" si="18"/>
        <v>0</v>
      </c>
      <c r="AF15" s="857">
        <v>354</v>
      </c>
      <c r="AG15" s="1025">
        <v>354</v>
      </c>
      <c r="AH15" s="73">
        <f t="shared" si="10"/>
        <v>1</v>
      </c>
      <c r="AI15" s="857">
        <v>0</v>
      </c>
      <c r="AJ15" s="1025"/>
      <c r="AK15" s="73" t="e">
        <f t="shared" si="11"/>
        <v>#DIV/0!</v>
      </c>
      <c r="AL15" s="857">
        <v>0</v>
      </c>
      <c r="AM15" s="1025"/>
      <c r="AN15" s="73" t="e">
        <f t="shared" si="12"/>
        <v>#DIV/0!</v>
      </c>
      <c r="AO15" s="857">
        <v>0</v>
      </c>
      <c r="AP15" s="1025"/>
      <c r="AQ15" s="73" t="e">
        <f t="shared" si="13"/>
        <v>#DIV/0!</v>
      </c>
      <c r="AR15" s="857">
        <v>0</v>
      </c>
      <c r="AS15" s="1025"/>
      <c r="AT15" s="73" t="e">
        <f t="shared" si="14"/>
        <v>#DIV/0!</v>
      </c>
      <c r="AU15" s="857">
        <v>354</v>
      </c>
      <c r="AV15" s="1025">
        <v>316</v>
      </c>
      <c r="AW15" s="73">
        <f t="shared" si="19"/>
        <v>0.89265536723163841</v>
      </c>
      <c r="AX15" s="857">
        <f>+AV15+AG15</f>
        <v>670</v>
      </c>
      <c r="AY15" s="73">
        <f t="shared" si="21"/>
        <v>0.9463276836158192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</row>
    <row r="16" spans="1:78" s="22" customFormat="1" ht="46.5" thickTop="1" thickBot="1">
      <c r="A16" s="2944"/>
      <c r="B16" s="2949"/>
      <c r="C16" s="76" t="s">
        <v>330</v>
      </c>
      <c r="D16" s="623" t="s">
        <v>109</v>
      </c>
      <c r="E16" s="76" t="s">
        <v>110</v>
      </c>
      <c r="F16" s="76" t="s">
        <v>168</v>
      </c>
      <c r="G16" s="1026">
        <v>1890909</v>
      </c>
      <c r="H16" s="78"/>
      <c r="I16" s="1027"/>
      <c r="J16" s="78"/>
      <c r="K16" s="76" t="s">
        <v>21</v>
      </c>
      <c r="L16" s="1021">
        <v>0</v>
      </c>
      <c r="M16" s="1022"/>
      <c r="N16" s="73" t="e">
        <f t="shared" si="2"/>
        <v>#DIV/0!</v>
      </c>
      <c r="O16" s="1021">
        <v>0</v>
      </c>
      <c r="P16" s="1022"/>
      <c r="Q16" s="73" t="e">
        <f t="shared" si="3"/>
        <v>#DIV/0!</v>
      </c>
      <c r="R16" s="1021">
        <v>443629.50026552926</v>
      </c>
      <c r="S16" s="1022">
        <v>451739.04</v>
      </c>
      <c r="T16" s="73">
        <f t="shared" si="4"/>
        <v>1.0182799830255131</v>
      </c>
      <c r="U16" s="1021">
        <v>196818.47311366408</v>
      </c>
      <c r="V16" s="1022">
        <v>98885.58</v>
      </c>
      <c r="W16" s="73">
        <f t="shared" si="5"/>
        <v>0.50242021714543472</v>
      </c>
      <c r="X16" s="1021">
        <v>159543.25892200103</v>
      </c>
      <c r="Y16" s="1022">
        <v>87166.74</v>
      </c>
      <c r="Z16" s="73">
        <f t="shared" si="6"/>
        <v>0.54635175806841751</v>
      </c>
      <c r="AA16" s="1021">
        <v>149211.51958314379</v>
      </c>
      <c r="AB16" s="1022">
        <v>120347.22</v>
      </c>
      <c r="AC16" s="73">
        <f t="shared" si="16"/>
        <v>0.80655448276525332</v>
      </c>
      <c r="AD16" s="1007">
        <f t="shared" si="17"/>
        <v>758138.58</v>
      </c>
      <c r="AE16" s="73">
        <f t="shared" si="18"/>
        <v>0.40093869139128324</v>
      </c>
      <c r="AF16" s="1021">
        <v>133210.06528506809</v>
      </c>
      <c r="AG16" s="1022">
        <v>102107.62</v>
      </c>
      <c r="AH16" s="73">
        <f t="shared" si="10"/>
        <v>0.76651580180139389</v>
      </c>
      <c r="AI16" s="1021">
        <v>181464.06612143727</v>
      </c>
      <c r="AJ16" s="1022">
        <v>64136.639999999999</v>
      </c>
      <c r="AK16" s="73">
        <f t="shared" si="11"/>
        <v>0.35343989237560247</v>
      </c>
      <c r="AL16" s="1021">
        <v>224759.77722114546</v>
      </c>
      <c r="AM16" s="1022">
        <v>112604.33</v>
      </c>
      <c r="AN16" s="73">
        <f t="shared" si="12"/>
        <v>0.50099858343072856</v>
      </c>
      <c r="AO16" s="1021">
        <v>160407.76566650177</v>
      </c>
      <c r="AP16" s="1022">
        <v>138771.48000000001</v>
      </c>
      <c r="AQ16" s="73">
        <f t="shared" si="13"/>
        <v>0.86511696876643107</v>
      </c>
      <c r="AR16" s="1021">
        <v>132959.09762791017</v>
      </c>
      <c r="AS16" s="1022">
        <v>337687.48</v>
      </c>
      <c r="AT16" s="73">
        <f t="shared" si="14"/>
        <v>2.5397846858514943</v>
      </c>
      <c r="AU16" s="1021">
        <v>108905.56710268506</v>
      </c>
      <c r="AV16" s="1022">
        <v>88077.2</v>
      </c>
      <c r="AW16" s="73">
        <f t="shared" si="19"/>
        <v>0.80874837111819653</v>
      </c>
      <c r="AX16" s="1021">
        <f t="shared" si="20"/>
        <v>1601523.3299999998</v>
      </c>
      <c r="AY16" s="73">
        <f t="shared" si="21"/>
        <v>0.84695949408459092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</row>
    <row r="17" spans="1:78" s="22" customFormat="1" ht="61.5" thickTop="1" thickBot="1">
      <c r="A17" s="2944"/>
      <c r="B17" s="2949"/>
      <c r="C17" s="2917" t="s">
        <v>335</v>
      </c>
      <c r="D17" s="731" t="s">
        <v>120</v>
      </c>
      <c r="E17" s="87" t="s">
        <v>121</v>
      </c>
      <c r="F17" s="81" t="s">
        <v>10</v>
      </c>
      <c r="G17" s="1028">
        <v>0.64100000000000001</v>
      </c>
      <c r="H17" s="82"/>
      <c r="I17" s="642"/>
      <c r="J17" s="82"/>
      <c r="K17" s="81" t="s">
        <v>7</v>
      </c>
      <c r="L17" s="869">
        <v>0</v>
      </c>
      <c r="M17" s="978"/>
      <c r="N17" s="73" t="e">
        <f t="shared" si="2"/>
        <v>#DIV/0!</v>
      </c>
      <c r="O17" s="869">
        <v>0</v>
      </c>
      <c r="P17" s="978"/>
      <c r="Q17" s="73" t="e">
        <f t="shared" si="3"/>
        <v>#DIV/0!</v>
      </c>
      <c r="R17" s="869">
        <v>0</v>
      </c>
      <c r="S17" s="978"/>
      <c r="T17" s="73" t="e">
        <f t="shared" si="4"/>
        <v>#DIV/0!</v>
      </c>
      <c r="U17" s="869">
        <v>0</v>
      </c>
      <c r="V17" s="978"/>
      <c r="W17" s="73" t="e">
        <f t="shared" si="5"/>
        <v>#DIV/0!</v>
      </c>
      <c r="X17" s="869">
        <v>0</v>
      </c>
      <c r="Y17" s="978"/>
      <c r="Z17" s="73" t="e">
        <f t="shared" si="6"/>
        <v>#DIV/0!</v>
      </c>
      <c r="AA17" s="869">
        <v>0</v>
      </c>
      <c r="AB17" s="978"/>
      <c r="AC17" s="73" t="e">
        <f t="shared" si="16"/>
        <v>#DIV/0!</v>
      </c>
      <c r="AD17" s="978">
        <f t="shared" si="17"/>
        <v>0</v>
      </c>
      <c r="AE17" s="73">
        <f t="shared" si="18"/>
        <v>0</v>
      </c>
      <c r="AF17" s="869">
        <v>0</v>
      </c>
      <c r="AG17" s="978"/>
      <c r="AH17" s="73" t="e">
        <f t="shared" si="10"/>
        <v>#DIV/0!</v>
      </c>
      <c r="AI17" s="869">
        <v>0</v>
      </c>
      <c r="AJ17" s="978"/>
      <c r="AK17" s="73" t="e">
        <f t="shared" si="11"/>
        <v>#DIV/0!</v>
      </c>
      <c r="AL17" s="869">
        <v>0</v>
      </c>
      <c r="AM17" s="978"/>
      <c r="AN17" s="73" t="e">
        <f t="shared" si="12"/>
        <v>#DIV/0!</v>
      </c>
      <c r="AO17" s="869">
        <v>0</v>
      </c>
      <c r="AP17" s="978">
        <f>3/16</f>
        <v>0.1875</v>
      </c>
      <c r="AQ17" s="73" t="e">
        <f t="shared" si="13"/>
        <v>#DIV/0!</v>
      </c>
      <c r="AR17" s="869">
        <v>0</v>
      </c>
      <c r="AS17" s="978">
        <f>2/2</f>
        <v>1</v>
      </c>
      <c r="AT17" s="73" t="e">
        <f t="shared" si="14"/>
        <v>#DIV/0!</v>
      </c>
      <c r="AU17" s="869">
        <v>0.64100000000000001</v>
      </c>
      <c r="AV17" s="978">
        <f>4/10</f>
        <v>0.4</v>
      </c>
      <c r="AW17" s="73">
        <f t="shared" si="19"/>
        <v>0.62402496099843996</v>
      </c>
      <c r="AX17" s="869">
        <v>0.47789999999999999</v>
      </c>
      <c r="AY17" s="73">
        <f t="shared" si="21"/>
        <v>0.74555382215288613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</row>
    <row r="18" spans="1:78" s="22" customFormat="1" ht="61.5" thickTop="1" thickBot="1">
      <c r="A18" s="2944"/>
      <c r="B18" s="2949"/>
      <c r="C18" s="2918"/>
      <c r="D18" s="728" t="s">
        <v>175</v>
      </c>
      <c r="E18" s="90" t="s">
        <v>123</v>
      </c>
      <c r="F18" s="76" t="s">
        <v>10</v>
      </c>
      <c r="G18" s="1029">
        <v>1</v>
      </c>
      <c r="H18" s="78"/>
      <c r="I18" s="652"/>
      <c r="J18" s="78"/>
      <c r="K18" s="76" t="s">
        <v>7</v>
      </c>
      <c r="L18" s="1030">
        <v>0</v>
      </c>
      <c r="M18" s="1031"/>
      <c r="N18" s="73" t="e">
        <f t="shared" si="2"/>
        <v>#DIV/0!</v>
      </c>
      <c r="O18" s="1030">
        <v>0</v>
      </c>
      <c r="P18" s="1031"/>
      <c r="Q18" s="73" t="e">
        <f t="shared" si="3"/>
        <v>#DIV/0!</v>
      </c>
      <c r="R18" s="1030">
        <v>0</v>
      </c>
      <c r="S18" s="1031"/>
      <c r="T18" s="73" t="e">
        <f t="shared" si="4"/>
        <v>#DIV/0!</v>
      </c>
      <c r="U18" s="1030">
        <v>1</v>
      </c>
      <c r="V18" s="1031">
        <f>142/142</f>
        <v>1</v>
      </c>
      <c r="W18" s="73">
        <f t="shared" si="5"/>
        <v>1</v>
      </c>
      <c r="X18" s="1030">
        <v>0</v>
      </c>
      <c r="Y18" s="1031"/>
      <c r="Z18" s="73" t="e">
        <f t="shared" si="6"/>
        <v>#DIV/0!</v>
      </c>
      <c r="AA18" s="1030">
        <v>0</v>
      </c>
      <c r="AB18" s="1031"/>
      <c r="AC18" s="73" t="e">
        <f t="shared" si="16"/>
        <v>#DIV/0!</v>
      </c>
      <c r="AD18" s="978">
        <f t="shared" si="17"/>
        <v>1</v>
      </c>
      <c r="AE18" s="73">
        <f t="shared" si="18"/>
        <v>1</v>
      </c>
      <c r="AF18" s="1030">
        <v>0</v>
      </c>
      <c r="AG18" s="1031"/>
      <c r="AH18" s="73" t="e">
        <f t="shared" si="10"/>
        <v>#DIV/0!</v>
      </c>
      <c r="AI18" s="1030">
        <v>0</v>
      </c>
      <c r="AJ18" s="1031"/>
      <c r="AK18" s="73" t="e">
        <f t="shared" si="11"/>
        <v>#DIV/0!</v>
      </c>
      <c r="AL18" s="1030">
        <v>0</v>
      </c>
      <c r="AM18" s="1031"/>
      <c r="AN18" s="73" t="e">
        <f t="shared" si="12"/>
        <v>#DIV/0!</v>
      </c>
      <c r="AO18" s="1030">
        <v>1</v>
      </c>
      <c r="AP18" s="1031">
        <f>105/105</f>
        <v>1</v>
      </c>
      <c r="AQ18" s="73">
        <f t="shared" si="13"/>
        <v>1</v>
      </c>
      <c r="AR18" s="1030">
        <v>0</v>
      </c>
      <c r="AS18" s="1031"/>
      <c r="AT18" s="73" t="e">
        <f t="shared" si="14"/>
        <v>#DIV/0!</v>
      </c>
      <c r="AU18" s="1030">
        <v>0</v>
      </c>
      <c r="AV18" s="1031"/>
      <c r="AW18" s="73" t="e">
        <f t="shared" si="19"/>
        <v>#DIV/0!</v>
      </c>
      <c r="AX18" s="1030">
        <f>(+AP18+V18)/2</f>
        <v>1</v>
      </c>
      <c r="AY18" s="73">
        <f t="shared" si="21"/>
        <v>1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</row>
    <row r="19" spans="1:78" s="22" customFormat="1" ht="61.5" thickTop="1" thickBot="1">
      <c r="A19" s="2944"/>
      <c r="B19" s="2949"/>
      <c r="C19" s="2918"/>
      <c r="D19" s="731" t="s">
        <v>124</v>
      </c>
      <c r="E19" s="87" t="s">
        <v>176</v>
      </c>
      <c r="F19" s="81" t="s">
        <v>10</v>
      </c>
      <c r="G19" s="1032">
        <v>1</v>
      </c>
      <c r="H19" s="82"/>
      <c r="I19" s="642"/>
      <c r="J19" s="82"/>
      <c r="K19" s="81" t="s">
        <v>7</v>
      </c>
      <c r="L19" s="869">
        <v>0</v>
      </c>
      <c r="M19" s="978"/>
      <c r="N19" s="73" t="e">
        <f t="shared" si="2"/>
        <v>#DIV/0!</v>
      </c>
      <c r="O19" s="869">
        <v>0</v>
      </c>
      <c r="P19" s="978"/>
      <c r="Q19" s="73" t="e">
        <f t="shared" si="3"/>
        <v>#DIV/0!</v>
      </c>
      <c r="R19" s="869">
        <v>1</v>
      </c>
      <c r="S19" s="978">
        <f>12/12</f>
        <v>1</v>
      </c>
      <c r="T19" s="73">
        <f t="shared" si="4"/>
        <v>1</v>
      </c>
      <c r="U19" s="869">
        <v>0</v>
      </c>
      <c r="V19" s="978"/>
      <c r="W19" s="73" t="e">
        <f t="shared" si="5"/>
        <v>#DIV/0!</v>
      </c>
      <c r="X19" s="869">
        <v>0</v>
      </c>
      <c r="Y19" s="978"/>
      <c r="Z19" s="73" t="e">
        <f t="shared" si="6"/>
        <v>#DIV/0!</v>
      </c>
      <c r="AA19" s="869">
        <v>1</v>
      </c>
      <c r="AB19" s="978"/>
      <c r="AC19" s="73">
        <f t="shared" si="16"/>
        <v>0</v>
      </c>
      <c r="AD19" s="978">
        <f t="shared" si="17"/>
        <v>1</v>
      </c>
      <c r="AE19" s="73">
        <f t="shared" si="18"/>
        <v>1</v>
      </c>
      <c r="AF19" s="869">
        <v>0</v>
      </c>
      <c r="AG19" s="978"/>
      <c r="AH19" s="73">
        <v>0</v>
      </c>
      <c r="AI19" s="869">
        <v>0</v>
      </c>
      <c r="AJ19" s="978"/>
      <c r="AK19" s="73" t="e">
        <f t="shared" si="11"/>
        <v>#DIV/0!</v>
      </c>
      <c r="AL19" s="869">
        <v>1</v>
      </c>
      <c r="AM19" s="978">
        <f>70/70</f>
        <v>1</v>
      </c>
      <c r="AN19" s="73">
        <f t="shared" si="12"/>
        <v>1</v>
      </c>
      <c r="AO19" s="869">
        <v>0</v>
      </c>
      <c r="AP19" s="978"/>
      <c r="AQ19" s="73" t="e">
        <f t="shared" si="13"/>
        <v>#DIV/0!</v>
      </c>
      <c r="AR19" s="869">
        <v>0</v>
      </c>
      <c r="AS19" s="978"/>
      <c r="AT19" s="73" t="e">
        <f t="shared" si="14"/>
        <v>#DIV/0!</v>
      </c>
      <c r="AU19" s="869">
        <v>1</v>
      </c>
      <c r="AV19" s="978">
        <v>1</v>
      </c>
      <c r="AW19" s="73">
        <f t="shared" si="19"/>
        <v>1</v>
      </c>
      <c r="AX19" s="869">
        <f>(+AV19+AM19+S19)/3</f>
        <v>1</v>
      </c>
      <c r="AY19" s="73">
        <f t="shared" si="21"/>
        <v>1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</row>
    <row r="20" spans="1:78" s="22" customFormat="1" ht="46.5" thickTop="1" thickBot="1">
      <c r="A20" s="2944"/>
      <c r="B20" s="2949"/>
      <c r="C20" s="2918"/>
      <c r="D20" s="728" t="s">
        <v>177</v>
      </c>
      <c r="E20" s="90" t="s">
        <v>127</v>
      </c>
      <c r="F20" s="76" t="s">
        <v>10</v>
      </c>
      <c r="G20" s="1029">
        <v>0.2</v>
      </c>
      <c r="H20" s="78"/>
      <c r="I20" s="652"/>
      <c r="J20" s="78"/>
      <c r="K20" s="76" t="s">
        <v>7</v>
      </c>
      <c r="L20" s="1030">
        <v>0.2</v>
      </c>
      <c r="M20" s="1031"/>
      <c r="N20" s="73">
        <f t="shared" si="2"/>
        <v>0</v>
      </c>
      <c r="O20" s="1030">
        <v>0.2</v>
      </c>
      <c r="P20" s="1031"/>
      <c r="Q20" s="73">
        <f t="shared" si="3"/>
        <v>0</v>
      </c>
      <c r="R20" s="1030">
        <v>0.2</v>
      </c>
      <c r="S20" s="1031"/>
      <c r="T20" s="73">
        <f t="shared" si="4"/>
        <v>0</v>
      </c>
      <c r="U20" s="1030">
        <v>0.2</v>
      </c>
      <c r="V20" s="1031"/>
      <c r="W20" s="73">
        <f t="shared" si="5"/>
        <v>0</v>
      </c>
      <c r="X20" s="1030">
        <v>0.2</v>
      </c>
      <c r="Y20" s="1031"/>
      <c r="Z20" s="73">
        <f t="shared" si="6"/>
        <v>0</v>
      </c>
      <c r="AA20" s="1030">
        <v>0.2</v>
      </c>
      <c r="AB20" s="1031"/>
      <c r="AC20" s="73">
        <f t="shared" si="16"/>
        <v>0</v>
      </c>
      <c r="AD20" s="978">
        <f>(+M20+P20+S20+V20+Y20+AB20)/6</f>
        <v>0</v>
      </c>
      <c r="AE20" s="73">
        <f t="shared" si="18"/>
        <v>0</v>
      </c>
      <c r="AF20" s="1030">
        <v>0.2</v>
      </c>
      <c r="AG20" s="1031">
        <f>5/14</f>
        <v>0.35714285714285715</v>
      </c>
      <c r="AH20" s="73">
        <f t="shared" si="10"/>
        <v>1.7857142857142856</v>
      </c>
      <c r="AI20" s="1030">
        <v>0.2</v>
      </c>
      <c r="AJ20" s="1031">
        <f>2/9</f>
        <v>0.22222222222222221</v>
      </c>
      <c r="AK20" s="73">
        <f t="shared" si="11"/>
        <v>1.1111111111111109</v>
      </c>
      <c r="AL20" s="1030">
        <v>0.2</v>
      </c>
      <c r="AM20" s="1031">
        <f>2/10</f>
        <v>0.2</v>
      </c>
      <c r="AN20" s="73">
        <f t="shared" si="12"/>
        <v>1</v>
      </c>
      <c r="AO20" s="1030">
        <v>0.2</v>
      </c>
      <c r="AP20" s="1031">
        <f>4/5</f>
        <v>0.8</v>
      </c>
      <c r="AQ20" s="73">
        <f t="shared" si="13"/>
        <v>4</v>
      </c>
      <c r="AR20" s="1030">
        <v>0.2</v>
      </c>
      <c r="AS20" s="1031">
        <f>5/13</f>
        <v>0.38461538461538464</v>
      </c>
      <c r="AT20" s="73">
        <f t="shared" si="14"/>
        <v>1.9230769230769231</v>
      </c>
      <c r="AU20" s="1030">
        <v>0.2</v>
      </c>
      <c r="AV20" s="1031">
        <f>2/6</f>
        <v>0.33333333333333331</v>
      </c>
      <c r="AW20" s="73">
        <f t="shared" si="19"/>
        <v>1.6666666666666665</v>
      </c>
      <c r="AX20" s="1030">
        <f>20/57</f>
        <v>0.35087719298245612</v>
      </c>
      <c r="AY20" s="73">
        <f t="shared" si="21"/>
        <v>1.7543859649122806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</row>
    <row r="21" spans="1:78" s="22" customFormat="1" ht="61.5" thickTop="1" thickBot="1">
      <c r="A21" s="2944"/>
      <c r="B21" s="2949"/>
      <c r="C21" s="2918"/>
      <c r="D21" s="731" t="s">
        <v>128</v>
      </c>
      <c r="E21" s="87" t="s">
        <v>220</v>
      </c>
      <c r="F21" s="81" t="s">
        <v>10</v>
      </c>
      <c r="G21" s="1032">
        <v>1</v>
      </c>
      <c r="H21" s="82"/>
      <c r="I21" s="642"/>
      <c r="J21" s="82"/>
      <c r="K21" s="81" t="s">
        <v>7</v>
      </c>
      <c r="L21" s="869">
        <v>1</v>
      </c>
      <c r="M21" s="978"/>
      <c r="N21" s="73">
        <f t="shared" si="2"/>
        <v>0</v>
      </c>
      <c r="O21" s="869">
        <v>1</v>
      </c>
      <c r="P21" s="978"/>
      <c r="Q21" s="73">
        <f t="shared" si="3"/>
        <v>0</v>
      </c>
      <c r="R21" s="869">
        <v>1</v>
      </c>
      <c r="S21" s="978">
        <v>1</v>
      </c>
      <c r="T21" s="73">
        <f t="shared" si="4"/>
        <v>1</v>
      </c>
      <c r="U21" s="869">
        <v>1</v>
      </c>
      <c r="V21" s="978"/>
      <c r="W21" s="73">
        <f t="shared" si="5"/>
        <v>0</v>
      </c>
      <c r="X21" s="869">
        <v>1</v>
      </c>
      <c r="Y21" s="978"/>
      <c r="Z21" s="73">
        <f t="shared" si="6"/>
        <v>0</v>
      </c>
      <c r="AA21" s="869">
        <v>1</v>
      </c>
      <c r="AB21" s="978"/>
      <c r="AC21" s="73">
        <f t="shared" si="16"/>
        <v>0</v>
      </c>
      <c r="AD21" s="978">
        <f>(+M21+P21+S21+V21+Y21+AB21)/6</f>
        <v>0.16666666666666666</v>
      </c>
      <c r="AE21" s="73">
        <f t="shared" si="18"/>
        <v>0.16666666666666666</v>
      </c>
      <c r="AF21" s="869">
        <v>1</v>
      </c>
      <c r="AG21" s="978"/>
      <c r="AH21" s="73">
        <f t="shared" si="10"/>
        <v>0</v>
      </c>
      <c r="AI21" s="869">
        <v>1</v>
      </c>
      <c r="AJ21" s="978"/>
      <c r="AK21" s="73">
        <f t="shared" si="11"/>
        <v>0</v>
      </c>
      <c r="AL21" s="869">
        <v>1</v>
      </c>
      <c r="AM21" s="978"/>
      <c r="AN21" s="73">
        <f t="shared" si="12"/>
        <v>0</v>
      </c>
      <c r="AO21" s="869">
        <v>1</v>
      </c>
      <c r="AP21" s="978"/>
      <c r="AQ21" s="73">
        <f t="shared" si="13"/>
        <v>0</v>
      </c>
      <c r="AR21" s="869">
        <v>1</v>
      </c>
      <c r="AS21" s="978">
        <v>0</v>
      </c>
      <c r="AT21" s="73">
        <f t="shared" si="14"/>
        <v>0</v>
      </c>
      <c r="AU21" s="869">
        <v>1</v>
      </c>
      <c r="AV21" s="978"/>
      <c r="AW21" s="73">
        <f t="shared" si="19"/>
        <v>0</v>
      </c>
      <c r="AX21" s="869">
        <f>(+S21)</f>
        <v>1</v>
      </c>
      <c r="AY21" s="73">
        <f t="shared" si="21"/>
        <v>1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</row>
    <row r="22" spans="1:78" s="22" customFormat="1" ht="61.5" thickTop="1" thickBot="1">
      <c r="A22" s="2944"/>
      <c r="B22" s="2949"/>
      <c r="C22" s="2918"/>
      <c r="D22" s="728" t="s">
        <v>179</v>
      </c>
      <c r="E22" s="90" t="s">
        <v>131</v>
      </c>
      <c r="F22" s="76" t="s">
        <v>10</v>
      </c>
      <c r="G22" s="1029">
        <v>1</v>
      </c>
      <c r="H22" s="78"/>
      <c r="I22" s="652"/>
      <c r="J22" s="78"/>
      <c r="K22" s="76" t="s">
        <v>7</v>
      </c>
      <c r="L22" s="871">
        <v>1</v>
      </c>
      <c r="M22" s="974"/>
      <c r="N22" s="73">
        <f t="shared" si="2"/>
        <v>0</v>
      </c>
      <c r="O22" s="871">
        <v>1</v>
      </c>
      <c r="P22" s="974"/>
      <c r="Q22" s="73">
        <f t="shared" si="3"/>
        <v>0</v>
      </c>
      <c r="R22" s="871">
        <v>1</v>
      </c>
      <c r="S22" s="974"/>
      <c r="T22" s="73">
        <f t="shared" si="4"/>
        <v>0</v>
      </c>
      <c r="U22" s="871">
        <v>1</v>
      </c>
      <c r="V22" s="974">
        <v>0.17499999999999999</v>
      </c>
      <c r="W22" s="73">
        <f t="shared" si="5"/>
        <v>0.17499999999999999</v>
      </c>
      <c r="X22" s="871">
        <v>1</v>
      </c>
      <c r="Y22" s="974">
        <v>0.2455</v>
      </c>
      <c r="Z22" s="73">
        <f t="shared" si="6"/>
        <v>0.2455</v>
      </c>
      <c r="AA22" s="871">
        <v>1</v>
      </c>
      <c r="AB22" s="974">
        <v>0.32729999999999998</v>
      </c>
      <c r="AC22" s="73">
        <f t="shared" si="16"/>
        <v>0.32729999999999998</v>
      </c>
      <c r="AD22" s="978">
        <f>(+M22+P22+S22+V22+Y22+AB22)/6</f>
        <v>0.12463333333333333</v>
      </c>
      <c r="AE22" s="73">
        <f t="shared" si="18"/>
        <v>0.12463333333333333</v>
      </c>
      <c r="AF22" s="871">
        <v>1</v>
      </c>
      <c r="AG22" s="974">
        <v>0.44550000000000001</v>
      </c>
      <c r="AH22" s="73">
        <f t="shared" si="10"/>
        <v>0.44550000000000001</v>
      </c>
      <c r="AI22" s="871">
        <v>1</v>
      </c>
      <c r="AJ22" s="974">
        <v>0.5</v>
      </c>
      <c r="AK22" s="73">
        <f t="shared" si="11"/>
        <v>0.5</v>
      </c>
      <c r="AL22" s="871">
        <v>1</v>
      </c>
      <c r="AM22" s="974">
        <v>0.56359999999999999</v>
      </c>
      <c r="AN22" s="73">
        <f t="shared" si="12"/>
        <v>0.56359999999999999</v>
      </c>
      <c r="AO22" s="871">
        <v>1</v>
      </c>
      <c r="AP22" s="974">
        <v>0.54549999999999998</v>
      </c>
      <c r="AQ22" s="73">
        <f t="shared" si="13"/>
        <v>0.54549999999999998</v>
      </c>
      <c r="AR22" s="871">
        <v>1</v>
      </c>
      <c r="AS22" s="974">
        <v>0.83640000000000003</v>
      </c>
      <c r="AT22" s="73">
        <f t="shared" si="14"/>
        <v>0.83640000000000003</v>
      </c>
      <c r="AU22" s="871">
        <v>1</v>
      </c>
      <c r="AV22" s="974">
        <v>1.0098</v>
      </c>
      <c r="AW22" s="73">
        <f t="shared" si="19"/>
        <v>1.0098</v>
      </c>
      <c r="AX22" s="871">
        <f>AV22</f>
        <v>1.0098</v>
      </c>
      <c r="AY22" s="73">
        <f t="shared" si="21"/>
        <v>1.0098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</row>
    <row r="23" spans="1:78" s="22" customFormat="1" ht="61.5" thickTop="1" thickBot="1">
      <c r="A23" s="2945"/>
      <c r="B23" s="2950"/>
      <c r="C23" s="2919"/>
      <c r="D23" s="731" t="s">
        <v>132</v>
      </c>
      <c r="E23" s="87" t="s">
        <v>133</v>
      </c>
      <c r="F23" s="81" t="s">
        <v>10</v>
      </c>
      <c r="G23" s="1032">
        <v>1</v>
      </c>
      <c r="H23" s="81"/>
      <c r="I23" s="642"/>
      <c r="J23" s="81"/>
      <c r="K23" s="81" t="s">
        <v>7</v>
      </c>
      <c r="L23" s="869">
        <v>0</v>
      </c>
      <c r="M23" s="978"/>
      <c r="N23" s="73" t="e">
        <f t="shared" si="2"/>
        <v>#DIV/0!</v>
      </c>
      <c r="O23" s="869">
        <v>0</v>
      </c>
      <c r="P23" s="978"/>
      <c r="Q23" s="73" t="e">
        <f t="shared" si="3"/>
        <v>#DIV/0!</v>
      </c>
      <c r="R23" s="869">
        <v>0</v>
      </c>
      <c r="S23" s="978"/>
      <c r="T23" s="73" t="e">
        <f t="shared" si="4"/>
        <v>#DIV/0!</v>
      </c>
      <c r="U23" s="869">
        <v>0</v>
      </c>
      <c r="V23" s="978"/>
      <c r="W23" s="73" t="e">
        <f t="shared" si="5"/>
        <v>#DIV/0!</v>
      </c>
      <c r="X23" s="869">
        <v>0</v>
      </c>
      <c r="Y23" s="978"/>
      <c r="Z23" s="73" t="e">
        <f t="shared" si="6"/>
        <v>#DIV/0!</v>
      </c>
      <c r="AA23" s="869">
        <v>0</v>
      </c>
      <c r="AB23" s="978">
        <f>10/10</f>
        <v>1</v>
      </c>
      <c r="AC23" s="73" t="e">
        <f t="shared" si="16"/>
        <v>#DIV/0!</v>
      </c>
      <c r="AD23" s="978">
        <f t="shared" si="17"/>
        <v>1</v>
      </c>
      <c r="AE23" s="73">
        <f t="shared" si="18"/>
        <v>1</v>
      </c>
      <c r="AF23" s="869">
        <v>0</v>
      </c>
      <c r="AG23" s="978"/>
      <c r="AH23" s="73" t="e">
        <f t="shared" si="10"/>
        <v>#DIV/0!</v>
      </c>
      <c r="AI23" s="869">
        <v>1</v>
      </c>
      <c r="AJ23" s="978"/>
      <c r="AK23" s="73">
        <f t="shared" si="11"/>
        <v>0</v>
      </c>
      <c r="AL23" s="869">
        <v>0</v>
      </c>
      <c r="AM23" s="978"/>
      <c r="AN23" s="73" t="e">
        <f t="shared" si="12"/>
        <v>#DIV/0!</v>
      </c>
      <c r="AO23" s="869">
        <v>0</v>
      </c>
      <c r="AP23" s="978"/>
      <c r="AQ23" s="73" t="e">
        <f t="shared" si="13"/>
        <v>#DIV/0!</v>
      </c>
      <c r="AR23" s="869">
        <v>0</v>
      </c>
      <c r="AS23" s="978"/>
      <c r="AT23" s="73" t="e">
        <f t="shared" si="14"/>
        <v>#DIV/0!</v>
      </c>
      <c r="AU23" s="869">
        <v>0</v>
      </c>
      <c r="AV23" s="978"/>
      <c r="AW23" s="73" t="e">
        <f t="shared" si="19"/>
        <v>#DIV/0!</v>
      </c>
      <c r="AX23" s="869">
        <f t="shared" si="20"/>
        <v>1</v>
      </c>
      <c r="AY23" s="73">
        <f t="shared" si="21"/>
        <v>1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</row>
    <row r="24" spans="1:78" s="22" customFormat="1" ht="22.5" thickTop="1" thickBot="1">
      <c r="A24" s="2857" t="s">
        <v>141</v>
      </c>
      <c r="B24" s="2858"/>
      <c r="C24" s="2858"/>
      <c r="D24" s="2858"/>
      <c r="E24" s="2858"/>
      <c r="F24" s="2858"/>
      <c r="G24" s="2858"/>
      <c r="H24" s="2858"/>
      <c r="I24" s="2858"/>
      <c r="J24" s="2858"/>
      <c r="K24" s="2859"/>
      <c r="L24" s="93"/>
      <c r="M24" s="896"/>
      <c r="N24" s="896"/>
      <c r="O24" s="896"/>
      <c r="P24" s="896"/>
      <c r="Q24" s="896"/>
      <c r="R24" s="896"/>
      <c r="S24" s="896"/>
      <c r="T24" s="896"/>
      <c r="U24" s="896"/>
      <c r="V24" s="896"/>
      <c r="W24" s="896"/>
      <c r="X24" s="896"/>
      <c r="Y24" s="896"/>
      <c r="Z24" s="896"/>
      <c r="AA24" s="896"/>
      <c r="AB24" s="896"/>
      <c r="AC24" s="896"/>
      <c r="AD24" s="896"/>
      <c r="AE24" s="896"/>
      <c r="AF24" s="896"/>
      <c r="AG24" s="896"/>
      <c r="AH24" s="896"/>
      <c r="AI24" s="896"/>
      <c r="AJ24" s="896"/>
      <c r="AK24" s="896"/>
      <c r="AL24" s="896"/>
      <c r="AM24" s="896"/>
      <c r="AN24" s="896"/>
      <c r="AO24" s="896"/>
      <c r="AP24" s="896"/>
      <c r="AQ24" s="896"/>
      <c r="AR24" s="896"/>
      <c r="AS24" s="896"/>
      <c r="AT24" s="896"/>
      <c r="AU24" s="896"/>
      <c r="AV24" s="896"/>
      <c r="AW24" s="896"/>
      <c r="AX24" s="896"/>
      <c r="AY24" s="897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</row>
    <row r="25" spans="1:78" s="22" customFormat="1" ht="106.5" thickTop="1" thickBot="1">
      <c r="A25" s="2860" t="s">
        <v>181</v>
      </c>
      <c r="B25" s="2954" t="s">
        <v>314</v>
      </c>
      <c r="C25" s="1033" t="s">
        <v>494</v>
      </c>
      <c r="D25" s="1034" t="s">
        <v>144</v>
      </c>
      <c r="E25" s="1033" t="s">
        <v>145</v>
      </c>
      <c r="F25" s="1033" t="s">
        <v>17</v>
      </c>
      <c r="G25" s="1035">
        <v>650</v>
      </c>
      <c r="H25" s="1033"/>
      <c r="I25" s="1033" t="s">
        <v>316</v>
      </c>
      <c r="J25" s="1033"/>
      <c r="K25" s="1033" t="s">
        <v>146</v>
      </c>
      <c r="L25" s="123">
        <v>0</v>
      </c>
      <c r="M25" s="1036"/>
      <c r="N25" s="73" t="e">
        <f t="shared" si="2"/>
        <v>#DIV/0!</v>
      </c>
      <c r="O25" s="123">
        <v>0</v>
      </c>
      <c r="P25" s="1036"/>
      <c r="Q25" s="73" t="e">
        <f t="shared" si="3"/>
        <v>#DIV/0!</v>
      </c>
      <c r="R25" s="123">
        <v>0</v>
      </c>
      <c r="S25" s="1036"/>
      <c r="T25" s="73" t="e">
        <f t="shared" si="4"/>
        <v>#DIV/0!</v>
      </c>
      <c r="U25" s="123">
        <v>130</v>
      </c>
      <c r="V25" s="1036">
        <v>130</v>
      </c>
      <c r="W25" s="73">
        <f t="shared" si="5"/>
        <v>1</v>
      </c>
      <c r="X25" s="123">
        <v>0</v>
      </c>
      <c r="Y25" s="1036"/>
      <c r="Z25" s="73" t="e">
        <f t="shared" si="6"/>
        <v>#DIV/0!</v>
      </c>
      <c r="AA25" s="123">
        <v>0</v>
      </c>
      <c r="AB25" s="1036"/>
      <c r="AC25" s="73" t="e">
        <f t="shared" si="16"/>
        <v>#DIV/0!</v>
      </c>
      <c r="AD25" s="1025">
        <f t="shared" si="17"/>
        <v>130</v>
      </c>
      <c r="AE25" s="73">
        <f t="shared" si="18"/>
        <v>0.2</v>
      </c>
      <c r="AF25" s="123">
        <v>0</v>
      </c>
      <c r="AG25" s="1036"/>
      <c r="AH25" s="73" t="e">
        <f t="shared" si="10"/>
        <v>#DIV/0!</v>
      </c>
      <c r="AI25" s="123">
        <v>195</v>
      </c>
      <c r="AJ25" s="1036">
        <v>918</v>
      </c>
      <c r="AK25" s="73">
        <f t="shared" si="11"/>
        <v>4.7076923076923078</v>
      </c>
      <c r="AL25" s="123">
        <v>0</v>
      </c>
      <c r="AM25" s="1036"/>
      <c r="AN25" s="73" t="e">
        <f t="shared" si="12"/>
        <v>#DIV/0!</v>
      </c>
      <c r="AO25" s="123">
        <v>0</v>
      </c>
      <c r="AP25" s="1036"/>
      <c r="AQ25" s="73" t="e">
        <f t="shared" si="13"/>
        <v>#DIV/0!</v>
      </c>
      <c r="AR25" s="123">
        <v>0</v>
      </c>
      <c r="AS25" s="1036"/>
      <c r="AT25" s="73" t="e">
        <f t="shared" si="14"/>
        <v>#DIV/0!</v>
      </c>
      <c r="AU25" s="123">
        <v>325</v>
      </c>
      <c r="AV25" s="1036">
        <v>73</v>
      </c>
      <c r="AW25" s="73">
        <f t="shared" si="19"/>
        <v>0.22461538461538461</v>
      </c>
      <c r="AX25" s="123">
        <f>+M25+P25+S25+V25+Y25+AB25+AG25+AJ25+AM25+AP25+AS25+AV25</f>
        <v>1121</v>
      </c>
      <c r="AY25" s="73">
        <f>+AX25/G25</f>
        <v>1.7246153846153847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</row>
    <row r="26" spans="1:78" s="22" customFormat="1" ht="61.5" thickTop="1" thickBot="1">
      <c r="A26" s="2861"/>
      <c r="B26" s="2955"/>
      <c r="C26" s="81" t="s">
        <v>337</v>
      </c>
      <c r="D26" s="627" t="s">
        <v>148</v>
      </c>
      <c r="E26" s="81" t="s">
        <v>149</v>
      </c>
      <c r="F26" s="81" t="s">
        <v>8</v>
      </c>
      <c r="G26" s="133">
        <v>10.199999999999999</v>
      </c>
      <c r="H26" s="81"/>
      <c r="I26" s="81">
        <v>10.199999999999999</v>
      </c>
      <c r="J26" s="81"/>
      <c r="K26" s="81" t="s">
        <v>9</v>
      </c>
      <c r="L26" s="857">
        <v>10.199999999999999</v>
      </c>
      <c r="M26" s="1025">
        <v>8.48</v>
      </c>
      <c r="N26" s="73">
        <f>+L26/M26</f>
        <v>1.2028301886792452</v>
      </c>
      <c r="O26" s="857">
        <v>10.199999999999999</v>
      </c>
      <c r="P26" s="1025">
        <v>6.99</v>
      </c>
      <c r="Q26" s="73">
        <f>+O26/P26</f>
        <v>1.4592274678111588</v>
      </c>
      <c r="R26" s="857">
        <v>10.199999999999999</v>
      </c>
      <c r="S26" s="1025">
        <v>7.14</v>
      </c>
      <c r="T26" s="73">
        <f>+R26/S26</f>
        <v>1.4285714285714286</v>
      </c>
      <c r="U26" s="857">
        <v>10.199999999999999</v>
      </c>
      <c r="V26" s="1025">
        <v>0</v>
      </c>
      <c r="W26" s="73" t="e">
        <f>+U26/V26</f>
        <v>#DIV/0!</v>
      </c>
      <c r="X26" s="857">
        <v>10.199999999999999</v>
      </c>
      <c r="Y26" s="1025">
        <v>0</v>
      </c>
      <c r="Z26" s="73" t="e">
        <f>+X26/Y26</f>
        <v>#DIV/0!</v>
      </c>
      <c r="AA26" s="857">
        <v>10.199999999999999</v>
      </c>
      <c r="AB26" s="1025">
        <v>8.82</v>
      </c>
      <c r="AC26" s="73">
        <f>+AA26/AB26</f>
        <v>1.1564625850340136</v>
      </c>
      <c r="AD26" s="1025">
        <f>(+M26+P26+S26+V26+Y26+AB26)/6</f>
        <v>5.2383333333333333</v>
      </c>
      <c r="AE26" s="73">
        <f>+G26/AD26</f>
        <v>1.9471842188991408</v>
      </c>
      <c r="AF26" s="857">
        <v>10.199999999999999</v>
      </c>
      <c r="AG26" s="1025">
        <v>7.6</v>
      </c>
      <c r="AH26" s="73">
        <f>+AF26/AG26</f>
        <v>1.3421052631578947</v>
      </c>
      <c r="AI26" s="857">
        <v>10.199999999999999</v>
      </c>
      <c r="AJ26" s="1025">
        <v>6.1</v>
      </c>
      <c r="AK26" s="73">
        <f>+AI26/AJ26</f>
        <v>1.6721311475409837</v>
      </c>
      <c r="AL26" s="857">
        <v>10.199999999999999</v>
      </c>
      <c r="AM26" s="1025">
        <v>7.18</v>
      </c>
      <c r="AN26" s="73">
        <f>+AL26/AM26</f>
        <v>1.4206128133704734</v>
      </c>
      <c r="AO26" s="857">
        <v>10.199999999999999</v>
      </c>
      <c r="AP26" s="1025">
        <v>6.31</v>
      </c>
      <c r="AQ26" s="73">
        <f>+AO26/AP26</f>
        <v>1.6164817749603804</v>
      </c>
      <c r="AR26" s="857">
        <v>10.199999999999999</v>
      </c>
      <c r="AS26" s="1025">
        <v>5.62</v>
      </c>
      <c r="AT26" s="73">
        <f>+AR26/AS26</f>
        <v>1.8149466192170818</v>
      </c>
      <c r="AU26" s="857">
        <v>10.199999999999999</v>
      </c>
      <c r="AV26" s="1025">
        <v>7.8</v>
      </c>
      <c r="AW26" s="73">
        <f>+AU26/AV26</f>
        <v>1.3076923076923077</v>
      </c>
      <c r="AX26" s="857">
        <f>(+M26+P26+S26+AB26+AG26+AJ26+AM26+AP26+AS26+AV26)/10</f>
        <v>7.2040000000000006</v>
      </c>
      <c r="AY26" s="73">
        <f>+G26/AX26</f>
        <v>1.41588006662965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</row>
    <row r="27" spans="1:78" s="22" customFormat="1" ht="57.75" thickTop="1" thickBot="1">
      <c r="A27" s="2862"/>
      <c r="B27" s="1037" t="s">
        <v>150</v>
      </c>
      <c r="C27" s="1033" t="s">
        <v>338</v>
      </c>
      <c r="D27" s="1038" t="s">
        <v>319</v>
      </c>
      <c r="E27" s="1033" t="s">
        <v>495</v>
      </c>
      <c r="F27" s="1033" t="s">
        <v>17</v>
      </c>
      <c r="G27" s="1035">
        <v>37</v>
      </c>
      <c r="H27" s="1033"/>
      <c r="I27" s="1033">
        <v>37</v>
      </c>
      <c r="J27" s="1033"/>
      <c r="K27" s="1033" t="s">
        <v>21</v>
      </c>
      <c r="L27" s="123"/>
      <c r="M27" s="1036">
        <v>43</v>
      </c>
      <c r="N27" s="73">
        <f>+L27/M27</f>
        <v>0</v>
      </c>
      <c r="O27" s="123"/>
      <c r="P27" s="1036">
        <v>39</v>
      </c>
      <c r="Q27" s="73">
        <f>+O27/P27</f>
        <v>0</v>
      </c>
      <c r="R27" s="123">
        <v>37</v>
      </c>
      <c r="S27" s="1036">
        <v>34</v>
      </c>
      <c r="T27" s="73">
        <f>+R27/S27</f>
        <v>1.088235294117647</v>
      </c>
      <c r="U27" s="123">
        <v>37</v>
      </c>
      <c r="V27" s="1036">
        <v>39</v>
      </c>
      <c r="W27" s="73">
        <f>+U27/V27</f>
        <v>0.94871794871794868</v>
      </c>
      <c r="X27" s="123">
        <v>37</v>
      </c>
      <c r="Y27" s="1036">
        <v>22</v>
      </c>
      <c r="Z27" s="73">
        <f>+X27/Y27</f>
        <v>1.6818181818181819</v>
      </c>
      <c r="AA27" s="123">
        <v>37</v>
      </c>
      <c r="AB27" s="1036">
        <v>17</v>
      </c>
      <c r="AC27" s="73">
        <f>+AA27/AB27</f>
        <v>2.1764705882352939</v>
      </c>
      <c r="AD27" s="1025">
        <f>(+M27+P27+S27+V27+Y27+AB27)/4</f>
        <v>48.5</v>
      </c>
      <c r="AE27" s="73">
        <f>+G27/AD27</f>
        <v>0.76288659793814428</v>
      </c>
      <c r="AF27" s="123">
        <v>37</v>
      </c>
      <c r="AG27" s="1036">
        <v>20</v>
      </c>
      <c r="AH27" s="73">
        <f>+AF27/AG27</f>
        <v>1.85</v>
      </c>
      <c r="AI27" s="123">
        <v>37</v>
      </c>
      <c r="AJ27" s="1036">
        <v>29</v>
      </c>
      <c r="AK27" s="73">
        <f>+AI27/AJ27</f>
        <v>1.2758620689655173</v>
      </c>
      <c r="AL27" s="123">
        <v>37</v>
      </c>
      <c r="AM27" s="1036">
        <v>32</v>
      </c>
      <c r="AN27" s="73">
        <f>+AL27/AM27</f>
        <v>1.15625</v>
      </c>
      <c r="AO27" s="123">
        <v>37</v>
      </c>
      <c r="AP27" s="1036">
        <v>32</v>
      </c>
      <c r="AQ27" s="73">
        <f>+AO27/AP27</f>
        <v>1.15625</v>
      </c>
      <c r="AR27" s="123">
        <v>37</v>
      </c>
      <c r="AS27" s="1036">
        <v>31</v>
      </c>
      <c r="AT27" s="73">
        <f>+AR27/AS27</f>
        <v>1.1935483870967742</v>
      </c>
      <c r="AU27" s="123">
        <v>37</v>
      </c>
      <c r="AV27" s="1036">
        <v>32</v>
      </c>
      <c r="AW27" s="73">
        <f>+AU27/AV27</f>
        <v>1.15625</v>
      </c>
      <c r="AX27" s="123">
        <f>(+M27+P27+S27+V27+Y27+AB27+AG27+AJ27+AM27+AP27+AS27+AV27)/12</f>
        <v>30.833333333333332</v>
      </c>
      <c r="AY27" s="73">
        <f>+G27/AX27</f>
        <v>1.2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</row>
    <row r="28" spans="1:78" s="22" customFormat="1" ht="22.5" thickTop="1" thickBot="1">
      <c r="A28" s="2842" t="s">
        <v>154</v>
      </c>
      <c r="B28" s="2843"/>
      <c r="C28" s="2843"/>
      <c r="D28" s="2843"/>
      <c r="E28" s="2843"/>
      <c r="F28" s="2843"/>
      <c r="G28" s="2843"/>
      <c r="H28" s="2843"/>
      <c r="I28" s="2843"/>
      <c r="J28" s="2843"/>
      <c r="K28" s="2844"/>
      <c r="L28" s="1039"/>
      <c r="M28" s="1040"/>
      <c r="N28" s="1040"/>
      <c r="O28" s="1040"/>
      <c r="P28" s="1040"/>
      <c r="Q28" s="1040"/>
      <c r="R28" s="1040"/>
      <c r="S28" s="1040"/>
      <c r="T28" s="1040"/>
      <c r="U28" s="1040"/>
      <c r="V28" s="1040"/>
      <c r="W28" s="1040"/>
      <c r="X28" s="1040"/>
      <c r="Y28" s="1040"/>
      <c r="Z28" s="1040"/>
      <c r="AA28" s="1040"/>
      <c r="AB28" s="1040"/>
      <c r="AC28" s="1040"/>
      <c r="AD28" s="1040"/>
      <c r="AE28" s="1040"/>
      <c r="AF28" s="1040"/>
      <c r="AG28" s="1040"/>
      <c r="AH28" s="1040"/>
      <c r="AI28" s="1040"/>
      <c r="AJ28" s="1040"/>
      <c r="AK28" s="1040"/>
      <c r="AL28" s="1040"/>
      <c r="AM28" s="1040"/>
      <c r="AN28" s="1040"/>
      <c r="AO28" s="1040"/>
      <c r="AP28" s="1040"/>
      <c r="AQ28" s="1040"/>
      <c r="AR28" s="1040"/>
      <c r="AS28" s="1040"/>
      <c r="AT28" s="1040"/>
      <c r="AU28" s="1040"/>
      <c r="AV28" s="1040"/>
      <c r="AW28" s="1040"/>
      <c r="AX28" s="1040"/>
      <c r="AY28" s="1041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</row>
    <row r="29" spans="1:78" s="22" customFormat="1" ht="64.5" thickTop="1" thickBot="1">
      <c r="A29" s="100" t="s">
        <v>155</v>
      </c>
      <c r="B29" s="1042" t="s">
        <v>156</v>
      </c>
      <c r="C29" s="81" t="s">
        <v>184</v>
      </c>
      <c r="D29" s="627" t="s">
        <v>158</v>
      </c>
      <c r="E29" s="81" t="s">
        <v>159</v>
      </c>
      <c r="F29" s="81" t="s">
        <v>17</v>
      </c>
      <c r="G29" s="133">
        <v>14</v>
      </c>
      <c r="H29" s="81"/>
      <c r="I29" s="81"/>
      <c r="J29" s="81"/>
      <c r="K29" s="81" t="s">
        <v>27</v>
      </c>
      <c r="L29" s="857">
        <v>0</v>
      </c>
      <c r="M29" s="1025"/>
      <c r="N29" s="73" t="e">
        <f t="shared" si="2"/>
        <v>#DIV/0!</v>
      </c>
      <c r="O29" s="857">
        <v>0</v>
      </c>
      <c r="P29" s="1025"/>
      <c r="Q29" s="73" t="e">
        <f t="shared" si="3"/>
        <v>#DIV/0!</v>
      </c>
      <c r="R29" s="857">
        <v>0</v>
      </c>
      <c r="S29" s="1025"/>
      <c r="T29" s="73" t="e">
        <f t="shared" si="4"/>
        <v>#DIV/0!</v>
      </c>
      <c r="U29" s="857">
        <v>0</v>
      </c>
      <c r="V29" s="1025"/>
      <c r="W29" s="73" t="e">
        <f t="shared" si="5"/>
        <v>#DIV/0!</v>
      </c>
      <c r="X29" s="857">
        <v>2</v>
      </c>
      <c r="Y29" s="1025">
        <v>2</v>
      </c>
      <c r="Z29" s="73">
        <f t="shared" si="6"/>
        <v>1</v>
      </c>
      <c r="AA29" s="857">
        <v>0</v>
      </c>
      <c r="AB29" s="1025"/>
      <c r="AC29" s="73" t="e">
        <f t="shared" ref="AC29" si="22">+AB29/AA29</f>
        <v>#DIV/0!</v>
      </c>
      <c r="AD29" s="1025">
        <f>(+M29+P29+S29+V29+Y29+AB29)/4</f>
        <v>0.5</v>
      </c>
      <c r="AE29" s="73">
        <f t="shared" ref="AE29" si="23">+AD29/G29</f>
        <v>3.5714285714285712E-2</v>
      </c>
      <c r="AF29" s="857">
        <v>1</v>
      </c>
      <c r="AG29" s="1025">
        <v>1</v>
      </c>
      <c r="AH29" s="73">
        <f t="shared" si="10"/>
        <v>1</v>
      </c>
      <c r="AI29" s="857">
        <v>4</v>
      </c>
      <c r="AJ29" s="1025">
        <v>4</v>
      </c>
      <c r="AK29" s="73">
        <f t="shared" si="11"/>
        <v>1</v>
      </c>
      <c r="AL29" s="857">
        <v>3</v>
      </c>
      <c r="AM29" s="1025">
        <v>3</v>
      </c>
      <c r="AN29" s="73">
        <f t="shared" si="12"/>
        <v>1</v>
      </c>
      <c r="AO29" s="857">
        <v>4</v>
      </c>
      <c r="AP29" s="1025">
        <v>4</v>
      </c>
      <c r="AQ29" s="73">
        <f t="shared" si="13"/>
        <v>1</v>
      </c>
      <c r="AR29" s="857">
        <v>0</v>
      </c>
      <c r="AS29" s="1025"/>
      <c r="AT29" s="73" t="e">
        <f t="shared" si="14"/>
        <v>#DIV/0!</v>
      </c>
      <c r="AU29" s="857">
        <v>0</v>
      </c>
      <c r="AV29" s="1025"/>
      <c r="AW29" s="73" t="e">
        <f t="shared" ref="AW29" si="24">+AV29/AU29</f>
        <v>#DIV/0!</v>
      </c>
      <c r="AX29" s="123">
        <f>+AP29+AM29+AJ29+AG29+Y29</f>
        <v>14</v>
      </c>
      <c r="AY29" s="73">
        <f>+AX29/G29</f>
        <v>1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</row>
    <row r="30" spans="1:78" ht="19.5" thickTop="1">
      <c r="B30" s="1043"/>
    </row>
    <row r="31" spans="1:78"/>
  </sheetData>
  <sheetProtection algorithmName="SHA-512" hashValue="be3hGwLhjs/vJo2H4wUjtxixGYJ6UiOkzZO8hF/qJKjDO85wLBMOpGGp9JxdfiW53TQcV+by7G7GA8nLyMV50A==" saltValue="We66/RxHVsV+5isIof9Vcg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10:H10" name="Rango1"/>
    <protectedRange algorithmName="SHA-512" hashValue="Uds9cYMsxnQI1SjFHe8NNqfDC/fFeray9QhmtAdG/GCgT0L97QBkFAQ9tCw5vTy3J/lQFdDpBTyQoZDg0KZNmQ==" saltValue="0HoWkw5WsZ+PdZDtJpkerg==" spinCount="100000" sqref="K10" name="Rango1_1"/>
  </protectedRanges>
  <mergeCells count="36">
    <mergeCell ref="A24:K24"/>
    <mergeCell ref="A25:A27"/>
    <mergeCell ref="B25:B26"/>
    <mergeCell ref="A28:K28"/>
    <mergeCell ref="AO5:AQ7"/>
    <mergeCell ref="K5:K7"/>
    <mergeCell ref="L5:N7"/>
    <mergeCell ref="O5:Q7"/>
    <mergeCell ref="R5:T7"/>
    <mergeCell ref="U5:W7"/>
    <mergeCell ref="AR5:AT7"/>
    <mergeCell ref="AU5:AW7"/>
    <mergeCell ref="AX5:AY7"/>
    <mergeCell ref="A8:K8"/>
    <mergeCell ref="A9:A23"/>
    <mergeCell ref="B9:B10"/>
    <mergeCell ref="B11:B23"/>
    <mergeCell ref="C12:C15"/>
    <mergeCell ref="C17:C23"/>
    <mergeCell ref="X5:Z7"/>
    <mergeCell ref="AA5:AC7"/>
    <mergeCell ref="AD5:AE7"/>
    <mergeCell ref="AF5:AH7"/>
    <mergeCell ref="AI5:AK7"/>
    <mergeCell ref="AL5:AN7"/>
    <mergeCell ref="H5:J6"/>
    <mergeCell ref="A1:K1"/>
    <mergeCell ref="A2:K2"/>
    <mergeCell ref="A3:K3"/>
    <mergeCell ref="A5:A7"/>
    <mergeCell ref="B5:B7"/>
    <mergeCell ref="C5:C7"/>
    <mergeCell ref="D5:D7"/>
    <mergeCell ref="E5:E7"/>
    <mergeCell ref="F5:F7"/>
    <mergeCell ref="G5:G7"/>
  </mergeCells>
  <conditionalFormatting sqref="N9:N23">
    <cfRule type="cellIs" dxfId="10274" priority="186" operator="greaterThan">
      <formula>110%</formula>
    </cfRule>
    <cfRule type="cellIs" dxfId="10273" priority="187" operator="between">
      <formula>100.001%</formula>
      <formula>110%</formula>
    </cfRule>
    <cfRule type="cellIs" dxfId="10272" priority="188" operator="between">
      <formula>70.001%</formula>
      <formula>100%</formula>
    </cfRule>
    <cfRule type="cellIs" dxfId="10271" priority="189" operator="between">
      <formula>0.00001%</formula>
      <formula>70%</formula>
    </cfRule>
    <cfRule type="cellIs" dxfId="10270" priority="190" operator="equal">
      <formula>0</formula>
    </cfRule>
  </conditionalFormatting>
  <conditionalFormatting sqref="N29 N25">
    <cfRule type="cellIs" dxfId="10269" priority="181" operator="greaterThan">
      <formula>110%</formula>
    </cfRule>
    <cfRule type="cellIs" dxfId="10268" priority="182" operator="between">
      <formula>100.001%</formula>
      <formula>110%</formula>
    </cfRule>
    <cfRule type="cellIs" dxfId="10267" priority="183" operator="between">
      <formula>70.001%</formula>
      <formula>100%</formula>
    </cfRule>
    <cfRule type="cellIs" dxfId="10266" priority="184" operator="between">
      <formula>0.00001%</formula>
      <formula>70%</formula>
    </cfRule>
    <cfRule type="cellIs" dxfId="10265" priority="185" operator="equal">
      <formula>0</formula>
    </cfRule>
  </conditionalFormatting>
  <conditionalFormatting sqref="Q9:Q23">
    <cfRule type="cellIs" dxfId="10264" priority="176" operator="greaterThan">
      <formula>110%</formula>
    </cfRule>
    <cfRule type="cellIs" dxfId="10263" priority="177" operator="between">
      <formula>100.001%</formula>
      <formula>110%</formula>
    </cfRule>
    <cfRule type="cellIs" dxfId="10262" priority="178" operator="between">
      <formula>70.001%</formula>
      <formula>100%</formula>
    </cfRule>
    <cfRule type="cellIs" dxfId="10261" priority="179" operator="between">
      <formula>0.00001%</formula>
      <formula>70%</formula>
    </cfRule>
    <cfRule type="cellIs" dxfId="10260" priority="180" operator="equal">
      <formula>0</formula>
    </cfRule>
  </conditionalFormatting>
  <conditionalFormatting sqref="Q29 Q25">
    <cfRule type="cellIs" dxfId="10259" priority="171" operator="greaterThan">
      <formula>110%</formula>
    </cfRule>
    <cfRule type="cellIs" dxfId="10258" priority="172" operator="between">
      <formula>100.001%</formula>
      <formula>110%</formula>
    </cfRule>
    <cfRule type="cellIs" dxfId="10257" priority="173" operator="between">
      <formula>70.001%</formula>
      <formula>100%</formula>
    </cfRule>
    <cfRule type="cellIs" dxfId="10256" priority="174" operator="between">
      <formula>0.00001%</formula>
      <formula>70%</formula>
    </cfRule>
    <cfRule type="cellIs" dxfId="10255" priority="175" operator="equal">
      <formula>0</formula>
    </cfRule>
  </conditionalFormatting>
  <conditionalFormatting sqref="T9:T23">
    <cfRule type="cellIs" dxfId="10254" priority="166" operator="greaterThan">
      <formula>110%</formula>
    </cfRule>
    <cfRule type="cellIs" dxfId="10253" priority="167" operator="between">
      <formula>100.001%</formula>
      <formula>110%</formula>
    </cfRule>
    <cfRule type="cellIs" dxfId="10252" priority="168" operator="between">
      <formula>70.001%</formula>
      <formula>100%</formula>
    </cfRule>
    <cfRule type="cellIs" dxfId="10251" priority="169" operator="between">
      <formula>0.00001%</formula>
      <formula>70%</formula>
    </cfRule>
    <cfRule type="cellIs" dxfId="10250" priority="170" operator="equal">
      <formula>0</formula>
    </cfRule>
  </conditionalFormatting>
  <conditionalFormatting sqref="T29 T25">
    <cfRule type="cellIs" dxfId="10249" priority="161" operator="greaterThan">
      <formula>110%</formula>
    </cfRule>
    <cfRule type="cellIs" dxfId="10248" priority="162" operator="between">
      <formula>100.001%</formula>
      <formula>110%</formula>
    </cfRule>
    <cfRule type="cellIs" dxfId="10247" priority="163" operator="between">
      <formula>70.001%</formula>
      <formula>100%</formula>
    </cfRule>
    <cfRule type="cellIs" dxfId="10246" priority="164" operator="between">
      <formula>0.00001%</formula>
      <formula>70%</formula>
    </cfRule>
    <cfRule type="cellIs" dxfId="10245" priority="165" operator="equal">
      <formula>0</formula>
    </cfRule>
  </conditionalFormatting>
  <conditionalFormatting sqref="W9:W23">
    <cfRule type="cellIs" dxfId="10244" priority="156" operator="greaterThan">
      <formula>110%</formula>
    </cfRule>
    <cfRule type="cellIs" dxfId="10243" priority="157" operator="between">
      <formula>100.001%</formula>
      <formula>110%</formula>
    </cfRule>
    <cfRule type="cellIs" dxfId="10242" priority="158" operator="between">
      <formula>70.001%</formula>
      <formula>100%</formula>
    </cfRule>
    <cfRule type="cellIs" dxfId="10241" priority="159" operator="between">
      <formula>0.00001%</formula>
      <formula>70%</formula>
    </cfRule>
    <cfRule type="cellIs" dxfId="10240" priority="160" operator="equal">
      <formula>0</formula>
    </cfRule>
  </conditionalFormatting>
  <conditionalFormatting sqref="W29 W25">
    <cfRule type="cellIs" dxfId="10239" priority="151" operator="greaterThan">
      <formula>110%</formula>
    </cfRule>
    <cfRule type="cellIs" dxfId="10238" priority="152" operator="between">
      <formula>100.001%</formula>
      <formula>110%</formula>
    </cfRule>
    <cfRule type="cellIs" dxfId="10237" priority="153" operator="between">
      <formula>70.001%</formula>
      <formula>100%</formula>
    </cfRule>
    <cfRule type="cellIs" dxfId="10236" priority="154" operator="between">
      <formula>0.00001%</formula>
      <formula>70%</formula>
    </cfRule>
    <cfRule type="cellIs" dxfId="10235" priority="155" operator="equal">
      <formula>0</formula>
    </cfRule>
  </conditionalFormatting>
  <conditionalFormatting sqref="Z9:Z23">
    <cfRule type="cellIs" dxfId="10234" priority="146" operator="greaterThan">
      <formula>110%</formula>
    </cfRule>
    <cfRule type="cellIs" dxfId="10233" priority="147" operator="between">
      <formula>100.001%</formula>
      <formula>110%</formula>
    </cfRule>
    <cfRule type="cellIs" dxfId="10232" priority="148" operator="between">
      <formula>70.001%</formula>
      <formula>100%</formula>
    </cfRule>
    <cfRule type="cellIs" dxfId="10231" priority="149" operator="between">
      <formula>0.00001%</formula>
      <formula>70%</formula>
    </cfRule>
    <cfRule type="cellIs" dxfId="10230" priority="150" operator="equal">
      <formula>0</formula>
    </cfRule>
  </conditionalFormatting>
  <conditionalFormatting sqref="Z29 Z25">
    <cfRule type="cellIs" dxfId="10229" priority="141" operator="greaterThan">
      <formula>110%</formula>
    </cfRule>
    <cfRule type="cellIs" dxfId="10228" priority="142" operator="between">
      <formula>100.001%</formula>
      <formula>110%</formula>
    </cfRule>
    <cfRule type="cellIs" dxfId="10227" priority="143" operator="between">
      <formula>70.001%</formula>
      <formula>100%</formula>
    </cfRule>
    <cfRule type="cellIs" dxfId="10226" priority="144" operator="between">
      <formula>0.00001%</formula>
      <formula>70%</formula>
    </cfRule>
    <cfRule type="cellIs" dxfId="10225" priority="145" operator="equal">
      <formula>0</formula>
    </cfRule>
  </conditionalFormatting>
  <conditionalFormatting sqref="AC9:AC23">
    <cfRule type="cellIs" dxfId="10224" priority="136" operator="greaterThan">
      <formula>110%</formula>
    </cfRule>
    <cfRule type="cellIs" dxfId="10223" priority="137" operator="between">
      <formula>100.001%</formula>
      <formula>110%</formula>
    </cfRule>
    <cfRule type="cellIs" dxfId="10222" priority="138" operator="between">
      <formula>70.001%</formula>
      <formula>100%</formula>
    </cfRule>
    <cfRule type="cellIs" dxfId="10221" priority="139" operator="between">
      <formula>0.00001%</formula>
      <formula>70%</formula>
    </cfRule>
    <cfRule type="cellIs" dxfId="10220" priority="140" operator="equal">
      <formula>0</formula>
    </cfRule>
  </conditionalFormatting>
  <conditionalFormatting sqref="AC29 AC25">
    <cfRule type="cellIs" dxfId="10219" priority="131" operator="greaterThan">
      <formula>110%</formula>
    </cfRule>
    <cfRule type="cellIs" dxfId="10218" priority="132" operator="between">
      <formula>100.001%</formula>
      <formula>110%</formula>
    </cfRule>
    <cfRule type="cellIs" dxfId="10217" priority="133" operator="between">
      <formula>70.001%</formula>
      <formula>100%</formula>
    </cfRule>
    <cfRule type="cellIs" dxfId="10216" priority="134" operator="between">
      <formula>0.00001%</formula>
      <formula>70%</formula>
    </cfRule>
    <cfRule type="cellIs" dxfId="10215" priority="135" operator="equal">
      <formula>0</formula>
    </cfRule>
  </conditionalFormatting>
  <conditionalFormatting sqref="AE29 AE9:AE23 AE25:AE27">
    <cfRule type="cellIs" dxfId="10214" priority="126" operator="greaterThan">
      <formula>110%</formula>
    </cfRule>
    <cfRule type="cellIs" dxfId="10213" priority="127" operator="between">
      <formula>100.001%</formula>
      <formula>110%</formula>
    </cfRule>
    <cfRule type="cellIs" dxfId="10212" priority="128" operator="between">
      <formula>70.001%</formula>
      <formula>100%</formula>
    </cfRule>
    <cfRule type="cellIs" dxfId="10211" priority="129" operator="between">
      <formula>0.00001%</formula>
      <formula>70%</formula>
    </cfRule>
    <cfRule type="cellIs" dxfId="10210" priority="130" operator="equal">
      <formula>0</formula>
    </cfRule>
  </conditionalFormatting>
  <conditionalFormatting sqref="AH9:AH23">
    <cfRule type="cellIs" dxfId="10209" priority="121" operator="greaterThan">
      <formula>110%</formula>
    </cfRule>
    <cfRule type="cellIs" dxfId="10208" priority="122" operator="between">
      <formula>100.001%</formula>
      <formula>110%</formula>
    </cfRule>
    <cfRule type="cellIs" dxfId="10207" priority="123" operator="between">
      <formula>70.001%</formula>
      <formula>100%</formula>
    </cfRule>
    <cfRule type="cellIs" dxfId="10206" priority="124" operator="between">
      <formula>0.00001%</formula>
      <formula>70%</formula>
    </cfRule>
    <cfRule type="cellIs" dxfId="10205" priority="125" operator="equal">
      <formula>0</formula>
    </cfRule>
  </conditionalFormatting>
  <conditionalFormatting sqref="AH29 AH25">
    <cfRule type="cellIs" dxfId="10204" priority="116" operator="greaterThan">
      <formula>110%</formula>
    </cfRule>
    <cfRule type="cellIs" dxfId="10203" priority="117" operator="between">
      <formula>100.001%</formula>
      <formula>110%</formula>
    </cfRule>
    <cfRule type="cellIs" dxfId="10202" priority="118" operator="between">
      <formula>70.001%</formula>
      <formula>100%</formula>
    </cfRule>
    <cfRule type="cellIs" dxfId="10201" priority="119" operator="between">
      <formula>0.00001%</formula>
      <formula>70%</formula>
    </cfRule>
    <cfRule type="cellIs" dxfId="10200" priority="120" operator="equal">
      <formula>0</formula>
    </cfRule>
  </conditionalFormatting>
  <conditionalFormatting sqref="AK9:AK23">
    <cfRule type="cellIs" dxfId="10199" priority="111" operator="greaterThan">
      <formula>110%</formula>
    </cfRule>
    <cfRule type="cellIs" dxfId="10198" priority="112" operator="between">
      <formula>100.001%</formula>
      <formula>110%</formula>
    </cfRule>
    <cfRule type="cellIs" dxfId="10197" priority="113" operator="between">
      <formula>70.001%</formula>
      <formula>100%</formula>
    </cfRule>
    <cfRule type="cellIs" dxfId="10196" priority="114" operator="between">
      <formula>0.00001%</formula>
      <formula>70%</formula>
    </cfRule>
    <cfRule type="cellIs" dxfId="10195" priority="115" operator="equal">
      <formula>0</formula>
    </cfRule>
  </conditionalFormatting>
  <conditionalFormatting sqref="AK29 AK25">
    <cfRule type="cellIs" dxfId="10194" priority="106" operator="greaterThan">
      <formula>110%</formula>
    </cfRule>
    <cfRule type="cellIs" dxfId="10193" priority="107" operator="between">
      <formula>100.001%</formula>
      <formula>110%</formula>
    </cfRule>
    <cfRule type="cellIs" dxfId="10192" priority="108" operator="between">
      <formula>70.001%</formula>
      <formula>100%</formula>
    </cfRule>
    <cfRule type="cellIs" dxfId="10191" priority="109" operator="between">
      <formula>0.00001%</formula>
      <formula>70%</formula>
    </cfRule>
    <cfRule type="cellIs" dxfId="10190" priority="110" operator="equal">
      <formula>0</formula>
    </cfRule>
  </conditionalFormatting>
  <conditionalFormatting sqref="AN9:AN23">
    <cfRule type="cellIs" dxfId="10189" priority="101" operator="greaterThan">
      <formula>110%</formula>
    </cfRule>
    <cfRule type="cellIs" dxfId="10188" priority="102" operator="between">
      <formula>100.001%</formula>
      <formula>110%</formula>
    </cfRule>
    <cfRule type="cellIs" dxfId="10187" priority="103" operator="between">
      <formula>70.001%</formula>
      <formula>100%</formula>
    </cfRule>
    <cfRule type="cellIs" dxfId="10186" priority="104" operator="between">
      <formula>0.00001%</formula>
      <formula>70%</formula>
    </cfRule>
    <cfRule type="cellIs" dxfId="10185" priority="105" operator="equal">
      <formula>0</formula>
    </cfRule>
  </conditionalFormatting>
  <conditionalFormatting sqref="AN29 AN25">
    <cfRule type="cellIs" dxfId="10184" priority="96" operator="greaterThan">
      <formula>110%</formula>
    </cfRule>
    <cfRule type="cellIs" dxfId="10183" priority="97" operator="between">
      <formula>100.001%</formula>
      <formula>110%</formula>
    </cfRule>
    <cfRule type="cellIs" dxfId="10182" priority="98" operator="between">
      <formula>70.001%</formula>
      <formula>100%</formula>
    </cfRule>
    <cfRule type="cellIs" dxfId="10181" priority="99" operator="between">
      <formula>0.00001%</formula>
      <formula>70%</formula>
    </cfRule>
    <cfRule type="cellIs" dxfId="10180" priority="100" operator="equal">
      <formula>0</formula>
    </cfRule>
  </conditionalFormatting>
  <conditionalFormatting sqref="AQ9:AQ23">
    <cfRule type="cellIs" dxfId="10179" priority="91" operator="greaterThan">
      <formula>110%</formula>
    </cfRule>
    <cfRule type="cellIs" dxfId="10178" priority="92" operator="between">
      <formula>100.001%</formula>
      <formula>110%</formula>
    </cfRule>
    <cfRule type="cellIs" dxfId="10177" priority="93" operator="between">
      <formula>70.001%</formula>
      <formula>100%</formula>
    </cfRule>
    <cfRule type="cellIs" dxfId="10176" priority="94" operator="between">
      <formula>0.00001%</formula>
      <formula>70%</formula>
    </cfRule>
    <cfRule type="cellIs" dxfId="10175" priority="95" operator="equal">
      <formula>0</formula>
    </cfRule>
  </conditionalFormatting>
  <conditionalFormatting sqref="AQ29 AQ25">
    <cfRule type="cellIs" dxfId="10174" priority="86" operator="greaterThan">
      <formula>110%</formula>
    </cfRule>
    <cfRule type="cellIs" dxfId="10173" priority="87" operator="between">
      <formula>100.001%</formula>
      <formula>110%</formula>
    </cfRule>
    <cfRule type="cellIs" dxfId="10172" priority="88" operator="between">
      <formula>70.001%</formula>
      <formula>100%</formula>
    </cfRule>
    <cfRule type="cellIs" dxfId="10171" priority="89" operator="between">
      <formula>0.00001%</formula>
      <formula>70%</formula>
    </cfRule>
    <cfRule type="cellIs" dxfId="10170" priority="90" operator="equal">
      <formula>0</formula>
    </cfRule>
  </conditionalFormatting>
  <conditionalFormatting sqref="AT9:AT23">
    <cfRule type="cellIs" dxfId="10169" priority="81" operator="greaterThan">
      <formula>110%</formula>
    </cfRule>
    <cfRule type="cellIs" dxfId="10168" priority="82" operator="between">
      <formula>100.001%</formula>
      <formula>110%</formula>
    </cfRule>
    <cfRule type="cellIs" dxfId="10167" priority="83" operator="between">
      <formula>70.001%</formula>
      <formula>100%</formula>
    </cfRule>
    <cfRule type="cellIs" dxfId="10166" priority="84" operator="between">
      <formula>0.00001%</formula>
      <formula>70%</formula>
    </cfRule>
    <cfRule type="cellIs" dxfId="10165" priority="85" operator="equal">
      <formula>0</formula>
    </cfRule>
  </conditionalFormatting>
  <conditionalFormatting sqref="AT29 AT25:AT27">
    <cfRule type="cellIs" dxfId="10164" priority="76" operator="greaterThan">
      <formula>110%</formula>
    </cfRule>
    <cfRule type="cellIs" dxfId="10163" priority="77" operator="between">
      <formula>100.001%</formula>
      <formula>110%</formula>
    </cfRule>
    <cfRule type="cellIs" dxfId="10162" priority="78" operator="between">
      <formula>70.001%</formula>
      <formula>100%</formula>
    </cfRule>
    <cfRule type="cellIs" dxfId="10161" priority="79" operator="between">
      <formula>0.00001%</formula>
      <formula>70%</formula>
    </cfRule>
    <cfRule type="cellIs" dxfId="10160" priority="80" operator="equal">
      <formula>0</formula>
    </cfRule>
  </conditionalFormatting>
  <conditionalFormatting sqref="AW9:AW23">
    <cfRule type="cellIs" dxfId="10159" priority="71" operator="greaterThan">
      <formula>110%</formula>
    </cfRule>
    <cfRule type="cellIs" dxfId="10158" priority="72" operator="between">
      <formula>100.001%</formula>
      <formula>110%</formula>
    </cfRule>
    <cfRule type="cellIs" dxfId="10157" priority="73" operator="between">
      <formula>70.001%</formula>
      <formula>100%</formula>
    </cfRule>
    <cfRule type="cellIs" dxfId="10156" priority="74" operator="between">
      <formula>0.00001%</formula>
      <formula>70%</formula>
    </cfRule>
    <cfRule type="cellIs" dxfId="10155" priority="75" operator="equal">
      <formula>0</formula>
    </cfRule>
  </conditionalFormatting>
  <conditionalFormatting sqref="AW29 AW25">
    <cfRule type="cellIs" dxfId="10154" priority="66" operator="greaterThan">
      <formula>110%</formula>
    </cfRule>
    <cfRule type="cellIs" dxfId="10153" priority="67" operator="between">
      <formula>100.001%</formula>
      <formula>110%</formula>
    </cfRule>
    <cfRule type="cellIs" dxfId="10152" priority="68" operator="between">
      <formula>70.001%</formula>
      <formula>100%</formula>
    </cfRule>
    <cfRule type="cellIs" dxfId="10151" priority="69" operator="between">
      <formula>0.00001%</formula>
      <formula>70%</formula>
    </cfRule>
    <cfRule type="cellIs" dxfId="10150" priority="70" operator="equal">
      <formula>0</formula>
    </cfRule>
  </conditionalFormatting>
  <conditionalFormatting sqref="AY9:AY23">
    <cfRule type="cellIs" dxfId="10149" priority="61" operator="greaterThan">
      <formula>110%</formula>
    </cfRule>
    <cfRule type="cellIs" dxfId="10148" priority="62" operator="between">
      <formula>100.001%</formula>
      <formula>110%</formula>
    </cfRule>
    <cfRule type="cellIs" dxfId="10147" priority="63" operator="between">
      <formula>70.001%</formula>
      <formula>100%</formula>
    </cfRule>
    <cfRule type="cellIs" dxfId="10146" priority="64" operator="between">
      <formula>0.00001%</formula>
      <formula>70%</formula>
    </cfRule>
    <cfRule type="cellIs" dxfId="10145" priority="65" operator="equal">
      <formula>0</formula>
    </cfRule>
  </conditionalFormatting>
  <conditionalFormatting sqref="AY29 AY25:AY27">
    <cfRule type="cellIs" dxfId="10144" priority="56" operator="greaterThan">
      <formula>110%</formula>
    </cfRule>
    <cfRule type="cellIs" dxfId="10143" priority="57" operator="between">
      <formula>100.001%</formula>
      <formula>110%</formula>
    </cfRule>
    <cfRule type="cellIs" dxfId="10142" priority="58" operator="between">
      <formula>70.001%</formula>
      <formula>100%</formula>
    </cfRule>
    <cfRule type="cellIs" dxfId="10141" priority="59" operator="between">
      <formula>0.00001%</formula>
      <formula>70%</formula>
    </cfRule>
    <cfRule type="cellIs" dxfId="10140" priority="60" operator="equal">
      <formula>0</formula>
    </cfRule>
  </conditionalFormatting>
  <conditionalFormatting sqref="AW26:AW27">
    <cfRule type="cellIs" dxfId="10139" priority="51" operator="greaterThan">
      <formula>110%</formula>
    </cfRule>
    <cfRule type="cellIs" dxfId="10138" priority="52" operator="between">
      <formula>100.001%</formula>
      <formula>110%</formula>
    </cfRule>
    <cfRule type="cellIs" dxfId="10137" priority="53" operator="between">
      <formula>70.001%</formula>
      <formula>100%</formula>
    </cfRule>
    <cfRule type="cellIs" dxfId="10136" priority="54" operator="between">
      <formula>0.00001%</formula>
      <formula>70%</formula>
    </cfRule>
    <cfRule type="cellIs" dxfId="10135" priority="55" operator="equal">
      <formula>0</formula>
    </cfRule>
  </conditionalFormatting>
  <conditionalFormatting sqref="AQ26:AQ27">
    <cfRule type="cellIs" dxfId="10134" priority="46" operator="greaterThan">
      <formula>110%</formula>
    </cfRule>
    <cfRule type="cellIs" dxfId="10133" priority="47" operator="between">
      <formula>100.001%</formula>
      <formula>110%</formula>
    </cfRule>
    <cfRule type="cellIs" dxfId="10132" priority="48" operator="between">
      <formula>70.001%</formula>
      <formula>100%</formula>
    </cfRule>
    <cfRule type="cellIs" dxfId="10131" priority="49" operator="between">
      <formula>0.00001%</formula>
      <formula>70%</formula>
    </cfRule>
    <cfRule type="cellIs" dxfId="10130" priority="50" operator="equal">
      <formula>0</formula>
    </cfRule>
  </conditionalFormatting>
  <conditionalFormatting sqref="AN26:AN27">
    <cfRule type="cellIs" dxfId="10129" priority="41" operator="greaterThan">
      <formula>110%</formula>
    </cfRule>
    <cfRule type="cellIs" dxfId="10128" priority="42" operator="between">
      <formula>100.001%</formula>
      <formula>110%</formula>
    </cfRule>
    <cfRule type="cellIs" dxfId="10127" priority="43" operator="between">
      <formula>70.001%</formula>
      <formula>100%</formula>
    </cfRule>
    <cfRule type="cellIs" dxfId="10126" priority="44" operator="between">
      <formula>0.00001%</formula>
      <formula>70%</formula>
    </cfRule>
    <cfRule type="cellIs" dxfId="10125" priority="45" operator="equal">
      <formula>0</formula>
    </cfRule>
  </conditionalFormatting>
  <conditionalFormatting sqref="AK26:AK27">
    <cfRule type="cellIs" dxfId="10124" priority="36" operator="greaterThan">
      <formula>110%</formula>
    </cfRule>
    <cfRule type="cellIs" dxfId="10123" priority="37" operator="between">
      <formula>100.001%</formula>
      <formula>110%</formula>
    </cfRule>
    <cfRule type="cellIs" dxfId="10122" priority="38" operator="between">
      <formula>70.001%</formula>
      <formula>100%</formula>
    </cfRule>
    <cfRule type="cellIs" dxfId="10121" priority="39" operator="between">
      <formula>0.00001%</formula>
      <formula>70%</formula>
    </cfRule>
    <cfRule type="cellIs" dxfId="10120" priority="40" operator="equal">
      <formula>0</formula>
    </cfRule>
  </conditionalFormatting>
  <conditionalFormatting sqref="AH26:AH27">
    <cfRule type="cellIs" dxfId="10119" priority="31" operator="greaterThan">
      <formula>110%</formula>
    </cfRule>
    <cfRule type="cellIs" dxfId="10118" priority="32" operator="between">
      <formula>100.001%</formula>
      <formula>110%</formula>
    </cfRule>
    <cfRule type="cellIs" dxfId="10117" priority="33" operator="between">
      <formula>70.001%</formula>
      <formula>100%</formula>
    </cfRule>
    <cfRule type="cellIs" dxfId="10116" priority="34" operator="between">
      <formula>0.00001%</formula>
      <formula>70%</formula>
    </cfRule>
    <cfRule type="cellIs" dxfId="10115" priority="35" operator="equal">
      <formula>0</formula>
    </cfRule>
  </conditionalFormatting>
  <conditionalFormatting sqref="AC26:AC27">
    <cfRule type="cellIs" dxfId="10114" priority="26" operator="greaterThan">
      <formula>110%</formula>
    </cfRule>
    <cfRule type="cellIs" dxfId="10113" priority="27" operator="between">
      <formula>100.001%</formula>
      <formula>110%</formula>
    </cfRule>
    <cfRule type="cellIs" dxfId="10112" priority="28" operator="between">
      <formula>70.001%</formula>
      <formula>100%</formula>
    </cfRule>
    <cfRule type="cellIs" dxfId="10111" priority="29" operator="between">
      <formula>0.00001%</formula>
      <formula>70%</formula>
    </cfRule>
    <cfRule type="cellIs" dxfId="10110" priority="30" operator="equal">
      <formula>0</formula>
    </cfRule>
  </conditionalFormatting>
  <conditionalFormatting sqref="Z26:Z27">
    <cfRule type="cellIs" dxfId="10109" priority="21" operator="greaterThan">
      <formula>110%</formula>
    </cfRule>
    <cfRule type="cellIs" dxfId="10108" priority="22" operator="between">
      <formula>100.001%</formula>
      <formula>110%</formula>
    </cfRule>
    <cfRule type="cellIs" dxfId="10107" priority="23" operator="between">
      <formula>70.001%</formula>
      <formula>100%</formula>
    </cfRule>
    <cfRule type="cellIs" dxfId="10106" priority="24" operator="between">
      <formula>0.00001%</formula>
      <formula>70%</formula>
    </cfRule>
    <cfRule type="cellIs" dxfId="10105" priority="25" operator="equal">
      <formula>0</formula>
    </cfRule>
  </conditionalFormatting>
  <conditionalFormatting sqref="W26:W27">
    <cfRule type="cellIs" dxfId="10104" priority="16" operator="greaterThan">
      <formula>110%</formula>
    </cfRule>
    <cfRule type="cellIs" dxfId="10103" priority="17" operator="between">
      <formula>100.001%</formula>
      <formula>110%</formula>
    </cfRule>
    <cfRule type="cellIs" dxfId="10102" priority="18" operator="between">
      <formula>70.001%</formula>
      <formula>100%</formula>
    </cfRule>
    <cfRule type="cellIs" dxfId="10101" priority="19" operator="between">
      <formula>0.00001%</formula>
      <formula>70%</formula>
    </cfRule>
    <cfRule type="cellIs" dxfId="10100" priority="20" operator="equal">
      <formula>0</formula>
    </cfRule>
  </conditionalFormatting>
  <conditionalFormatting sqref="T26:T27">
    <cfRule type="cellIs" dxfId="10099" priority="11" operator="greaterThan">
      <formula>110%</formula>
    </cfRule>
    <cfRule type="cellIs" dxfId="10098" priority="12" operator="between">
      <formula>100.001%</formula>
      <formula>110%</formula>
    </cfRule>
    <cfRule type="cellIs" dxfId="10097" priority="13" operator="between">
      <formula>70.001%</formula>
      <formula>100%</formula>
    </cfRule>
    <cfRule type="cellIs" dxfId="10096" priority="14" operator="between">
      <formula>0.00001%</formula>
      <formula>70%</formula>
    </cfRule>
    <cfRule type="cellIs" dxfId="10095" priority="15" operator="equal">
      <formula>0</formula>
    </cfRule>
  </conditionalFormatting>
  <conditionalFormatting sqref="Q26:Q27">
    <cfRule type="cellIs" dxfId="10094" priority="6" operator="greaterThan">
      <formula>110%</formula>
    </cfRule>
    <cfRule type="cellIs" dxfId="10093" priority="7" operator="between">
      <formula>100.001%</formula>
      <formula>110%</formula>
    </cfRule>
    <cfRule type="cellIs" dxfId="10092" priority="8" operator="between">
      <formula>70.001%</formula>
      <formula>100%</formula>
    </cfRule>
    <cfRule type="cellIs" dxfId="10091" priority="9" operator="between">
      <formula>0.00001%</formula>
      <formula>70%</formula>
    </cfRule>
    <cfRule type="cellIs" dxfId="10090" priority="10" operator="equal">
      <formula>0</formula>
    </cfRule>
  </conditionalFormatting>
  <conditionalFormatting sqref="N26:N27">
    <cfRule type="cellIs" dxfId="10089" priority="1" operator="greaterThan">
      <formula>110%</formula>
    </cfRule>
    <cfRule type="cellIs" dxfId="10088" priority="2" operator="between">
      <formula>100.001%</formula>
      <formula>110%</formula>
    </cfRule>
    <cfRule type="cellIs" dxfId="10087" priority="3" operator="between">
      <formula>70.001%</formula>
      <formula>100%</formula>
    </cfRule>
    <cfRule type="cellIs" dxfId="10086" priority="4" operator="between">
      <formula>0.00001%</formula>
      <formula>70%</formula>
    </cfRule>
    <cfRule type="cellIs" dxfId="10085" priority="5" operator="equal">
      <formula>0</formula>
    </cfRule>
  </conditionalFormatting>
  <hyperlinks>
    <hyperlink ref="D11" location="'IN1-3'!A1" display="IN1-3 Recaudo Bruto" xr:uid="{00000000-0004-0000-0700-000000000000}"/>
    <hyperlink ref="D12" location="'FIS-4'!A1" display="FIS-4 Gestión efectiva en fiscalización tributaria" xr:uid="{00000000-0004-0000-0700-000001000000}"/>
    <hyperlink ref="D13" location="'FIS-6'!A1" display="FIS-6 Gestión efectiva de Fiscalización Internacional" xr:uid="{00000000-0004-0000-0700-000002000000}"/>
    <hyperlink ref="D14" location="'FIS-10'!A1" display="FIS-10 Gestión aceptada en fiscalización tributaria" xr:uid="{00000000-0004-0000-0700-000003000000}"/>
    <hyperlink ref="D15" location="'FIS-17'!A1" display="FIS-17 Evacuación de expedientes en fiscalización tributaria" xr:uid="{00000000-0004-0000-0700-000004000000}"/>
    <hyperlink ref="D16" location="'IN1-4'!A1" display="IN1-4 Recaudo por gestión de cartera" xr:uid="{00000000-0004-0000-0700-000005000000}"/>
    <hyperlink ref="D17" location="'JUR-3.1'!A1" display="JUR-3.1 Porcentaje de éxito de litigiosidad" xr:uid="{00000000-0004-0000-0700-000006000000}"/>
    <hyperlink ref="D18" location="'JUR-3.2'!A1" display="JUR-3.2 Porcentaje  procesos judiciales revisados con mayor riesgo en Ekogui" xr:uid="{00000000-0004-0000-0700-000007000000}"/>
    <hyperlink ref="D19" location="'JUR-3.3'!A1" display="JUR-3.3 Porcentaje de análisis de jurisprudencia remitidos junto con la copia de la sentencia " xr:uid="{00000000-0004-0000-0700-000008000000}"/>
    <hyperlink ref="D20" location="'JUR-3.4'!A1" display="JUR-3.4 Porcentaje  de procesos revisados con VoBo del Jefe " xr:uid="{00000000-0004-0000-0700-000009000000}"/>
    <hyperlink ref="D21" location="'JUR-3.5'!A1" display="JUR-3.5 Porcentaje de requerimientos atendidos en oportunidad" xr:uid="{00000000-0004-0000-0700-00000A000000}"/>
    <hyperlink ref="D22" location="'JUR-3.6'!A1" display="JUR-3.6 Porcentaje funcionarios capacitaciones en cursos virtuales de la ANDJE" xr:uid="{00000000-0004-0000-0700-00000B000000}"/>
    <hyperlink ref="D23" location="'JUR-4'!A1" display="JUR-4 Porcentaje funcionarios que participaron en el concurso de escritura jurídica" xr:uid="{00000000-0004-0000-0700-00000C000000}"/>
    <hyperlink ref="D25" location="'IN1-11'!A1" display="IN1-11  Nivel de cobertura de personas sensibilizadas por el plan de cultura. ACTUALMENTE. Cumplimiento al Plan de Acción de Cultura de la Contribución" xr:uid="{00000000-0004-0000-0700-00000D000000}"/>
    <hyperlink ref="D26" location="'JUR-7'!A1" display="JUR-7 Oportunidad en las decisiones de los recursos tributarios hasta su remisión a notificaciones" xr:uid="{00000000-0004-0000-0700-00000E000000}"/>
    <hyperlink ref="D27" location="'IN1-15'!A1" display="IN1-15 Días en devoluciones ordinarias" xr:uid="{00000000-0004-0000-0700-00000F000000}"/>
    <hyperlink ref="D9" location="'DGRAE-1'!Área_de_impresión" display="DGRAE-1 Nivel de Ejecución del presupuesto " xr:uid="{00000000-0004-0000-0700-000010000000}"/>
    <hyperlink ref="D29" location="'DGRAE-25'!Área_de_impresión" display="DGRAE-25 Actividades que componen el  PIC para la Dirección de Gestión" xr:uid="{00000000-0004-0000-0700-000011000000}"/>
    <hyperlink ref="D10" location="'DGRAE-2'!A1" display="DGRAE-2 Nivel de ejecución del PAA de la Dirección" xr:uid="{00000000-0004-0000-0700-000012000000}"/>
    <hyperlink ref="AZ5" location="'Consolidado '!A1" display="VOLVER" xr:uid="{00000000-0004-0000-0700-000013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49"/>
  <sheetViews>
    <sheetView topLeftCell="A41" zoomScale="70" zoomScaleNormal="70" workbookViewId="0">
      <selection activeCell="AX45" sqref="AX45"/>
    </sheetView>
  </sheetViews>
  <sheetFormatPr baseColWidth="10" defaultColWidth="11.42578125" defaultRowHeight="16.5"/>
  <cols>
    <col min="1" max="1" width="19.140625" style="8" customWidth="1"/>
    <col min="2" max="2" width="37" style="8" customWidth="1"/>
    <col min="3" max="3" width="59.28515625" style="63" bestFit="1" customWidth="1"/>
    <col min="4" max="4" width="25.85546875" style="63" bestFit="1" customWidth="1"/>
    <col min="5" max="5" width="71.42578125" style="8" bestFit="1" customWidth="1"/>
    <col min="6" max="6" width="23.85546875" style="8" bestFit="1" customWidth="1"/>
    <col min="7" max="7" width="24.140625" style="8" customWidth="1"/>
    <col min="8" max="9" width="10.7109375" style="8" hidden="1" customWidth="1"/>
    <col min="10" max="10" width="22.140625" style="8" hidden="1" customWidth="1"/>
    <col min="11" max="11" width="25.85546875" style="8" customWidth="1"/>
    <col min="12" max="30" width="22.85546875" style="8" hidden="1" customWidth="1"/>
    <col min="31" max="31" width="22.85546875" style="103" hidden="1" customWidth="1"/>
    <col min="32" max="49" width="22.85546875" style="8" hidden="1" customWidth="1"/>
    <col min="50" max="50" width="22.85546875" style="8" customWidth="1"/>
    <col min="51" max="51" width="12.85546875" style="104" bestFit="1" customWidth="1"/>
    <col min="52" max="52" width="13.85546875" style="8" bestFit="1" customWidth="1"/>
    <col min="53" max="16384" width="11.42578125" style="8"/>
  </cols>
  <sheetData>
    <row r="1" spans="1:52" ht="29.25" customHeight="1">
      <c r="A1" s="101"/>
      <c r="B1" s="101"/>
      <c r="C1" s="2885" t="s">
        <v>186</v>
      </c>
      <c r="D1" s="2885"/>
      <c r="E1" s="2885"/>
      <c r="F1" s="2885"/>
      <c r="G1" s="2885"/>
      <c r="H1" s="102"/>
      <c r="I1" s="102"/>
      <c r="J1" s="102"/>
      <c r="K1" s="101"/>
    </row>
    <row r="2" spans="1:52" ht="18.75" customHeight="1">
      <c r="A2" s="105"/>
      <c r="B2" s="105"/>
      <c r="C2" s="2865" t="s">
        <v>69</v>
      </c>
      <c r="D2" s="2865"/>
      <c r="E2" s="2865"/>
      <c r="F2" s="2865"/>
      <c r="G2" s="2865"/>
      <c r="H2" s="106"/>
      <c r="I2" s="106"/>
      <c r="J2" s="106"/>
      <c r="K2" s="105"/>
    </row>
    <row r="3" spans="1:52">
      <c r="A3" s="107"/>
      <c r="B3" s="108"/>
      <c r="C3" s="2866" t="s">
        <v>187</v>
      </c>
      <c r="D3" s="2867"/>
      <c r="E3" s="2867"/>
      <c r="F3" s="2867"/>
      <c r="G3" s="2867"/>
      <c r="H3" s="109"/>
      <c r="I3" s="109"/>
      <c r="J3" s="109"/>
      <c r="K3" s="108"/>
    </row>
    <row r="4" spans="1:52" ht="17.25" thickBot="1">
      <c r="A4" s="70"/>
      <c r="B4" s="109"/>
      <c r="C4" s="2890"/>
      <c r="D4" s="2890"/>
      <c r="E4" s="2890"/>
      <c r="F4" s="2890"/>
      <c r="G4" s="2890"/>
      <c r="H4" s="109"/>
      <c r="I4" s="109"/>
      <c r="J4" s="109"/>
      <c r="K4" s="109"/>
    </row>
    <row r="5" spans="1:52" ht="16.5" customHeight="1" thickTop="1" thickBot="1">
      <c r="A5" s="2823" t="s">
        <v>0</v>
      </c>
      <c r="B5" s="2823" t="s">
        <v>15</v>
      </c>
      <c r="C5" s="2823" t="s">
        <v>1</v>
      </c>
      <c r="D5" s="2823" t="s">
        <v>2</v>
      </c>
      <c r="E5" s="2823" t="s">
        <v>19</v>
      </c>
      <c r="F5" s="2823" t="s">
        <v>3</v>
      </c>
      <c r="G5" s="2830" t="s">
        <v>4</v>
      </c>
      <c r="H5" s="2833" t="s">
        <v>161</v>
      </c>
      <c r="I5" s="2834"/>
      <c r="J5" s="2835"/>
      <c r="K5" s="2830" t="s">
        <v>5</v>
      </c>
      <c r="L5" s="2840" t="s">
        <v>70</v>
      </c>
      <c r="M5" s="2841"/>
      <c r="N5" s="2884"/>
      <c r="O5" s="2840" t="s">
        <v>71</v>
      </c>
      <c r="P5" s="2841"/>
      <c r="Q5" s="2884"/>
      <c r="R5" s="2840" t="s">
        <v>72</v>
      </c>
      <c r="S5" s="2841"/>
      <c r="T5" s="2884"/>
      <c r="U5" s="2840" t="s">
        <v>73</v>
      </c>
      <c r="V5" s="2841"/>
      <c r="W5" s="2884"/>
      <c r="X5" s="2840" t="s">
        <v>74</v>
      </c>
      <c r="Y5" s="2841"/>
      <c r="Z5" s="2884"/>
      <c r="AA5" s="2840" t="s">
        <v>75</v>
      </c>
      <c r="AB5" s="2841"/>
      <c r="AC5" s="2841"/>
      <c r="AD5" s="2840" t="s">
        <v>188</v>
      </c>
      <c r="AE5" s="2841"/>
      <c r="AF5" s="2840" t="s">
        <v>76</v>
      </c>
      <c r="AG5" s="2841"/>
      <c r="AH5" s="2884"/>
      <c r="AI5" s="2840" t="s">
        <v>77</v>
      </c>
      <c r="AJ5" s="2841"/>
      <c r="AK5" s="2884"/>
      <c r="AL5" s="2840" t="s">
        <v>78</v>
      </c>
      <c r="AM5" s="2841"/>
      <c r="AN5" s="2884"/>
      <c r="AO5" s="2840" t="s">
        <v>79</v>
      </c>
      <c r="AP5" s="2841"/>
      <c r="AQ5" s="2884"/>
      <c r="AR5" s="2840" t="s">
        <v>80</v>
      </c>
      <c r="AS5" s="2841"/>
      <c r="AT5" s="2884"/>
      <c r="AU5" s="2840" t="s">
        <v>81</v>
      </c>
      <c r="AV5" s="2841"/>
      <c r="AW5" s="2884"/>
      <c r="AX5" s="2840" t="s">
        <v>82</v>
      </c>
      <c r="AY5" s="2841"/>
    </row>
    <row r="6" spans="1:52" ht="18" customHeight="1" thickTop="1" thickBot="1">
      <c r="A6" s="2823"/>
      <c r="B6" s="2823"/>
      <c r="C6" s="2823"/>
      <c r="D6" s="2823"/>
      <c r="E6" s="2823"/>
      <c r="F6" s="2823"/>
      <c r="G6" s="2831"/>
      <c r="H6" s="2836"/>
      <c r="I6" s="2837"/>
      <c r="J6" s="2838"/>
      <c r="K6" s="2831"/>
      <c r="L6" s="2840"/>
      <c r="M6" s="2841"/>
      <c r="N6" s="2884"/>
      <c r="O6" s="2840"/>
      <c r="P6" s="2841"/>
      <c r="Q6" s="2884"/>
      <c r="R6" s="2840"/>
      <c r="S6" s="2841"/>
      <c r="T6" s="2884"/>
      <c r="U6" s="2840"/>
      <c r="V6" s="2841"/>
      <c r="W6" s="2884"/>
      <c r="X6" s="2840"/>
      <c r="Y6" s="2841"/>
      <c r="Z6" s="2884"/>
      <c r="AA6" s="2840"/>
      <c r="AB6" s="2841"/>
      <c r="AC6" s="2841"/>
      <c r="AD6" s="2840"/>
      <c r="AE6" s="2841"/>
      <c r="AF6" s="2840"/>
      <c r="AG6" s="2841"/>
      <c r="AH6" s="2884"/>
      <c r="AI6" s="2840"/>
      <c r="AJ6" s="2841"/>
      <c r="AK6" s="2884"/>
      <c r="AL6" s="2840"/>
      <c r="AM6" s="2841"/>
      <c r="AN6" s="2884"/>
      <c r="AO6" s="2840"/>
      <c r="AP6" s="2841"/>
      <c r="AQ6" s="2884"/>
      <c r="AR6" s="2840"/>
      <c r="AS6" s="2841"/>
      <c r="AT6" s="2884"/>
      <c r="AU6" s="2840"/>
      <c r="AV6" s="2841"/>
      <c r="AW6" s="2884"/>
      <c r="AX6" s="2840"/>
      <c r="AY6" s="2841"/>
      <c r="AZ6" s="670" t="s">
        <v>394</v>
      </c>
    </row>
    <row r="7" spans="1:52" s="12" customFormat="1" ht="18.75" thickTop="1" thickBot="1">
      <c r="A7" s="2823"/>
      <c r="B7" s="2823"/>
      <c r="C7" s="2823"/>
      <c r="D7" s="2823"/>
      <c r="E7" s="2823"/>
      <c r="F7" s="2823"/>
      <c r="G7" s="2832"/>
      <c r="H7" s="68" t="s">
        <v>162</v>
      </c>
      <c r="I7" s="68" t="s">
        <v>163</v>
      </c>
      <c r="J7" s="68" t="s">
        <v>164</v>
      </c>
      <c r="K7" s="2832"/>
      <c r="L7" s="2836"/>
      <c r="M7" s="2837"/>
      <c r="N7" s="2838"/>
      <c r="O7" s="2836"/>
      <c r="P7" s="2837"/>
      <c r="Q7" s="2838"/>
      <c r="R7" s="2836"/>
      <c r="S7" s="2837"/>
      <c r="T7" s="2838"/>
      <c r="U7" s="2836"/>
      <c r="V7" s="2837"/>
      <c r="W7" s="2838"/>
      <c r="X7" s="2836"/>
      <c r="Y7" s="2837"/>
      <c r="Z7" s="2838"/>
      <c r="AA7" s="2836"/>
      <c r="AB7" s="2837"/>
      <c r="AC7" s="2837"/>
      <c r="AD7" s="2836"/>
      <c r="AE7" s="2837"/>
      <c r="AF7" s="2836"/>
      <c r="AG7" s="2837"/>
      <c r="AH7" s="2838"/>
      <c r="AI7" s="2836"/>
      <c r="AJ7" s="2837"/>
      <c r="AK7" s="2838"/>
      <c r="AL7" s="2836"/>
      <c r="AM7" s="2837"/>
      <c r="AN7" s="2838"/>
      <c r="AO7" s="2836"/>
      <c r="AP7" s="2837"/>
      <c r="AQ7" s="2838"/>
      <c r="AR7" s="2836"/>
      <c r="AS7" s="2837"/>
      <c r="AT7" s="2838"/>
      <c r="AU7" s="2836"/>
      <c r="AV7" s="2837"/>
      <c r="AW7" s="2838"/>
      <c r="AX7" s="2840"/>
      <c r="AY7" s="2841"/>
      <c r="AZ7" s="761">
        <f>+(AY9+AY10+AY11+AY12+AY13+AY14+AY15+AY16+AY17+AY18+AY19+AY20+AY21+AY22+AY24+AY25+AY26+AY27+AY28+AY29+AY30+AY31+AY32+AY33+AY34+AY35+AY36+AY37+AY38+AY39+AY40+AY41+AY42+AY44+AY46+AY48)/36</f>
        <v>1.2520818097401136</v>
      </c>
    </row>
    <row r="8" spans="1:52" customFormat="1" ht="29.25" customHeight="1" thickTop="1" thickBot="1">
      <c r="A8" s="2839" t="s">
        <v>83</v>
      </c>
      <c r="B8" s="2839"/>
      <c r="C8" s="2839"/>
      <c r="D8" s="2839"/>
      <c r="E8" s="2839"/>
      <c r="F8" s="2839"/>
      <c r="G8" s="2839"/>
      <c r="H8" s="2839"/>
      <c r="I8" s="2839"/>
      <c r="J8" s="2839"/>
      <c r="K8" s="2839"/>
      <c r="L8" s="14" t="s">
        <v>84</v>
      </c>
      <c r="M8" s="14" t="s">
        <v>85</v>
      </c>
      <c r="N8" s="16" t="s">
        <v>86</v>
      </c>
      <c r="O8" s="14" t="s">
        <v>84</v>
      </c>
      <c r="P8" s="14" t="s">
        <v>85</v>
      </c>
      <c r="Q8" s="16" t="s">
        <v>86</v>
      </c>
      <c r="R8" s="14" t="s">
        <v>84</v>
      </c>
      <c r="S8" s="14" t="s">
        <v>85</v>
      </c>
      <c r="T8" s="16" t="s">
        <v>86</v>
      </c>
      <c r="U8" s="14" t="s">
        <v>84</v>
      </c>
      <c r="V8" s="14" t="s">
        <v>85</v>
      </c>
      <c r="W8" s="16" t="s">
        <v>86</v>
      </c>
      <c r="X8" s="14" t="s">
        <v>84</v>
      </c>
      <c r="Y8" s="14" t="s">
        <v>85</v>
      </c>
      <c r="Z8" s="16" t="s">
        <v>86</v>
      </c>
      <c r="AA8" s="14" t="s">
        <v>84</v>
      </c>
      <c r="AB8" s="14" t="s">
        <v>85</v>
      </c>
      <c r="AC8" s="16" t="s">
        <v>86</v>
      </c>
      <c r="AD8" s="16" t="s">
        <v>87</v>
      </c>
      <c r="AE8" s="71" t="s">
        <v>6</v>
      </c>
      <c r="AF8" s="14" t="s">
        <v>84</v>
      </c>
      <c r="AG8" s="14" t="s">
        <v>85</v>
      </c>
      <c r="AH8" s="16" t="s">
        <v>86</v>
      </c>
      <c r="AI8" s="14" t="s">
        <v>84</v>
      </c>
      <c r="AJ8" s="14" t="s">
        <v>85</v>
      </c>
      <c r="AK8" s="16" t="s">
        <v>86</v>
      </c>
      <c r="AL8" s="14" t="s">
        <v>84</v>
      </c>
      <c r="AM8" s="14" t="s">
        <v>85</v>
      </c>
      <c r="AN8" s="16" t="s">
        <v>86</v>
      </c>
      <c r="AO8" s="14" t="s">
        <v>84</v>
      </c>
      <c r="AP8" s="14" t="s">
        <v>85</v>
      </c>
      <c r="AQ8" s="16" t="s">
        <v>86</v>
      </c>
      <c r="AR8" s="14" t="s">
        <v>84</v>
      </c>
      <c r="AS8" s="14" t="s">
        <v>85</v>
      </c>
      <c r="AT8" s="16" t="s">
        <v>86</v>
      </c>
      <c r="AU8" s="14" t="s">
        <v>84</v>
      </c>
      <c r="AV8" s="14" t="s">
        <v>85</v>
      </c>
      <c r="AW8" s="16" t="s">
        <v>86</v>
      </c>
      <c r="AX8" s="14" t="s">
        <v>87</v>
      </c>
      <c r="AY8" s="110" t="s">
        <v>6</v>
      </c>
    </row>
    <row r="9" spans="1:52" customFormat="1" ht="39.75" customHeight="1" thickTop="1" thickBot="1">
      <c r="A9" s="2943" t="s">
        <v>88</v>
      </c>
      <c r="B9" s="2848" t="s">
        <v>89</v>
      </c>
      <c r="C9" s="72" t="s">
        <v>167</v>
      </c>
      <c r="D9" s="111" t="s">
        <v>90</v>
      </c>
      <c r="E9" s="74" t="s">
        <v>189</v>
      </c>
      <c r="F9" s="74" t="s">
        <v>168</v>
      </c>
      <c r="G9" s="744">
        <f>+(24846544490)/1000000</f>
        <v>24846.54449</v>
      </c>
      <c r="H9" s="74" t="s">
        <v>25</v>
      </c>
      <c r="I9" s="79"/>
      <c r="J9" s="78"/>
      <c r="K9" s="76" t="s">
        <v>25</v>
      </c>
      <c r="L9" s="745">
        <v>5302.7620440000001</v>
      </c>
      <c r="M9" s="746">
        <v>5253</v>
      </c>
      <c r="N9" s="19">
        <f>+M9/L9</f>
        <v>0.99061582556654504</v>
      </c>
      <c r="O9" s="745">
        <v>363</v>
      </c>
      <c r="P9" s="746">
        <v>405</v>
      </c>
      <c r="Q9" s="19">
        <f>+P9/O9</f>
        <v>1.115702479338843</v>
      </c>
      <c r="R9" s="745">
        <v>82.5</v>
      </c>
      <c r="S9" s="746">
        <v>495</v>
      </c>
      <c r="T9" s="19">
        <f>+S9/R9</f>
        <v>6</v>
      </c>
      <c r="U9" s="745">
        <v>610.6884</v>
      </c>
      <c r="V9" s="746">
        <v>72</v>
      </c>
      <c r="W9" s="19">
        <f>+V9/U9</f>
        <v>0.11789973413609953</v>
      </c>
      <c r="X9" s="745">
        <v>80</v>
      </c>
      <c r="Y9" s="746">
        <v>53</v>
      </c>
      <c r="Z9" s="19">
        <f>+Y9/X9</f>
        <v>0.66249999999999998</v>
      </c>
      <c r="AA9" s="745">
        <v>75.649691000000004</v>
      </c>
      <c r="AB9" s="746">
        <v>54</v>
      </c>
      <c r="AC9" s="19">
        <f>+AB9/AA9</f>
        <v>0.71381653098887077</v>
      </c>
      <c r="AD9" s="566">
        <f>+AB9+Y9+V9+S9+P9+M9</f>
        <v>6332</v>
      </c>
      <c r="AE9" s="115">
        <f>+AD9/G9</f>
        <v>0.25484429042229362</v>
      </c>
      <c r="AF9" s="745">
        <v>75</v>
      </c>
      <c r="AG9" s="746">
        <v>60</v>
      </c>
      <c r="AH9" s="19">
        <f>+AG9/AF9</f>
        <v>0.8</v>
      </c>
      <c r="AI9" s="745">
        <v>162</v>
      </c>
      <c r="AJ9" s="746">
        <v>80</v>
      </c>
      <c r="AK9" s="19">
        <f>+AJ9/AI9</f>
        <v>0.49382716049382713</v>
      </c>
      <c r="AL9" s="745">
        <v>75</v>
      </c>
      <c r="AM9" s="746">
        <v>88</v>
      </c>
      <c r="AN9" s="19">
        <f>+AM9/AL9</f>
        <v>1.1733333333333333</v>
      </c>
      <c r="AO9" s="745">
        <v>75</v>
      </c>
      <c r="AP9" s="746">
        <v>74</v>
      </c>
      <c r="AQ9" s="19">
        <f>+AP9/AO9</f>
        <v>0.98666666666666669</v>
      </c>
      <c r="AR9" s="745">
        <v>75.099999999999994</v>
      </c>
      <c r="AS9" s="746">
        <v>78</v>
      </c>
      <c r="AT9" s="19">
        <f>+AS9/AR9</f>
        <v>1.0386151797603196</v>
      </c>
      <c r="AU9" s="745">
        <v>18135</v>
      </c>
      <c r="AV9" s="746">
        <v>18135</v>
      </c>
      <c r="AW9" s="19">
        <f>+AV9/AU9</f>
        <v>1</v>
      </c>
      <c r="AX9" s="747">
        <f>+M9+P9+S9+V9+Y9+AB9+AG9+AJ9+AM9+AP9+AS9+AV9</f>
        <v>24847</v>
      </c>
      <c r="AY9" s="19">
        <f>+AX9/G9</f>
        <v>1.0000183329315746</v>
      </c>
    </row>
    <row r="10" spans="1:52" customFormat="1" ht="47.25" customHeight="1" thickTop="1" thickBot="1">
      <c r="A10" s="2944"/>
      <c r="B10" s="2850"/>
      <c r="C10" s="74" t="s">
        <v>169</v>
      </c>
      <c r="D10" s="111" t="s">
        <v>92</v>
      </c>
      <c r="E10" s="74" t="s">
        <v>170</v>
      </c>
      <c r="F10" s="74" t="s">
        <v>17</v>
      </c>
      <c r="G10" s="117">
        <v>10</v>
      </c>
      <c r="H10" s="118" t="s">
        <v>26</v>
      </c>
      <c r="I10" s="79"/>
      <c r="J10" s="78"/>
      <c r="K10" s="76" t="s">
        <v>26</v>
      </c>
      <c r="L10" s="119">
        <v>0</v>
      </c>
      <c r="M10" s="120">
        <v>4</v>
      </c>
      <c r="N10" s="19" t="e">
        <f>+M10/L10</f>
        <v>#DIV/0!</v>
      </c>
      <c r="O10" s="119">
        <v>0</v>
      </c>
      <c r="P10" s="120">
        <v>2</v>
      </c>
      <c r="Q10" s="19" t="e">
        <f>+P10/O10</f>
        <v>#DIV/0!</v>
      </c>
      <c r="R10" s="119">
        <v>0</v>
      </c>
      <c r="S10" s="120">
        <v>1</v>
      </c>
      <c r="T10" s="19" t="e">
        <f>+S10/R10</f>
        <v>#DIV/0!</v>
      </c>
      <c r="U10" s="119">
        <v>0</v>
      </c>
      <c r="V10" s="120"/>
      <c r="W10" s="19" t="e">
        <f>+V10/U10</f>
        <v>#DIV/0!</v>
      </c>
      <c r="X10" s="119">
        <v>0</v>
      </c>
      <c r="Y10" s="120"/>
      <c r="Z10" s="121" t="e">
        <f>+Y10/X10</f>
        <v>#DIV/0!</v>
      </c>
      <c r="AA10" s="119">
        <v>0</v>
      </c>
      <c r="AB10" s="120"/>
      <c r="AC10" s="19" t="e">
        <f>+AB10/AA10</f>
        <v>#DIV/0!</v>
      </c>
      <c r="AD10" s="122">
        <f>+AB10+Y10+V10+S10+P10+M10</f>
        <v>7</v>
      </c>
      <c r="AE10" s="73">
        <f t="shared" ref="AE10" si="0">+AD10/G10</f>
        <v>0.7</v>
      </c>
      <c r="AF10" s="119">
        <v>0</v>
      </c>
      <c r="AG10" s="120"/>
      <c r="AH10" s="19" t="e">
        <f>+AG10/AF10</f>
        <v>#DIV/0!</v>
      </c>
      <c r="AI10" s="119">
        <v>0</v>
      </c>
      <c r="AJ10" s="120">
        <v>1</v>
      </c>
      <c r="AK10" s="19" t="e">
        <f>+AJ10/AI10</f>
        <v>#DIV/0!</v>
      </c>
      <c r="AL10" s="119">
        <v>0</v>
      </c>
      <c r="AM10" s="120"/>
      <c r="AN10" s="19" t="e">
        <f>+AM10/AL10</f>
        <v>#DIV/0!</v>
      </c>
      <c r="AO10" s="119">
        <v>0</v>
      </c>
      <c r="AP10" s="120">
        <v>1</v>
      </c>
      <c r="AQ10" s="121" t="e">
        <f>+AP10/AO10</f>
        <v>#DIV/0!</v>
      </c>
      <c r="AR10" s="119">
        <v>0</v>
      </c>
      <c r="AS10" s="120"/>
      <c r="AT10" s="19" t="e">
        <f>+AS10/AR10</f>
        <v>#DIV/0!</v>
      </c>
      <c r="AU10" s="119"/>
      <c r="AV10" s="120">
        <v>1</v>
      </c>
      <c r="AW10" s="19" t="e">
        <f>+AV10/AU10</f>
        <v>#DIV/0!</v>
      </c>
      <c r="AX10" s="123">
        <f t="shared" ref="AX10" si="1">+M10+P10+S10+V10+Y10+AB10+AG10+AJ10+AM10+AP10+AS10+AV10</f>
        <v>10</v>
      </c>
      <c r="AY10" s="19">
        <f t="shared" ref="AY10:AY42" si="2">+AX10/G10</f>
        <v>1</v>
      </c>
      <c r="AZ10" s="760"/>
    </row>
    <row r="11" spans="1:52" s="128" customFormat="1" ht="69.75" customHeight="1" thickTop="1" thickBot="1">
      <c r="A11" s="2944"/>
      <c r="B11" s="2956" t="s">
        <v>94</v>
      </c>
      <c r="C11" s="2957" t="s">
        <v>190</v>
      </c>
      <c r="D11" s="124" t="s">
        <v>191</v>
      </c>
      <c r="E11" s="125" t="s">
        <v>192</v>
      </c>
      <c r="F11" s="125" t="s">
        <v>101</v>
      </c>
      <c r="G11" s="748">
        <v>35000000000</v>
      </c>
      <c r="H11" s="126"/>
      <c r="I11" s="127"/>
      <c r="J11" s="126"/>
      <c r="K11" s="125" t="s">
        <v>193</v>
      </c>
      <c r="L11" s="749">
        <v>2333333333.3333335</v>
      </c>
      <c r="M11" s="750">
        <v>223674933</v>
      </c>
      <c r="N11" s="73">
        <f>+M11/L11</f>
        <v>9.5860685571428558E-2</v>
      </c>
      <c r="O11" s="749">
        <v>2333333333.3333335</v>
      </c>
      <c r="P11" s="750">
        <v>1427903863</v>
      </c>
      <c r="Q11" s="73">
        <f>+P11/O11</f>
        <v>0.61195879842857137</v>
      </c>
      <c r="R11" s="749">
        <v>2333333333.3333335</v>
      </c>
      <c r="S11" s="750">
        <v>491953396</v>
      </c>
      <c r="T11" s="73">
        <f>+S11/R11</f>
        <v>0.2108371697142857</v>
      </c>
      <c r="U11" s="749">
        <v>3500000000</v>
      </c>
      <c r="V11" s="750">
        <v>0</v>
      </c>
      <c r="W11" s="73">
        <f>+V11/U11</f>
        <v>0</v>
      </c>
      <c r="X11" s="749">
        <v>3500000000</v>
      </c>
      <c r="Y11" s="750">
        <v>0</v>
      </c>
      <c r="Z11" s="73">
        <f>+Y11/X11</f>
        <v>0</v>
      </c>
      <c r="AA11" s="749">
        <v>3500000000</v>
      </c>
      <c r="AB11" s="750">
        <v>11153663587</v>
      </c>
      <c r="AC11" s="73">
        <f>+AB11/AA11</f>
        <v>3.1867610248571427</v>
      </c>
      <c r="AD11" s="749">
        <f>+M11+P11+S11+V11+Y11+AB11</f>
        <v>13297195779</v>
      </c>
      <c r="AE11" s="73">
        <f>+AD11/G11</f>
        <v>0.37991987939999999</v>
      </c>
      <c r="AF11" s="749">
        <v>3500000000</v>
      </c>
      <c r="AG11" s="750">
        <v>0</v>
      </c>
      <c r="AH11" s="73">
        <f>+AG11/AF11</f>
        <v>0</v>
      </c>
      <c r="AI11" s="749">
        <v>3500000000</v>
      </c>
      <c r="AJ11" s="750">
        <v>8616795362</v>
      </c>
      <c r="AK11" s="73">
        <f>+AJ11/AI11</f>
        <v>2.461941532</v>
      </c>
      <c r="AL11" s="749">
        <v>3500000000</v>
      </c>
      <c r="AM11" s="750">
        <v>7502198733</v>
      </c>
      <c r="AN11" s="73">
        <f>+AM11/AL11</f>
        <v>2.1434853522857145</v>
      </c>
      <c r="AO11" s="749">
        <v>2333333333.3333335</v>
      </c>
      <c r="AP11" s="750">
        <v>18033500531</v>
      </c>
      <c r="AQ11" s="73">
        <f>+AP11/AO11</f>
        <v>7.7286430847142853</v>
      </c>
      <c r="AR11" s="749">
        <v>2333333333.3333335</v>
      </c>
      <c r="AS11" s="750">
        <v>3104510230</v>
      </c>
      <c r="AT11" s="73">
        <f>+AS11/AR11</f>
        <v>1.3305043842857143</v>
      </c>
      <c r="AU11" s="749">
        <v>2333333333.3333335</v>
      </c>
      <c r="AV11" s="750">
        <v>12062008046</v>
      </c>
      <c r="AW11" s="73">
        <f>+AV11/AU11</f>
        <v>5.1694320197142858</v>
      </c>
      <c r="AX11" s="749">
        <f>+M11+P11+S11+V11+Y11+AB11+AG11+AJ11+AM11+AP11+AS11+AV11</f>
        <v>62616208681</v>
      </c>
      <c r="AY11" s="73">
        <f t="shared" si="2"/>
        <v>1.789034533742857</v>
      </c>
    </row>
    <row r="12" spans="1:52" s="132" customFormat="1" ht="47.25" customHeight="1" thickTop="1" thickBot="1">
      <c r="A12" s="2944"/>
      <c r="B12" s="2956"/>
      <c r="C12" s="2958"/>
      <c r="D12" s="129" t="s">
        <v>194</v>
      </c>
      <c r="E12" s="137" t="s">
        <v>195</v>
      </c>
      <c r="F12" s="137" t="s">
        <v>101</v>
      </c>
      <c r="G12" s="751">
        <v>3389404072</v>
      </c>
      <c r="H12" s="130"/>
      <c r="I12" s="131"/>
      <c r="J12" s="130"/>
      <c r="K12" s="137" t="s">
        <v>196</v>
      </c>
      <c r="L12" s="752">
        <v>112980136</v>
      </c>
      <c r="M12" s="753">
        <v>1657800</v>
      </c>
      <c r="N12" s="73">
        <f t="shared" ref="N12:N46" si="3">+M12/L12</f>
        <v>1.4673375857858766E-2</v>
      </c>
      <c r="O12" s="752">
        <v>112980136</v>
      </c>
      <c r="P12" s="753">
        <v>3315600</v>
      </c>
      <c r="Q12" s="73">
        <f t="shared" ref="Q12:Q46" si="4">+P12/O12</f>
        <v>2.9346751715717531E-2</v>
      </c>
      <c r="R12" s="752">
        <v>112980136</v>
      </c>
      <c r="S12" s="753">
        <v>0</v>
      </c>
      <c r="T12" s="73">
        <f t="shared" ref="T12:T46" si="5">+S12/R12</f>
        <v>0</v>
      </c>
      <c r="U12" s="752">
        <v>451920543</v>
      </c>
      <c r="V12" s="753">
        <v>0</v>
      </c>
      <c r="W12" s="73">
        <f t="shared" ref="W12:W46" si="6">+V12/U12</f>
        <v>0</v>
      </c>
      <c r="X12" s="752">
        <v>451920543</v>
      </c>
      <c r="Y12" s="753">
        <v>0</v>
      </c>
      <c r="Z12" s="73">
        <f t="shared" ref="Z12:Z46" si="7">+Y12/X12</f>
        <v>0</v>
      </c>
      <c r="AA12" s="752">
        <v>451920543</v>
      </c>
      <c r="AB12" s="753">
        <v>6028945739</v>
      </c>
      <c r="AC12" s="73">
        <f t="shared" ref="AC12:AC46" si="8">+AB12/AA12</f>
        <v>13.340720691690265</v>
      </c>
      <c r="AD12" s="752">
        <f t="shared" ref="AD12:AD46" si="9">+M12+P12+S12+V12+Y12+AB12</f>
        <v>6033919139</v>
      </c>
      <c r="AE12" s="73">
        <f t="shared" ref="AE12:AE46" si="10">+AD12/G12</f>
        <v>1.780230096743685</v>
      </c>
      <c r="AF12" s="752">
        <v>451920543</v>
      </c>
      <c r="AG12" s="753">
        <v>0</v>
      </c>
      <c r="AH12" s="73">
        <f t="shared" ref="AH12:AH46" si="11">+AG12/AF12</f>
        <v>0</v>
      </c>
      <c r="AI12" s="752">
        <v>451920543</v>
      </c>
      <c r="AJ12" s="753">
        <v>184302500</v>
      </c>
      <c r="AK12" s="73">
        <f t="shared" ref="AK12:AK46" si="12">+AJ12/AI12</f>
        <v>0.40782058451368075</v>
      </c>
      <c r="AL12" s="752">
        <v>451920543</v>
      </c>
      <c r="AM12" s="753">
        <v>13927815</v>
      </c>
      <c r="AN12" s="73">
        <f t="shared" ref="AN12:AN46" si="13">+AM12/AL12</f>
        <v>3.0819167696034565E-2</v>
      </c>
      <c r="AO12" s="752">
        <v>112980136</v>
      </c>
      <c r="AP12" s="753">
        <v>12795550</v>
      </c>
      <c r="AQ12" s="73">
        <f t="shared" ref="AQ12:AQ46" si="14">+AP12/AO12</f>
        <v>0.11325486455424341</v>
      </c>
      <c r="AR12" s="752">
        <v>112980136</v>
      </c>
      <c r="AS12" s="753">
        <v>0</v>
      </c>
      <c r="AT12" s="73">
        <f t="shared" ref="AT12:AT46" si="15">+AS12/AR12</f>
        <v>0</v>
      </c>
      <c r="AU12" s="752">
        <v>112980136</v>
      </c>
      <c r="AV12" s="753">
        <v>0</v>
      </c>
      <c r="AW12" s="73">
        <f t="shared" ref="AW12:AW46" si="16">+AV12/AU12</f>
        <v>0</v>
      </c>
      <c r="AX12" s="752">
        <f t="shared" ref="AX12:AX32" si="17">+M12+P12+S12+V12+Y12+AB12+AG12+AJ12+AM12+AP12+AS12+AV12</f>
        <v>6244945004</v>
      </c>
      <c r="AY12" s="73">
        <f t="shared" si="2"/>
        <v>1.8424905592076601</v>
      </c>
    </row>
    <row r="13" spans="1:52" s="128" customFormat="1" ht="145.5" customHeight="1" thickTop="1" thickBot="1">
      <c r="A13" s="2944"/>
      <c r="B13" s="2956"/>
      <c r="C13" s="2958"/>
      <c r="D13" s="124" t="s">
        <v>197</v>
      </c>
      <c r="E13" s="125" t="s">
        <v>198</v>
      </c>
      <c r="F13" s="125" t="s">
        <v>101</v>
      </c>
      <c r="G13" s="754">
        <v>2436693741</v>
      </c>
      <c r="H13" s="133"/>
      <c r="I13" s="133"/>
      <c r="J13" s="133"/>
      <c r="K13" s="125" t="s">
        <v>140</v>
      </c>
      <c r="L13" s="749">
        <v>162446249.40277109</v>
      </c>
      <c r="M13" s="750">
        <v>63818000</v>
      </c>
      <c r="N13" s="73">
        <f t="shared" si="3"/>
        <v>0.39285610000000015</v>
      </c>
      <c r="O13" s="749">
        <v>162446249.40277109</v>
      </c>
      <c r="P13" s="750">
        <v>35382000</v>
      </c>
      <c r="Q13" s="73">
        <f t="shared" si="4"/>
        <v>0.21780742941176479</v>
      </c>
      <c r="R13" s="749">
        <v>162446249.40277109</v>
      </c>
      <c r="S13" s="750">
        <v>4109000</v>
      </c>
      <c r="T13" s="73">
        <f t="shared" si="5"/>
        <v>2.5294520588235302E-2</v>
      </c>
      <c r="U13" s="749">
        <v>243669374.1041567</v>
      </c>
      <c r="V13" s="750">
        <v>0</v>
      </c>
      <c r="W13" s="73">
        <f t="shared" si="6"/>
        <v>0</v>
      </c>
      <c r="X13" s="749">
        <v>243669374.1041567</v>
      </c>
      <c r="Y13" s="750">
        <v>0</v>
      </c>
      <c r="Z13" s="73">
        <f t="shared" si="7"/>
        <v>0</v>
      </c>
      <c r="AA13" s="749">
        <v>243669374.1041567</v>
      </c>
      <c r="AB13" s="750">
        <v>5341000</v>
      </c>
      <c r="AC13" s="73">
        <f t="shared" si="8"/>
        <v>2.1919045098039217E-2</v>
      </c>
      <c r="AD13" s="749">
        <f t="shared" si="9"/>
        <v>108650000</v>
      </c>
      <c r="AE13" s="73">
        <f t="shared" si="10"/>
        <v>4.4589107843897892E-2</v>
      </c>
      <c r="AF13" s="749">
        <v>243669374.1041567</v>
      </c>
      <c r="AG13" s="750">
        <v>38659592</v>
      </c>
      <c r="AH13" s="73">
        <f t="shared" si="11"/>
        <v>0.15865593344313725</v>
      </c>
      <c r="AI13" s="749">
        <v>243669374.1041567</v>
      </c>
      <c r="AJ13" s="750">
        <v>168634000</v>
      </c>
      <c r="AK13" s="73">
        <f t="shared" si="12"/>
        <v>0.69206070980392165</v>
      </c>
      <c r="AL13" s="749">
        <v>243669374.1041567</v>
      </c>
      <c r="AM13" s="750">
        <v>390586506</v>
      </c>
      <c r="AN13" s="73">
        <f t="shared" si="13"/>
        <v>1.6029363863882353</v>
      </c>
      <c r="AO13" s="749">
        <v>162446249.40277109</v>
      </c>
      <c r="AP13" s="750">
        <v>145194896</v>
      </c>
      <c r="AQ13" s="73">
        <f t="shared" si="14"/>
        <v>0.89380269802352974</v>
      </c>
      <c r="AR13" s="749">
        <v>162446249.40277109</v>
      </c>
      <c r="AS13" s="750">
        <v>66591830</v>
      </c>
      <c r="AT13" s="73">
        <f t="shared" si="15"/>
        <v>0.40993147114705897</v>
      </c>
      <c r="AU13" s="749">
        <v>162446249.40277109</v>
      </c>
      <c r="AV13" s="750">
        <v>363530860</v>
      </c>
      <c r="AW13" s="73">
        <f t="shared" si="16"/>
        <v>2.2378532058235301</v>
      </c>
      <c r="AX13" s="749">
        <f t="shared" si="17"/>
        <v>1281847684</v>
      </c>
      <c r="AY13" s="73">
        <f t="shared" si="2"/>
        <v>0.52606023581524852</v>
      </c>
    </row>
    <row r="14" spans="1:52" s="132" customFormat="1" ht="71.25" customHeight="1" thickTop="1" thickBot="1">
      <c r="A14" s="2944"/>
      <c r="B14" s="2956"/>
      <c r="C14" s="2958"/>
      <c r="D14" s="129" t="s">
        <v>199</v>
      </c>
      <c r="E14" s="134" t="s">
        <v>200</v>
      </c>
      <c r="F14" s="134" t="s">
        <v>101</v>
      </c>
      <c r="G14" s="755">
        <v>25500000000</v>
      </c>
      <c r="H14" s="130"/>
      <c r="I14" s="135"/>
      <c r="J14" s="130"/>
      <c r="K14" s="136" t="s">
        <v>140</v>
      </c>
      <c r="L14" s="752">
        <v>1700000000</v>
      </c>
      <c r="M14" s="753">
        <v>369481574</v>
      </c>
      <c r="N14" s="73">
        <f t="shared" si="3"/>
        <v>0.21734210235294119</v>
      </c>
      <c r="O14" s="752">
        <v>1700000000</v>
      </c>
      <c r="P14" s="753">
        <v>480069904</v>
      </c>
      <c r="Q14" s="73">
        <f t="shared" si="4"/>
        <v>0.28239406117647059</v>
      </c>
      <c r="R14" s="752">
        <v>1700000000</v>
      </c>
      <c r="S14" s="753">
        <v>201276000</v>
      </c>
      <c r="T14" s="73">
        <f t="shared" si="5"/>
        <v>0.11839764705882352</v>
      </c>
      <c r="U14" s="752">
        <v>2550000000</v>
      </c>
      <c r="V14" s="753">
        <v>0</v>
      </c>
      <c r="W14" s="73">
        <f t="shared" si="6"/>
        <v>0</v>
      </c>
      <c r="X14" s="752">
        <v>2550000000</v>
      </c>
      <c r="Y14" s="753">
        <v>0</v>
      </c>
      <c r="Z14" s="73">
        <f t="shared" si="7"/>
        <v>0</v>
      </c>
      <c r="AA14" s="752">
        <v>2550000000</v>
      </c>
      <c r="AB14" s="753">
        <v>1907079020</v>
      </c>
      <c r="AC14" s="73">
        <f t="shared" si="8"/>
        <v>0.74787412549019605</v>
      </c>
      <c r="AD14" s="752">
        <f t="shared" si="9"/>
        <v>2957906498</v>
      </c>
      <c r="AE14" s="73">
        <f t="shared" si="10"/>
        <v>0.11599633325490197</v>
      </c>
      <c r="AF14" s="752">
        <v>2550000000</v>
      </c>
      <c r="AG14" s="753">
        <v>928584571</v>
      </c>
      <c r="AH14" s="73">
        <f t="shared" si="11"/>
        <v>0.36415081215686274</v>
      </c>
      <c r="AI14" s="752">
        <v>2550000000</v>
      </c>
      <c r="AJ14" s="753">
        <v>1862375160</v>
      </c>
      <c r="AK14" s="73">
        <f t="shared" si="12"/>
        <v>0.73034319999999997</v>
      </c>
      <c r="AL14" s="752">
        <v>2550000000</v>
      </c>
      <c r="AM14" s="753">
        <v>1201706200</v>
      </c>
      <c r="AN14" s="73">
        <f t="shared" si="13"/>
        <v>0.47125733333333331</v>
      </c>
      <c r="AO14" s="752">
        <v>1700000000</v>
      </c>
      <c r="AP14" s="753">
        <v>1535536734</v>
      </c>
      <c r="AQ14" s="73">
        <f t="shared" si="14"/>
        <v>0.9032569023529412</v>
      </c>
      <c r="AR14" s="752">
        <v>1700000000</v>
      </c>
      <c r="AS14" s="753">
        <v>1231865132</v>
      </c>
      <c r="AT14" s="73">
        <f t="shared" si="15"/>
        <v>0.72462654823529415</v>
      </c>
      <c r="AU14" s="752">
        <v>1700000000</v>
      </c>
      <c r="AV14" s="753">
        <v>23707339111</v>
      </c>
      <c r="AW14" s="73">
        <f t="shared" si="16"/>
        <v>13.945493594705882</v>
      </c>
      <c r="AX14" s="752">
        <f t="shared" si="17"/>
        <v>33425313406</v>
      </c>
      <c r="AY14" s="73">
        <f t="shared" si="2"/>
        <v>1.3107966041568628</v>
      </c>
    </row>
    <row r="15" spans="1:52" s="128" customFormat="1" ht="44.25" customHeight="1" thickTop="1" thickBot="1">
      <c r="A15" s="2944"/>
      <c r="B15" s="2956"/>
      <c r="C15" s="2958"/>
      <c r="D15" s="124" t="s">
        <v>201</v>
      </c>
      <c r="E15" s="125" t="s">
        <v>202</v>
      </c>
      <c r="F15" s="125" t="s">
        <v>101</v>
      </c>
      <c r="G15" s="748">
        <v>1000000000</v>
      </c>
      <c r="H15" s="133"/>
      <c r="I15" s="133"/>
      <c r="J15" s="133"/>
      <c r="K15" s="125" t="s">
        <v>196</v>
      </c>
      <c r="L15" s="749">
        <v>33333334</v>
      </c>
      <c r="M15" s="750">
        <v>140738050</v>
      </c>
      <c r="N15" s="73">
        <f t="shared" si="3"/>
        <v>4.2221414155571715</v>
      </c>
      <c r="O15" s="749">
        <v>33333334</v>
      </c>
      <c r="P15" s="750">
        <v>29855600</v>
      </c>
      <c r="Q15" s="73">
        <f t="shared" si="4"/>
        <v>0.89566798208664034</v>
      </c>
      <c r="R15" s="749">
        <v>33333334</v>
      </c>
      <c r="S15" s="750">
        <v>56727000</v>
      </c>
      <c r="T15" s="73">
        <f t="shared" si="5"/>
        <v>1.7018099659638006</v>
      </c>
      <c r="U15" s="749">
        <v>133333333</v>
      </c>
      <c r="V15" s="750">
        <v>4113000</v>
      </c>
      <c r="W15" s="73">
        <f t="shared" si="6"/>
        <v>3.0847500077118749E-2</v>
      </c>
      <c r="X15" s="749">
        <v>133333333</v>
      </c>
      <c r="Y15" s="750">
        <v>0</v>
      </c>
      <c r="Z15" s="73">
        <f t="shared" si="7"/>
        <v>0</v>
      </c>
      <c r="AA15" s="749">
        <v>133333333</v>
      </c>
      <c r="AB15" s="750">
        <v>34591000</v>
      </c>
      <c r="AC15" s="73">
        <f t="shared" si="8"/>
        <v>0.25943250064858125</v>
      </c>
      <c r="AD15" s="749">
        <f t="shared" si="9"/>
        <v>266024650</v>
      </c>
      <c r="AE15" s="73">
        <f t="shared" si="10"/>
        <v>0.26602464999999997</v>
      </c>
      <c r="AF15" s="749">
        <v>133333333</v>
      </c>
      <c r="AG15" s="750">
        <v>19023480</v>
      </c>
      <c r="AH15" s="73">
        <f t="shared" si="11"/>
        <v>0.14267610035669026</v>
      </c>
      <c r="AI15" s="749">
        <v>133333333</v>
      </c>
      <c r="AJ15" s="750">
        <v>17866980</v>
      </c>
      <c r="AK15" s="73">
        <f t="shared" si="12"/>
        <v>0.13400235033500588</v>
      </c>
      <c r="AL15" s="749">
        <v>133333333</v>
      </c>
      <c r="AM15" s="750">
        <v>118128050</v>
      </c>
      <c r="AN15" s="73">
        <f t="shared" si="13"/>
        <v>0.88596037721490095</v>
      </c>
      <c r="AO15" s="749">
        <v>33333334</v>
      </c>
      <c r="AP15" s="750">
        <v>38497000</v>
      </c>
      <c r="AQ15" s="73">
        <f t="shared" si="14"/>
        <v>1.1549099769018005</v>
      </c>
      <c r="AR15" s="749">
        <v>33333333</v>
      </c>
      <c r="AS15" s="750">
        <v>11012868</v>
      </c>
      <c r="AT15" s="73">
        <f t="shared" si="15"/>
        <v>0.33038604330386045</v>
      </c>
      <c r="AU15" s="749">
        <v>33333333</v>
      </c>
      <c r="AV15" s="750">
        <v>33464000</v>
      </c>
      <c r="AW15" s="73">
        <f t="shared" si="16"/>
        <v>1.0039200100392001</v>
      </c>
      <c r="AX15" s="749">
        <f t="shared" si="17"/>
        <v>504017028</v>
      </c>
      <c r="AY15" s="73">
        <f t="shared" si="2"/>
        <v>0.50401702800000003</v>
      </c>
    </row>
    <row r="16" spans="1:52" s="132" customFormat="1" ht="59.25" customHeight="1" thickTop="1" thickBot="1">
      <c r="A16" s="2944"/>
      <c r="B16" s="2956"/>
      <c r="C16" s="2959"/>
      <c r="D16" s="129" t="s">
        <v>203</v>
      </c>
      <c r="E16" s="137" t="s">
        <v>202</v>
      </c>
      <c r="F16" s="137" t="s">
        <v>101</v>
      </c>
      <c r="G16" s="755">
        <v>4599999981</v>
      </c>
      <c r="H16" s="130"/>
      <c r="I16" s="135"/>
      <c r="J16" s="130"/>
      <c r="K16" s="137" t="s">
        <v>196</v>
      </c>
      <c r="L16" s="752">
        <v>153333332</v>
      </c>
      <c r="M16" s="753">
        <v>7710750</v>
      </c>
      <c r="N16" s="73">
        <f t="shared" si="3"/>
        <v>5.0287500437282612E-2</v>
      </c>
      <c r="O16" s="752">
        <v>153333332</v>
      </c>
      <c r="P16" s="753">
        <v>0</v>
      </c>
      <c r="Q16" s="73">
        <f t="shared" si="4"/>
        <v>0</v>
      </c>
      <c r="R16" s="752">
        <v>153333332</v>
      </c>
      <c r="S16" s="753">
        <v>1657800</v>
      </c>
      <c r="T16" s="73">
        <f t="shared" si="5"/>
        <v>1.0811739224449906E-2</v>
      </c>
      <c r="U16" s="752">
        <v>613333331</v>
      </c>
      <c r="V16" s="753">
        <v>0</v>
      </c>
      <c r="W16" s="73">
        <f t="shared" si="6"/>
        <v>0</v>
      </c>
      <c r="X16" s="752">
        <v>613333331</v>
      </c>
      <c r="Y16" s="753">
        <v>0</v>
      </c>
      <c r="Z16" s="73">
        <f t="shared" si="7"/>
        <v>0</v>
      </c>
      <c r="AA16" s="752">
        <v>613333331</v>
      </c>
      <c r="AB16" s="753">
        <v>828900</v>
      </c>
      <c r="AC16" s="73">
        <f t="shared" si="8"/>
        <v>1.3514673964457999E-3</v>
      </c>
      <c r="AD16" s="752">
        <f t="shared" si="9"/>
        <v>10197450</v>
      </c>
      <c r="AE16" s="73">
        <f t="shared" si="10"/>
        <v>2.2168369656782394E-3</v>
      </c>
      <c r="AF16" s="752">
        <v>613333331</v>
      </c>
      <c r="AG16" s="753">
        <v>1657800</v>
      </c>
      <c r="AH16" s="73">
        <f t="shared" si="11"/>
        <v>2.7029347928915998E-3</v>
      </c>
      <c r="AI16" s="752">
        <v>613333331</v>
      </c>
      <c r="AJ16" s="753">
        <v>0</v>
      </c>
      <c r="AK16" s="73">
        <f t="shared" si="12"/>
        <v>0</v>
      </c>
      <c r="AL16" s="752">
        <v>613333331</v>
      </c>
      <c r="AM16" s="753">
        <v>6028945739</v>
      </c>
      <c r="AN16" s="73">
        <f t="shared" si="13"/>
        <v>9.8298028727220768</v>
      </c>
      <c r="AO16" s="752">
        <v>153333333</v>
      </c>
      <c r="AP16" s="753">
        <v>176692491</v>
      </c>
      <c r="AQ16" s="73">
        <f t="shared" si="14"/>
        <v>1.1523423351137876</v>
      </c>
      <c r="AR16" s="752">
        <v>153333333</v>
      </c>
      <c r="AS16" s="753">
        <v>0</v>
      </c>
      <c r="AT16" s="73">
        <f t="shared" si="15"/>
        <v>0</v>
      </c>
      <c r="AU16" s="752">
        <v>153333333</v>
      </c>
      <c r="AV16" s="753">
        <v>0</v>
      </c>
      <c r="AW16" s="73">
        <f t="shared" si="16"/>
        <v>0</v>
      </c>
      <c r="AX16" s="752">
        <f t="shared" si="17"/>
        <v>6217493480</v>
      </c>
      <c r="AY16" s="73">
        <f t="shared" si="2"/>
        <v>1.3516290229741199</v>
      </c>
    </row>
    <row r="17" spans="1:51" s="132" customFormat="1" ht="77.25" customHeight="1" thickTop="1" thickBot="1">
      <c r="A17" s="2944"/>
      <c r="B17" s="2956"/>
      <c r="C17" s="2960" t="s">
        <v>204</v>
      </c>
      <c r="D17" s="129" t="s">
        <v>205</v>
      </c>
      <c r="E17" s="137" t="s">
        <v>206</v>
      </c>
      <c r="F17" s="137" t="s">
        <v>24</v>
      </c>
      <c r="G17" s="138">
        <v>14</v>
      </c>
      <c r="H17" s="133"/>
      <c r="I17" s="133"/>
      <c r="J17" s="133"/>
      <c r="K17" s="137" t="s">
        <v>196</v>
      </c>
      <c r="L17" s="119">
        <v>0</v>
      </c>
      <c r="M17" s="120">
        <v>0</v>
      </c>
      <c r="N17" s="73" t="e">
        <f t="shared" si="3"/>
        <v>#DIV/0!</v>
      </c>
      <c r="O17" s="119">
        <v>0</v>
      </c>
      <c r="P17" s="120">
        <v>0</v>
      </c>
      <c r="Q17" s="73" t="e">
        <f t="shared" si="4"/>
        <v>#DIV/0!</v>
      </c>
      <c r="R17" s="119">
        <v>0</v>
      </c>
      <c r="S17" s="120">
        <v>0</v>
      </c>
      <c r="T17" s="73" t="e">
        <f t="shared" si="5"/>
        <v>#DIV/0!</v>
      </c>
      <c r="U17" s="119">
        <v>0</v>
      </c>
      <c r="V17" s="120">
        <v>0</v>
      </c>
      <c r="W17" s="73" t="e">
        <f t="shared" si="6"/>
        <v>#DIV/0!</v>
      </c>
      <c r="X17" s="119">
        <v>7</v>
      </c>
      <c r="Y17" s="120">
        <v>0</v>
      </c>
      <c r="Z17" s="73">
        <f t="shared" si="7"/>
        <v>0</v>
      </c>
      <c r="AA17" s="119">
        <v>0</v>
      </c>
      <c r="AB17" s="120">
        <v>0</v>
      </c>
      <c r="AC17" s="73" t="e">
        <f t="shared" si="8"/>
        <v>#DIV/0!</v>
      </c>
      <c r="AD17" s="119">
        <f>+Y17</f>
        <v>0</v>
      </c>
      <c r="AE17" s="73">
        <f t="shared" si="10"/>
        <v>0</v>
      </c>
      <c r="AF17" s="119">
        <v>0</v>
      </c>
      <c r="AG17" s="120">
        <v>0</v>
      </c>
      <c r="AH17" s="73" t="e">
        <f t="shared" si="11"/>
        <v>#DIV/0!</v>
      </c>
      <c r="AI17" s="119">
        <v>0</v>
      </c>
      <c r="AJ17" s="120">
        <v>0</v>
      </c>
      <c r="AK17" s="73" t="e">
        <f t="shared" si="12"/>
        <v>#DIV/0!</v>
      </c>
      <c r="AL17" s="119">
        <v>7</v>
      </c>
      <c r="AM17" s="120">
        <v>14</v>
      </c>
      <c r="AN17" s="73">
        <f t="shared" si="13"/>
        <v>2</v>
      </c>
      <c r="AO17" s="119">
        <v>0</v>
      </c>
      <c r="AP17" s="120">
        <v>0</v>
      </c>
      <c r="AQ17" s="73" t="e">
        <f t="shared" si="14"/>
        <v>#DIV/0!</v>
      </c>
      <c r="AR17" s="119">
        <v>0</v>
      </c>
      <c r="AS17" s="120">
        <v>0</v>
      </c>
      <c r="AT17" s="73" t="e">
        <f t="shared" si="15"/>
        <v>#DIV/0!</v>
      </c>
      <c r="AU17" s="119">
        <v>0</v>
      </c>
      <c r="AV17" s="120">
        <v>0</v>
      </c>
      <c r="AW17" s="73" t="e">
        <f t="shared" si="16"/>
        <v>#DIV/0!</v>
      </c>
      <c r="AX17" s="119">
        <f>Y17+AM17</f>
        <v>14</v>
      </c>
      <c r="AY17" s="73">
        <f t="shared" si="2"/>
        <v>1</v>
      </c>
    </row>
    <row r="18" spans="1:51" s="128" customFormat="1" ht="49.5" customHeight="1" thickTop="1" thickBot="1">
      <c r="A18" s="2944"/>
      <c r="B18" s="2956"/>
      <c r="C18" s="2960"/>
      <c r="D18" s="124" t="s">
        <v>207</v>
      </c>
      <c r="E18" s="125" t="s">
        <v>206</v>
      </c>
      <c r="F18" s="125" t="s">
        <v>24</v>
      </c>
      <c r="G18" s="139">
        <v>10</v>
      </c>
      <c r="H18" s="78"/>
      <c r="I18" s="91"/>
      <c r="J18" s="78"/>
      <c r="K18" s="140" t="s">
        <v>196</v>
      </c>
      <c r="L18" s="141">
        <v>0</v>
      </c>
      <c r="M18" s="142">
        <v>0</v>
      </c>
      <c r="N18" s="73" t="e">
        <f t="shared" si="3"/>
        <v>#DIV/0!</v>
      </c>
      <c r="O18" s="141">
        <v>0</v>
      </c>
      <c r="P18" s="142">
        <v>0</v>
      </c>
      <c r="Q18" s="73" t="e">
        <f t="shared" si="4"/>
        <v>#DIV/0!</v>
      </c>
      <c r="R18" s="141">
        <v>0</v>
      </c>
      <c r="S18" s="142">
        <v>0</v>
      </c>
      <c r="T18" s="73" t="e">
        <f t="shared" si="5"/>
        <v>#DIV/0!</v>
      </c>
      <c r="U18" s="141">
        <v>0</v>
      </c>
      <c r="V18" s="142">
        <v>0</v>
      </c>
      <c r="W18" s="73" t="e">
        <f t="shared" si="6"/>
        <v>#DIV/0!</v>
      </c>
      <c r="X18" s="141">
        <v>5</v>
      </c>
      <c r="Y18" s="142">
        <v>0</v>
      </c>
      <c r="Z18" s="73">
        <f t="shared" si="7"/>
        <v>0</v>
      </c>
      <c r="AA18" s="141">
        <v>0</v>
      </c>
      <c r="AB18" s="142">
        <v>0</v>
      </c>
      <c r="AC18" s="73" t="e">
        <f t="shared" si="8"/>
        <v>#DIV/0!</v>
      </c>
      <c r="AD18" s="141">
        <f>+Y18</f>
        <v>0</v>
      </c>
      <c r="AE18" s="73">
        <f t="shared" si="10"/>
        <v>0</v>
      </c>
      <c r="AF18" s="141">
        <v>0</v>
      </c>
      <c r="AG18" s="142">
        <v>0</v>
      </c>
      <c r="AH18" s="73" t="e">
        <f t="shared" si="11"/>
        <v>#DIV/0!</v>
      </c>
      <c r="AI18" s="141">
        <v>0</v>
      </c>
      <c r="AJ18" s="142">
        <v>0</v>
      </c>
      <c r="AK18" s="73" t="e">
        <f t="shared" si="12"/>
        <v>#DIV/0!</v>
      </c>
      <c r="AL18" s="141">
        <v>0</v>
      </c>
      <c r="AM18" s="142">
        <v>0</v>
      </c>
      <c r="AN18" s="73" t="e">
        <f t="shared" si="13"/>
        <v>#DIV/0!</v>
      </c>
      <c r="AO18" s="141">
        <v>5</v>
      </c>
      <c r="AP18" s="142">
        <v>10</v>
      </c>
      <c r="AQ18" s="73">
        <f t="shared" si="14"/>
        <v>2</v>
      </c>
      <c r="AR18" s="141">
        <v>0</v>
      </c>
      <c r="AS18" s="142">
        <v>0</v>
      </c>
      <c r="AT18" s="73" t="e">
        <f t="shared" si="15"/>
        <v>#DIV/0!</v>
      </c>
      <c r="AU18" s="141">
        <v>0</v>
      </c>
      <c r="AV18" s="142">
        <v>0</v>
      </c>
      <c r="AW18" s="73" t="e">
        <f t="shared" si="16"/>
        <v>#DIV/0!</v>
      </c>
      <c r="AX18" s="141">
        <f>Y18+AP18</f>
        <v>10</v>
      </c>
      <c r="AY18" s="73">
        <f t="shared" si="2"/>
        <v>1</v>
      </c>
    </row>
    <row r="19" spans="1:51" s="132" customFormat="1" ht="77.25" customHeight="1" thickTop="1" thickBot="1">
      <c r="A19" s="2944"/>
      <c r="B19" s="2956"/>
      <c r="C19" s="2960"/>
      <c r="D19" s="129" t="s">
        <v>208</v>
      </c>
      <c r="E19" s="137" t="s">
        <v>209</v>
      </c>
      <c r="F19" s="137" t="s">
        <v>10</v>
      </c>
      <c r="G19" s="143">
        <v>0.65</v>
      </c>
      <c r="H19" s="81"/>
      <c r="I19" s="81"/>
      <c r="J19" s="81"/>
      <c r="K19" s="137" t="s">
        <v>196</v>
      </c>
      <c r="L19" s="144">
        <v>0.65</v>
      </c>
      <c r="M19" s="145">
        <v>3.0800000000000001E-2</v>
      </c>
      <c r="N19" s="73">
        <f t="shared" si="3"/>
        <v>4.7384615384615386E-2</v>
      </c>
      <c r="O19" s="144">
        <v>0.65</v>
      </c>
      <c r="P19" s="145">
        <v>1.5299999999999999E-2</v>
      </c>
      <c r="Q19" s="73">
        <v>1.5299999999999999E-2</v>
      </c>
      <c r="R19" s="144">
        <v>0.65</v>
      </c>
      <c r="S19" s="145">
        <v>0</v>
      </c>
      <c r="T19" s="73">
        <f t="shared" si="5"/>
        <v>0</v>
      </c>
      <c r="U19" s="144">
        <v>0.65</v>
      </c>
      <c r="V19" s="145">
        <v>0.09</v>
      </c>
      <c r="W19" s="73">
        <f t="shared" si="6"/>
        <v>0.13846153846153844</v>
      </c>
      <c r="X19" s="144">
        <v>0.65</v>
      </c>
      <c r="Y19" s="145">
        <v>0</v>
      </c>
      <c r="Z19" s="73">
        <f t="shared" si="7"/>
        <v>0</v>
      </c>
      <c r="AA19" s="144">
        <v>0.65</v>
      </c>
      <c r="AB19" s="145">
        <v>0.27700000000000002</v>
      </c>
      <c r="AC19" s="73">
        <f t="shared" si="8"/>
        <v>0.42615384615384616</v>
      </c>
      <c r="AD19" s="144">
        <f>(M19+P19+S19+V19+Y19+AB19)</f>
        <v>0.41310000000000002</v>
      </c>
      <c r="AE19" s="73">
        <f t="shared" si="10"/>
        <v>0.6355384615384615</v>
      </c>
      <c r="AF19" s="144">
        <v>0.65</v>
      </c>
      <c r="AG19" s="145">
        <v>0.16919999999999999</v>
      </c>
      <c r="AH19" s="73">
        <f t="shared" si="11"/>
        <v>0.2603076923076923</v>
      </c>
      <c r="AI19" s="144">
        <v>0.65</v>
      </c>
      <c r="AJ19" s="145">
        <v>0.27689999999999998</v>
      </c>
      <c r="AK19" s="73">
        <f t="shared" si="12"/>
        <v>0.42599999999999993</v>
      </c>
      <c r="AL19" s="144">
        <v>0.65</v>
      </c>
      <c r="AM19" s="145">
        <v>0.43080000000000002</v>
      </c>
      <c r="AN19" s="73">
        <f t="shared" si="13"/>
        <v>0.66276923076923078</v>
      </c>
      <c r="AO19" s="144">
        <v>0.65</v>
      </c>
      <c r="AP19" s="145">
        <v>0.86150000000000004</v>
      </c>
      <c r="AQ19" s="73">
        <f t="shared" si="14"/>
        <v>1.3253846153846154</v>
      </c>
      <c r="AR19" s="144">
        <v>0.65</v>
      </c>
      <c r="AS19" s="145">
        <v>0.21529999999999999</v>
      </c>
      <c r="AT19" s="73">
        <f t="shared" si="15"/>
        <v>0.33123076923076922</v>
      </c>
      <c r="AU19" s="144">
        <v>0.65</v>
      </c>
      <c r="AV19" s="145">
        <v>0.55379999999999996</v>
      </c>
      <c r="AW19" s="73">
        <f t="shared" si="16"/>
        <v>0.85199999999999987</v>
      </c>
      <c r="AX19" s="146">
        <f>(M19+P19+S19+V19+Y19+AB19+AG19+AJ19+AM19+AP19+AS19+AV19)/12</f>
        <v>0.24338333333333331</v>
      </c>
      <c r="AY19" s="73">
        <f t="shared" si="2"/>
        <v>0.37443589743589739</v>
      </c>
    </row>
    <row r="20" spans="1:51" s="128" customFormat="1" ht="101.25" customHeight="1" thickTop="1" thickBot="1">
      <c r="A20" s="2944"/>
      <c r="B20" s="2956"/>
      <c r="C20" s="125" t="s">
        <v>210</v>
      </c>
      <c r="D20" s="124" t="s">
        <v>211</v>
      </c>
      <c r="E20" s="125" t="s">
        <v>212</v>
      </c>
      <c r="F20" s="125" t="s">
        <v>24</v>
      </c>
      <c r="G20" s="139">
        <v>1</v>
      </c>
      <c r="H20" s="76"/>
      <c r="I20" s="76"/>
      <c r="J20" s="76"/>
      <c r="K20" s="125" t="s">
        <v>140</v>
      </c>
      <c r="L20" s="141">
        <v>0</v>
      </c>
      <c r="M20" s="142">
        <v>0</v>
      </c>
      <c r="N20" s="73" t="e">
        <f t="shared" si="3"/>
        <v>#DIV/0!</v>
      </c>
      <c r="O20" s="141">
        <v>0</v>
      </c>
      <c r="P20" s="142">
        <v>0</v>
      </c>
      <c r="Q20" s="73" t="e">
        <f t="shared" si="4"/>
        <v>#DIV/0!</v>
      </c>
      <c r="R20" s="141">
        <v>1</v>
      </c>
      <c r="S20" s="142">
        <v>1</v>
      </c>
      <c r="T20" s="73">
        <f t="shared" si="5"/>
        <v>1</v>
      </c>
      <c r="U20" s="141">
        <v>0</v>
      </c>
      <c r="V20" s="142">
        <v>0</v>
      </c>
      <c r="W20" s="73" t="e">
        <f t="shared" si="6"/>
        <v>#DIV/0!</v>
      </c>
      <c r="X20" s="141">
        <v>0</v>
      </c>
      <c r="Y20" s="142">
        <v>0</v>
      </c>
      <c r="Z20" s="73" t="e">
        <f t="shared" si="7"/>
        <v>#DIV/0!</v>
      </c>
      <c r="AA20" s="141">
        <v>0</v>
      </c>
      <c r="AB20" s="142">
        <v>0</v>
      </c>
      <c r="AC20" s="73" t="e">
        <f t="shared" si="8"/>
        <v>#DIV/0!</v>
      </c>
      <c r="AD20" s="141">
        <f>S20</f>
        <v>1</v>
      </c>
      <c r="AE20" s="73">
        <f t="shared" si="10"/>
        <v>1</v>
      </c>
      <c r="AF20" s="141">
        <v>0</v>
      </c>
      <c r="AG20" s="142">
        <v>0</v>
      </c>
      <c r="AH20" s="73" t="e">
        <f t="shared" si="11"/>
        <v>#DIV/0!</v>
      </c>
      <c r="AI20" s="141">
        <v>0</v>
      </c>
      <c r="AJ20" s="142">
        <v>0</v>
      </c>
      <c r="AK20" s="73" t="e">
        <f t="shared" si="12"/>
        <v>#DIV/0!</v>
      </c>
      <c r="AL20" s="141">
        <v>0</v>
      </c>
      <c r="AM20" s="142">
        <v>0</v>
      </c>
      <c r="AN20" s="73" t="e">
        <f t="shared" si="13"/>
        <v>#DIV/0!</v>
      </c>
      <c r="AO20" s="141">
        <v>0</v>
      </c>
      <c r="AP20" s="142">
        <v>0</v>
      </c>
      <c r="AQ20" s="73" t="e">
        <f t="shared" si="14"/>
        <v>#DIV/0!</v>
      </c>
      <c r="AR20" s="141">
        <v>0</v>
      </c>
      <c r="AS20" s="142">
        <v>0</v>
      </c>
      <c r="AT20" s="73" t="e">
        <f t="shared" si="15"/>
        <v>#DIV/0!</v>
      </c>
      <c r="AU20" s="141">
        <v>0</v>
      </c>
      <c r="AV20" s="142">
        <v>0</v>
      </c>
      <c r="AW20" s="73" t="e">
        <f t="shared" si="16"/>
        <v>#DIV/0!</v>
      </c>
      <c r="AX20" s="141">
        <f>S20</f>
        <v>1</v>
      </c>
      <c r="AY20" s="73">
        <f t="shared" si="2"/>
        <v>1</v>
      </c>
    </row>
    <row r="21" spans="1:51" s="132" customFormat="1" ht="146.25" customHeight="1" thickTop="1" thickBot="1">
      <c r="A21" s="2944"/>
      <c r="B21" s="2956"/>
      <c r="C21" s="137" t="s">
        <v>213</v>
      </c>
      <c r="D21" s="129" t="s">
        <v>214</v>
      </c>
      <c r="E21" s="137" t="s">
        <v>215</v>
      </c>
      <c r="F21" s="137" t="s">
        <v>24</v>
      </c>
      <c r="G21" s="138">
        <v>2</v>
      </c>
      <c r="H21" s="81"/>
      <c r="I21" s="81"/>
      <c r="J21" s="81"/>
      <c r="K21" s="147" t="s">
        <v>140</v>
      </c>
      <c r="L21" s="119">
        <v>0</v>
      </c>
      <c r="M21" s="120">
        <v>0</v>
      </c>
      <c r="N21" s="73" t="e">
        <f t="shared" si="3"/>
        <v>#DIV/0!</v>
      </c>
      <c r="O21" s="119">
        <v>0</v>
      </c>
      <c r="P21" s="120">
        <v>0</v>
      </c>
      <c r="Q21" s="73" t="e">
        <f t="shared" si="4"/>
        <v>#DIV/0!</v>
      </c>
      <c r="R21" s="119">
        <v>0</v>
      </c>
      <c r="S21" s="120">
        <v>0</v>
      </c>
      <c r="T21" s="73" t="e">
        <f t="shared" si="5"/>
        <v>#DIV/0!</v>
      </c>
      <c r="U21" s="119">
        <v>0</v>
      </c>
      <c r="V21" s="120">
        <v>0</v>
      </c>
      <c r="W21" s="73" t="e">
        <f t="shared" si="6"/>
        <v>#DIV/0!</v>
      </c>
      <c r="X21" s="119">
        <v>1</v>
      </c>
      <c r="Y21" s="120">
        <v>1</v>
      </c>
      <c r="Z21" s="73">
        <f t="shared" si="7"/>
        <v>1</v>
      </c>
      <c r="AA21" s="119">
        <v>0</v>
      </c>
      <c r="AB21" s="120">
        <v>0</v>
      </c>
      <c r="AC21" s="73" t="e">
        <f t="shared" si="8"/>
        <v>#DIV/0!</v>
      </c>
      <c r="AD21" s="119">
        <f>+Y21</f>
        <v>1</v>
      </c>
      <c r="AE21" s="73">
        <f t="shared" si="10"/>
        <v>0.5</v>
      </c>
      <c r="AF21" s="119">
        <v>0</v>
      </c>
      <c r="AG21" s="120">
        <v>0</v>
      </c>
      <c r="AH21" s="73" t="e">
        <f t="shared" si="11"/>
        <v>#DIV/0!</v>
      </c>
      <c r="AI21" s="119">
        <v>1</v>
      </c>
      <c r="AJ21" s="120">
        <v>1</v>
      </c>
      <c r="AK21" s="73">
        <f t="shared" si="12"/>
        <v>1</v>
      </c>
      <c r="AL21" s="119">
        <v>0</v>
      </c>
      <c r="AM21" s="120">
        <v>0</v>
      </c>
      <c r="AN21" s="73" t="e">
        <f t="shared" si="13"/>
        <v>#DIV/0!</v>
      </c>
      <c r="AO21" s="119">
        <v>0</v>
      </c>
      <c r="AP21" s="120">
        <v>0</v>
      </c>
      <c r="AQ21" s="73" t="e">
        <f t="shared" si="14"/>
        <v>#DIV/0!</v>
      </c>
      <c r="AR21" s="119">
        <v>0</v>
      </c>
      <c r="AS21" s="120"/>
      <c r="AT21" s="73" t="e">
        <f t="shared" si="15"/>
        <v>#DIV/0!</v>
      </c>
      <c r="AU21" s="119">
        <v>0</v>
      </c>
      <c r="AV21" s="120">
        <v>0</v>
      </c>
      <c r="AW21" s="73" t="e">
        <f t="shared" si="16"/>
        <v>#DIV/0!</v>
      </c>
      <c r="AX21" s="119">
        <f>Y21+AJ21</f>
        <v>2</v>
      </c>
      <c r="AY21" s="73">
        <f t="shared" si="2"/>
        <v>1</v>
      </c>
    </row>
    <row r="22" spans="1:51" s="132" customFormat="1" ht="66.75" customHeight="1" thickTop="1" thickBot="1">
      <c r="A22" s="2944"/>
      <c r="B22" s="2956"/>
      <c r="C22" s="2961" t="s">
        <v>216</v>
      </c>
      <c r="D22" s="124" t="s">
        <v>217</v>
      </c>
      <c r="E22" s="125" t="s">
        <v>218</v>
      </c>
      <c r="F22" s="125" t="s">
        <v>10</v>
      </c>
      <c r="G22" s="148">
        <v>0.64100000000000001</v>
      </c>
      <c r="H22" s="76"/>
      <c r="I22" s="76"/>
      <c r="J22" s="76"/>
      <c r="K22" s="125" t="s">
        <v>7</v>
      </c>
      <c r="L22" s="144">
        <v>0</v>
      </c>
      <c r="M22" s="145">
        <v>0</v>
      </c>
      <c r="N22" s="73" t="e">
        <f t="shared" si="3"/>
        <v>#DIV/0!</v>
      </c>
      <c r="O22" s="144">
        <v>0</v>
      </c>
      <c r="P22" s="145">
        <v>0</v>
      </c>
      <c r="Q22" s="73" t="e">
        <f t="shared" si="4"/>
        <v>#DIV/0!</v>
      </c>
      <c r="R22" s="144">
        <v>0</v>
      </c>
      <c r="S22" s="145">
        <v>0</v>
      </c>
      <c r="T22" s="73" t="e">
        <f t="shared" si="5"/>
        <v>#DIV/0!</v>
      </c>
      <c r="U22" s="144">
        <v>0</v>
      </c>
      <c r="V22" s="145">
        <v>0</v>
      </c>
      <c r="W22" s="73" t="e">
        <f t="shared" si="6"/>
        <v>#DIV/0!</v>
      </c>
      <c r="X22" s="144">
        <v>0</v>
      </c>
      <c r="Y22" s="145">
        <v>0</v>
      </c>
      <c r="Z22" s="73" t="e">
        <f t="shared" si="7"/>
        <v>#DIV/0!</v>
      </c>
      <c r="AA22" s="144">
        <v>0</v>
      </c>
      <c r="AB22" s="145">
        <v>0</v>
      </c>
      <c r="AC22" s="73" t="e">
        <f t="shared" si="8"/>
        <v>#DIV/0!</v>
      </c>
      <c r="AD22" s="144">
        <f t="shared" si="9"/>
        <v>0</v>
      </c>
      <c r="AE22" s="73">
        <f t="shared" si="10"/>
        <v>0</v>
      </c>
      <c r="AF22" s="144">
        <v>0</v>
      </c>
      <c r="AG22" s="145">
        <v>0</v>
      </c>
      <c r="AH22" s="73" t="e">
        <f t="shared" si="11"/>
        <v>#DIV/0!</v>
      </c>
      <c r="AI22" s="144">
        <v>0</v>
      </c>
      <c r="AJ22" s="145">
        <v>0</v>
      </c>
      <c r="AK22" s="73" t="e">
        <f t="shared" si="12"/>
        <v>#DIV/0!</v>
      </c>
      <c r="AL22" s="144">
        <v>0</v>
      </c>
      <c r="AM22" s="145">
        <v>0</v>
      </c>
      <c r="AN22" s="73" t="e">
        <f t="shared" si="13"/>
        <v>#DIV/0!</v>
      </c>
      <c r="AO22" s="144">
        <v>0</v>
      </c>
      <c r="AP22" s="145">
        <v>0</v>
      </c>
      <c r="AQ22" s="73" t="e">
        <f t="shared" si="14"/>
        <v>#DIV/0!</v>
      </c>
      <c r="AR22" s="144">
        <v>0</v>
      </c>
      <c r="AS22" s="145">
        <v>0</v>
      </c>
      <c r="AT22" s="73" t="e">
        <f t="shared" si="15"/>
        <v>#DIV/0!</v>
      </c>
      <c r="AU22" s="144">
        <v>0.64100000000000001</v>
      </c>
      <c r="AV22" s="145">
        <v>0.64290000000000003</v>
      </c>
      <c r="AW22" s="73">
        <f t="shared" si="16"/>
        <v>1.0029641185647427</v>
      </c>
      <c r="AX22" s="144">
        <f>+AV22</f>
        <v>0.64290000000000003</v>
      </c>
      <c r="AY22" s="73">
        <f t="shared" si="2"/>
        <v>1.0029641185647427</v>
      </c>
    </row>
    <row r="23" spans="1:51" s="128" customFormat="1" ht="69" customHeight="1" thickTop="1" thickBot="1">
      <c r="A23" s="2944"/>
      <c r="B23" s="2956"/>
      <c r="C23" s="2962"/>
      <c r="D23" s="129" t="s">
        <v>122</v>
      </c>
      <c r="E23" s="137" t="s">
        <v>123</v>
      </c>
      <c r="F23" s="137" t="s">
        <v>10</v>
      </c>
      <c r="G23" s="149">
        <v>1</v>
      </c>
      <c r="H23" s="82"/>
      <c r="I23" s="88"/>
      <c r="J23" s="82"/>
      <c r="K23" s="137" t="s">
        <v>7</v>
      </c>
      <c r="L23" s="146">
        <v>0</v>
      </c>
      <c r="M23" s="150">
        <v>0</v>
      </c>
      <c r="N23" s="73" t="e">
        <f t="shared" si="3"/>
        <v>#DIV/0!</v>
      </c>
      <c r="O23" s="146">
        <v>0</v>
      </c>
      <c r="P23" s="150">
        <v>0</v>
      </c>
      <c r="Q23" s="73" t="e">
        <f t="shared" si="4"/>
        <v>#DIV/0!</v>
      </c>
      <c r="R23" s="146">
        <v>0</v>
      </c>
      <c r="S23" s="150">
        <v>0</v>
      </c>
      <c r="T23" s="73" t="e">
        <f t="shared" si="5"/>
        <v>#DIV/0!</v>
      </c>
      <c r="U23" s="146">
        <v>1</v>
      </c>
      <c r="V23" s="150">
        <v>0</v>
      </c>
      <c r="W23" s="73">
        <f t="shared" si="6"/>
        <v>0</v>
      </c>
      <c r="X23" s="146">
        <v>0</v>
      </c>
      <c r="Y23" s="150">
        <v>0</v>
      </c>
      <c r="Z23" s="73" t="e">
        <f t="shared" si="7"/>
        <v>#DIV/0!</v>
      </c>
      <c r="AA23" s="146">
        <v>0</v>
      </c>
      <c r="AB23" s="150">
        <v>0</v>
      </c>
      <c r="AC23" s="73" t="e">
        <f t="shared" si="8"/>
        <v>#DIV/0!</v>
      </c>
      <c r="AD23" s="146">
        <f>V23</f>
        <v>0</v>
      </c>
      <c r="AE23" s="73">
        <f t="shared" si="10"/>
        <v>0</v>
      </c>
      <c r="AF23" s="146">
        <v>0</v>
      </c>
      <c r="AG23" s="150">
        <v>0</v>
      </c>
      <c r="AH23" s="73" t="e">
        <f t="shared" si="11"/>
        <v>#DIV/0!</v>
      </c>
      <c r="AI23" s="146">
        <v>0</v>
      </c>
      <c r="AJ23" s="150">
        <v>0</v>
      </c>
      <c r="AK23" s="73" t="e">
        <f t="shared" si="12"/>
        <v>#DIV/0!</v>
      </c>
      <c r="AL23" s="146">
        <v>0</v>
      </c>
      <c r="AM23" s="150">
        <v>0</v>
      </c>
      <c r="AN23" s="73" t="e">
        <f t="shared" si="13"/>
        <v>#DIV/0!</v>
      </c>
      <c r="AO23" s="146">
        <v>1</v>
      </c>
      <c r="AP23" s="150">
        <v>0</v>
      </c>
      <c r="AQ23" s="73">
        <f t="shared" si="14"/>
        <v>0</v>
      </c>
      <c r="AR23" s="146">
        <v>0</v>
      </c>
      <c r="AS23" s="150">
        <v>0</v>
      </c>
      <c r="AT23" s="73" t="e">
        <f t="shared" si="15"/>
        <v>#DIV/0!</v>
      </c>
      <c r="AU23" s="146">
        <v>0</v>
      </c>
      <c r="AV23" s="150">
        <v>0</v>
      </c>
      <c r="AW23" s="73" t="e">
        <f t="shared" si="16"/>
        <v>#DIV/0!</v>
      </c>
      <c r="AX23" s="146">
        <f>+(AP23+V23)/2</f>
        <v>0</v>
      </c>
      <c r="AY23" s="73">
        <f t="shared" si="2"/>
        <v>0</v>
      </c>
    </row>
    <row r="24" spans="1:51" s="132" customFormat="1" ht="77.25" customHeight="1" thickTop="1" thickBot="1">
      <c r="A24" s="2944"/>
      <c r="B24" s="2956"/>
      <c r="C24" s="2962"/>
      <c r="D24" s="124" t="s">
        <v>124</v>
      </c>
      <c r="E24" s="125" t="s">
        <v>176</v>
      </c>
      <c r="F24" s="125" t="s">
        <v>10</v>
      </c>
      <c r="G24" s="151">
        <v>1</v>
      </c>
      <c r="H24" s="76"/>
      <c r="I24" s="76"/>
      <c r="J24" s="76"/>
      <c r="K24" s="125" t="s">
        <v>7</v>
      </c>
      <c r="L24" s="144">
        <v>0</v>
      </c>
      <c r="M24" s="145">
        <v>0</v>
      </c>
      <c r="N24" s="73" t="e">
        <f t="shared" si="3"/>
        <v>#DIV/0!</v>
      </c>
      <c r="O24" s="144">
        <v>0</v>
      </c>
      <c r="P24" s="145">
        <v>0</v>
      </c>
      <c r="Q24" s="73" t="e">
        <f t="shared" si="4"/>
        <v>#DIV/0!</v>
      </c>
      <c r="R24" s="144">
        <v>1</v>
      </c>
      <c r="S24" s="145">
        <v>1</v>
      </c>
      <c r="T24" s="73">
        <f t="shared" si="5"/>
        <v>1</v>
      </c>
      <c r="U24" s="144">
        <v>0</v>
      </c>
      <c r="V24" s="145">
        <v>0</v>
      </c>
      <c r="W24" s="73" t="e">
        <f t="shared" si="6"/>
        <v>#DIV/0!</v>
      </c>
      <c r="X24" s="144">
        <v>0</v>
      </c>
      <c r="Y24" s="145">
        <v>0</v>
      </c>
      <c r="Z24" s="73" t="e">
        <f t="shared" si="7"/>
        <v>#DIV/0!</v>
      </c>
      <c r="AA24" s="144">
        <v>1</v>
      </c>
      <c r="AB24" s="145">
        <v>0</v>
      </c>
      <c r="AC24" s="73">
        <f t="shared" si="8"/>
        <v>0</v>
      </c>
      <c r="AD24" s="144">
        <f>(AB24+S24)/2</f>
        <v>0.5</v>
      </c>
      <c r="AE24" s="73">
        <f t="shared" si="10"/>
        <v>0.5</v>
      </c>
      <c r="AF24" s="144">
        <v>0</v>
      </c>
      <c r="AG24" s="145">
        <v>0</v>
      </c>
      <c r="AH24" s="73" t="e">
        <f t="shared" si="11"/>
        <v>#DIV/0!</v>
      </c>
      <c r="AI24" s="144">
        <v>0</v>
      </c>
      <c r="AJ24" s="145">
        <v>0</v>
      </c>
      <c r="AK24" s="73" t="e">
        <f t="shared" si="12"/>
        <v>#DIV/0!</v>
      </c>
      <c r="AL24" s="144">
        <v>1</v>
      </c>
      <c r="AM24" s="145">
        <v>1</v>
      </c>
      <c r="AN24" s="73">
        <f t="shared" si="13"/>
        <v>1</v>
      </c>
      <c r="AO24" s="144">
        <v>1</v>
      </c>
      <c r="AP24" s="145">
        <v>1</v>
      </c>
      <c r="AQ24" s="73">
        <f t="shared" si="14"/>
        <v>1</v>
      </c>
      <c r="AR24" s="144">
        <v>1</v>
      </c>
      <c r="AS24" s="145">
        <v>1</v>
      </c>
      <c r="AT24" s="73">
        <f t="shared" si="15"/>
        <v>1</v>
      </c>
      <c r="AU24" s="144">
        <v>1</v>
      </c>
      <c r="AV24" s="145">
        <v>0</v>
      </c>
      <c r="AW24" s="73">
        <f t="shared" si="16"/>
        <v>0</v>
      </c>
      <c r="AX24" s="144">
        <f>(AB24+AM24+AV24+S24+AS24+AP24)/4</f>
        <v>1</v>
      </c>
      <c r="AY24" s="73">
        <f t="shared" si="2"/>
        <v>1</v>
      </c>
    </row>
    <row r="25" spans="1:51" s="128" customFormat="1" ht="62.25" customHeight="1" thickTop="1" thickBot="1">
      <c r="A25" s="2944"/>
      <c r="B25" s="2956"/>
      <c r="C25" s="2962"/>
      <c r="D25" s="129" t="s">
        <v>126</v>
      </c>
      <c r="E25" s="137" t="s">
        <v>219</v>
      </c>
      <c r="F25" s="137" t="s">
        <v>10</v>
      </c>
      <c r="G25" s="149">
        <v>0.4</v>
      </c>
      <c r="H25" s="82"/>
      <c r="I25" s="88"/>
      <c r="J25" s="82"/>
      <c r="K25" s="137" t="s">
        <v>7</v>
      </c>
      <c r="L25" s="146">
        <v>0.4</v>
      </c>
      <c r="M25" s="150">
        <v>0</v>
      </c>
      <c r="N25" s="73">
        <f t="shared" si="3"/>
        <v>0</v>
      </c>
      <c r="O25" s="146">
        <v>0.4</v>
      </c>
      <c r="P25" s="150">
        <v>0</v>
      </c>
      <c r="Q25" s="73">
        <f t="shared" si="4"/>
        <v>0</v>
      </c>
      <c r="R25" s="146">
        <v>0.4</v>
      </c>
      <c r="S25" s="150">
        <v>0</v>
      </c>
      <c r="T25" s="73">
        <f t="shared" si="5"/>
        <v>0</v>
      </c>
      <c r="U25" s="146">
        <v>0.4</v>
      </c>
      <c r="V25" s="150">
        <v>0</v>
      </c>
      <c r="W25" s="73">
        <f t="shared" si="6"/>
        <v>0</v>
      </c>
      <c r="X25" s="146">
        <v>0.4</v>
      </c>
      <c r="Y25" s="150">
        <v>0</v>
      </c>
      <c r="Z25" s="73">
        <f t="shared" si="7"/>
        <v>0</v>
      </c>
      <c r="AA25" s="146">
        <v>0.4</v>
      </c>
      <c r="AB25" s="150">
        <v>0</v>
      </c>
      <c r="AC25" s="73">
        <f t="shared" si="8"/>
        <v>0</v>
      </c>
      <c r="AD25" s="146">
        <f>(M25+P25+S25+V25+Y25+AB25)/6</f>
        <v>0</v>
      </c>
      <c r="AE25" s="73">
        <f t="shared" si="10"/>
        <v>0</v>
      </c>
      <c r="AF25" s="146">
        <v>0.4</v>
      </c>
      <c r="AG25" s="150">
        <v>0.4</v>
      </c>
      <c r="AH25" s="73">
        <f t="shared" si="11"/>
        <v>1</v>
      </c>
      <c r="AI25" s="146">
        <v>0.4</v>
      </c>
      <c r="AJ25" s="150">
        <v>0.4</v>
      </c>
      <c r="AK25" s="73">
        <f t="shared" si="12"/>
        <v>1</v>
      </c>
      <c r="AL25" s="146">
        <v>0.4</v>
      </c>
      <c r="AM25" s="150">
        <v>0.4</v>
      </c>
      <c r="AN25" s="73">
        <f t="shared" si="13"/>
        <v>1</v>
      </c>
      <c r="AO25" s="146">
        <v>0.4</v>
      </c>
      <c r="AP25" s="150">
        <v>0.4</v>
      </c>
      <c r="AQ25" s="73">
        <f t="shared" si="14"/>
        <v>1</v>
      </c>
      <c r="AR25" s="146">
        <v>0.4</v>
      </c>
      <c r="AS25" s="150">
        <v>0</v>
      </c>
      <c r="AT25" s="73">
        <f t="shared" si="15"/>
        <v>0</v>
      </c>
      <c r="AU25" s="146">
        <v>0.4</v>
      </c>
      <c r="AV25" s="150">
        <v>0</v>
      </c>
      <c r="AW25" s="73">
        <f t="shared" si="16"/>
        <v>0</v>
      </c>
      <c r="AX25" s="152">
        <f>(M25+P25+S25+V25+Y25+AB25+AG25+AJ25+AM25+AP25+AS25+AV25)/4</f>
        <v>0.4</v>
      </c>
      <c r="AY25" s="73">
        <f t="shared" si="2"/>
        <v>1</v>
      </c>
    </row>
    <row r="26" spans="1:51" s="132" customFormat="1" ht="68.25" customHeight="1" thickTop="1" thickBot="1">
      <c r="A26" s="2944"/>
      <c r="B26" s="2956"/>
      <c r="C26" s="2962"/>
      <c r="D26" s="124" t="s">
        <v>128</v>
      </c>
      <c r="E26" s="125" t="s">
        <v>220</v>
      </c>
      <c r="F26" s="125" t="s">
        <v>10</v>
      </c>
      <c r="G26" s="151">
        <v>1</v>
      </c>
      <c r="H26" s="76"/>
      <c r="I26" s="76"/>
      <c r="J26" s="76"/>
      <c r="K26" s="125" t="s">
        <v>7</v>
      </c>
      <c r="L26" s="144">
        <v>1</v>
      </c>
      <c r="M26" s="145">
        <v>1</v>
      </c>
      <c r="N26" s="73">
        <f t="shared" si="3"/>
        <v>1</v>
      </c>
      <c r="O26" s="144">
        <v>1</v>
      </c>
      <c r="P26" s="145">
        <v>1</v>
      </c>
      <c r="Q26" s="73">
        <f t="shared" si="4"/>
        <v>1</v>
      </c>
      <c r="R26" s="144">
        <v>1</v>
      </c>
      <c r="S26" s="145">
        <v>1</v>
      </c>
      <c r="T26" s="73">
        <f t="shared" si="5"/>
        <v>1</v>
      </c>
      <c r="U26" s="144">
        <v>1</v>
      </c>
      <c r="V26" s="145">
        <v>1</v>
      </c>
      <c r="W26" s="73">
        <f t="shared" si="6"/>
        <v>1</v>
      </c>
      <c r="X26" s="144">
        <v>1</v>
      </c>
      <c r="Y26" s="145">
        <v>1</v>
      </c>
      <c r="Z26" s="73">
        <f t="shared" si="7"/>
        <v>1</v>
      </c>
      <c r="AA26" s="144">
        <v>1</v>
      </c>
      <c r="AB26" s="145">
        <v>1</v>
      </c>
      <c r="AC26" s="73">
        <f t="shared" si="8"/>
        <v>1</v>
      </c>
      <c r="AD26" s="144">
        <f>(M26+P26+S26+V26+Y26+AB26)/6</f>
        <v>1</v>
      </c>
      <c r="AE26" s="73">
        <f t="shared" si="10"/>
        <v>1</v>
      </c>
      <c r="AF26" s="144">
        <v>1</v>
      </c>
      <c r="AG26" s="145">
        <v>1</v>
      </c>
      <c r="AH26" s="73">
        <f t="shared" si="11"/>
        <v>1</v>
      </c>
      <c r="AI26" s="144">
        <v>1</v>
      </c>
      <c r="AJ26" s="145">
        <v>1</v>
      </c>
      <c r="AK26" s="73">
        <f t="shared" si="12"/>
        <v>1</v>
      </c>
      <c r="AL26" s="144">
        <v>1</v>
      </c>
      <c r="AM26" s="145">
        <v>1</v>
      </c>
      <c r="AN26" s="73">
        <f t="shared" si="13"/>
        <v>1</v>
      </c>
      <c r="AO26" s="144">
        <v>1</v>
      </c>
      <c r="AP26" s="145">
        <v>1</v>
      </c>
      <c r="AQ26" s="73">
        <f t="shared" si="14"/>
        <v>1</v>
      </c>
      <c r="AR26" s="144">
        <v>1</v>
      </c>
      <c r="AS26" s="145">
        <v>1</v>
      </c>
      <c r="AT26" s="73">
        <f t="shared" si="15"/>
        <v>1</v>
      </c>
      <c r="AU26" s="144">
        <v>1</v>
      </c>
      <c r="AV26" s="145">
        <v>1</v>
      </c>
      <c r="AW26" s="73">
        <f t="shared" si="16"/>
        <v>1</v>
      </c>
      <c r="AX26" s="144">
        <f>(M26+P26+S26+V26+Y26+AB26+AG26+AJ26+AM26+AP26+AS26+AV26)/12</f>
        <v>1</v>
      </c>
      <c r="AY26" s="73">
        <f t="shared" si="2"/>
        <v>1</v>
      </c>
    </row>
    <row r="27" spans="1:51" s="128" customFormat="1" ht="77.25" customHeight="1" thickTop="1" thickBot="1">
      <c r="A27" s="2944"/>
      <c r="B27" s="2956"/>
      <c r="C27" s="2962"/>
      <c r="D27" s="129" t="s">
        <v>179</v>
      </c>
      <c r="E27" s="137" t="s">
        <v>131</v>
      </c>
      <c r="F27" s="137" t="s">
        <v>10</v>
      </c>
      <c r="G27" s="149">
        <v>1</v>
      </c>
      <c r="H27" s="82"/>
      <c r="I27" s="88"/>
      <c r="J27" s="82"/>
      <c r="K27" s="137" t="s">
        <v>7</v>
      </c>
      <c r="L27" s="146">
        <v>0</v>
      </c>
      <c r="M27" s="150">
        <v>0</v>
      </c>
      <c r="N27" s="73" t="e">
        <f t="shared" si="3"/>
        <v>#DIV/0!</v>
      </c>
      <c r="O27" s="146">
        <v>0</v>
      </c>
      <c r="P27" s="150">
        <v>0</v>
      </c>
      <c r="Q27" s="73" t="e">
        <f t="shared" si="4"/>
        <v>#DIV/0!</v>
      </c>
      <c r="R27" s="146">
        <v>0</v>
      </c>
      <c r="S27" s="150">
        <v>0</v>
      </c>
      <c r="T27" s="73" t="e">
        <f t="shared" si="5"/>
        <v>#DIV/0!</v>
      </c>
      <c r="U27" s="146">
        <v>1</v>
      </c>
      <c r="V27" s="150">
        <v>1.1000000000000001</v>
      </c>
      <c r="W27" s="73">
        <f t="shared" si="6"/>
        <v>1.1000000000000001</v>
      </c>
      <c r="X27" s="146">
        <v>1</v>
      </c>
      <c r="Y27" s="150">
        <v>1.1000000000000001</v>
      </c>
      <c r="Z27" s="73">
        <f t="shared" si="7"/>
        <v>1.1000000000000001</v>
      </c>
      <c r="AA27" s="146">
        <v>1</v>
      </c>
      <c r="AB27" s="150">
        <v>1.1000000000000001</v>
      </c>
      <c r="AC27" s="73">
        <f t="shared" si="8"/>
        <v>1.1000000000000001</v>
      </c>
      <c r="AD27" s="152">
        <f>(M27+P27+S27+V27+Y27+AB27)/3</f>
        <v>1.1000000000000001</v>
      </c>
      <c r="AE27" s="73">
        <f>+AD27/G27</f>
        <v>1.1000000000000001</v>
      </c>
      <c r="AF27" s="146">
        <v>1.1000000000000001</v>
      </c>
      <c r="AG27" s="150">
        <v>1.1000000000000001</v>
      </c>
      <c r="AH27" s="73">
        <f t="shared" si="11"/>
        <v>1</v>
      </c>
      <c r="AI27" s="146">
        <v>1</v>
      </c>
      <c r="AJ27" s="150">
        <v>1.1000000000000001</v>
      </c>
      <c r="AK27" s="73">
        <f t="shared" si="12"/>
        <v>1.1000000000000001</v>
      </c>
      <c r="AL27" s="146">
        <v>1</v>
      </c>
      <c r="AM27" s="150">
        <v>1.1000000000000001</v>
      </c>
      <c r="AN27" s="73">
        <f t="shared" si="13"/>
        <v>1.1000000000000001</v>
      </c>
      <c r="AO27" s="146">
        <v>1</v>
      </c>
      <c r="AP27" s="150">
        <v>1.1000000000000001</v>
      </c>
      <c r="AQ27" s="73">
        <f t="shared" si="14"/>
        <v>1.1000000000000001</v>
      </c>
      <c r="AR27" s="146">
        <v>1</v>
      </c>
      <c r="AS27" s="150">
        <v>1.1299999999999999</v>
      </c>
      <c r="AT27" s="73">
        <f t="shared" si="15"/>
        <v>1.1299999999999999</v>
      </c>
      <c r="AU27" s="146">
        <v>1</v>
      </c>
      <c r="AV27" s="150">
        <v>1.1399999999999999</v>
      </c>
      <c r="AW27" s="73">
        <f t="shared" si="16"/>
        <v>1.1399999999999999</v>
      </c>
      <c r="AX27" s="152">
        <f>+(M27+P27+S27+V27+Y27+AB27+AG27+AJ27+AM27+AP27+AS27+AV27)/9</f>
        <v>1.1077777777777778</v>
      </c>
      <c r="AY27" s="73">
        <f t="shared" si="2"/>
        <v>1.1077777777777778</v>
      </c>
    </row>
    <row r="28" spans="1:51" s="132" customFormat="1" ht="77.25" customHeight="1" thickTop="1" thickBot="1">
      <c r="A28" s="2944"/>
      <c r="B28" s="2956"/>
      <c r="C28" s="2963"/>
      <c r="D28" s="124" t="s">
        <v>132</v>
      </c>
      <c r="E28" s="125" t="s">
        <v>133</v>
      </c>
      <c r="F28" s="125" t="s">
        <v>10</v>
      </c>
      <c r="G28" s="151">
        <v>1</v>
      </c>
      <c r="H28" s="76"/>
      <c r="I28" s="76"/>
      <c r="J28" s="76"/>
      <c r="K28" s="125" t="s">
        <v>7</v>
      </c>
      <c r="L28" s="144">
        <v>0</v>
      </c>
      <c r="M28" s="145">
        <v>0</v>
      </c>
      <c r="N28" s="73" t="e">
        <f t="shared" si="3"/>
        <v>#DIV/0!</v>
      </c>
      <c r="O28" s="144">
        <v>0</v>
      </c>
      <c r="P28" s="145">
        <v>0</v>
      </c>
      <c r="Q28" s="73" t="e">
        <f t="shared" si="4"/>
        <v>#DIV/0!</v>
      </c>
      <c r="R28" s="144">
        <v>0</v>
      </c>
      <c r="S28" s="145">
        <v>0</v>
      </c>
      <c r="T28" s="73" t="e">
        <f t="shared" si="5"/>
        <v>#DIV/0!</v>
      </c>
      <c r="U28" s="144">
        <v>0</v>
      </c>
      <c r="V28" s="145">
        <v>0</v>
      </c>
      <c r="W28" s="73" t="e">
        <f t="shared" si="6"/>
        <v>#DIV/0!</v>
      </c>
      <c r="X28" s="144">
        <v>0</v>
      </c>
      <c r="Y28" s="145">
        <v>0</v>
      </c>
      <c r="Z28" s="73" t="e">
        <f t="shared" si="7"/>
        <v>#DIV/0!</v>
      </c>
      <c r="AA28" s="144">
        <v>0</v>
      </c>
      <c r="AB28" s="145">
        <v>0</v>
      </c>
      <c r="AC28" s="73" t="e">
        <f t="shared" si="8"/>
        <v>#DIV/0!</v>
      </c>
      <c r="AD28" s="144">
        <f t="shared" si="9"/>
        <v>0</v>
      </c>
      <c r="AE28" s="73">
        <f>+AD28/G28</f>
        <v>0</v>
      </c>
      <c r="AF28" s="144">
        <v>0</v>
      </c>
      <c r="AG28" s="145">
        <v>0</v>
      </c>
      <c r="AH28" s="73" t="e">
        <f t="shared" si="11"/>
        <v>#DIV/0!</v>
      </c>
      <c r="AI28" s="144">
        <v>1</v>
      </c>
      <c r="AJ28" s="145">
        <v>1</v>
      </c>
      <c r="AK28" s="73">
        <f t="shared" si="12"/>
        <v>1</v>
      </c>
      <c r="AL28" s="144">
        <v>0</v>
      </c>
      <c r="AM28" s="145">
        <v>0</v>
      </c>
      <c r="AN28" s="73" t="e">
        <f t="shared" si="13"/>
        <v>#DIV/0!</v>
      </c>
      <c r="AO28" s="144">
        <v>0</v>
      </c>
      <c r="AP28" s="145">
        <v>0</v>
      </c>
      <c r="AQ28" s="73" t="e">
        <f t="shared" si="14"/>
        <v>#DIV/0!</v>
      </c>
      <c r="AR28" s="144">
        <v>0</v>
      </c>
      <c r="AS28" s="145">
        <v>0</v>
      </c>
      <c r="AT28" s="73" t="e">
        <f t="shared" si="15"/>
        <v>#DIV/0!</v>
      </c>
      <c r="AU28" s="144">
        <v>0</v>
      </c>
      <c r="AV28" s="145">
        <v>0</v>
      </c>
      <c r="AW28" s="73" t="e">
        <f t="shared" si="16"/>
        <v>#DIV/0!</v>
      </c>
      <c r="AX28" s="144">
        <f>AJ28</f>
        <v>1</v>
      </c>
      <c r="AY28" s="73">
        <f t="shared" si="2"/>
        <v>1</v>
      </c>
    </row>
    <row r="29" spans="1:51" s="128" customFormat="1" ht="58.5" customHeight="1" thickTop="1" thickBot="1">
      <c r="A29" s="2944"/>
      <c r="B29" s="2956"/>
      <c r="C29" s="159" t="s">
        <v>221</v>
      </c>
      <c r="D29" s="129" t="s">
        <v>135</v>
      </c>
      <c r="E29" s="137" t="s">
        <v>22</v>
      </c>
      <c r="F29" s="137" t="s">
        <v>16</v>
      </c>
      <c r="G29" s="153">
        <f>1568/1000</f>
        <v>1.5680000000000001</v>
      </c>
      <c r="H29" s="82"/>
      <c r="I29" s="88"/>
      <c r="J29" s="82"/>
      <c r="K29" s="137" t="s">
        <v>23</v>
      </c>
      <c r="L29" s="756">
        <f>146582/1000000</f>
        <v>0.14658199999999999</v>
      </c>
      <c r="M29" s="756">
        <f>146582/1000000</f>
        <v>0.14658199999999999</v>
      </c>
      <c r="N29" s="73">
        <f t="shared" si="3"/>
        <v>1</v>
      </c>
      <c r="O29" s="756">
        <f>153140/1000000</f>
        <v>0.15314</v>
      </c>
      <c r="P29" s="756">
        <f>153140/1000000</f>
        <v>0.15314</v>
      </c>
      <c r="Q29" s="73">
        <f t="shared" si="4"/>
        <v>1</v>
      </c>
      <c r="R29" s="756">
        <f>148136/1000000</f>
        <v>0.14813599999999999</v>
      </c>
      <c r="S29" s="756">
        <f>148136/1000000</f>
        <v>0.14813599999999999</v>
      </c>
      <c r="T29" s="73">
        <f t="shared" si="5"/>
        <v>1</v>
      </c>
      <c r="U29" s="756">
        <f>126617/1000000</f>
        <v>0.12661700000000001</v>
      </c>
      <c r="V29" s="756">
        <f>126617/1000000</f>
        <v>0.12661700000000001</v>
      </c>
      <c r="W29" s="73">
        <f t="shared" si="6"/>
        <v>1</v>
      </c>
      <c r="X29" s="756">
        <f>118845/1000000</f>
        <v>0.11884500000000001</v>
      </c>
      <c r="Y29" s="756">
        <f>118845/1000000</f>
        <v>0.11884500000000001</v>
      </c>
      <c r="Z29" s="73">
        <f t="shared" si="7"/>
        <v>1</v>
      </c>
      <c r="AA29" s="756">
        <f>107180/1000000</f>
        <v>0.10718</v>
      </c>
      <c r="AB29" s="756">
        <f>107180/1000000</f>
        <v>0.10718</v>
      </c>
      <c r="AC29" s="73">
        <f t="shared" si="8"/>
        <v>1</v>
      </c>
      <c r="AD29" s="757">
        <f t="shared" si="9"/>
        <v>0.80049999999999999</v>
      </c>
      <c r="AE29" s="73">
        <f>+AD29/G29</f>
        <v>0.51052295918367341</v>
      </c>
      <c r="AF29" s="756">
        <f>109016/1000000</f>
        <v>0.109016</v>
      </c>
      <c r="AG29" s="756">
        <f>109016/1000000</f>
        <v>0.109016</v>
      </c>
      <c r="AH29" s="73">
        <f t="shared" si="11"/>
        <v>1</v>
      </c>
      <c r="AI29" s="756">
        <f>122566/1000000</f>
        <v>0.12256599999999999</v>
      </c>
      <c r="AJ29" s="756">
        <f>122566/1000000</f>
        <v>0.12256599999999999</v>
      </c>
      <c r="AK29" s="73">
        <f t="shared" si="12"/>
        <v>1</v>
      </c>
      <c r="AL29" s="756">
        <f>119375/1000000</f>
        <v>0.119375</v>
      </c>
      <c r="AM29" s="756">
        <f>119375/1000000</f>
        <v>0.119375</v>
      </c>
      <c r="AN29" s="73">
        <f t="shared" si="13"/>
        <v>1</v>
      </c>
      <c r="AO29" s="756">
        <f>131283/1000000</f>
        <v>0.13128300000000001</v>
      </c>
      <c r="AP29" s="756">
        <f>131283/1000000</f>
        <v>0.13128300000000001</v>
      </c>
      <c r="AQ29" s="73">
        <f t="shared" si="14"/>
        <v>1</v>
      </c>
      <c r="AR29" s="756">
        <f>139056/1000000</f>
        <v>0.13905600000000001</v>
      </c>
      <c r="AS29" s="756">
        <f>139056/1000000</f>
        <v>0.13905600000000001</v>
      </c>
      <c r="AT29" s="73">
        <f t="shared" si="15"/>
        <v>1</v>
      </c>
      <c r="AU29" s="756">
        <f>146072/1000000</f>
        <v>0.14607200000000001</v>
      </c>
      <c r="AV29" s="756">
        <f>146072/1000000</f>
        <v>0.14607200000000001</v>
      </c>
      <c r="AW29" s="73">
        <f t="shared" si="16"/>
        <v>1</v>
      </c>
      <c r="AX29" s="756">
        <f>+M29+P29+S29+V29+Y29+AB29+AG29+AJ29+AM29+AP29+AS29+AV29</f>
        <v>1.567868</v>
      </c>
      <c r="AY29" s="73">
        <f t="shared" si="2"/>
        <v>0.99991581632653059</v>
      </c>
    </row>
    <row r="30" spans="1:51" s="132" customFormat="1" ht="54.75" customHeight="1" thickTop="1" thickBot="1">
      <c r="A30" s="2944"/>
      <c r="B30" s="2964" t="s">
        <v>222</v>
      </c>
      <c r="C30" s="125" t="s">
        <v>223</v>
      </c>
      <c r="D30" s="129" t="s">
        <v>224</v>
      </c>
      <c r="E30" s="137" t="s">
        <v>225</v>
      </c>
      <c r="F30" s="137" t="s">
        <v>17</v>
      </c>
      <c r="G30" s="154">
        <v>1711</v>
      </c>
      <c r="H30" s="82"/>
      <c r="I30" s="88"/>
      <c r="J30" s="82"/>
      <c r="K30" s="137" t="s">
        <v>226</v>
      </c>
      <c r="L30" s="155">
        <v>133</v>
      </c>
      <c r="M30" s="156">
        <v>209</v>
      </c>
      <c r="N30" s="73">
        <f t="shared" si="3"/>
        <v>1.5714285714285714</v>
      </c>
      <c r="O30" s="155">
        <v>112</v>
      </c>
      <c r="P30" s="156">
        <v>168</v>
      </c>
      <c r="Q30" s="73">
        <f t="shared" si="4"/>
        <v>1.5</v>
      </c>
      <c r="R30" s="155">
        <v>131</v>
      </c>
      <c r="S30" s="156">
        <v>184</v>
      </c>
      <c r="T30" s="73">
        <f t="shared" si="5"/>
        <v>1.4045801526717556</v>
      </c>
      <c r="U30" s="155">
        <v>37</v>
      </c>
      <c r="V30" s="156">
        <v>59</v>
      </c>
      <c r="W30" s="73">
        <f t="shared" si="6"/>
        <v>1.5945945945945945</v>
      </c>
      <c r="X30" s="155">
        <v>135</v>
      </c>
      <c r="Y30" s="156">
        <v>186</v>
      </c>
      <c r="Z30" s="73">
        <f t="shared" si="7"/>
        <v>1.3777777777777778</v>
      </c>
      <c r="AA30" s="155">
        <v>167</v>
      </c>
      <c r="AB30" s="156">
        <v>226</v>
      </c>
      <c r="AC30" s="73">
        <f t="shared" si="8"/>
        <v>1.3532934131736527</v>
      </c>
      <c r="AD30" s="155">
        <f t="shared" si="9"/>
        <v>1032</v>
      </c>
      <c r="AE30" s="73">
        <f t="shared" si="10"/>
        <v>0.60315604909409704</v>
      </c>
      <c r="AF30" s="155">
        <v>172</v>
      </c>
      <c r="AG30" s="156">
        <v>242</v>
      </c>
      <c r="AH30" s="73">
        <f t="shared" si="11"/>
        <v>1.4069767441860466</v>
      </c>
      <c r="AI30" s="155">
        <v>161</v>
      </c>
      <c r="AJ30" s="156">
        <v>229</v>
      </c>
      <c r="AK30" s="73">
        <f t="shared" si="12"/>
        <v>1.4223602484472049</v>
      </c>
      <c r="AL30" s="155">
        <v>182</v>
      </c>
      <c r="AM30" s="156">
        <v>230</v>
      </c>
      <c r="AN30" s="73">
        <f t="shared" si="13"/>
        <v>1.2637362637362637</v>
      </c>
      <c r="AO30" s="155">
        <v>161</v>
      </c>
      <c r="AP30" s="156">
        <v>239</v>
      </c>
      <c r="AQ30" s="73">
        <f t="shared" si="14"/>
        <v>1.484472049689441</v>
      </c>
      <c r="AR30" s="155">
        <v>160</v>
      </c>
      <c r="AS30" s="156">
        <v>272</v>
      </c>
      <c r="AT30" s="73">
        <f t="shared" si="15"/>
        <v>1.7</v>
      </c>
      <c r="AU30" s="155">
        <v>160</v>
      </c>
      <c r="AV30" s="156">
        <v>146</v>
      </c>
      <c r="AW30" s="73">
        <f t="shared" si="16"/>
        <v>0.91249999999999998</v>
      </c>
      <c r="AX30" s="155">
        <f t="shared" si="17"/>
        <v>2390</v>
      </c>
      <c r="AY30" s="73">
        <f t="shared" si="2"/>
        <v>1.396843950905903</v>
      </c>
    </row>
    <row r="31" spans="1:51" s="132" customFormat="1" ht="94.5" customHeight="1" thickTop="1" thickBot="1">
      <c r="A31" s="2944"/>
      <c r="B31" s="2965"/>
      <c r="C31" s="137" t="s">
        <v>180</v>
      </c>
      <c r="D31" s="124" t="s">
        <v>227</v>
      </c>
      <c r="E31" s="125" t="s">
        <v>228</v>
      </c>
      <c r="F31" s="125" t="s">
        <v>101</v>
      </c>
      <c r="G31" s="157">
        <v>30100000000</v>
      </c>
      <c r="H31" s="76"/>
      <c r="I31" s="76"/>
      <c r="J31" s="76"/>
      <c r="K31" s="125" t="s">
        <v>140</v>
      </c>
      <c r="L31" s="758">
        <v>1800000000</v>
      </c>
      <c r="M31" s="759">
        <v>369243619</v>
      </c>
      <c r="N31" s="73">
        <f t="shared" si="3"/>
        <v>0.20513534388888888</v>
      </c>
      <c r="O31" s="758">
        <v>1800000000</v>
      </c>
      <c r="P31" s="759">
        <v>836593095</v>
      </c>
      <c r="Q31" s="73">
        <f t="shared" si="4"/>
        <v>0.46477394166666669</v>
      </c>
      <c r="R31" s="758">
        <v>1800000000</v>
      </c>
      <c r="S31" s="759">
        <v>378635111</v>
      </c>
      <c r="T31" s="73">
        <f t="shared" si="5"/>
        <v>0.21035283944444444</v>
      </c>
      <c r="U31" s="758">
        <v>3570000000</v>
      </c>
      <c r="V31" s="759">
        <v>0</v>
      </c>
      <c r="W31" s="73">
        <f t="shared" si="6"/>
        <v>0</v>
      </c>
      <c r="X31" s="758">
        <v>3570000000</v>
      </c>
      <c r="Y31" s="759">
        <v>0</v>
      </c>
      <c r="Z31" s="73">
        <f t="shared" si="7"/>
        <v>0</v>
      </c>
      <c r="AA31" s="758">
        <v>3570000000</v>
      </c>
      <c r="AB31" s="759">
        <v>294611628</v>
      </c>
      <c r="AC31" s="73">
        <f t="shared" si="8"/>
        <v>8.2524265546218487E-2</v>
      </c>
      <c r="AD31" s="758">
        <f t="shared" si="9"/>
        <v>1879083453</v>
      </c>
      <c r="AE31" s="73">
        <f t="shared" si="10"/>
        <v>6.2428021694352159E-2</v>
      </c>
      <c r="AF31" s="758">
        <v>3570000000</v>
      </c>
      <c r="AG31" s="759">
        <v>3280712574</v>
      </c>
      <c r="AH31" s="73">
        <f t="shared" si="11"/>
        <v>0.91896710756302524</v>
      </c>
      <c r="AI31" s="758">
        <v>2396600000</v>
      </c>
      <c r="AJ31" s="759">
        <v>451957895</v>
      </c>
      <c r="AK31" s="73">
        <f t="shared" si="12"/>
        <v>0.18858294876074438</v>
      </c>
      <c r="AL31" s="758">
        <v>2396600000</v>
      </c>
      <c r="AM31" s="759">
        <v>1042206465</v>
      </c>
      <c r="AN31" s="73">
        <f t="shared" si="13"/>
        <v>0.43486875782358342</v>
      </c>
      <c r="AO31" s="758">
        <v>2396600000</v>
      </c>
      <c r="AP31" s="759">
        <v>1706764396</v>
      </c>
      <c r="AQ31" s="73">
        <f t="shared" si="14"/>
        <v>0.71216072602854041</v>
      </c>
      <c r="AR31" s="758">
        <v>1615100000</v>
      </c>
      <c r="AS31" s="759">
        <v>1387413355</v>
      </c>
      <c r="AT31" s="73">
        <f t="shared" si="15"/>
        <v>0.85902628629806199</v>
      </c>
      <c r="AU31" s="758">
        <v>1615100000</v>
      </c>
      <c r="AV31" s="759">
        <v>1217907599</v>
      </c>
      <c r="AW31" s="73">
        <f t="shared" si="16"/>
        <v>0.75407566033062967</v>
      </c>
      <c r="AX31" s="758">
        <f t="shared" si="17"/>
        <v>10966045737</v>
      </c>
      <c r="AY31" s="73">
        <f t="shared" si="2"/>
        <v>0.36432045637873756</v>
      </c>
    </row>
    <row r="32" spans="1:51" s="132" customFormat="1" ht="94.5" customHeight="1" thickTop="1" thickBot="1">
      <c r="A32" s="2944"/>
      <c r="B32" s="2965"/>
      <c r="C32" s="125" t="s">
        <v>229</v>
      </c>
      <c r="D32" s="129" t="s">
        <v>230</v>
      </c>
      <c r="E32" s="137" t="s">
        <v>231</v>
      </c>
      <c r="F32" s="137" t="s">
        <v>101</v>
      </c>
      <c r="G32" s="158">
        <v>1402170640</v>
      </c>
      <c r="H32" s="81"/>
      <c r="I32" s="88"/>
      <c r="J32" s="81"/>
      <c r="K32" s="137" t="s">
        <v>140</v>
      </c>
      <c r="L32" s="758">
        <v>93478042.666666672</v>
      </c>
      <c r="M32" s="759">
        <v>275055234</v>
      </c>
      <c r="N32" s="73">
        <f t="shared" si="3"/>
        <v>2.9424582089381075</v>
      </c>
      <c r="O32" s="758">
        <v>93478042.666666672</v>
      </c>
      <c r="P32" s="759">
        <v>171775979</v>
      </c>
      <c r="Q32" s="73">
        <f t="shared" si="4"/>
        <v>1.8376077857399724</v>
      </c>
      <c r="R32" s="758">
        <v>93478042.666666672</v>
      </c>
      <c r="S32" s="759">
        <v>2257809133</v>
      </c>
      <c r="T32" s="73">
        <f t="shared" si="5"/>
        <v>24.153363384502189</v>
      </c>
      <c r="U32" s="758">
        <v>140217064</v>
      </c>
      <c r="V32" s="759">
        <v>48102861</v>
      </c>
      <c r="W32" s="73">
        <f t="shared" si="6"/>
        <v>0.34305996451330634</v>
      </c>
      <c r="X32" s="758">
        <v>140217064</v>
      </c>
      <c r="Y32" s="759">
        <v>119539294</v>
      </c>
      <c r="Z32" s="73">
        <f t="shared" si="7"/>
        <v>0.85253028832496447</v>
      </c>
      <c r="AA32" s="758">
        <v>140217064</v>
      </c>
      <c r="AB32" s="759">
        <v>104510379</v>
      </c>
      <c r="AC32" s="73">
        <f t="shared" si="8"/>
        <v>0.74534707844118031</v>
      </c>
      <c r="AD32" s="758">
        <f t="shared" si="9"/>
        <v>2976792880</v>
      </c>
      <c r="AE32" s="73">
        <f t="shared" si="10"/>
        <v>2.1229890250732963</v>
      </c>
      <c r="AF32" s="758">
        <v>140217064</v>
      </c>
      <c r="AG32" s="759">
        <v>240251312</v>
      </c>
      <c r="AH32" s="73">
        <f t="shared" si="11"/>
        <v>1.7134242091961076</v>
      </c>
      <c r="AI32" s="758">
        <v>140217064</v>
      </c>
      <c r="AJ32" s="759">
        <v>127734204</v>
      </c>
      <c r="AK32" s="73">
        <f t="shared" si="12"/>
        <v>0.91097474412957324</v>
      </c>
      <c r="AL32" s="758">
        <v>140217064</v>
      </c>
      <c r="AM32" s="759">
        <v>252241776</v>
      </c>
      <c r="AN32" s="73">
        <f t="shared" si="13"/>
        <v>1.7989377954740231</v>
      </c>
      <c r="AO32" s="758">
        <v>93478042.666666672</v>
      </c>
      <c r="AP32" s="759">
        <v>491155101</v>
      </c>
      <c r="AQ32" s="73">
        <f t="shared" si="14"/>
        <v>5.2542296242916624</v>
      </c>
      <c r="AR32" s="758">
        <v>93478042.666666672</v>
      </c>
      <c r="AS32" s="759">
        <v>862786985</v>
      </c>
      <c r="AT32" s="73">
        <f t="shared" si="15"/>
        <v>9.2298358030089691</v>
      </c>
      <c r="AU32" s="758">
        <v>93478042.666666672</v>
      </c>
      <c r="AV32" s="759">
        <v>96337281</v>
      </c>
      <c r="AW32" s="73">
        <f t="shared" si="16"/>
        <v>1.0305872721739489</v>
      </c>
      <c r="AX32" s="758">
        <f t="shared" si="17"/>
        <v>5047299539</v>
      </c>
      <c r="AY32" s="73">
        <f t="shared" si="2"/>
        <v>3.5996328799182389</v>
      </c>
    </row>
    <row r="33" spans="1:51" s="132" customFormat="1" ht="94.5" customHeight="1" thickTop="1" thickBot="1">
      <c r="A33" s="2944"/>
      <c r="B33" s="2965"/>
      <c r="C33" s="2967" t="s">
        <v>232</v>
      </c>
      <c r="D33" s="124" t="s">
        <v>233</v>
      </c>
      <c r="E33" s="125" t="s">
        <v>234</v>
      </c>
      <c r="F33" s="125" t="s">
        <v>10</v>
      </c>
      <c r="G33" s="151">
        <v>0.02</v>
      </c>
      <c r="H33" s="76"/>
      <c r="I33" s="76"/>
      <c r="J33" s="76"/>
      <c r="K33" s="125" t="s">
        <v>235</v>
      </c>
      <c r="L33" s="160">
        <v>0</v>
      </c>
      <c r="M33" s="161">
        <v>0</v>
      </c>
      <c r="N33" s="73" t="e">
        <f t="shared" si="3"/>
        <v>#DIV/0!</v>
      </c>
      <c r="O33" s="160">
        <v>0</v>
      </c>
      <c r="P33" s="161">
        <v>0</v>
      </c>
      <c r="Q33" s="73" t="e">
        <f t="shared" si="4"/>
        <v>#DIV/0!</v>
      </c>
      <c r="R33" s="160">
        <v>0</v>
      </c>
      <c r="S33" s="161">
        <v>0</v>
      </c>
      <c r="T33" s="73" t="e">
        <f t="shared" si="5"/>
        <v>#DIV/0!</v>
      </c>
      <c r="U33" s="160">
        <v>0.02</v>
      </c>
      <c r="V33" s="161">
        <v>3.2899999999999999E-2</v>
      </c>
      <c r="W33" s="73">
        <f t="shared" si="6"/>
        <v>1.6449999999999998</v>
      </c>
      <c r="X33" s="160">
        <v>0.02</v>
      </c>
      <c r="Y33" s="161">
        <v>4.2500000000000003E-2</v>
      </c>
      <c r="Z33" s="73">
        <f t="shared" si="7"/>
        <v>2.125</v>
      </c>
      <c r="AA33" s="160">
        <v>0.02</v>
      </c>
      <c r="AB33" s="161">
        <v>0</v>
      </c>
      <c r="AC33" s="73">
        <f t="shared" si="8"/>
        <v>0</v>
      </c>
      <c r="AD33" s="160">
        <f>(V33+Y33+AB33)/3</f>
        <v>2.513333333333333E-2</v>
      </c>
      <c r="AE33" s="73">
        <f t="shared" si="10"/>
        <v>1.2566666666666666</v>
      </c>
      <c r="AF33" s="160">
        <v>0.02</v>
      </c>
      <c r="AG33" s="161">
        <v>0</v>
      </c>
      <c r="AH33" s="73">
        <f t="shared" si="11"/>
        <v>0</v>
      </c>
      <c r="AI33" s="160">
        <v>0.02</v>
      </c>
      <c r="AJ33" s="161">
        <v>0</v>
      </c>
      <c r="AK33" s="73">
        <f t="shared" si="12"/>
        <v>0</v>
      </c>
      <c r="AL33" s="160">
        <v>0.02</v>
      </c>
      <c r="AM33" s="161">
        <v>1.2800000000000001E-2</v>
      </c>
      <c r="AN33" s="73">
        <f t="shared" si="13"/>
        <v>0.64</v>
      </c>
      <c r="AO33" s="160">
        <v>0.02</v>
      </c>
      <c r="AP33" s="161">
        <v>4.9200000000000001E-2</v>
      </c>
      <c r="AQ33" s="73">
        <f t="shared" si="14"/>
        <v>2.46</v>
      </c>
      <c r="AR33" s="160">
        <v>0.02</v>
      </c>
      <c r="AS33" s="161">
        <v>0.05</v>
      </c>
      <c r="AT33" s="73">
        <f t="shared" si="15"/>
        <v>2.5</v>
      </c>
      <c r="AU33" s="160">
        <v>0.02</v>
      </c>
      <c r="AV33" s="161">
        <v>0.03</v>
      </c>
      <c r="AW33" s="73">
        <f t="shared" si="16"/>
        <v>1.5</v>
      </c>
      <c r="AX33" s="160">
        <f>(V33+Y33+AB33+AG33+AJ33+AM33+AP33+AS33+AV33)/9</f>
        <v>2.4155555555555555E-2</v>
      </c>
      <c r="AY33" s="73">
        <f t="shared" si="2"/>
        <v>1.2077777777777778</v>
      </c>
    </row>
    <row r="34" spans="1:51" s="128" customFormat="1" ht="94.5" customHeight="1" thickTop="1" thickBot="1">
      <c r="A34" s="2944"/>
      <c r="B34" s="2965"/>
      <c r="C34" s="2968"/>
      <c r="D34" s="86" t="s">
        <v>236</v>
      </c>
      <c r="E34" s="81" t="s">
        <v>237</v>
      </c>
      <c r="F34" s="88" t="s">
        <v>10</v>
      </c>
      <c r="G34" s="162">
        <v>0.02</v>
      </c>
      <c r="H34" s="88"/>
      <c r="I34" s="81"/>
      <c r="J34" s="81"/>
      <c r="K34" s="87" t="s">
        <v>23</v>
      </c>
      <c r="L34" s="163">
        <v>0</v>
      </c>
      <c r="M34" s="164">
        <v>0</v>
      </c>
      <c r="N34" s="19" t="e">
        <f t="shared" si="3"/>
        <v>#DIV/0!</v>
      </c>
      <c r="O34" s="163">
        <v>0</v>
      </c>
      <c r="P34" s="164">
        <v>0</v>
      </c>
      <c r="Q34" s="19" t="e">
        <f t="shared" si="4"/>
        <v>#DIV/0!</v>
      </c>
      <c r="R34" s="163">
        <v>0</v>
      </c>
      <c r="S34" s="164">
        <v>0</v>
      </c>
      <c r="T34" s="19" t="e">
        <f t="shared" si="5"/>
        <v>#DIV/0!</v>
      </c>
      <c r="U34" s="163">
        <v>0.03</v>
      </c>
      <c r="V34" s="164">
        <v>0.01</v>
      </c>
      <c r="W34" s="19">
        <f>+V34/U34</f>
        <v>0.33333333333333337</v>
      </c>
      <c r="X34" s="163">
        <v>0.03</v>
      </c>
      <c r="Y34" s="164">
        <v>0.01</v>
      </c>
      <c r="Z34" s="19">
        <f t="shared" si="7"/>
        <v>0.33333333333333337</v>
      </c>
      <c r="AA34" s="163">
        <v>0.03</v>
      </c>
      <c r="AB34" s="164">
        <v>0.01</v>
      </c>
      <c r="AC34" s="19">
        <f t="shared" si="8"/>
        <v>0.33333333333333337</v>
      </c>
      <c r="AD34" s="165">
        <f>(V34+Y34+AB34)/3</f>
        <v>0.01</v>
      </c>
      <c r="AE34" s="19">
        <f t="shared" si="10"/>
        <v>0.5</v>
      </c>
      <c r="AF34" s="163">
        <v>0.03</v>
      </c>
      <c r="AG34" s="164">
        <v>0.02</v>
      </c>
      <c r="AH34" s="19">
        <f t="shared" si="11"/>
        <v>0.66666666666666674</v>
      </c>
      <c r="AI34" s="163">
        <v>0.03</v>
      </c>
      <c r="AJ34" s="164">
        <v>0.01</v>
      </c>
      <c r="AK34" s="19">
        <f t="shared" si="12"/>
        <v>0.33333333333333337</v>
      </c>
      <c r="AL34" s="163">
        <v>0.03</v>
      </c>
      <c r="AM34" s="164">
        <v>5.4999999999999997E-3</v>
      </c>
      <c r="AN34" s="19">
        <f t="shared" si="13"/>
        <v>0.18333333333333332</v>
      </c>
      <c r="AO34" s="163">
        <v>0.03</v>
      </c>
      <c r="AP34" s="164">
        <v>5.4999999999999997E-3</v>
      </c>
      <c r="AQ34" s="19">
        <f t="shared" si="14"/>
        <v>0.18333333333333332</v>
      </c>
      <c r="AR34" s="163">
        <v>0.03</v>
      </c>
      <c r="AS34" s="164">
        <v>6.4000000000000003E-3</v>
      </c>
      <c r="AT34" s="19">
        <f t="shared" si="15"/>
        <v>0.21333333333333335</v>
      </c>
      <c r="AU34" s="163">
        <v>0.03</v>
      </c>
      <c r="AV34" s="164">
        <v>1.0999999999999999E-2</v>
      </c>
      <c r="AW34" s="19">
        <f t="shared" si="16"/>
        <v>0.36666666666666664</v>
      </c>
      <c r="AX34" s="166">
        <f>(+AV34+AS34+AP34+AM34+AJ34+AM34+AJ34+AG34+AB34+Y34+V34+S34+P34+M34)/9</f>
        <v>1.1544444444444442E-2</v>
      </c>
      <c r="AY34" s="19">
        <f>+AX34/G34</f>
        <v>0.57722222222222208</v>
      </c>
    </row>
    <row r="35" spans="1:51" s="128" customFormat="1" ht="94.5" customHeight="1" thickTop="1" thickBot="1">
      <c r="A35" s="2944"/>
      <c r="B35" s="2965"/>
      <c r="C35" s="2968"/>
      <c r="D35" s="86" t="s">
        <v>238</v>
      </c>
      <c r="E35" s="81" t="s">
        <v>239</v>
      </c>
      <c r="F35" s="88" t="s">
        <v>10</v>
      </c>
      <c r="G35" s="167">
        <v>0.01</v>
      </c>
      <c r="H35" s="88"/>
      <c r="I35" s="81"/>
      <c r="J35" s="81"/>
      <c r="K35" s="87" t="s">
        <v>23</v>
      </c>
      <c r="L35" s="163">
        <v>0</v>
      </c>
      <c r="M35" s="164">
        <v>0</v>
      </c>
      <c r="N35" s="19" t="e">
        <f t="shared" si="3"/>
        <v>#DIV/0!</v>
      </c>
      <c r="O35" s="163">
        <v>0</v>
      </c>
      <c r="P35" s="164">
        <v>0</v>
      </c>
      <c r="Q35" s="19" t="e">
        <f t="shared" si="4"/>
        <v>#DIV/0!</v>
      </c>
      <c r="R35" s="163">
        <v>0</v>
      </c>
      <c r="S35" s="164">
        <v>0</v>
      </c>
      <c r="T35" s="19" t="e">
        <f t="shared" si="5"/>
        <v>#DIV/0!</v>
      </c>
      <c r="U35" s="163">
        <v>0</v>
      </c>
      <c r="V35" s="164">
        <v>0</v>
      </c>
      <c r="W35" s="19" t="e">
        <f t="shared" si="6"/>
        <v>#DIV/0!</v>
      </c>
      <c r="X35" s="163">
        <v>0</v>
      </c>
      <c r="Y35" s="164">
        <v>0</v>
      </c>
      <c r="Z35" s="19" t="e">
        <f t="shared" si="7"/>
        <v>#DIV/0!</v>
      </c>
      <c r="AA35" s="163">
        <v>0</v>
      </c>
      <c r="AB35" s="164">
        <v>0</v>
      </c>
      <c r="AC35" s="19" t="e">
        <f t="shared" si="8"/>
        <v>#DIV/0!</v>
      </c>
      <c r="AD35" s="165">
        <f>(V35+Y35+AB35)/3</f>
        <v>0</v>
      </c>
      <c r="AE35" s="19">
        <f>+AD35/G35</f>
        <v>0</v>
      </c>
      <c r="AF35" s="163">
        <v>0</v>
      </c>
      <c r="AG35" s="164">
        <v>0</v>
      </c>
      <c r="AH35" s="19" t="e">
        <f t="shared" si="11"/>
        <v>#DIV/0!</v>
      </c>
      <c r="AI35" s="163">
        <v>0</v>
      </c>
      <c r="AJ35" s="164">
        <v>0</v>
      </c>
      <c r="AK35" s="19" t="e">
        <f t="shared" si="12"/>
        <v>#DIV/0!</v>
      </c>
      <c r="AL35" s="163">
        <v>0.01</v>
      </c>
      <c r="AM35" s="164">
        <v>0.02</v>
      </c>
      <c r="AN35" s="19">
        <f t="shared" si="13"/>
        <v>2</v>
      </c>
      <c r="AO35" s="163">
        <v>0.01</v>
      </c>
      <c r="AP35" s="164">
        <v>0.02</v>
      </c>
      <c r="AQ35" s="19">
        <f t="shared" si="14"/>
        <v>2</v>
      </c>
      <c r="AR35" s="163">
        <v>0.01</v>
      </c>
      <c r="AS35" s="164">
        <v>0</v>
      </c>
      <c r="AT35" s="19">
        <f t="shared" si="15"/>
        <v>0</v>
      </c>
      <c r="AU35" s="163">
        <v>0.01</v>
      </c>
      <c r="AV35" s="164">
        <v>3.0300000000000001E-2</v>
      </c>
      <c r="AW35" s="19">
        <f t="shared" si="16"/>
        <v>3.03</v>
      </c>
      <c r="AX35" s="163">
        <f>+(AV35+AS35+AP35+AM35)/4</f>
        <v>1.7575E-2</v>
      </c>
      <c r="AY35" s="19">
        <f t="shared" si="2"/>
        <v>1.7575000000000001</v>
      </c>
    </row>
    <row r="36" spans="1:51" s="22" customFormat="1" ht="31.5" thickTop="1" thickBot="1">
      <c r="A36" s="2944"/>
      <c r="B36" s="2965"/>
      <c r="C36" s="2968"/>
      <c r="D36" s="124" t="s">
        <v>240</v>
      </c>
      <c r="E36" s="125" t="s">
        <v>241</v>
      </c>
      <c r="F36" s="125" t="s">
        <v>10</v>
      </c>
      <c r="G36" s="151">
        <v>0.01</v>
      </c>
      <c r="H36" s="78"/>
      <c r="I36" s="168"/>
      <c r="J36" s="78"/>
      <c r="K36" s="125" t="s">
        <v>235</v>
      </c>
      <c r="L36" s="169">
        <v>0</v>
      </c>
      <c r="M36" s="170">
        <v>0</v>
      </c>
      <c r="N36" s="73" t="e">
        <f t="shared" si="3"/>
        <v>#DIV/0!</v>
      </c>
      <c r="O36" s="169">
        <v>0</v>
      </c>
      <c r="P36" s="170">
        <v>0</v>
      </c>
      <c r="Q36" s="73" t="e">
        <f t="shared" si="4"/>
        <v>#DIV/0!</v>
      </c>
      <c r="R36" s="169">
        <v>0</v>
      </c>
      <c r="S36" s="170">
        <v>0</v>
      </c>
      <c r="T36" s="73" t="e">
        <f t="shared" si="5"/>
        <v>#DIV/0!</v>
      </c>
      <c r="U36" s="169">
        <v>0.01</v>
      </c>
      <c r="V36" s="170">
        <v>1.5599999999999999E-2</v>
      </c>
      <c r="W36" s="73">
        <f t="shared" si="6"/>
        <v>1.5599999999999998</v>
      </c>
      <c r="X36" s="169">
        <v>0.01</v>
      </c>
      <c r="Y36" s="170">
        <v>0</v>
      </c>
      <c r="Z36" s="73">
        <f t="shared" si="7"/>
        <v>0</v>
      </c>
      <c r="AA36" s="169">
        <v>0.01</v>
      </c>
      <c r="AB36" s="170">
        <v>0</v>
      </c>
      <c r="AC36" s="73">
        <f t="shared" si="8"/>
        <v>0</v>
      </c>
      <c r="AD36" s="169">
        <f>+(AB36+Y36+V36)/3</f>
        <v>5.1999999999999998E-3</v>
      </c>
      <c r="AE36" s="73">
        <f t="shared" si="10"/>
        <v>0.52</v>
      </c>
      <c r="AF36" s="169">
        <v>0.01</v>
      </c>
      <c r="AG36" s="170">
        <v>0</v>
      </c>
      <c r="AH36" s="73">
        <f t="shared" si="11"/>
        <v>0</v>
      </c>
      <c r="AI36" s="169">
        <v>0.01</v>
      </c>
      <c r="AJ36" s="170">
        <v>0</v>
      </c>
      <c r="AK36" s="73">
        <f t="shared" si="12"/>
        <v>0</v>
      </c>
      <c r="AL36" s="169">
        <v>0.01</v>
      </c>
      <c r="AM36" s="170">
        <v>0</v>
      </c>
      <c r="AN36" s="73">
        <f t="shared" si="13"/>
        <v>0</v>
      </c>
      <c r="AO36" s="169">
        <v>0.01</v>
      </c>
      <c r="AP36" s="170">
        <v>0.01</v>
      </c>
      <c r="AQ36" s="73">
        <f t="shared" si="14"/>
        <v>1</v>
      </c>
      <c r="AR36" s="169">
        <v>0.01</v>
      </c>
      <c r="AS36" s="170">
        <v>0.02</v>
      </c>
      <c r="AT36" s="73">
        <f t="shared" si="15"/>
        <v>2</v>
      </c>
      <c r="AU36" s="169">
        <v>0.01</v>
      </c>
      <c r="AV36" s="170">
        <v>0.05</v>
      </c>
      <c r="AW36" s="73">
        <f t="shared" si="16"/>
        <v>5</v>
      </c>
      <c r="AX36" s="169">
        <f>+(AV36+AS36+AP36+AM36+AJ36+AG36+AB36+Y36+V36)/9</f>
        <v>1.0622222222222222E-2</v>
      </c>
      <c r="AY36" s="73">
        <f t="shared" si="2"/>
        <v>1.0622222222222222</v>
      </c>
    </row>
    <row r="37" spans="1:51" s="128" customFormat="1" ht="144" customHeight="1" thickTop="1" thickBot="1">
      <c r="A37" s="2944"/>
      <c r="B37" s="2965"/>
      <c r="C37" s="2968"/>
      <c r="D37" s="171" t="s">
        <v>242</v>
      </c>
      <c r="E37" s="172" t="s">
        <v>243</v>
      </c>
      <c r="F37" s="172" t="s">
        <v>10</v>
      </c>
      <c r="G37" s="173">
        <v>0.3</v>
      </c>
      <c r="H37" s="88"/>
      <c r="I37" s="81"/>
      <c r="J37" s="81"/>
      <c r="K37" s="172" t="s">
        <v>244</v>
      </c>
      <c r="L37" s="174">
        <v>0</v>
      </c>
      <c r="M37" s="175">
        <v>0</v>
      </c>
      <c r="N37" s="73" t="e">
        <f t="shared" si="3"/>
        <v>#DIV/0!</v>
      </c>
      <c r="O37" s="174">
        <v>0</v>
      </c>
      <c r="P37" s="175">
        <v>0</v>
      </c>
      <c r="Q37" s="73" t="e">
        <f t="shared" si="4"/>
        <v>#DIV/0!</v>
      </c>
      <c r="R37" s="174">
        <v>0</v>
      </c>
      <c r="S37" s="175">
        <v>0</v>
      </c>
      <c r="T37" s="73" t="e">
        <f t="shared" si="5"/>
        <v>#DIV/0!</v>
      </c>
      <c r="U37" s="174">
        <v>0.3</v>
      </c>
      <c r="V37" s="175">
        <v>0</v>
      </c>
      <c r="W37" s="73">
        <f t="shared" si="6"/>
        <v>0</v>
      </c>
      <c r="X37" s="174">
        <v>0</v>
      </c>
      <c r="Y37" s="175">
        <v>0</v>
      </c>
      <c r="Z37" s="73" t="e">
        <f t="shared" si="7"/>
        <v>#DIV/0!</v>
      </c>
      <c r="AA37" s="174">
        <v>0</v>
      </c>
      <c r="AB37" s="175">
        <v>0</v>
      </c>
      <c r="AC37" s="73" t="e">
        <f t="shared" si="8"/>
        <v>#DIV/0!</v>
      </c>
      <c r="AD37" s="174">
        <f>+V37</f>
        <v>0</v>
      </c>
      <c r="AE37" s="73">
        <f t="shared" si="10"/>
        <v>0</v>
      </c>
      <c r="AF37" s="174">
        <v>0</v>
      </c>
      <c r="AG37" s="175">
        <v>0</v>
      </c>
      <c r="AH37" s="73" t="e">
        <f t="shared" si="11"/>
        <v>#DIV/0!</v>
      </c>
      <c r="AI37" s="174">
        <v>0</v>
      </c>
      <c r="AJ37" s="175">
        <v>0</v>
      </c>
      <c r="AK37" s="73" t="e">
        <f t="shared" si="12"/>
        <v>#DIV/0!</v>
      </c>
      <c r="AL37" s="174">
        <v>0</v>
      </c>
      <c r="AM37" s="175">
        <v>0</v>
      </c>
      <c r="AN37" s="73" t="e">
        <f t="shared" si="13"/>
        <v>#DIV/0!</v>
      </c>
      <c r="AO37" s="174">
        <v>0.3</v>
      </c>
      <c r="AP37" s="175">
        <v>1</v>
      </c>
      <c r="AQ37" s="73">
        <f t="shared" si="14"/>
        <v>3.3333333333333335</v>
      </c>
      <c r="AR37" s="174">
        <v>0</v>
      </c>
      <c r="AS37" s="175">
        <v>0</v>
      </c>
      <c r="AT37" s="73" t="e">
        <f t="shared" si="15"/>
        <v>#DIV/0!</v>
      </c>
      <c r="AU37" s="174">
        <v>0.3</v>
      </c>
      <c r="AV37" s="175">
        <v>0.8</v>
      </c>
      <c r="AW37" s="73">
        <f t="shared" si="16"/>
        <v>2.666666666666667</v>
      </c>
      <c r="AX37" s="176">
        <f>+(AP37+AV37+V37)/3</f>
        <v>0.6</v>
      </c>
      <c r="AY37" s="73">
        <f>+AX37/G37</f>
        <v>2</v>
      </c>
    </row>
    <row r="38" spans="1:51" s="128" customFormat="1" ht="144" customHeight="1" thickTop="1" thickBot="1">
      <c r="A38" s="2944"/>
      <c r="B38" s="2965"/>
      <c r="C38" s="2968"/>
      <c r="D38" s="111" t="s">
        <v>245</v>
      </c>
      <c r="E38" s="177" t="s">
        <v>246</v>
      </c>
      <c r="F38" s="177" t="s">
        <v>10</v>
      </c>
      <c r="G38" s="178">
        <v>0.1</v>
      </c>
      <c r="H38" s="88"/>
      <c r="I38" s="81"/>
      <c r="J38" s="81"/>
      <c r="K38" s="179" t="s">
        <v>244</v>
      </c>
      <c r="L38" s="160">
        <v>0</v>
      </c>
      <c r="M38" s="161">
        <v>0</v>
      </c>
      <c r="N38" s="73" t="e">
        <f t="shared" si="3"/>
        <v>#DIV/0!</v>
      </c>
      <c r="O38" s="160">
        <v>0</v>
      </c>
      <c r="P38" s="161">
        <v>0</v>
      </c>
      <c r="Q38" s="73" t="e">
        <f t="shared" si="4"/>
        <v>#DIV/0!</v>
      </c>
      <c r="R38" s="160">
        <v>0</v>
      </c>
      <c r="S38" s="161">
        <v>0</v>
      </c>
      <c r="T38" s="73" t="e">
        <f t="shared" si="5"/>
        <v>#DIV/0!</v>
      </c>
      <c r="U38" s="160">
        <v>0</v>
      </c>
      <c r="V38" s="161">
        <v>0</v>
      </c>
      <c r="W38" s="73" t="e">
        <f t="shared" si="6"/>
        <v>#DIV/0!</v>
      </c>
      <c r="X38" s="176">
        <v>0.5</v>
      </c>
      <c r="Y38" s="161">
        <v>0</v>
      </c>
      <c r="Z38" s="73">
        <f t="shared" si="7"/>
        <v>0</v>
      </c>
      <c r="AA38" s="160">
        <v>0</v>
      </c>
      <c r="AB38" s="161">
        <v>0</v>
      </c>
      <c r="AC38" s="73" t="e">
        <f t="shared" si="8"/>
        <v>#DIV/0!</v>
      </c>
      <c r="AD38" s="160">
        <f>+Y38</f>
        <v>0</v>
      </c>
      <c r="AE38" s="73">
        <f>+AD38/50%</f>
        <v>0</v>
      </c>
      <c r="AF38" s="160">
        <v>0</v>
      </c>
      <c r="AG38" s="161">
        <v>0</v>
      </c>
      <c r="AH38" s="73" t="e">
        <f t="shared" si="11"/>
        <v>#DIV/0!</v>
      </c>
      <c r="AI38" s="160">
        <v>0</v>
      </c>
      <c r="AJ38" s="161">
        <v>0</v>
      </c>
      <c r="AK38" s="73" t="e">
        <f t="shared" si="12"/>
        <v>#DIV/0!</v>
      </c>
      <c r="AL38" s="160">
        <v>0</v>
      </c>
      <c r="AM38" s="161">
        <v>0</v>
      </c>
      <c r="AN38" s="73" t="e">
        <f t="shared" si="13"/>
        <v>#DIV/0!</v>
      </c>
      <c r="AO38" s="160">
        <v>0.1</v>
      </c>
      <c r="AP38" s="161">
        <v>1</v>
      </c>
      <c r="AQ38" s="73">
        <f t="shared" si="14"/>
        <v>10</v>
      </c>
      <c r="AR38" s="160">
        <v>0</v>
      </c>
      <c r="AS38" s="161">
        <v>0</v>
      </c>
      <c r="AT38" s="73" t="e">
        <f t="shared" si="15"/>
        <v>#DIV/0!</v>
      </c>
      <c r="AU38" s="160">
        <v>0.1</v>
      </c>
      <c r="AV38" s="161">
        <v>0.83330000000000004</v>
      </c>
      <c r="AW38" s="73">
        <f t="shared" si="16"/>
        <v>8.3330000000000002</v>
      </c>
      <c r="AX38" s="176">
        <f>+(AP38+AV38+Y38)/3</f>
        <v>0.61109999999999998</v>
      </c>
      <c r="AY38" s="73">
        <f t="shared" si="2"/>
        <v>6.1109999999999998</v>
      </c>
    </row>
    <row r="39" spans="1:51" s="128" customFormat="1" ht="167.25" customHeight="1" thickTop="1" thickBot="1">
      <c r="A39" s="2944"/>
      <c r="B39" s="2965"/>
      <c r="C39" s="2968"/>
      <c r="D39" s="171" t="s">
        <v>247</v>
      </c>
      <c r="E39" s="172" t="s">
        <v>248</v>
      </c>
      <c r="F39" s="172" t="s">
        <v>24</v>
      </c>
      <c r="G39" s="180">
        <v>700</v>
      </c>
      <c r="H39" s="180"/>
      <c r="I39" s="180"/>
      <c r="J39" s="180"/>
      <c r="K39" s="172" t="s">
        <v>249</v>
      </c>
      <c r="L39" s="181">
        <v>0</v>
      </c>
      <c r="M39" s="182">
        <v>0</v>
      </c>
      <c r="N39" s="73" t="e">
        <f t="shared" si="3"/>
        <v>#DIV/0!</v>
      </c>
      <c r="O39" s="181">
        <v>0</v>
      </c>
      <c r="P39" s="182">
        <v>0</v>
      </c>
      <c r="Q39" s="73" t="e">
        <f t="shared" si="4"/>
        <v>#DIV/0!</v>
      </c>
      <c r="R39" s="181">
        <v>0</v>
      </c>
      <c r="S39" s="182">
        <v>0</v>
      </c>
      <c r="T39" s="73" t="e">
        <f t="shared" si="5"/>
        <v>#DIV/0!</v>
      </c>
      <c r="U39" s="181">
        <v>0</v>
      </c>
      <c r="V39" s="182">
        <v>0</v>
      </c>
      <c r="W39" s="73" t="e">
        <f t="shared" si="6"/>
        <v>#DIV/0!</v>
      </c>
      <c r="X39" s="181">
        <v>80</v>
      </c>
      <c r="Y39" s="182">
        <v>164</v>
      </c>
      <c r="Z39" s="73">
        <f t="shared" si="7"/>
        <v>2.0499999999999998</v>
      </c>
      <c r="AA39" s="181">
        <v>80</v>
      </c>
      <c r="AB39" s="182">
        <v>48</v>
      </c>
      <c r="AC39" s="73">
        <f t="shared" si="8"/>
        <v>0.6</v>
      </c>
      <c r="AD39" s="181">
        <f>+Y39+AB39</f>
        <v>212</v>
      </c>
      <c r="AE39" s="73">
        <f t="shared" si="10"/>
        <v>0.30285714285714288</v>
      </c>
      <c r="AF39" s="181">
        <v>90</v>
      </c>
      <c r="AG39" s="182">
        <v>3</v>
      </c>
      <c r="AH39" s="73">
        <f t="shared" si="11"/>
        <v>3.3333333333333333E-2</v>
      </c>
      <c r="AI39" s="181">
        <v>90</v>
      </c>
      <c r="AJ39" s="182">
        <v>3</v>
      </c>
      <c r="AK39" s="73">
        <f t="shared" si="12"/>
        <v>3.3333333333333333E-2</v>
      </c>
      <c r="AL39" s="181">
        <v>90</v>
      </c>
      <c r="AM39" s="182">
        <v>48</v>
      </c>
      <c r="AN39" s="73">
        <f t="shared" si="13"/>
        <v>0.53333333333333333</v>
      </c>
      <c r="AO39" s="181">
        <v>90</v>
      </c>
      <c r="AP39" s="182">
        <v>27</v>
      </c>
      <c r="AQ39" s="73">
        <f t="shared" si="14"/>
        <v>0.3</v>
      </c>
      <c r="AR39" s="181">
        <v>90</v>
      </c>
      <c r="AS39" s="182">
        <v>38</v>
      </c>
      <c r="AT39" s="73">
        <f t="shared" si="15"/>
        <v>0.42222222222222222</v>
      </c>
      <c r="AU39" s="181">
        <v>90</v>
      </c>
      <c r="AV39" s="182">
        <v>64</v>
      </c>
      <c r="AW39" s="73">
        <f t="shared" si="16"/>
        <v>0.71111111111111114</v>
      </c>
      <c r="AX39" s="181">
        <f>Y39+AB39+AG39+AJ39+AM39+AP39+AS39+AV39</f>
        <v>395</v>
      </c>
      <c r="AY39" s="73">
        <f t="shared" si="2"/>
        <v>0.56428571428571428</v>
      </c>
    </row>
    <row r="40" spans="1:51" s="128" customFormat="1" ht="144" customHeight="1" thickTop="1" thickBot="1">
      <c r="A40" s="2944"/>
      <c r="B40" s="2965"/>
      <c r="C40" s="2968"/>
      <c r="D40" s="111" t="s">
        <v>250</v>
      </c>
      <c r="E40" s="177" t="s">
        <v>251</v>
      </c>
      <c r="F40" s="177" t="s">
        <v>24</v>
      </c>
      <c r="G40" s="183">
        <v>24</v>
      </c>
      <c r="H40" s="90"/>
      <c r="I40" s="90"/>
      <c r="J40" s="90"/>
      <c r="K40" s="177" t="s">
        <v>249</v>
      </c>
      <c r="L40" s="181">
        <v>0</v>
      </c>
      <c r="M40" s="182">
        <v>0</v>
      </c>
      <c r="N40" s="73" t="e">
        <f t="shared" si="3"/>
        <v>#DIV/0!</v>
      </c>
      <c r="O40" s="181">
        <v>0</v>
      </c>
      <c r="P40" s="182">
        <v>0</v>
      </c>
      <c r="Q40" s="73" t="e">
        <f t="shared" si="4"/>
        <v>#DIV/0!</v>
      </c>
      <c r="R40" s="181">
        <v>0</v>
      </c>
      <c r="S40" s="182">
        <v>0</v>
      </c>
      <c r="T40" s="73" t="e">
        <f t="shared" si="5"/>
        <v>#DIV/0!</v>
      </c>
      <c r="U40" s="181">
        <v>0</v>
      </c>
      <c r="V40" s="182">
        <v>0</v>
      </c>
      <c r="W40" s="73" t="e">
        <f t="shared" si="6"/>
        <v>#DIV/0!</v>
      </c>
      <c r="X40" s="181">
        <v>3</v>
      </c>
      <c r="Y40" s="182">
        <v>0</v>
      </c>
      <c r="Z40" s="73">
        <f t="shared" si="7"/>
        <v>0</v>
      </c>
      <c r="AA40" s="181">
        <v>3</v>
      </c>
      <c r="AB40" s="182">
        <v>0</v>
      </c>
      <c r="AC40" s="73">
        <f t="shared" si="8"/>
        <v>0</v>
      </c>
      <c r="AD40" s="181">
        <f>Y40+AB40</f>
        <v>0</v>
      </c>
      <c r="AE40" s="73">
        <f t="shared" si="10"/>
        <v>0</v>
      </c>
      <c r="AF40" s="181">
        <v>3</v>
      </c>
      <c r="AG40" s="182">
        <v>0</v>
      </c>
      <c r="AH40" s="73">
        <f t="shared" si="11"/>
        <v>0</v>
      </c>
      <c r="AI40" s="181">
        <v>3</v>
      </c>
      <c r="AJ40" s="182">
        <v>3</v>
      </c>
      <c r="AK40" s="73">
        <f t="shared" si="12"/>
        <v>1</v>
      </c>
      <c r="AL40" s="181">
        <v>3</v>
      </c>
      <c r="AM40" s="182">
        <v>3</v>
      </c>
      <c r="AN40" s="73">
        <f t="shared" si="13"/>
        <v>1</v>
      </c>
      <c r="AO40" s="181">
        <v>3</v>
      </c>
      <c r="AP40" s="182">
        <v>3</v>
      </c>
      <c r="AQ40" s="73">
        <f t="shared" si="14"/>
        <v>1</v>
      </c>
      <c r="AR40" s="181">
        <v>3</v>
      </c>
      <c r="AS40" s="182">
        <v>3</v>
      </c>
      <c r="AT40" s="73">
        <f t="shared" si="15"/>
        <v>1</v>
      </c>
      <c r="AU40" s="181">
        <v>3</v>
      </c>
      <c r="AV40" s="182">
        <v>3</v>
      </c>
      <c r="AW40" s="73">
        <f t="shared" si="16"/>
        <v>1</v>
      </c>
      <c r="AX40" s="181">
        <f>Y40+AB40+AG40+AJ40+AM40+AP40+AS40+AV40</f>
        <v>15</v>
      </c>
      <c r="AY40" s="73">
        <f t="shared" si="2"/>
        <v>0.625</v>
      </c>
    </row>
    <row r="41" spans="1:51" s="128" customFormat="1" ht="144" customHeight="1" thickTop="1" thickBot="1">
      <c r="A41" s="2944"/>
      <c r="B41" s="2965"/>
      <c r="C41" s="2968"/>
      <c r="D41" s="171" t="s">
        <v>252</v>
      </c>
      <c r="E41" s="172" t="s">
        <v>253</v>
      </c>
      <c r="F41" s="172" t="s">
        <v>24</v>
      </c>
      <c r="G41" s="180">
        <v>152</v>
      </c>
      <c r="H41" s="81"/>
      <c r="I41" s="81"/>
      <c r="J41" s="81"/>
      <c r="K41" s="172" t="s">
        <v>249</v>
      </c>
      <c r="L41" s="181">
        <v>0</v>
      </c>
      <c r="M41" s="182">
        <v>0</v>
      </c>
      <c r="N41" s="73" t="e">
        <f t="shared" si="3"/>
        <v>#DIV/0!</v>
      </c>
      <c r="O41" s="181">
        <v>0</v>
      </c>
      <c r="P41" s="182">
        <v>0</v>
      </c>
      <c r="Q41" s="73" t="e">
        <f t="shared" si="4"/>
        <v>#DIV/0!</v>
      </c>
      <c r="R41" s="181">
        <v>0</v>
      </c>
      <c r="S41" s="182">
        <v>0</v>
      </c>
      <c r="T41" s="73" t="e">
        <f t="shared" si="5"/>
        <v>#DIV/0!</v>
      </c>
      <c r="U41" s="181">
        <v>0</v>
      </c>
      <c r="V41" s="182">
        <v>0</v>
      </c>
      <c r="W41" s="73" t="e">
        <f t="shared" si="6"/>
        <v>#DIV/0!</v>
      </c>
      <c r="X41" s="181">
        <v>19</v>
      </c>
      <c r="Y41" s="182">
        <v>19</v>
      </c>
      <c r="Z41" s="73">
        <f t="shared" si="7"/>
        <v>1</v>
      </c>
      <c r="AA41" s="181">
        <v>19</v>
      </c>
      <c r="AB41" s="182">
        <v>19</v>
      </c>
      <c r="AC41" s="73">
        <f t="shared" si="8"/>
        <v>1</v>
      </c>
      <c r="AD41" s="181">
        <f>+Y41+AB41</f>
        <v>38</v>
      </c>
      <c r="AE41" s="73">
        <f t="shared" si="10"/>
        <v>0.25</v>
      </c>
      <c r="AF41" s="181">
        <v>19</v>
      </c>
      <c r="AG41" s="182">
        <v>19</v>
      </c>
      <c r="AH41" s="73">
        <f t="shared" si="11"/>
        <v>1</v>
      </c>
      <c r="AI41" s="181">
        <v>19</v>
      </c>
      <c r="AJ41" s="182">
        <v>19</v>
      </c>
      <c r="AK41" s="73">
        <f t="shared" si="12"/>
        <v>1</v>
      </c>
      <c r="AL41" s="181">
        <v>19</v>
      </c>
      <c r="AM41" s="182">
        <v>19</v>
      </c>
      <c r="AN41" s="73">
        <f t="shared" si="13"/>
        <v>1</v>
      </c>
      <c r="AO41" s="181">
        <v>19</v>
      </c>
      <c r="AP41" s="182">
        <v>19</v>
      </c>
      <c r="AQ41" s="73">
        <f t="shared" si="14"/>
        <v>1</v>
      </c>
      <c r="AR41" s="181">
        <v>19</v>
      </c>
      <c r="AS41" s="182">
        <v>19</v>
      </c>
      <c r="AT41" s="73">
        <f t="shared" si="15"/>
        <v>1</v>
      </c>
      <c r="AU41" s="181">
        <v>19</v>
      </c>
      <c r="AV41" s="182">
        <v>19</v>
      </c>
      <c r="AW41" s="73">
        <f t="shared" si="16"/>
        <v>1</v>
      </c>
      <c r="AX41" s="181">
        <f>Y41+AB41+AG41+AJ41+AM41+AP41+AS41+AV41</f>
        <v>152</v>
      </c>
      <c r="AY41" s="73">
        <f t="shared" si="2"/>
        <v>1</v>
      </c>
    </row>
    <row r="42" spans="1:51" s="132" customFormat="1" ht="160.5" customHeight="1" thickTop="1" thickBot="1">
      <c r="A42" s="2945"/>
      <c r="B42" s="2966"/>
      <c r="C42" s="2969"/>
      <c r="D42" s="111" t="s">
        <v>254</v>
      </c>
      <c r="E42" s="177" t="s">
        <v>255</v>
      </c>
      <c r="F42" s="177" t="s">
        <v>10</v>
      </c>
      <c r="G42" s="184">
        <v>1</v>
      </c>
      <c r="H42" s="90"/>
      <c r="I42" s="185"/>
      <c r="J42" s="90"/>
      <c r="K42" s="177" t="s">
        <v>249</v>
      </c>
      <c r="L42" s="160">
        <v>1</v>
      </c>
      <c r="M42" s="161">
        <v>1</v>
      </c>
      <c r="N42" s="73">
        <f t="shared" si="3"/>
        <v>1</v>
      </c>
      <c r="O42" s="160">
        <v>1</v>
      </c>
      <c r="P42" s="161">
        <v>1</v>
      </c>
      <c r="Q42" s="73">
        <f t="shared" si="4"/>
        <v>1</v>
      </c>
      <c r="R42" s="160">
        <v>1</v>
      </c>
      <c r="S42" s="161">
        <v>1</v>
      </c>
      <c r="T42" s="73">
        <f t="shared" si="5"/>
        <v>1</v>
      </c>
      <c r="U42" s="160">
        <v>1</v>
      </c>
      <c r="V42" s="161">
        <v>1</v>
      </c>
      <c r="W42" s="73">
        <f t="shared" si="6"/>
        <v>1</v>
      </c>
      <c r="X42" s="160">
        <v>1</v>
      </c>
      <c r="Y42" s="161">
        <v>1</v>
      </c>
      <c r="Z42" s="73">
        <f t="shared" si="7"/>
        <v>1</v>
      </c>
      <c r="AA42" s="160">
        <v>1</v>
      </c>
      <c r="AB42" s="161">
        <v>1</v>
      </c>
      <c r="AC42" s="73">
        <f t="shared" si="8"/>
        <v>1</v>
      </c>
      <c r="AD42" s="160">
        <f>(M42+P42+S42+V42+Y42+AB42)/6</f>
        <v>1</v>
      </c>
      <c r="AE42" s="73">
        <f t="shared" si="10"/>
        <v>1</v>
      </c>
      <c r="AF42" s="160">
        <v>1</v>
      </c>
      <c r="AG42" s="161">
        <v>1</v>
      </c>
      <c r="AH42" s="73">
        <f t="shared" si="11"/>
        <v>1</v>
      </c>
      <c r="AI42" s="160">
        <v>1</v>
      </c>
      <c r="AJ42" s="161">
        <v>1</v>
      </c>
      <c r="AK42" s="73">
        <f t="shared" si="12"/>
        <v>1</v>
      </c>
      <c r="AL42" s="160">
        <v>1</v>
      </c>
      <c r="AM42" s="161">
        <v>1</v>
      </c>
      <c r="AN42" s="73">
        <f t="shared" si="13"/>
        <v>1</v>
      </c>
      <c r="AO42" s="160">
        <v>1</v>
      </c>
      <c r="AP42" s="161">
        <v>1</v>
      </c>
      <c r="AQ42" s="73">
        <f t="shared" si="14"/>
        <v>1</v>
      </c>
      <c r="AR42" s="160">
        <v>1</v>
      </c>
      <c r="AS42" s="161">
        <v>1</v>
      </c>
      <c r="AT42" s="73">
        <f t="shared" si="15"/>
        <v>1</v>
      </c>
      <c r="AU42" s="160">
        <v>1</v>
      </c>
      <c r="AV42" s="161">
        <v>1</v>
      </c>
      <c r="AW42" s="73">
        <f t="shared" si="16"/>
        <v>1</v>
      </c>
      <c r="AX42" s="160">
        <f>(M42+P42+S42+V42+Y42+AB42+AG42+AJ42+AM42+AP42+AS42+AV42)/12</f>
        <v>1</v>
      </c>
      <c r="AY42" s="73">
        <f t="shared" si="2"/>
        <v>1</v>
      </c>
    </row>
    <row r="43" spans="1:51" s="22" customFormat="1" ht="22.5" thickTop="1" thickBot="1">
      <c r="A43" s="2970" t="s">
        <v>141</v>
      </c>
      <c r="B43" s="2860"/>
      <c r="C43" s="2861"/>
      <c r="D43" s="2860"/>
      <c r="E43" s="2860"/>
      <c r="F43" s="2860"/>
      <c r="G43" s="2860"/>
      <c r="H43" s="2860"/>
      <c r="I43" s="2860"/>
      <c r="J43" s="2860"/>
      <c r="K43" s="2905"/>
      <c r="L43" s="186"/>
      <c r="M43" s="187"/>
      <c r="N43" s="187"/>
      <c r="O43" s="186"/>
      <c r="P43" s="187"/>
      <c r="Q43" s="187"/>
      <c r="R43" s="186"/>
      <c r="S43" s="187"/>
      <c r="T43" s="187"/>
      <c r="U43" s="186"/>
      <c r="V43" s="187"/>
      <c r="W43" s="187"/>
      <c r="X43" s="188"/>
      <c r="Y43" s="189"/>
      <c r="Z43" s="187"/>
      <c r="AA43" s="188"/>
      <c r="AB43" s="189"/>
      <c r="AC43" s="187"/>
      <c r="AD43" s="188"/>
      <c r="AE43" s="186"/>
      <c r="AF43" s="188"/>
      <c r="AG43" s="189"/>
      <c r="AH43" s="187"/>
      <c r="AI43" s="188"/>
      <c r="AJ43" s="189"/>
      <c r="AK43" s="187"/>
      <c r="AL43" s="188"/>
      <c r="AM43" s="189"/>
      <c r="AN43" s="187"/>
      <c r="AO43" s="188"/>
      <c r="AP43" s="189"/>
      <c r="AQ43" s="187"/>
      <c r="AR43" s="188"/>
      <c r="AS43" s="189"/>
      <c r="AT43" s="187"/>
      <c r="AU43" s="188"/>
      <c r="AV43" s="189"/>
      <c r="AW43" s="187"/>
      <c r="AX43" s="188"/>
      <c r="AY43" s="186"/>
    </row>
    <row r="44" spans="1:51" s="128" customFormat="1" ht="110.25" customHeight="1" thickTop="1" thickBot="1">
      <c r="A44" s="2904" t="s">
        <v>142</v>
      </c>
      <c r="B44" s="2971" t="s">
        <v>143</v>
      </c>
      <c r="C44" s="190" t="s">
        <v>256</v>
      </c>
      <c r="D44" s="124" t="s">
        <v>257</v>
      </c>
      <c r="E44" s="190" t="s">
        <v>258</v>
      </c>
      <c r="F44" s="190" t="s">
        <v>10</v>
      </c>
      <c r="G44" s="146">
        <v>1</v>
      </c>
      <c r="H44" s="90"/>
      <c r="I44" s="90"/>
      <c r="J44" s="90"/>
      <c r="K44" s="191" t="s">
        <v>259</v>
      </c>
      <c r="L44" s="192">
        <v>0</v>
      </c>
      <c r="M44" s="193">
        <v>0</v>
      </c>
      <c r="N44" s="73" t="e">
        <f t="shared" si="3"/>
        <v>#DIV/0!</v>
      </c>
      <c r="O44" s="192">
        <v>0</v>
      </c>
      <c r="P44" s="193">
        <v>0</v>
      </c>
      <c r="Q44" s="73" t="e">
        <f t="shared" si="4"/>
        <v>#DIV/0!</v>
      </c>
      <c r="R44" s="192">
        <v>0</v>
      </c>
      <c r="S44" s="193">
        <v>0</v>
      </c>
      <c r="T44" s="73" t="e">
        <f t="shared" si="5"/>
        <v>#DIV/0!</v>
      </c>
      <c r="U44" s="192">
        <v>0</v>
      </c>
      <c r="V44" s="193">
        <v>0</v>
      </c>
      <c r="W44" s="73" t="e">
        <f t="shared" si="6"/>
        <v>#DIV/0!</v>
      </c>
      <c r="X44" s="192">
        <v>0</v>
      </c>
      <c r="Y44" s="193">
        <v>0</v>
      </c>
      <c r="Z44" s="73" t="e">
        <f t="shared" si="7"/>
        <v>#DIV/0!</v>
      </c>
      <c r="AA44" s="192">
        <v>0</v>
      </c>
      <c r="AB44" s="193">
        <v>0</v>
      </c>
      <c r="AC44" s="73" t="e">
        <f t="shared" si="8"/>
        <v>#DIV/0!</v>
      </c>
      <c r="AD44" s="192">
        <f t="shared" si="9"/>
        <v>0</v>
      </c>
      <c r="AE44" s="73">
        <f>+AD44/G44</f>
        <v>0</v>
      </c>
      <c r="AF44" s="192">
        <v>0</v>
      </c>
      <c r="AG44" s="193">
        <v>0</v>
      </c>
      <c r="AH44" s="73" t="e">
        <f t="shared" si="11"/>
        <v>#DIV/0!</v>
      </c>
      <c r="AI44" s="192">
        <v>0</v>
      </c>
      <c r="AJ44" s="193">
        <v>0</v>
      </c>
      <c r="AK44" s="73" t="e">
        <f t="shared" si="12"/>
        <v>#DIV/0!</v>
      </c>
      <c r="AL44" s="192">
        <v>0</v>
      </c>
      <c r="AM44" s="193">
        <v>0</v>
      </c>
      <c r="AN44" s="73" t="e">
        <f t="shared" si="13"/>
        <v>#DIV/0!</v>
      </c>
      <c r="AO44" s="192">
        <v>0</v>
      </c>
      <c r="AP44" s="193">
        <v>0</v>
      </c>
      <c r="AQ44" s="73" t="e">
        <f t="shared" si="14"/>
        <v>#DIV/0!</v>
      </c>
      <c r="AR44" s="192">
        <v>1</v>
      </c>
      <c r="AS44" s="193">
        <v>1</v>
      </c>
      <c r="AT44" s="73">
        <f t="shared" si="15"/>
        <v>1</v>
      </c>
      <c r="AU44" s="192">
        <v>0</v>
      </c>
      <c r="AV44" s="193">
        <v>0</v>
      </c>
      <c r="AW44" s="73" t="e">
        <f t="shared" si="16"/>
        <v>#DIV/0!</v>
      </c>
      <c r="AX44" s="192">
        <f>+AS44</f>
        <v>1</v>
      </c>
      <c r="AY44" s="73">
        <f>+AX44/G44</f>
        <v>1</v>
      </c>
    </row>
    <row r="45" spans="1:51" s="132" customFormat="1" ht="123.75" customHeight="1" thickTop="1" thickBot="1">
      <c r="A45" s="2904"/>
      <c r="B45" s="2971"/>
      <c r="C45" s="2960" t="s">
        <v>260</v>
      </c>
      <c r="D45" s="194" t="s">
        <v>261</v>
      </c>
      <c r="E45" s="195" t="s">
        <v>262</v>
      </c>
      <c r="F45" s="195" t="s">
        <v>10</v>
      </c>
      <c r="G45" s="196">
        <v>0.03</v>
      </c>
      <c r="H45" s="90"/>
      <c r="I45" s="90"/>
      <c r="J45" s="90"/>
      <c r="K45" s="195" t="s">
        <v>226</v>
      </c>
      <c r="L45" s="149">
        <v>0</v>
      </c>
      <c r="M45" s="197">
        <v>0</v>
      </c>
      <c r="N45" s="73" t="e">
        <f t="shared" si="3"/>
        <v>#DIV/0!</v>
      </c>
      <c r="O45" s="149">
        <v>0</v>
      </c>
      <c r="P45" s="197">
        <v>0</v>
      </c>
      <c r="Q45" s="73" t="e">
        <f t="shared" si="4"/>
        <v>#DIV/0!</v>
      </c>
      <c r="R45" s="149">
        <v>0</v>
      </c>
      <c r="S45" s="197">
        <v>0</v>
      </c>
      <c r="T45" s="73" t="e">
        <f t="shared" si="5"/>
        <v>#DIV/0!</v>
      </c>
      <c r="U45" s="149">
        <v>0</v>
      </c>
      <c r="V45" s="197">
        <v>0</v>
      </c>
      <c r="W45" s="73" t="e">
        <f t="shared" si="6"/>
        <v>#DIV/0!</v>
      </c>
      <c r="X45" s="149">
        <v>0</v>
      </c>
      <c r="Y45" s="197">
        <v>0</v>
      </c>
      <c r="Z45" s="73" t="e">
        <f t="shared" si="7"/>
        <v>#DIV/0!</v>
      </c>
      <c r="AA45" s="149">
        <v>0</v>
      </c>
      <c r="AB45" s="197">
        <v>0</v>
      </c>
      <c r="AC45" s="73" t="e">
        <f t="shared" si="8"/>
        <v>#DIV/0!</v>
      </c>
      <c r="AD45" s="149">
        <f t="shared" si="9"/>
        <v>0</v>
      </c>
      <c r="AE45" s="73">
        <f>+AD45/G45</f>
        <v>0</v>
      </c>
      <c r="AF45" s="149">
        <v>0</v>
      </c>
      <c r="AG45" s="197">
        <v>0</v>
      </c>
      <c r="AH45" s="73" t="e">
        <f t="shared" si="11"/>
        <v>#DIV/0!</v>
      </c>
      <c r="AI45" s="149">
        <v>0</v>
      </c>
      <c r="AJ45" s="197">
        <v>0</v>
      </c>
      <c r="AK45" s="73" t="e">
        <f t="shared" si="12"/>
        <v>#DIV/0!</v>
      </c>
      <c r="AL45" s="149">
        <v>0</v>
      </c>
      <c r="AM45" s="197">
        <v>0</v>
      </c>
      <c r="AN45" s="73" t="e">
        <f t="shared" si="13"/>
        <v>#DIV/0!</v>
      </c>
      <c r="AO45" s="149">
        <v>0</v>
      </c>
      <c r="AP45" s="197">
        <v>0</v>
      </c>
      <c r="AQ45" s="73" t="e">
        <f t="shared" si="14"/>
        <v>#DIV/0!</v>
      </c>
      <c r="AR45" s="149">
        <v>0</v>
      </c>
      <c r="AS45" s="197">
        <v>0</v>
      </c>
      <c r="AT45" s="73" t="e">
        <f t="shared" si="15"/>
        <v>#DIV/0!</v>
      </c>
      <c r="AU45" s="149">
        <v>0.03</v>
      </c>
      <c r="AV45" s="197">
        <v>0</v>
      </c>
      <c r="AW45" s="73">
        <f t="shared" si="16"/>
        <v>0</v>
      </c>
      <c r="AX45" s="149">
        <f>+AV45</f>
        <v>0</v>
      </c>
      <c r="AY45" s="73">
        <f>+AX45/G45</f>
        <v>0</v>
      </c>
    </row>
    <row r="46" spans="1:51" s="128" customFormat="1" ht="85.5" customHeight="1" thickTop="1" thickBot="1">
      <c r="A46" s="2904"/>
      <c r="B46" s="2971"/>
      <c r="C46" s="2960"/>
      <c r="D46" s="124" t="s">
        <v>263</v>
      </c>
      <c r="E46" s="190" t="s">
        <v>264</v>
      </c>
      <c r="F46" s="190" t="s">
        <v>10</v>
      </c>
      <c r="G46" s="198">
        <v>1</v>
      </c>
      <c r="H46" s="90"/>
      <c r="I46" s="90"/>
      <c r="J46" s="90"/>
      <c r="K46" s="190" t="s">
        <v>226</v>
      </c>
      <c r="L46" s="148">
        <v>0</v>
      </c>
      <c r="M46" s="199">
        <v>0</v>
      </c>
      <c r="N46" s="73" t="e">
        <f t="shared" si="3"/>
        <v>#DIV/0!</v>
      </c>
      <c r="O46" s="148">
        <v>0</v>
      </c>
      <c r="P46" s="199">
        <v>0</v>
      </c>
      <c r="Q46" s="73" t="e">
        <f t="shared" si="4"/>
        <v>#DIV/0!</v>
      </c>
      <c r="R46" s="148">
        <v>0</v>
      </c>
      <c r="S46" s="199">
        <v>0</v>
      </c>
      <c r="T46" s="73" t="e">
        <f t="shared" si="5"/>
        <v>#DIV/0!</v>
      </c>
      <c r="U46" s="148">
        <v>0</v>
      </c>
      <c r="V46" s="199">
        <v>0</v>
      </c>
      <c r="W46" s="73" t="e">
        <f t="shared" si="6"/>
        <v>#DIV/0!</v>
      </c>
      <c r="X46" s="148">
        <v>0</v>
      </c>
      <c r="Y46" s="199">
        <v>0</v>
      </c>
      <c r="Z46" s="73" t="e">
        <f t="shared" si="7"/>
        <v>#DIV/0!</v>
      </c>
      <c r="AA46" s="148">
        <v>0</v>
      </c>
      <c r="AB46" s="199">
        <v>0</v>
      </c>
      <c r="AC46" s="73" t="e">
        <f t="shared" si="8"/>
        <v>#DIV/0!</v>
      </c>
      <c r="AD46" s="148">
        <f t="shared" si="9"/>
        <v>0</v>
      </c>
      <c r="AE46" s="73">
        <f t="shared" si="10"/>
        <v>0</v>
      </c>
      <c r="AF46" s="148">
        <v>0</v>
      </c>
      <c r="AG46" s="199">
        <v>0</v>
      </c>
      <c r="AH46" s="73" t="e">
        <f t="shared" si="11"/>
        <v>#DIV/0!</v>
      </c>
      <c r="AI46" s="148">
        <v>0</v>
      </c>
      <c r="AJ46" s="199">
        <v>0</v>
      </c>
      <c r="AK46" s="73" t="e">
        <f t="shared" si="12"/>
        <v>#DIV/0!</v>
      </c>
      <c r="AL46" s="148">
        <v>0.5</v>
      </c>
      <c r="AM46" s="199">
        <v>0.5</v>
      </c>
      <c r="AN46" s="73">
        <f t="shared" si="13"/>
        <v>1</v>
      </c>
      <c r="AO46" s="148">
        <v>0</v>
      </c>
      <c r="AP46" s="199">
        <v>0</v>
      </c>
      <c r="AQ46" s="73" t="e">
        <f t="shared" si="14"/>
        <v>#DIV/0!</v>
      </c>
      <c r="AR46" s="148">
        <v>0</v>
      </c>
      <c r="AS46" s="199">
        <v>0</v>
      </c>
      <c r="AT46" s="73" t="e">
        <f t="shared" si="15"/>
        <v>#DIV/0!</v>
      </c>
      <c r="AU46" s="148">
        <v>0.5</v>
      </c>
      <c r="AV46" s="199">
        <v>0.5</v>
      </c>
      <c r="AW46" s="73">
        <f t="shared" si="16"/>
        <v>1</v>
      </c>
      <c r="AX46" s="148">
        <f>+AV46+AM46</f>
        <v>1</v>
      </c>
      <c r="AY46" s="73">
        <f>+AX46/G46</f>
        <v>1</v>
      </c>
    </row>
    <row r="47" spans="1:51" ht="22.5" customHeight="1" thickTop="1" thickBot="1">
      <c r="A47" s="2843" t="s">
        <v>154</v>
      </c>
      <c r="B47" s="2843"/>
      <c r="C47" s="2843"/>
      <c r="D47" s="2843"/>
      <c r="E47" s="2843"/>
      <c r="F47" s="2843"/>
      <c r="G47" s="2843"/>
      <c r="H47" s="2843"/>
      <c r="I47" s="2843"/>
      <c r="J47" s="2843"/>
      <c r="K47" s="2843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1"/>
      <c r="AY47" s="201"/>
    </row>
    <row r="48" spans="1:51" ht="75" customHeight="1" thickTop="1" thickBot="1">
      <c r="A48" s="202" t="s">
        <v>155</v>
      </c>
      <c r="B48" s="97" t="s">
        <v>156</v>
      </c>
      <c r="C48" s="74" t="s">
        <v>157</v>
      </c>
      <c r="D48" s="111" t="s">
        <v>158</v>
      </c>
      <c r="E48" s="74" t="s">
        <v>159</v>
      </c>
      <c r="F48" s="74" t="s">
        <v>265</v>
      </c>
      <c r="G48" s="203">
        <v>14</v>
      </c>
      <c r="H48" s="99">
        <v>10</v>
      </c>
      <c r="I48" s="204"/>
      <c r="J48" s="204"/>
      <c r="K48" s="25" t="s">
        <v>27</v>
      </c>
      <c r="L48" s="205">
        <v>0</v>
      </c>
      <c r="M48" s="206"/>
      <c r="N48" s="19" t="e">
        <f t="shared" ref="N48" si="18">+M48/L48</f>
        <v>#DIV/0!</v>
      </c>
      <c r="O48" s="205">
        <v>0</v>
      </c>
      <c r="P48" s="206"/>
      <c r="Q48" s="19" t="e">
        <f t="shared" ref="Q48" si="19">+P48/O48</f>
        <v>#DIV/0!</v>
      </c>
      <c r="R48" s="205">
        <v>0</v>
      </c>
      <c r="S48" s="206"/>
      <c r="T48" s="19" t="e">
        <f t="shared" ref="T48" si="20">+S48/R48</f>
        <v>#DIV/0!</v>
      </c>
      <c r="U48" s="205">
        <v>0</v>
      </c>
      <c r="V48" s="206"/>
      <c r="W48" s="19" t="e">
        <f t="shared" ref="W48" si="21">+V48/U48</f>
        <v>#DIV/0!</v>
      </c>
      <c r="X48" s="205">
        <v>2</v>
      </c>
      <c r="Y48" s="206">
        <v>2</v>
      </c>
      <c r="Z48" s="19">
        <f t="shared" ref="Z48" si="22">+Y48/X48</f>
        <v>1</v>
      </c>
      <c r="AA48" s="205">
        <v>0</v>
      </c>
      <c r="AB48" s="206"/>
      <c r="AC48" s="19" t="e">
        <f t="shared" ref="AC48" si="23">+AB48/AA48</f>
        <v>#DIV/0!</v>
      </c>
      <c r="AD48" s="207">
        <f t="shared" ref="AD48" si="24">+AB48+Y48+V48+S48+P48+M48</f>
        <v>2</v>
      </c>
      <c r="AE48" s="19">
        <f t="shared" ref="AE48" si="25">+AD48/G48</f>
        <v>0.14285714285714285</v>
      </c>
      <c r="AF48" s="205">
        <v>1</v>
      </c>
      <c r="AG48" s="206">
        <v>1</v>
      </c>
      <c r="AH48" s="208">
        <f t="shared" ref="AH48" si="26">+AG48/AF48</f>
        <v>1</v>
      </c>
      <c r="AI48" s="205">
        <v>3</v>
      </c>
      <c r="AJ48" s="206">
        <v>3</v>
      </c>
      <c r="AK48" s="208">
        <f t="shared" ref="AK48" si="27">+AJ48/AI48</f>
        <v>1</v>
      </c>
      <c r="AL48" s="205">
        <v>1</v>
      </c>
      <c r="AM48" s="206">
        <v>1</v>
      </c>
      <c r="AN48" s="208">
        <f t="shared" ref="AN48" si="28">+AM48/AL48</f>
        <v>1</v>
      </c>
      <c r="AO48" s="205">
        <v>3</v>
      </c>
      <c r="AP48" s="206">
        <v>3</v>
      </c>
      <c r="AQ48" s="19">
        <f t="shared" ref="AQ48" si="29">+AP48/AO48</f>
        <v>1</v>
      </c>
      <c r="AR48" s="205">
        <v>4</v>
      </c>
      <c r="AS48" s="206">
        <v>4</v>
      </c>
      <c r="AT48" s="19">
        <f t="shared" ref="AT48" si="30">+AS48/AR48</f>
        <v>1</v>
      </c>
      <c r="AU48" s="205">
        <v>0</v>
      </c>
      <c r="AV48" s="206"/>
      <c r="AW48" s="19" t="e">
        <f t="shared" ref="AW48" si="31">+AV48/AU48</f>
        <v>#DIV/0!</v>
      </c>
      <c r="AX48" s="209">
        <f>+AP48+AM48+AJ48+AG48+Y48+AR48</f>
        <v>14</v>
      </c>
      <c r="AY48" s="19">
        <f>+AX48/G48</f>
        <v>1</v>
      </c>
    </row>
    <row r="49" ht="17.25" thickTop="1"/>
  </sheetData>
  <sheetProtection algorithmName="SHA-512" hashValue="a5WDbp7q9z905f9GKbaG4Au95/3qyYQ7zXc1bmZ0f+lR/kBRu38e7FrAHyTNI6nam4nQ/KIpiinCPGGocCMKkw==" saltValue="JjS8jm8Xm7yJoQcXivIIRw==" spinCount="100000" sheet="1" objects="1" scenarios="1"/>
  <protectedRanges>
    <protectedRange algorithmName="SHA-512" hashValue="Uds9cYMsxnQI1SjFHe8NNqfDC/fFeray9QhmtAdG/GCgT0L97QBkFAQ9tCw5vTy3J/lQFdDpBTyQoZDg0KZNmQ==" saltValue="0HoWkw5WsZ+PdZDtJpkerg==" spinCount="100000" sqref="D39:K42" name="Rango1_3"/>
    <protectedRange algorithmName="SHA-512" hashValue="Uds9cYMsxnQI1SjFHe8NNqfDC/fFeray9QhmtAdG/GCgT0L97QBkFAQ9tCw5vTy3J/lQFdDpBTyQoZDg0KZNmQ==" saltValue="0HoWkw5WsZ+PdZDtJpkerg==" spinCount="100000" sqref="D37:K38" name="Rango1_1_2"/>
    <protectedRange algorithmName="SHA-512" hashValue="Uds9cYMsxnQI1SjFHe8NNqfDC/fFeray9QhmtAdG/GCgT0L97QBkFAQ9tCw5vTy3J/lQFdDpBTyQoZDg0KZNmQ==" saltValue="0HoWkw5WsZ+PdZDtJpkerg==" spinCount="100000" sqref="AD34:AD35" name="Rango1_2_1"/>
    <protectedRange algorithmName="SHA-512" hashValue="Uds9cYMsxnQI1SjFHe8NNqfDC/fFeray9QhmtAdG/GCgT0L97QBkFAQ9tCw5vTy3J/lQFdDpBTyQoZDg0KZNmQ==" saltValue="0HoWkw5WsZ+PdZDtJpkerg==" spinCount="100000" sqref="AX34:AX35" name="Rango1_1_1_1"/>
  </protectedRanges>
  <mergeCells count="41">
    <mergeCell ref="A43:K43"/>
    <mergeCell ref="A44:A46"/>
    <mergeCell ref="B44:B46"/>
    <mergeCell ref="C45:C46"/>
    <mergeCell ref="A47:K47"/>
    <mergeCell ref="A9:A42"/>
    <mergeCell ref="B9:B10"/>
    <mergeCell ref="B11:B29"/>
    <mergeCell ref="C11:C16"/>
    <mergeCell ref="C17:C19"/>
    <mergeCell ref="C22:C28"/>
    <mergeCell ref="B30:B42"/>
    <mergeCell ref="C33:C42"/>
    <mergeCell ref="AL5:AN7"/>
    <mergeCell ref="AO5:AQ7"/>
    <mergeCell ref="AR5:AT7"/>
    <mergeCell ref="AU5:AW7"/>
    <mergeCell ref="AX5:AY7"/>
    <mergeCell ref="A8:K8"/>
    <mergeCell ref="U5:W7"/>
    <mergeCell ref="X5:Z7"/>
    <mergeCell ref="AA5:AC7"/>
    <mergeCell ref="AD5:AE7"/>
    <mergeCell ref="AF5:AH7"/>
    <mergeCell ref="AI5:AK7"/>
    <mergeCell ref="G5:G7"/>
    <mergeCell ref="H5:J6"/>
    <mergeCell ref="K5:K7"/>
    <mergeCell ref="L5:N7"/>
    <mergeCell ref="O5:Q7"/>
    <mergeCell ref="R5:T7"/>
    <mergeCell ref="C1:G1"/>
    <mergeCell ref="C2:G2"/>
    <mergeCell ref="C3:G3"/>
    <mergeCell ref="C4:G4"/>
    <mergeCell ref="A5:A7"/>
    <mergeCell ref="B5:B7"/>
    <mergeCell ref="C5:C7"/>
    <mergeCell ref="D5:D7"/>
    <mergeCell ref="E5:E7"/>
    <mergeCell ref="F5:F7"/>
  </mergeCells>
  <conditionalFormatting sqref="AE44:AE46 AE36:AE42 AE11:AE33 AY11:AY33 N11:N33 Q11:Q33 Z11:Z33 AC11:AC33 W11:W33 T11:T33 AH11:AH33 AK11:AK33 AN11:AN33 AQ11:AQ33 AT11:AT33 AW11:AW33">
    <cfRule type="cellIs" dxfId="10084" priority="346" operator="greaterThan">
      <formula>110%</formula>
    </cfRule>
    <cfRule type="cellIs" dxfId="10083" priority="347" operator="between">
      <formula>100.001%</formula>
      <formula>110%</formula>
    </cfRule>
    <cfRule type="cellIs" dxfId="10082" priority="348" operator="between">
      <formula>70.001%</formula>
      <formula>100%</formula>
    </cfRule>
    <cfRule type="cellIs" dxfId="10081" priority="349" operator="between">
      <formula>0.00001%</formula>
      <formula>70%</formula>
    </cfRule>
    <cfRule type="cellIs" dxfId="10080" priority="350" operator="equal">
      <formula>0</formula>
    </cfRule>
  </conditionalFormatting>
  <conditionalFormatting sqref="AY44:AY46 AY36:AY42">
    <cfRule type="cellIs" dxfId="10079" priority="341" operator="greaterThan">
      <formula>110%</formula>
    </cfRule>
    <cfRule type="cellIs" dxfId="10078" priority="342" operator="between">
      <formula>100.001%</formula>
      <formula>110%</formula>
    </cfRule>
    <cfRule type="cellIs" dxfId="10077" priority="343" operator="between">
      <formula>70.001%</formula>
      <formula>100%</formula>
    </cfRule>
    <cfRule type="cellIs" dxfId="10076" priority="344" operator="between">
      <formula>0.00001%</formula>
      <formula>70%</formula>
    </cfRule>
    <cfRule type="cellIs" dxfId="10075" priority="345" operator="equal">
      <formula>0</formula>
    </cfRule>
  </conditionalFormatting>
  <conditionalFormatting sqref="N44:N46 N36:N42">
    <cfRule type="cellIs" dxfId="10074" priority="336" operator="greaterThan">
      <formula>110%</formula>
    </cfRule>
    <cfRule type="cellIs" dxfId="10073" priority="337" operator="between">
      <formula>100.001%</formula>
      <formula>110%</formula>
    </cfRule>
    <cfRule type="cellIs" dxfId="10072" priority="338" operator="between">
      <formula>70.001%</formula>
      <formula>100%</formula>
    </cfRule>
    <cfRule type="cellIs" dxfId="10071" priority="339" operator="between">
      <formula>0.00001%</formula>
      <formula>70%</formula>
    </cfRule>
    <cfRule type="cellIs" dxfId="10070" priority="340" operator="equal">
      <formula>0</formula>
    </cfRule>
  </conditionalFormatting>
  <conditionalFormatting sqref="Q44:Q46 Q36:Q42">
    <cfRule type="cellIs" dxfId="10069" priority="331" operator="greaterThan">
      <formula>110%</formula>
    </cfRule>
    <cfRule type="cellIs" dxfId="10068" priority="332" operator="between">
      <formula>100.001%</formula>
      <formula>110%</formula>
    </cfRule>
    <cfRule type="cellIs" dxfId="10067" priority="333" operator="between">
      <formula>70.001%</formula>
      <formula>100%</formula>
    </cfRule>
    <cfRule type="cellIs" dxfId="10066" priority="334" operator="between">
      <formula>0.00001%</formula>
      <formula>70%</formula>
    </cfRule>
    <cfRule type="cellIs" dxfId="10065" priority="335" operator="equal">
      <formula>0</formula>
    </cfRule>
  </conditionalFormatting>
  <conditionalFormatting sqref="Z44:Z46 Z36:Z42">
    <cfRule type="cellIs" dxfId="10064" priority="326" operator="greaterThan">
      <formula>110%</formula>
    </cfRule>
    <cfRule type="cellIs" dxfId="10063" priority="327" operator="between">
      <formula>100.001%</formula>
      <formula>110%</formula>
    </cfRule>
    <cfRule type="cellIs" dxfId="10062" priority="328" operator="between">
      <formula>70.001%</formula>
      <formula>100%</formula>
    </cfRule>
    <cfRule type="cellIs" dxfId="10061" priority="329" operator="between">
      <formula>0.00001%</formula>
      <formula>70%</formula>
    </cfRule>
    <cfRule type="cellIs" dxfId="10060" priority="330" operator="equal">
      <formula>0</formula>
    </cfRule>
  </conditionalFormatting>
  <conditionalFormatting sqref="AC44:AC46 AC36:AC42">
    <cfRule type="cellIs" dxfId="10059" priority="321" operator="greaterThan">
      <formula>110%</formula>
    </cfRule>
    <cfRule type="cellIs" dxfId="10058" priority="322" operator="between">
      <formula>100.001%</formula>
      <formula>110%</formula>
    </cfRule>
    <cfRule type="cellIs" dxfId="10057" priority="323" operator="between">
      <formula>70.001%</formula>
      <formula>100%</formula>
    </cfRule>
    <cfRule type="cellIs" dxfId="10056" priority="324" operator="between">
      <formula>0.00001%</formula>
      <formula>70%</formula>
    </cfRule>
    <cfRule type="cellIs" dxfId="10055" priority="325" operator="equal">
      <formula>0</formula>
    </cfRule>
  </conditionalFormatting>
  <conditionalFormatting sqref="W44:W46 W36:W42">
    <cfRule type="cellIs" dxfId="10054" priority="316" operator="greaterThan">
      <formula>110%</formula>
    </cfRule>
    <cfRule type="cellIs" dxfId="10053" priority="317" operator="between">
      <formula>100.001%</formula>
      <formula>110%</formula>
    </cfRule>
    <cfRule type="cellIs" dxfId="10052" priority="318" operator="between">
      <formula>70.001%</formula>
      <formula>100%</formula>
    </cfRule>
    <cfRule type="cellIs" dxfId="10051" priority="319" operator="between">
      <formula>0.00001%</formula>
      <formula>70%</formula>
    </cfRule>
    <cfRule type="cellIs" dxfId="10050" priority="320" operator="equal">
      <formula>0</formula>
    </cfRule>
  </conditionalFormatting>
  <conditionalFormatting sqref="T44:T46 T36:T42">
    <cfRule type="cellIs" dxfId="10049" priority="311" operator="greaterThan">
      <formula>110%</formula>
    </cfRule>
    <cfRule type="cellIs" dxfId="10048" priority="312" operator="between">
      <formula>100.001%</formula>
      <formula>110%</formula>
    </cfRule>
    <cfRule type="cellIs" dxfId="10047" priority="313" operator="between">
      <formula>70.001%</formula>
      <formula>100%</formula>
    </cfRule>
    <cfRule type="cellIs" dxfId="10046" priority="314" operator="between">
      <formula>0.00001%</formula>
      <formula>70%</formula>
    </cfRule>
    <cfRule type="cellIs" dxfId="10045" priority="315" operator="equal">
      <formula>0</formula>
    </cfRule>
  </conditionalFormatting>
  <conditionalFormatting sqref="AH44:AH46 AH36:AH42">
    <cfRule type="cellIs" dxfId="10044" priority="306" operator="greaterThan">
      <formula>110%</formula>
    </cfRule>
    <cfRule type="cellIs" dxfId="10043" priority="307" operator="between">
      <formula>100.001%</formula>
      <formula>110%</formula>
    </cfRule>
    <cfRule type="cellIs" dxfId="10042" priority="308" operator="between">
      <formula>70.001%</formula>
      <formula>100%</formula>
    </cfRule>
    <cfRule type="cellIs" dxfId="10041" priority="309" operator="between">
      <formula>0.00001%</formula>
      <formula>70%</formula>
    </cfRule>
    <cfRule type="cellIs" dxfId="10040" priority="310" operator="equal">
      <formula>0</formula>
    </cfRule>
  </conditionalFormatting>
  <conditionalFormatting sqref="AK44:AK46 AK36:AK42">
    <cfRule type="cellIs" dxfId="10039" priority="301" operator="greaterThan">
      <formula>110%</formula>
    </cfRule>
    <cfRule type="cellIs" dxfId="10038" priority="302" operator="between">
      <formula>100.001%</formula>
      <formula>110%</formula>
    </cfRule>
    <cfRule type="cellIs" dxfId="10037" priority="303" operator="between">
      <formula>70.001%</formula>
      <formula>100%</formula>
    </cfRule>
    <cfRule type="cellIs" dxfId="10036" priority="304" operator="between">
      <formula>0.00001%</formula>
      <formula>70%</formula>
    </cfRule>
    <cfRule type="cellIs" dxfId="10035" priority="305" operator="equal">
      <formula>0</formula>
    </cfRule>
  </conditionalFormatting>
  <conditionalFormatting sqref="AN44:AN46 AN36:AN42">
    <cfRule type="cellIs" dxfId="10034" priority="296" operator="greaterThan">
      <formula>110%</formula>
    </cfRule>
    <cfRule type="cellIs" dxfId="10033" priority="297" operator="between">
      <formula>100.001%</formula>
      <formula>110%</formula>
    </cfRule>
    <cfRule type="cellIs" dxfId="10032" priority="298" operator="between">
      <formula>70.001%</formula>
      <formula>100%</formula>
    </cfRule>
    <cfRule type="cellIs" dxfId="10031" priority="299" operator="between">
      <formula>0.00001%</formula>
      <formula>70%</formula>
    </cfRule>
    <cfRule type="cellIs" dxfId="10030" priority="300" operator="equal">
      <formula>0</formula>
    </cfRule>
  </conditionalFormatting>
  <conditionalFormatting sqref="AQ44:AQ46 AQ36:AQ42">
    <cfRule type="cellIs" dxfId="10029" priority="291" operator="greaterThan">
      <formula>110%</formula>
    </cfRule>
    <cfRule type="cellIs" dxfId="10028" priority="292" operator="between">
      <formula>100.001%</formula>
      <formula>110%</formula>
    </cfRule>
    <cfRule type="cellIs" dxfId="10027" priority="293" operator="between">
      <formula>70.001%</formula>
      <formula>100%</formula>
    </cfRule>
    <cfRule type="cellIs" dxfId="10026" priority="294" operator="between">
      <formula>0.00001%</formula>
      <formula>70%</formula>
    </cfRule>
    <cfRule type="cellIs" dxfId="10025" priority="295" operator="equal">
      <formula>0</formula>
    </cfRule>
  </conditionalFormatting>
  <conditionalFormatting sqref="AT44:AT46 AT36:AT42">
    <cfRule type="cellIs" dxfId="10024" priority="286" operator="greaterThan">
      <formula>110%</formula>
    </cfRule>
    <cfRule type="cellIs" dxfId="10023" priority="287" operator="between">
      <formula>100.001%</formula>
      <formula>110%</formula>
    </cfRule>
    <cfRule type="cellIs" dxfId="10022" priority="288" operator="between">
      <formula>70.001%</formula>
      <formula>100%</formula>
    </cfRule>
    <cfRule type="cellIs" dxfId="10021" priority="289" operator="between">
      <formula>0.00001%</formula>
      <formula>70%</formula>
    </cfRule>
    <cfRule type="cellIs" dxfId="10020" priority="290" operator="equal">
      <formula>0</formula>
    </cfRule>
  </conditionalFormatting>
  <conditionalFormatting sqref="AW44:AW46 AW36:AW42">
    <cfRule type="cellIs" dxfId="10019" priority="281" operator="greaterThan">
      <formula>110%</formula>
    </cfRule>
    <cfRule type="cellIs" dxfId="10018" priority="282" operator="between">
      <formula>100.001%</formula>
      <formula>110%</formula>
    </cfRule>
    <cfRule type="cellIs" dxfId="10017" priority="283" operator="between">
      <formula>70.001%</formula>
      <formula>100%</formula>
    </cfRule>
    <cfRule type="cellIs" dxfId="10016" priority="284" operator="between">
      <formula>0.00001%</formula>
      <formula>70%</formula>
    </cfRule>
    <cfRule type="cellIs" dxfId="10015" priority="285" operator="equal">
      <formula>0</formula>
    </cfRule>
  </conditionalFormatting>
  <conditionalFormatting sqref="AE48">
    <cfRule type="cellIs" dxfId="10014" priority="276" operator="greaterThan">
      <formula>110%</formula>
    </cfRule>
    <cfRule type="cellIs" dxfId="10013" priority="277" operator="between">
      <formula>100.001%</formula>
      <formula>110%</formula>
    </cfRule>
    <cfRule type="cellIs" dxfId="10012" priority="278" operator="between">
      <formula>70.001%</formula>
      <formula>100%</formula>
    </cfRule>
    <cfRule type="cellIs" dxfId="10011" priority="279" operator="between">
      <formula>0.00001%</formula>
      <formula>70%</formula>
    </cfRule>
    <cfRule type="cellIs" dxfId="10010" priority="280" operator="equal">
      <formula>0</formula>
    </cfRule>
  </conditionalFormatting>
  <conditionalFormatting sqref="AY48">
    <cfRule type="cellIs" dxfId="10009" priority="271" operator="greaterThan">
      <formula>110%</formula>
    </cfRule>
    <cfRule type="cellIs" dxfId="10008" priority="272" operator="between">
      <formula>100.001%</formula>
      <formula>110%</formula>
    </cfRule>
    <cfRule type="cellIs" dxfId="10007" priority="273" operator="between">
      <formula>70.001%</formula>
      <formula>100%</formula>
    </cfRule>
    <cfRule type="cellIs" dxfId="10006" priority="274" operator="between">
      <formula>0.00001%</formula>
      <formula>70%</formula>
    </cfRule>
    <cfRule type="cellIs" dxfId="10005" priority="275" operator="equal">
      <formula>0</formula>
    </cfRule>
  </conditionalFormatting>
  <conditionalFormatting sqref="N48">
    <cfRule type="cellIs" dxfId="10004" priority="266" operator="greaterThan">
      <formula>110%</formula>
    </cfRule>
    <cfRule type="cellIs" dxfId="10003" priority="267" operator="between">
      <formula>100.001%</formula>
      <formula>110%</formula>
    </cfRule>
    <cfRule type="cellIs" dxfId="10002" priority="268" operator="between">
      <formula>70.001%</formula>
      <formula>100%</formula>
    </cfRule>
    <cfRule type="cellIs" dxfId="10001" priority="269" operator="between">
      <formula>0.00001%</formula>
      <formula>70%</formula>
    </cfRule>
    <cfRule type="cellIs" dxfId="10000" priority="270" operator="equal">
      <formula>0</formula>
    </cfRule>
  </conditionalFormatting>
  <conditionalFormatting sqref="Q48">
    <cfRule type="cellIs" dxfId="9999" priority="261" operator="greaterThan">
      <formula>110%</formula>
    </cfRule>
    <cfRule type="cellIs" dxfId="9998" priority="262" operator="between">
      <formula>100.001%</formula>
      <formula>110%</formula>
    </cfRule>
    <cfRule type="cellIs" dxfId="9997" priority="263" operator="between">
      <formula>70.001%</formula>
      <formula>100%</formula>
    </cfRule>
    <cfRule type="cellIs" dxfId="9996" priority="264" operator="between">
      <formula>0.00001%</formula>
      <formula>70%</formula>
    </cfRule>
    <cfRule type="cellIs" dxfId="9995" priority="265" operator="equal">
      <formula>0</formula>
    </cfRule>
  </conditionalFormatting>
  <conditionalFormatting sqref="T48">
    <cfRule type="cellIs" dxfId="9994" priority="256" operator="greaterThan">
      <formula>110%</formula>
    </cfRule>
    <cfRule type="cellIs" dxfId="9993" priority="257" operator="between">
      <formula>100.001%</formula>
      <formula>110%</formula>
    </cfRule>
    <cfRule type="cellIs" dxfId="9992" priority="258" operator="between">
      <formula>70.001%</formula>
      <formula>100%</formula>
    </cfRule>
    <cfRule type="cellIs" dxfId="9991" priority="259" operator="between">
      <formula>0.00001%</formula>
      <formula>70%</formula>
    </cfRule>
    <cfRule type="cellIs" dxfId="9990" priority="260" operator="equal">
      <formula>0</formula>
    </cfRule>
  </conditionalFormatting>
  <conditionalFormatting sqref="W48">
    <cfRule type="cellIs" dxfId="9989" priority="251" operator="greaterThan">
      <formula>110%</formula>
    </cfRule>
    <cfRule type="cellIs" dxfId="9988" priority="252" operator="between">
      <formula>100.001%</formula>
      <formula>110%</formula>
    </cfRule>
    <cfRule type="cellIs" dxfId="9987" priority="253" operator="between">
      <formula>70.001%</formula>
      <formula>100%</formula>
    </cfRule>
    <cfRule type="cellIs" dxfId="9986" priority="254" operator="between">
      <formula>0.00001%</formula>
      <formula>70%</formula>
    </cfRule>
    <cfRule type="cellIs" dxfId="9985" priority="255" operator="equal">
      <formula>0</formula>
    </cfRule>
  </conditionalFormatting>
  <conditionalFormatting sqref="Z48">
    <cfRule type="cellIs" dxfId="9984" priority="246" operator="greaterThan">
      <formula>110%</formula>
    </cfRule>
    <cfRule type="cellIs" dxfId="9983" priority="247" operator="between">
      <formula>100.001%</formula>
      <formula>110%</formula>
    </cfRule>
    <cfRule type="cellIs" dxfId="9982" priority="248" operator="between">
      <formula>70.001%</formula>
      <formula>100%</formula>
    </cfRule>
    <cfRule type="cellIs" dxfId="9981" priority="249" operator="between">
      <formula>0.00001%</formula>
      <formula>70%</formula>
    </cfRule>
    <cfRule type="cellIs" dxfId="9980" priority="250" operator="equal">
      <formula>0</formula>
    </cfRule>
  </conditionalFormatting>
  <conditionalFormatting sqref="AC48">
    <cfRule type="cellIs" dxfId="9979" priority="241" operator="greaterThan">
      <formula>110%</formula>
    </cfRule>
    <cfRule type="cellIs" dxfId="9978" priority="242" operator="between">
      <formula>100.001%</formula>
      <formula>110%</formula>
    </cfRule>
    <cfRule type="cellIs" dxfId="9977" priority="243" operator="between">
      <formula>70.001%</formula>
      <formula>100%</formula>
    </cfRule>
    <cfRule type="cellIs" dxfId="9976" priority="244" operator="between">
      <formula>0.00001%</formula>
      <formula>70%</formula>
    </cfRule>
    <cfRule type="cellIs" dxfId="9975" priority="245" operator="equal">
      <formula>0</formula>
    </cfRule>
  </conditionalFormatting>
  <conditionalFormatting sqref="AH48">
    <cfRule type="cellIs" dxfId="9974" priority="236" operator="greaterThan">
      <formula>110%</formula>
    </cfRule>
    <cfRule type="cellIs" dxfId="9973" priority="237" operator="between">
      <formula>100.001%</formula>
      <formula>110%</formula>
    </cfRule>
    <cfRule type="cellIs" dxfId="9972" priority="238" operator="between">
      <formula>70.001%</formula>
      <formula>100%</formula>
    </cfRule>
    <cfRule type="cellIs" dxfId="9971" priority="239" operator="between">
      <formula>0.00001%</formula>
      <formula>70%</formula>
    </cfRule>
    <cfRule type="cellIs" dxfId="9970" priority="240" operator="equal">
      <formula>0</formula>
    </cfRule>
  </conditionalFormatting>
  <conditionalFormatting sqref="AK48">
    <cfRule type="cellIs" dxfId="9969" priority="231" operator="greaterThan">
      <formula>110%</formula>
    </cfRule>
    <cfRule type="cellIs" dxfId="9968" priority="232" operator="between">
      <formula>100.001%</formula>
      <formula>110%</formula>
    </cfRule>
    <cfRule type="cellIs" dxfId="9967" priority="233" operator="between">
      <formula>70.001%</formula>
      <formula>100%</formula>
    </cfRule>
    <cfRule type="cellIs" dxfId="9966" priority="234" operator="between">
      <formula>0.00001%</formula>
      <formula>70%</formula>
    </cfRule>
    <cfRule type="cellIs" dxfId="9965" priority="235" operator="equal">
      <formula>0</formula>
    </cfRule>
  </conditionalFormatting>
  <conditionalFormatting sqref="AN48">
    <cfRule type="cellIs" dxfId="9964" priority="226" operator="greaterThan">
      <formula>110%</formula>
    </cfRule>
    <cfRule type="cellIs" dxfId="9963" priority="227" operator="between">
      <formula>100.001%</formula>
      <formula>110%</formula>
    </cfRule>
    <cfRule type="cellIs" dxfId="9962" priority="228" operator="between">
      <formula>70.001%</formula>
      <formula>100%</formula>
    </cfRule>
    <cfRule type="cellIs" dxfId="9961" priority="229" operator="between">
      <formula>0.00001%</formula>
      <formula>70%</formula>
    </cfRule>
    <cfRule type="cellIs" dxfId="9960" priority="230" operator="equal">
      <formula>0</formula>
    </cfRule>
  </conditionalFormatting>
  <conditionalFormatting sqref="AQ48">
    <cfRule type="cellIs" dxfId="9959" priority="221" operator="greaterThan">
      <formula>110%</formula>
    </cfRule>
    <cfRule type="cellIs" dxfId="9958" priority="222" operator="between">
      <formula>100.001%</formula>
      <formula>110%</formula>
    </cfRule>
    <cfRule type="cellIs" dxfId="9957" priority="223" operator="between">
      <formula>70.001%</formula>
      <formula>100%</formula>
    </cfRule>
    <cfRule type="cellIs" dxfId="9956" priority="224" operator="between">
      <formula>0.00001%</formula>
      <formula>70%</formula>
    </cfRule>
    <cfRule type="cellIs" dxfId="9955" priority="225" operator="equal">
      <formula>0</formula>
    </cfRule>
  </conditionalFormatting>
  <conditionalFormatting sqref="AT48">
    <cfRule type="cellIs" dxfId="9954" priority="216" operator="greaterThan">
      <formula>110%</formula>
    </cfRule>
    <cfRule type="cellIs" dxfId="9953" priority="217" operator="between">
      <formula>100.001%</formula>
      <formula>110%</formula>
    </cfRule>
    <cfRule type="cellIs" dxfId="9952" priority="218" operator="between">
      <formula>70.001%</formula>
      <formula>100%</formula>
    </cfRule>
    <cfRule type="cellIs" dxfId="9951" priority="219" operator="between">
      <formula>0.00001%</formula>
      <formula>70%</formula>
    </cfRule>
    <cfRule type="cellIs" dxfId="9950" priority="220" operator="equal">
      <formula>0</formula>
    </cfRule>
  </conditionalFormatting>
  <conditionalFormatting sqref="AW48">
    <cfRule type="cellIs" dxfId="9949" priority="211" operator="greaterThan">
      <formula>110%</formula>
    </cfRule>
    <cfRule type="cellIs" dxfId="9948" priority="212" operator="between">
      <formula>100.001%</formula>
      <formula>110%</formula>
    </cfRule>
    <cfRule type="cellIs" dxfId="9947" priority="213" operator="between">
      <formula>70.001%</formula>
      <formula>100%</formula>
    </cfRule>
    <cfRule type="cellIs" dxfId="9946" priority="214" operator="between">
      <formula>0.00001%</formula>
      <formula>70%</formula>
    </cfRule>
    <cfRule type="cellIs" dxfId="9945" priority="215" operator="equal">
      <formula>0</formula>
    </cfRule>
  </conditionalFormatting>
  <conditionalFormatting sqref="AW9:AW10">
    <cfRule type="cellIs" dxfId="9944" priority="141" operator="greaterThan">
      <formula>110%</formula>
    </cfRule>
    <cfRule type="cellIs" dxfId="9943" priority="142" operator="between">
      <formula>100.001%</formula>
      <formula>110%</formula>
    </cfRule>
    <cfRule type="cellIs" dxfId="9942" priority="143" operator="between">
      <formula>70.001%</formula>
      <formula>100%</formula>
    </cfRule>
    <cfRule type="cellIs" dxfId="9941" priority="144" operator="between">
      <formula>0.00001%</formula>
      <formula>70%</formula>
    </cfRule>
    <cfRule type="cellIs" dxfId="9940" priority="145" operator="equal">
      <formula>0</formula>
    </cfRule>
  </conditionalFormatting>
  <conditionalFormatting sqref="AE9:AE10">
    <cfRule type="cellIs" dxfId="9939" priority="206" operator="greaterThan">
      <formula>110%</formula>
    </cfRule>
    <cfRule type="cellIs" dxfId="9938" priority="207" operator="between">
      <formula>100.001%</formula>
      <formula>110%</formula>
    </cfRule>
    <cfRule type="cellIs" dxfId="9937" priority="208" operator="between">
      <formula>70.001%</formula>
      <formula>100%</formula>
    </cfRule>
    <cfRule type="cellIs" dxfId="9936" priority="209" operator="between">
      <formula>0.00001%</formula>
      <formula>70%</formula>
    </cfRule>
    <cfRule type="cellIs" dxfId="9935" priority="210" operator="equal">
      <formula>0</formula>
    </cfRule>
  </conditionalFormatting>
  <conditionalFormatting sqref="AY9:AY10">
    <cfRule type="cellIs" dxfId="9934" priority="201" operator="greaterThan">
      <formula>110%</formula>
    </cfRule>
    <cfRule type="cellIs" dxfId="9933" priority="202" operator="between">
      <formula>100.001%</formula>
      <formula>110%</formula>
    </cfRule>
    <cfRule type="cellIs" dxfId="9932" priority="203" operator="between">
      <formula>70.001%</formula>
      <formula>100%</formula>
    </cfRule>
    <cfRule type="cellIs" dxfId="9931" priority="204" operator="between">
      <formula>0.00001%</formula>
      <formula>70%</formula>
    </cfRule>
    <cfRule type="cellIs" dxfId="9930" priority="205" operator="equal">
      <formula>0</formula>
    </cfRule>
  </conditionalFormatting>
  <conditionalFormatting sqref="N9:N10">
    <cfRule type="cellIs" dxfId="9929" priority="196" operator="greaterThan">
      <formula>110%</formula>
    </cfRule>
    <cfRule type="cellIs" dxfId="9928" priority="197" operator="between">
      <formula>100.001%</formula>
      <formula>110%</formula>
    </cfRule>
    <cfRule type="cellIs" dxfId="9927" priority="198" operator="between">
      <formula>70.001%</formula>
      <formula>100%</formula>
    </cfRule>
    <cfRule type="cellIs" dxfId="9926" priority="199" operator="between">
      <formula>0.00001%</formula>
      <formula>70%</formula>
    </cfRule>
    <cfRule type="cellIs" dxfId="9925" priority="200" operator="equal">
      <formula>0</formula>
    </cfRule>
  </conditionalFormatting>
  <conditionalFormatting sqref="Q9:Q10">
    <cfRule type="cellIs" dxfId="9924" priority="191" operator="greaterThan">
      <formula>110%</formula>
    </cfRule>
    <cfRule type="cellIs" dxfId="9923" priority="192" operator="between">
      <formula>100.001%</formula>
      <formula>110%</formula>
    </cfRule>
    <cfRule type="cellIs" dxfId="9922" priority="193" operator="between">
      <formula>70.001%</formula>
      <formula>100%</formula>
    </cfRule>
    <cfRule type="cellIs" dxfId="9921" priority="194" operator="between">
      <formula>0.00001%</formula>
      <formula>70%</formula>
    </cfRule>
    <cfRule type="cellIs" dxfId="9920" priority="195" operator="equal">
      <formula>0</formula>
    </cfRule>
  </conditionalFormatting>
  <conditionalFormatting sqref="T9:T10">
    <cfRule type="cellIs" dxfId="9919" priority="186" operator="greaterThan">
      <formula>110%</formula>
    </cfRule>
    <cfRule type="cellIs" dxfId="9918" priority="187" operator="between">
      <formula>100.001%</formula>
      <formula>110%</formula>
    </cfRule>
    <cfRule type="cellIs" dxfId="9917" priority="188" operator="between">
      <formula>70.001%</formula>
      <formula>100%</formula>
    </cfRule>
    <cfRule type="cellIs" dxfId="9916" priority="189" operator="between">
      <formula>0.00001%</formula>
      <formula>70%</formula>
    </cfRule>
    <cfRule type="cellIs" dxfId="9915" priority="190" operator="equal">
      <formula>0</formula>
    </cfRule>
  </conditionalFormatting>
  <conditionalFormatting sqref="W9:W10">
    <cfRule type="cellIs" dxfId="9914" priority="181" operator="greaterThan">
      <formula>110%</formula>
    </cfRule>
    <cfRule type="cellIs" dxfId="9913" priority="182" operator="between">
      <formula>100.001%</formula>
      <formula>110%</formula>
    </cfRule>
    <cfRule type="cellIs" dxfId="9912" priority="183" operator="between">
      <formula>70.001%</formula>
      <formula>100%</formula>
    </cfRule>
    <cfRule type="cellIs" dxfId="9911" priority="184" operator="between">
      <formula>0.00001%</formula>
      <formula>70%</formula>
    </cfRule>
    <cfRule type="cellIs" dxfId="9910" priority="185" operator="equal">
      <formula>0</formula>
    </cfRule>
  </conditionalFormatting>
  <conditionalFormatting sqref="Z9:Z10">
    <cfRule type="cellIs" dxfId="9909" priority="176" operator="greaterThan">
      <formula>110%</formula>
    </cfRule>
    <cfRule type="cellIs" dxfId="9908" priority="177" operator="between">
      <formula>100.001%</formula>
      <formula>110%</formula>
    </cfRule>
    <cfRule type="cellIs" dxfId="9907" priority="178" operator="between">
      <formula>70.001%</formula>
      <formula>100%</formula>
    </cfRule>
    <cfRule type="cellIs" dxfId="9906" priority="179" operator="between">
      <formula>0.00001%</formula>
      <formula>70%</formula>
    </cfRule>
    <cfRule type="cellIs" dxfId="9905" priority="180" operator="equal">
      <formula>0</formula>
    </cfRule>
  </conditionalFormatting>
  <conditionalFormatting sqref="AC9:AC10">
    <cfRule type="cellIs" dxfId="9904" priority="171" operator="greaterThan">
      <formula>110%</formula>
    </cfRule>
    <cfRule type="cellIs" dxfId="9903" priority="172" operator="between">
      <formula>100.001%</formula>
      <formula>110%</formula>
    </cfRule>
    <cfRule type="cellIs" dxfId="9902" priority="173" operator="between">
      <formula>70.001%</formula>
      <formula>100%</formula>
    </cfRule>
    <cfRule type="cellIs" dxfId="9901" priority="174" operator="between">
      <formula>0.00001%</formula>
      <formula>70%</formula>
    </cfRule>
    <cfRule type="cellIs" dxfId="9900" priority="175" operator="equal">
      <formula>0</formula>
    </cfRule>
  </conditionalFormatting>
  <conditionalFormatting sqref="AH9:AH10">
    <cfRule type="cellIs" dxfId="9899" priority="166" operator="greaterThan">
      <formula>110%</formula>
    </cfRule>
    <cfRule type="cellIs" dxfId="9898" priority="167" operator="between">
      <formula>100.001%</formula>
      <formula>110%</formula>
    </cfRule>
    <cfRule type="cellIs" dxfId="9897" priority="168" operator="between">
      <formula>70.001%</formula>
      <formula>100%</formula>
    </cfRule>
    <cfRule type="cellIs" dxfId="9896" priority="169" operator="between">
      <formula>0.00001%</formula>
      <formula>70%</formula>
    </cfRule>
    <cfRule type="cellIs" dxfId="9895" priority="170" operator="equal">
      <formula>0</formula>
    </cfRule>
  </conditionalFormatting>
  <conditionalFormatting sqref="AK9:AK10">
    <cfRule type="cellIs" dxfId="9894" priority="161" operator="greaterThan">
      <formula>110%</formula>
    </cfRule>
    <cfRule type="cellIs" dxfId="9893" priority="162" operator="between">
      <formula>100.001%</formula>
      <formula>110%</formula>
    </cfRule>
    <cfRule type="cellIs" dxfId="9892" priority="163" operator="between">
      <formula>70.001%</formula>
      <formula>100%</formula>
    </cfRule>
    <cfRule type="cellIs" dxfId="9891" priority="164" operator="between">
      <formula>0.00001%</formula>
      <formula>70%</formula>
    </cfRule>
    <cfRule type="cellIs" dxfId="9890" priority="165" operator="equal">
      <formula>0</formula>
    </cfRule>
  </conditionalFormatting>
  <conditionalFormatting sqref="AN9:AN10">
    <cfRule type="cellIs" dxfId="9889" priority="156" operator="greaterThan">
      <formula>110%</formula>
    </cfRule>
    <cfRule type="cellIs" dxfId="9888" priority="157" operator="between">
      <formula>100.001%</formula>
      <formula>110%</formula>
    </cfRule>
    <cfRule type="cellIs" dxfId="9887" priority="158" operator="between">
      <formula>70.001%</formula>
      <formula>100%</formula>
    </cfRule>
    <cfRule type="cellIs" dxfId="9886" priority="159" operator="between">
      <formula>0.00001%</formula>
      <formula>70%</formula>
    </cfRule>
    <cfRule type="cellIs" dxfId="9885" priority="160" operator="equal">
      <formula>0</formula>
    </cfRule>
  </conditionalFormatting>
  <conditionalFormatting sqref="AQ9:AQ10">
    <cfRule type="cellIs" dxfId="9884" priority="151" operator="greaterThan">
      <formula>110%</formula>
    </cfRule>
    <cfRule type="cellIs" dxfId="9883" priority="152" operator="between">
      <formula>100.001%</formula>
      <formula>110%</formula>
    </cfRule>
    <cfRule type="cellIs" dxfId="9882" priority="153" operator="between">
      <formula>70.001%</formula>
      <formula>100%</formula>
    </cfRule>
    <cfRule type="cellIs" dxfId="9881" priority="154" operator="between">
      <formula>0.00001%</formula>
      <formula>70%</formula>
    </cfRule>
    <cfRule type="cellIs" dxfId="9880" priority="155" operator="equal">
      <formula>0</formula>
    </cfRule>
  </conditionalFormatting>
  <conditionalFormatting sqref="AT9:AT10">
    <cfRule type="cellIs" dxfId="9879" priority="146" operator="greaterThan">
      <formula>110%</formula>
    </cfRule>
    <cfRule type="cellIs" dxfId="9878" priority="147" operator="between">
      <formula>100.001%</formula>
      <formula>110%</formula>
    </cfRule>
    <cfRule type="cellIs" dxfId="9877" priority="148" operator="between">
      <formula>70.001%</formula>
      <formula>100%</formula>
    </cfRule>
    <cfRule type="cellIs" dxfId="9876" priority="149" operator="between">
      <formula>0.00001%</formula>
      <formula>70%</formula>
    </cfRule>
    <cfRule type="cellIs" dxfId="9875" priority="150" operator="equal">
      <formula>0</formula>
    </cfRule>
  </conditionalFormatting>
  <conditionalFormatting sqref="N34">
    <cfRule type="cellIs" dxfId="9874" priority="136" operator="greaterThan">
      <formula>110%</formula>
    </cfRule>
    <cfRule type="cellIs" dxfId="9873" priority="137" operator="between">
      <formula>100.001%</formula>
      <formula>110%</formula>
    </cfRule>
    <cfRule type="cellIs" dxfId="9872" priority="138" operator="between">
      <formula>70.001%</formula>
      <formula>100%</formula>
    </cfRule>
    <cfRule type="cellIs" dxfId="9871" priority="139" operator="between">
      <formula>0.00001%</formula>
      <formula>70%</formula>
    </cfRule>
    <cfRule type="cellIs" dxfId="9870" priority="140" operator="equal">
      <formula>0%</formula>
    </cfRule>
  </conditionalFormatting>
  <conditionalFormatting sqref="Q34">
    <cfRule type="cellIs" dxfId="9869" priority="131" operator="greaterThan">
      <formula>110%</formula>
    </cfRule>
    <cfRule type="cellIs" dxfId="9868" priority="132" operator="between">
      <formula>100.001%</formula>
      <formula>110%</formula>
    </cfRule>
    <cfRule type="cellIs" dxfId="9867" priority="133" operator="between">
      <formula>70.001%</formula>
      <formula>100%</formula>
    </cfRule>
    <cfRule type="cellIs" dxfId="9866" priority="134" operator="between">
      <formula>0.00001%</formula>
      <formula>70%</formula>
    </cfRule>
    <cfRule type="cellIs" dxfId="9865" priority="135" operator="equal">
      <formula>0%</formula>
    </cfRule>
  </conditionalFormatting>
  <conditionalFormatting sqref="T34">
    <cfRule type="cellIs" dxfId="9864" priority="126" operator="greaterThan">
      <formula>110%</formula>
    </cfRule>
    <cfRule type="cellIs" dxfId="9863" priority="127" operator="between">
      <formula>100.001%</formula>
      <formula>110%</formula>
    </cfRule>
    <cfRule type="cellIs" dxfId="9862" priority="128" operator="between">
      <formula>70.001%</formula>
      <formula>100%</formula>
    </cfRule>
    <cfRule type="cellIs" dxfId="9861" priority="129" operator="between">
      <formula>0.00001%</formula>
      <formula>70%</formula>
    </cfRule>
    <cfRule type="cellIs" dxfId="9860" priority="130" operator="equal">
      <formula>0%</formula>
    </cfRule>
  </conditionalFormatting>
  <conditionalFormatting sqref="W34">
    <cfRule type="cellIs" dxfId="9859" priority="121" operator="greaterThan">
      <formula>110%</formula>
    </cfRule>
    <cfRule type="cellIs" dxfId="9858" priority="122" operator="between">
      <formula>100.001%</formula>
      <formula>110%</formula>
    </cfRule>
    <cfRule type="cellIs" dxfId="9857" priority="123" operator="between">
      <formula>70.001%</formula>
      <formula>100%</formula>
    </cfRule>
    <cfRule type="cellIs" dxfId="9856" priority="124" operator="between">
      <formula>0.00001%</formula>
      <formula>70%</formula>
    </cfRule>
    <cfRule type="cellIs" dxfId="9855" priority="125" operator="equal">
      <formula>0%</formula>
    </cfRule>
  </conditionalFormatting>
  <conditionalFormatting sqref="Z34">
    <cfRule type="cellIs" dxfId="9854" priority="116" operator="greaterThan">
      <formula>110%</formula>
    </cfRule>
    <cfRule type="cellIs" dxfId="9853" priority="117" operator="between">
      <formula>100.001%</formula>
      <formula>110%</formula>
    </cfRule>
    <cfRule type="cellIs" dxfId="9852" priority="118" operator="between">
      <formula>70.001%</formula>
      <formula>100%</formula>
    </cfRule>
    <cfRule type="cellIs" dxfId="9851" priority="119" operator="between">
      <formula>0.00001%</formula>
      <formula>70%</formula>
    </cfRule>
    <cfRule type="cellIs" dxfId="9850" priority="120" operator="equal">
      <formula>0%</formula>
    </cfRule>
  </conditionalFormatting>
  <conditionalFormatting sqref="AC34">
    <cfRule type="cellIs" dxfId="9849" priority="111" operator="greaterThan">
      <formula>110%</formula>
    </cfRule>
    <cfRule type="cellIs" dxfId="9848" priority="112" operator="between">
      <formula>100.001%</formula>
      <formula>110%</formula>
    </cfRule>
    <cfRule type="cellIs" dxfId="9847" priority="113" operator="between">
      <formula>70.001%</formula>
      <formula>100%</formula>
    </cfRule>
    <cfRule type="cellIs" dxfId="9846" priority="114" operator="between">
      <formula>0.00001%</formula>
      <formula>70%</formula>
    </cfRule>
    <cfRule type="cellIs" dxfId="9845" priority="115" operator="equal">
      <formula>0%</formula>
    </cfRule>
  </conditionalFormatting>
  <conditionalFormatting sqref="AE34">
    <cfRule type="cellIs" dxfId="9844" priority="106" operator="greaterThan">
      <formula>110%</formula>
    </cfRule>
    <cfRule type="cellIs" dxfId="9843" priority="107" operator="between">
      <formula>100.001%</formula>
      <formula>110%</formula>
    </cfRule>
    <cfRule type="cellIs" dxfId="9842" priority="108" operator="between">
      <formula>70.001%</formula>
      <formula>100%</formula>
    </cfRule>
    <cfRule type="cellIs" dxfId="9841" priority="109" operator="between">
      <formula>0.00001%</formula>
      <formula>70%</formula>
    </cfRule>
    <cfRule type="cellIs" dxfId="9840" priority="110" operator="equal">
      <formula>0%</formula>
    </cfRule>
  </conditionalFormatting>
  <conditionalFormatting sqref="AH34">
    <cfRule type="cellIs" dxfId="9839" priority="101" operator="greaterThan">
      <formula>110%</formula>
    </cfRule>
    <cfRule type="cellIs" dxfId="9838" priority="102" operator="between">
      <formula>100.001%</formula>
      <formula>110%</formula>
    </cfRule>
    <cfRule type="cellIs" dxfId="9837" priority="103" operator="between">
      <formula>70.001%</formula>
      <formula>100%</formula>
    </cfRule>
    <cfRule type="cellIs" dxfId="9836" priority="104" operator="between">
      <formula>0.00001%</formula>
      <formula>70%</formula>
    </cfRule>
    <cfRule type="cellIs" dxfId="9835" priority="105" operator="equal">
      <formula>0%</formula>
    </cfRule>
  </conditionalFormatting>
  <conditionalFormatting sqref="AK34">
    <cfRule type="cellIs" dxfId="9834" priority="96" operator="greaterThan">
      <formula>110%</formula>
    </cfRule>
    <cfRule type="cellIs" dxfId="9833" priority="97" operator="between">
      <formula>100.001%</formula>
      <formula>110%</formula>
    </cfRule>
    <cfRule type="cellIs" dxfId="9832" priority="98" operator="between">
      <formula>70.001%</formula>
      <formula>100%</formula>
    </cfRule>
    <cfRule type="cellIs" dxfId="9831" priority="99" operator="between">
      <formula>0.00001%</formula>
      <formula>70%</formula>
    </cfRule>
    <cfRule type="cellIs" dxfId="9830" priority="100" operator="equal">
      <formula>0%</formula>
    </cfRule>
  </conditionalFormatting>
  <conditionalFormatting sqref="AN34">
    <cfRule type="cellIs" dxfId="9829" priority="91" operator="greaterThan">
      <formula>110%</formula>
    </cfRule>
    <cfRule type="cellIs" dxfId="9828" priority="92" operator="between">
      <formula>100.001%</formula>
      <formula>110%</formula>
    </cfRule>
    <cfRule type="cellIs" dxfId="9827" priority="93" operator="between">
      <formula>70.001%</formula>
      <formula>100%</formula>
    </cfRule>
    <cfRule type="cellIs" dxfId="9826" priority="94" operator="between">
      <formula>0.00001%</formula>
      <formula>70%</formula>
    </cfRule>
    <cfRule type="cellIs" dxfId="9825" priority="95" operator="equal">
      <formula>0%</formula>
    </cfRule>
  </conditionalFormatting>
  <conditionalFormatting sqref="AQ34">
    <cfRule type="cellIs" dxfId="9824" priority="86" operator="greaterThan">
      <formula>110%</formula>
    </cfRule>
    <cfRule type="cellIs" dxfId="9823" priority="87" operator="between">
      <formula>100.001%</formula>
      <formula>110%</formula>
    </cfRule>
    <cfRule type="cellIs" dxfId="9822" priority="88" operator="between">
      <formula>70.001%</formula>
      <formula>100%</formula>
    </cfRule>
    <cfRule type="cellIs" dxfId="9821" priority="89" operator="between">
      <formula>0.00001%</formula>
      <formula>70%</formula>
    </cfRule>
    <cfRule type="cellIs" dxfId="9820" priority="90" operator="equal">
      <formula>0%</formula>
    </cfRule>
  </conditionalFormatting>
  <conditionalFormatting sqref="AT34">
    <cfRule type="cellIs" dxfId="9819" priority="81" operator="greaterThan">
      <formula>110%</formula>
    </cfRule>
    <cfRule type="cellIs" dxfId="9818" priority="82" operator="between">
      <formula>100.001%</formula>
      <formula>110%</formula>
    </cfRule>
    <cfRule type="cellIs" dxfId="9817" priority="83" operator="between">
      <formula>70.001%</formula>
      <formula>100%</formula>
    </cfRule>
    <cfRule type="cellIs" dxfId="9816" priority="84" operator="between">
      <formula>0.00001%</formula>
      <formula>70%</formula>
    </cfRule>
    <cfRule type="cellIs" dxfId="9815" priority="85" operator="equal">
      <formula>0%</formula>
    </cfRule>
  </conditionalFormatting>
  <conditionalFormatting sqref="AW34">
    <cfRule type="cellIs" dxfId="9814" priority="76" operator="greaterThan">
      <formula>110%</formula>
    </cfRule>
    <cfRule type="cellIs" dxfId="9813" priority="77" operator="between">
      <formula>100.001%</formula>
      <formula>110%</formula>
    </cfRule>
    <cfRule type="cellIs" dxfId="9812" priority="78" operator="between">
      <formula>70.001%</formula>
      <formula>100%</formula>
    </cfRule>
    <cfRule type="cellIs" dxfId="9811" priority="79" operator="between">
      <formula>0.00001%</formula>
      <formula>70%</formula>
    </cfRule>
    <cfRule type="cellIs" dxfId="9810" priority="80" operator="equal">
      <formula>0%</formula>
    </cfRule>
  </conditionalFormatting>
  <conditionalFormatting sqref="AY34">
    <cfRule type="cellIs" dxfId="9809" priority="71" operator="greaterThan">
      <formula>110%</formula>
    </cfRule>
    <cfRule type="cellIs" dxfId="9808" priority="72" operator="between">
      <formula>100.001%</formula>
      <formula>110%</formula>
    </cfRule>
    <cfRule type="cellIs" dxfId="9807" priority="73" operator="between">
      <formula>70.001%</formula>
      <formula>100%</formula>
    </cfRule>
    <cfRule type="cellIs" dxfId="9806" priority="74" operator="between">
      <formula>0.00001%</formula>
      <formula>70%</formula>
    </cfRule>
    <cfRule type="cellIs" dxfId="9805" priority="75" operator="equal">
      <formula>0%</formula>
    </cfRule>
  </conditionalFormatting>
  <conditionalFormatting sqref="N35">
    <cfRule type="cellIs" dxfId="9804" priority="66" operator="greaterThan">
      <formula>110%</formula>
    </cfRule>
    <cfRule type="cellIs" dxfId="9803" priority="67" operator="between">
      <formula>100.001%</formula>
      <formula>110%</formula>
    </cfRule>
    <cfRule type="cellIs" dxfId="9802" priority="68" operator="between">
      <formula>70.001%</formula>
      <formula>100%</formula>
    </cfRule>
    <cfRule type="cellIs" dxfId="9801" priority="69" operator="between">
      <formula>0.00001%</formula>
      <formula>70%</formula>
    </cfRule>
    <cfRule type="cellIs" dxfId="9800" priority="70" operator="equal">
      <formula>0%</formula>
    </cfRule>
  </conditionalFormatting>
  <conditionalFormatting sqref="Q35">
    <cfRule type="cellIs" dxfId="9799" priority="61" operator="greaterThan">
      <formula>110%</formula>
    </cfRule>
    <cfRule type="cellIs" dxfId="9798" priority="62" operator="between">
      <formula>100.001%</formula>
      <formula>110%</formula>
    </cfRule>
    <cfRule type="cellIs" dxfId="9797" priority="63" operator="between">
      <formula>70.001%</formula>
      <formula>100%</formula>
    </cfRule>
    <cfRule type="cellIs" dxfId="9796" priority="64" operator="between">
      <formula>0.00001%</formula>
      <formula>70%</formula>
    </cfRule>
    <cfRule type="cellIs" dxfId="9795" priority="65" operator="equal">
      <formula>0%</formula>
    </cfRule>
  </conditionalFormatting>
  <conditionalFormatting sqref="T35">
    <cfRule type="cellIs" dxfId="9794" priority="56" operator="greaterThan">
      <formula>110%</formula>
    </cfRule>
    <cfRule type="cellIs" dxfId="9793" priority="57" operator="between">
      <formula>100.001%</formula>
      <formula>110%</formula>
    </cfRule>
    <cfRule type="cellIs" dxfId="9792" priority="58" operator="between">
      <formula>70.001%</formula>
      <formula>100%</formula>
    </cfRule>
    <cfRule type="cellIs" dxfId="9791" priority="59" operator="between">
      <formula>0.00001%</formula>
      <formula>70%</formula>
    </cfRule>
    <cfRule type="cellIs" dxfId="9790" priority="60" operator="equal">
      <formula>0%</formula>
    </cfRule>
  </conditionalFormatting>
  <conditionalFormatting sqref="W35">
    <cfRule type="cellIs" dxfId="9789" priority="51" operator="greaterThan">
      <formula>110%</formula>
    </cfRule>
    <cfRule type="cellIs" dxfId="9788" priority="52" operator="between">
      <formula>100.001%</formula>
      <formula>110%</formula>
    </cfRule>
    <cfRule type="cellIs" dxfId="9787" priority="53" operator="between">
      <formula>70.001%</formula>
      <formula>100%</formula>
    </cfRule>
    <cfRule type="cellIs" dxfId="9786" priority="54" operator="between">
      <formula>0.00001%</formula>
      <formula>70%</formula>
    </cfRule>
    <cfRule type="cellIs" dxfId="9785" priority="55" operator="equal">
      <formula>0%</formula>
    </cfRule>
  </conditionalFormatting>
  <conditionalFormatting sqref="Z35">
    <cfRule type="cellIs" dxfId="9784" priority="46" operator="greaterThan">
      <formula>110%</formula>
    </cfRule>
    <cfRule type="cellIs" dxfId="9783" priority="47" operator="between">
      <formula>100.001%</formula>
      <formula>110%</formula>
    </cfRule>
    <cfRule type="cellIs" dxfId="9782" priority="48" operator="between">
      <formula>70.001%</formula>
      <formula>100%</formula>
    </cfRule>
    <cfRule type="cellIs" dxfId="9781" priority="49" operator="between">
      <formula>0.00001%</formula>
      <formula>70%</formula>
    </cfRule>
    <cfRule type="cellIs" dxfId="9780" priority="50" operator="equal">
      <formula>0%</formula>
    </cfRule>
  </conditionalFormatting>
  <conditionalFormatting sqref="AC35">
    <cfRule type="cellIs" dxfId="9779" priority="41" operator="greaterThan">
      <formula>110%</formula>
    </cfRule>
    <cfRule type="cellIs" dxfId="9778" priority="42" operator="between">
      <formula>100.001%</formula>
      <formula>110%</formula>
    </cfRule>
    <cfRule type="cellIs" dxfId="9777" priority="43" operator="between">
      <formula>70.001%</formula>
      <formula>100%</formula>
    </cfRule>
    <cfRule type="cellIs" dxfId="9776" priority="44" operator="between">
      <formula>0.00001%</formula>
      <formula>70%</formula>
    </cfRule>
    <cfRule type="cellIs" dxfId="9775" priority="45" operator="equal">
      <formula>0%</formula>
    </cfRule>
  </conditionalFormatting>
  <conditionalFormatting sqref="AE35">
    <cfRule type="cellIs" dxfId="9774" priority="36" operator="greaterThan">
      <formula>110%</formula>
    </cfRule>
    <cfRule type="cellIs" dxfId="9773" priority="37" operator="between">
      <formula>100.001%</formula>
      <formula>110%</formula>
    </cfRule>
    <cfRule type="cellIs" dxfId="9772" priority="38" operator="between">
      <formula>70.001%</formula>
      <formula>100%</formula>
    </cfRule>
    <cfRule type="cellIs" dxfId="9771" priority="39" operator="between">
      <formula>0.00001%</formula>
      <formula>70%</formula>
    </cfRule>
    <cfRule type="cellIs" dxfId="9770" priority="40" operator="equal">
      <formula>0%</formula>
    </cfRule>
  </conditionalFormatting>
  <conditionalFormatting sqref="AH35">
    <cfRule type="cellIs" dxfId="9769" priority="31" operator="greaterThan">
      <formula>110%</formula>
    </cfRule>
    <cfRule type="cellIs" dxfId="9768" priority="32" operator="between">
      <formula>100.001%</formula>
      <formula>110%</formula>
    </cfRule>
    <cfRule type="cellIs" dxfId="9767" priority="33" operator="between">
      <formula>70.001%</formula>
      <formula>100%</formula>
    </cfRule>
    <cfRule type="cellIs" dxfId="9766" priority="34" operator="between">
      <formula>0.00001%</formula>
      <formula>70%</formula>
    </cfRule>
    <cfRule type="cellIs" dxfId="9765" priority="35" operator="equal">
      <formula>0%</formula>
    </cfRule>
  </conditionalFormatting>
  <conditionalFormatting sqref="AK35">
    <cfRule type="cellIs" dxfId="9764" priority="26" operator="greaterThan">
      <formula>110%</formula>
    </cfRule>
    <cfRule type="cellIs" dxfId="9763" priority="27" operator="between">
      <formula>100.001%</formula>
      <formula>110%</formula>
    </cfRule>
    <cfRule type="cellIs" dxfId="9762" priority="28" operator="between">
      <formula>70.001%</formula>
      <formula>100%</formula>
    </cfRule>
    <cfRule type="cellIs" dxfId="9761" priority="29" operator="between">
      <formula>0.00001%</formula>
      <formula>70%</formula>
    </cfRule>
    <cfRule type="cellIs" dxfId="9760" priority="30" operator="equal">
      <formula>0%</formula>
    </cfRule>
  </conditionalFormatting>
  <conditionalFormatting sqref="AN35">
    <cfRule type="cellIs" dxfId="9759" priority="21" operator="greaterThan">
      <formula>110%</formula>
    </cfRule>
    <cfRule type="cellIs" dxfId="9758" priority="22" operator="between">
      <formula>100.001%</formula>
      <formula>110%</formula>
    </cfRule>
    <cfRule type="cellIs" dxfId="9757" priority="23" operator="between">
      <formula>70.001%</formula>
      <formula>100%</formula>
    </cfRule>
    <cfRule type="cellIs" dxfId="9756" priority="24" operator="between">
      <formula>0.00001%</formula>
      <formula>70%</formula>
    </cfRule>
    <cfRule type="cellIs" dxfId="9755" priority="25" operator="equal">
      <formula>0%</formula>
    </cfRule>
  </conditionalFormatting>
  <conditionalFormatting sqref="AQ35">
    <cfRule type="cellIs" dxfId="9754" priority="16" operator="greaterThan">
      <formula>110%</formula>
    </cfRule>
    <cfRule type="cellIs" dxfId="9753" priority="17" operator="between">
      <formula>100.001%</formula>
      <formula>110%</formula>
    </cfRule>
    <cfRule type="cellIs" dxfId="9752" priority="18" operator="between">
      <formula>70.001%</formula>
      <formula>100%</formula>
    </cfRule>
    <cfRule type="cellIs" dxfId="9751" priority="19" operator="between">
      <formula>0.00001%</formula>
      <formula>70%</formula>
    </cfRule>
    <cfRule type="cellIs" dxfId="9750" priority="20" operator="equal">
      <formula>0%</formula>
    </cfRule>
  </conditionalFormatting>
  <conditionalFormatting sqref="AT35">
    <cfRule type="cellIs" dxfId="9749" priority="11" operator="greaterThan">
      <formula>110%</formula>
    </cfRule>
    <cfRule type="cellIs" dxfId="9748" priority="12" operator="between">
      <formula>100.001%</formula>
      <formula>110%</formula>
    </cfRule>
    <cfRule type="cellIs" dxfId="9747" priority="13" operator="between">
      <formula>70.001%</formula>
      <formula>100%</formula>
    </cfRule>
    <cfRule type="cellIs" dxfId="9746" priority="14" operator="between">
      <formula>0.00001%</formula>
      <formula>70%</formula>
    </cfRule>
    <cfRule type="cellIs" dxfId="9745" priority="15" operator="equal">
      <formula>0%</formula>
    </cfRule>
  </conditionalFormatting>
  <conditionalFormatting sqref="AW35">
    <cfRule type="cellIs" dxfId="9744" priority="6" operator="greaterThan">
      <formula>110%</formula>
    </cfRule>
    <cfRule type="cellIs" dxfId="9743" priority="7" operator="between">
      <formula>100.001%</formula>
      <formula>110%</formula>
    </cfRule>
    <cfRule type="cellIs" dxfId="9742" priority="8" operator="between">
      <formula>70.001%</formula>
      <formula>100%</formula>
    </cfRule>
    <cfRule type="cellIs" dxfId="9741" priority="9" operator="between">
      <formula>0.00001%</formula>
      <formula>70%</formula>
    </cfRule>
    <cfRule type="cellIs" dxfId="9740" priority="10" operator="equal">
      <formula>0%</formula>
    </cfRule>
  </conditionalFormatting>
  <conditionalFormatting sqref="AY35">
    <cfRule type="cellIs" dxfId="9739" priority="1" operator="greaterThan">
      <formula>110%</formula>
    </cfRule>
    <cfRule type="cellIs" dxfId="9738" priority="2" operator="between">
      <formula>100.001%</formula>
      <formula>110%</formula>
    </cfRule>
    <cfRule type="cellIs" dxfId="9737" priority="3" operator="between">
      <formula>70.001%</formula>
      <formula>100%</formula>
    </cfRule>
    <cfRule type="cellIs" dxfId="9736" priority="4" operator="between">
      <formula>0.00001%</formula>
      <formula>70%</formula>
    </cfRule>
    <cfRule type="cellIs" dxfId="9735" priority="5" operator="equal">
      <formula>0%</formula>
    </cfRule>
  </conditionalFormatting>
  <hyperlinks>
    <hyperlink ref="D13" location="'FIS-8'!Área_de_impresión" display="FIS-8 Gestión aceptada de fiscalización aduanera (recaudo)" xr:uid="{00000000-0004-0000-0800-000000000000}"/>
    <hyperlink ref="D14" location="'FIS-9'!Área_de_impresión" display="FIS-9 Gestión aceptada de fiscalización aduanera (Resoluciones en firme)" xr:uid="{00000000-0004-0000-0800-000001000000}"/>
    <hyperlink ref="D15" location="'FIS-11'!Área_de_impresión" display="FIS-11 Gestión aceptada cambiaria (recaudo)" xr:uid="{00000000-0004-0000-0800-000002000000}"/>
    <hyperlink ref="D16" location="'FIS-12'!Área_de_impresión" display="FIS-12 Gestión aceptada cambiaria (Resoluciones en firme)" xr:uid="{00000000-0004-0000-0800-000003000000}"/>
    <hyperlink ref="D17" location="'FIS-16'!Área_de_impresión" display="FIS-16 Visitas de control a personas que hacen la venta y compra de divisas sin estar autorizados" xr:uid="{00000000-0004-0000-0800-000004000000}"/>
    <hyperlink ref="D18" location="'FIS-15'!Área_de_impresión" display="FIS-15 Visitas de control a profesionales de cambio" xr:uid="{00000000-0004-0000-0800-000005000000}"/>
    <hyperlink ref="D19" location="'FIS-18'!Área_de_impresión" display="FIS-18  Evacuación de expedientes en fiscalización cambiaria" xr:uid="{00000000-0004-0000-0800-000006000000}"/>
    <hyperlink ref="D20" location="'FIS-21'!Área_de_impresión" display="FIS-21 Propuestas de Programas de control posterior de fiscalización  aduanera (Sanciones, LOC, LOR, Origen)" xr:uid="{00000000-0004-0000-0800-000007000000}"/>
    <hyperlink ref="D21" location="'FIS-14'!Área_de_impresión" display="FIS-14 Propuestas acciones aduaneras de control posterior contra el contrabando técnico(Sanciones, LOC, LOR, Origen)" xr:uid="{00000000-0004-0000-0800-000008000000}"/>
    <hyperlink ref="D22" location="'JUR-3.1'!Área_de_impresión" display="JUR-3.1 Porcentaje de éxito de litigiosidad " xr:uid="{00000000-0004-0000-0800-000009000000}"/>
    <hyperlink ref="D23" location="'JUR-3.2'!Área_de_impresión" display="JUR-3.2 Porcentaje procesos judiciales revisados con mayor riesgo en Ekogui" xr:uid="{00000000-0004-0000-0800-00000A000000}"/>
    <hyperlink ref="D24" location="'JUR-3.3'!Área_de_impresión" display="JUR-3.3 Porcentaje de análisis de jurisprudencia remitidos junto con la copia de la sentencia " xr:uid="{00000000-0004-0000-0800-00000B000000}"/>
    <hyperlink ref="D25" location="'JUR-3.4'!Área_de_impresión" display="JUR-3.4 Porcentaje de procesos revisados con VoBo del Jefe " xr:uid="{00000000-0004-0000-0800-00000C000000}"/>
    <hyperlink ref="D26" location="'JUR-3.5'!Área_de_impresión" display="JUR-3.5 Porcentaje de requerimientos atendidos en oportunidad" xr:uid="{00000000-0004-0000-0800-00000D000000}"/>
    <hyperlink ref="D27" location="'JUR-3.6'!Área_de_impresión" display="JUR-3.6 Porcentaje funcionarios capacitaciones en cursos virtuales de la ANDJE" xr:uid="{00000000-0004-0000-0800-00000E000000}"/>
    <hyperlink ref="D28" location="'JUR-4'!Área_de_impresión" display="JUR-4 Porcentaje funcionarios que participaron en el concurso de escritura jurídica" xr:uid="{00000000-0004-0000-0800-00000F000000}"/>
    <hyperlink ref="D29" location="'ADU-3'!Área_de_impresión" display="ADU-3 Monto de recaudación total de aduanas" xr:uid="{00000000-0004-0000-0800-000010000000}"/>
    <hyperlink ref="D30" location="'POLFA-3'!A1" display="POLFA-3 Acciones de control de fiscalización contra el contrabando" xr:uid="{00000000-0004-0000-0800-000011000000}"/>
    <hyperlink ref="D31" location="'FIS-24'!A1" display="FIS-24 Valor Decomisos de mercancías en firme" xr:uid="{00000000-0004-0000-0800-000012000000}"/>
    <hyperlink ref="D32" location="'FIS-32'!A1" display="FIS-32 Valor Aprehensiones sectores de Licores, Cigarrillos, Calzado y Confecciones" xr:uid="{00000000-0004-0000-0800-000013000000}"/>
    <hyperlink ref="D33" location="'ADU-8'!A1" display="ADU-8 Efectividad en los controles previos  - Lucha contra el Contrabando" xr:uid="{00000000-0004-0000-0800-000014000000}"/>
    <hyperlink ref="D36" location="'ADU-10.1'!A1" display="'ADU-10.1'!A1" xr:uid="{00000000-0004-0000-0800-000015000000}"/>
    <hyperlink ref="D39" location="'ADU-29'!A1" display="ADU-29 Eficacia en la toma de muestras de las mercancías presentadas e identificadas por posibles desviaciones de la clasificación arancelaria u otro tipo de incumplimiento de restricciones legales y administrativas, entre otras." xr:uid="{00000000-0004-0000-0800-000016000000}"/>
    <hyperlink ref="D40" location="'ADU-30'!A1" display="ADU-30 Eficacia visitas de verificación y control a los productores  y/o exportadores colombianos." xr:uid="{00000000-0004-0000-0800-000017000000}"/>
    <hyperlink ref="D41" location="'ADU-31'!A1" display="ADU-31 Eficacia en la revisión de criterios de origen de los productos colombianos" xr:uid="{00000000-0004-0000-0800-000018000000}"/>
    <hyperlink ref="D42" location="'ADU-32'!Área_de_impresión" display="ADU -32 Eficacia en la atención de solicitudes de análisis merceológicos de mercancía global." xr:uid="{00000000-0004-0000-0800-000019000000}"/>
    <hyperlink ref="D44" location="'ADU-17'!A1" display="ADU-17 Encuentros Aduana - Empresa" xr:uid="{00000000-0004-0000-0800-00001A000000}"/>
    <hyperlink ref="D45" location="'POLFA-7'!A1" display="POLFA-7 Implementación programa zonas de comercio legal (Formalización)" xr:uid="{00000000-0004-0000-0800-00001B000000}"/>
    <hyperlink ref="D46" location="'POLFA-8'!A1" display="POLFA-8 Porcentaje de cumplimiento programa semilleros de la legalidad" xr:uid="{00000000-0004-0000-0800-00001C000000}"/>
    <hyperlink ref="D48" location="'DGRAE-25'!A1" display="DGRAE-25 Actividades que componen el  PIC para la Dirección de Gestión" xr:uid="{00000000-0004-0000-0800-00001D000000}"/>
    <hyperlink ref="D12" location="'FIS-7'!Área_de_impresión" display="FIS-7 Gestión efectiva de control Cambiario" xr:uid="{00000000-0004-0000-0800-00001E000000}"/>
    <hyperlink ref="D11" location="'FIS-5'!Área_de_impresión" display="FIS-5 Gestión Efectiva de Fiscalización Aduanera" xr:uid="{00000000-0004-0000-0800-00001F000000}"/>
    <hyperlink ref="D9" location="'DGRAE-1'!A1" display="DGRAE-1 Nivel de Ejecución del presupuesto " xr:uid="{00000000-0004-0000-0800-000020000000}"/>
    <hyperlink ref="D10" location="'DGRAE-2'!A1" display="DGRAE-2 Nivel de ejecución del PAA de la Dirección" xr:uid="{00000000-0004-0000-0800-000021000000}"/>
    <hyperlink ref="D37" location="'ADU-12'!A1" display="ADU-12  Efectividad en los Controles a los  usuarios de comercio - Visitas con hallazgos en usuarios visitados" xr:uid="{00000000-0004-0000-0800-000022000000}"/>
    <hyperlink ref="D38" location="'ADU-13'!A1" display="ADU-13 Efectividad en los Controles a los  usuarios de comercio - Hallazgos en visitas de usuarios no visitados anteriormente" xr:uid="{00000000-0004-0000-0800-000023000000}"/>
    <hyperlink ref="D34" location="'ADU-9'!A1" display="ADU-9 Efectividad en el control simultaneo - Lucha contra el Contrabando" xr:uid="{00000000-0004-0000-0800-000024000000}"/>
    <hyperlink ref="D35" location="'ADU-9.1'!A1" display="ADU-9.1 Efectividad en el control simultaneo - Lucha contra el Contrabando - Documental" xr:uid="{00000000-0004-0000-0800-000025000000}"/>
    <hyperlink ref="AZ6" location="'Consolidado '!A1" display="VOLVER " xr:uid="{00000000-0004-0000-0800-000026000000}"/>
  </hyperlink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3_ xmlns="0c7e947a-2df5-4c14-b96a-f29f1e43ed1a">1</_x0023_>
    <axfs xmlns="0c7e947a-2df5-4c14-b96a-f29f1e43ed1a">M. Metas</axf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8E050D038F7314585E5B03A4EA6FFCB" ma:contentTypeVersion="3" ma:contentTypeDescription="Crear nuevo documento." ma:contentTypeScope="" ma:versionID="e45fdcb7123c8b6bb5f15984ea93eecb">
  <xsd:schema xmlns:xsd="http://www.w3.org/2001/XMLSchema" xmlns:xs="http://www.w3.org/2001/XMLSchema" xmlns:p="http://schemas.microsoft.com/office/2006/metadata/properties" xmlns:ns2="0c7e947a-2df5-4c14-b96a-f29f1e43ed1a" targetNamespace="http://schemas.microsoft.com/office/2006/metadata/properties" ma:root="true" ma:fieldsID="481d8a13d6426873ee6303d232b269fb" ns2:_="">
    <xsd:import namespace="0c7e947a-2df5-4c14-b96a-f29f1e43ed1a"/>
    <xsd:element name="properties">
      <xsd:complexType>
        <xsd:sequence>
          <xsd:element name="documentManagement">
            <xsd:complexType>
              <xsd:all>
                <xsd:element ref="ns2:axfs" minOccurs="0"/>
                <xsd:element ref="ns2:_x0023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7e947a-2df5-4c14-b96a-f29f1e43ed1a" elementFormDefault="qualified">
    <xsd:import namespace="http://schemas.microsoft.com/office/2006/documentManagement/types"/>
    <xsd:import namespace="http://schemas.microsoft.com/office/infopath/2007/PartnerControls"/>
    <xsd:element name="axfs" ma:index="2" nillable="true" ma:displayName="-" ma:internalName="axfs">
      <xsd:simpleType>
        <xsd:restriction base="dms:Text">
          <xsd:maxLength value="255"/>
        </xsd:restriction>
      </xsd:simpleType>
    </xsd:element>
    <xsd:element name="_x0023_" ma:index="3" nillable="true" ma:displayName="#" ma:internalName="_x0023_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Tipo de conteni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6AFB28-3A79-4243-A4E7-83038F3EE5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97AA8B-7FA6-4CA2-B834-D13FBC2A47C2}">
  <ds:schemaRefs>
    <ds:schemaRef ds:uri="http://schemas.microsoft.com/office/2006/metadata/properties"/>
    <ds:schemaRef ds:uri="http://schemas.microsoft.com/office/infopath/2007/PartnerControls"/>
    <ds:schemaRef ds:uri="69670e6f-c4e0-4c09-9c08-ba81bb3840f9"/>
    <ds:schemaRef ds:uri="c32f87b9-3e91-4ce4-bf12-7a996838c763"/>
  </ds:schemaRefs>
</ds:datastoreItem>
</file>

<file path=customXml/itemProps3.xml><?xml version="1.0" encoding="utf-8"?>
<ds:datastoreItem xmlns:ds="http://schemas.openxmlformats.org/officeDocument/2006/customXml" ds:itemID="{D43E0DF2-2936-457E-9368-22B17B0955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50</vt:i4>
      </vt:variant>
    </vt:vector>
  </HeadingPairs>
  <TitlesOfParts>
    <vt:vector size="50" baseType="lpstr">
      <vt:lpstr>Consolidado </vt:lpstr>
      <vt:lpstr>IMPUESTOS BARRANQU. </vt:lpstr>
      <vt:lpstr>IMPUESTOS BOGOTA </vt:lpstr>
      <vt:lpstr>IMPUESTOS CALI  </vt:lpstr>
      <vt:lpstr>IMPUESTOS CARTAGENA </vt:lpstr>
      <vt:lpstr>IMPUESTOS CUCUTA </vt:lpstr>
      <vt:lpstr>IMPUES. MEDELLIN </vt:lpstr>
      <vt:lpstr>GRANDES CONTRIBU.  </vt:lpstr>
      <vt:lpstr>ADUANAS BARRANQUILLA</vt:lpstr>
      <vt:lpstr>ADUANAS DE BOGOTA </vt:lpstr>
      <vt:lpstr>ADUANAS CALI </vt:lpstr>
      <vt:lpstr>ADUANAS CARTAGENA </vt:lpstr>
      <vt:lpstr>ADUANAS CUCUTA </vt:lpstr>
      <vt:lpstr>ADUANAS DE MEDELLIN </vt:lpstr>
      <vt:lpstr>ARAUCA</vt:lpstr>
      <vt:lpstr>ARMENIA </vt:lpstr>
      <vt:lpstr>BARRANCABERMEJA </vt:lpstr>
      <vt:lpstr>BUCARAMANGA</vt:lpstr>
      <vt:lpstr>BUENAVENTURA </vt:lpstr>
      <vt:lpstr>FLORENCIA </vt:lpstr>
      <vt:lpstr>GIRARDOT </vt:lpstr>
      <vt:lpstr>IBAGUE </vt:lpstr>
      <vt:lpstr>IPIALES </vt:lpstr>
      <vt:lpstr>LETICIA </vt:lpstr>
      <vt:lpstr>MAICAO </vt:lpstr>
      <vt:lpstr>MANIZALES </vt:lpstr>
      <vt:lpstr>MONTERIA </vt:lpstr>
      <vt:lpstr>NEIVA </vt:lpstr>
      <vt:lpstr>PALMIRA </vt:lpstr>
      <vt:lpstr>PASTO</vt:lpstr>
      <vt:lpstr>PEREIRA </vt:lpstr>
      <vt:lpstr>POPAYAN</vt:lpstr>
      <vt:lpstr>QUIBDO</vt:lpstr>
      <vt:lpstr>RIOHACHA </vt:lpstr>
      <vt:lpstr>SAN ANDRES </vt:lpstr>
      <vt:lpstr>SANTA MARTA</vt:lpstr>
      <vt:lpstr>SINCELEJO</vt:lpstr>
      <vt:lpstr>SOGAMOSO</vt:lpstr>
      <vt:lpstr>TULUA </vt:lpstr>
      <vt:lpstr>TUNJA</vt:lpstr>
      <vt:lpstr>URABA </vt:lpstr>
      <vt:lpstr>VALLEDUPAR </vt:lpstr>
      <vt:lpstr>VILLAVICENCIO </vt:lpstr>
      <vt:lpstr>YOPAL</vt:lpstr>
      <vt:lpstr>PUERTO ASIS </vt:lpstr>
      <vt:lpstr>TUMACO</vt:lpstr>
      <vt:lpstr>INIRIDA</vt:lpstr>
      <vt:lpstr>PUERTO CARREÑO </vt:lpstr>
      <vt:lpstr>SAN JOSE DEL GUAVIARE</vt:lpstr>
      <vt:lpstr>PAMPLONA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Constanza Del Pilar Rodríguez Páez</dc:creator>
  <cp:lastModifiedBy>Fulvia Andrea Moreno Segura</cp:lastModifiedBy>
  <dcterms:created xsi:type="dcterms:W3CDTF">2020-05-14T18:46:50Z</dcterms:created>
  <dcterms:modified xsi:type="dcterms:W3CDTF">2023-05-24T19:55:21Z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0x01010048E050D038F7314585E5B03A4EA6FFCB</vt:lpwstr>
  </property>
</Properties>
</file>