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ocolmenaresm\AppData\Local\Microsoft\Windows\INetCache\Content.Outlook\UX47M0L3\"/>
    </mc:Choice>
  </mc:AlternateContent>
  <xr:revisionPtr revIDLastSave="0" documentId="13_ncr:1_{AAD18B11-7035-434F-8952-E418C0DA3DD3}"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20" yWindow="-120" windowWidth="20730" windowHeight="11040" tabRatio="796"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8" l="1"/>
  <c r="R20" i="19"/>
  <c r="R24" i="19" l="1"/>
  <c r="R22" i="19"/>
  <c r="E17" i="28"/>
  <c r="R18" i="16"/>
  <c r="S18" i="16" s="1"/>
  <c r="R20" i="16"/>
  <c r="S20" i="16" s="1"/>
  <c r="R14" i="16"/>
  <c r="S14" i="16" s="1"/>
  <c r="R12" i="16"/>
  <c r="S12" i="16" s="1"/>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sharedStrings.xml><?xml version="1.0" encoding="utf-8"?>
<sst xmlns="http://schemas.openxmlformats.org/spreadsheetml/2006/main" count="1237" uniqueCount="663">
  <si>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</si>
  <si>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</si>
  <si>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</si>
  <si>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</si>
  <si>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</si>
  <si>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</si>
  <si>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</si>
  <si>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</si>
  <si>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</si>
  <si>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</si>
  <si>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</si>
  <si>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</si>
  <si>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</si>
  <si>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</si>
  <si>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</si>
  <si>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</si>
  <si>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</si>
  <si>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</si>
  <si>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</si>
  <si>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</si>
  <si>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</si>
  <si>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</si>
  <si>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</si>
  <si>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</si>
  <si>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</si>
  <si>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</si>
  <si>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</si>
  <si>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</si>
  <si>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</si>
  <si>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</si>
  <si>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</si>
  <si>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</si>
  <si>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</si>
  <si>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</si>
  <si>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</si>
  <si>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</si>
  <si>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</si>
  <si>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</si>
  <si>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</si>
  <si>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</si>
  <si>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</si>
  <si>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</si>
  <si>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</si>
  <si>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</si>
  <si>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</si>
  <si>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</si>
  <si>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</si>
  <si>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</si>
  <si>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</si>
  <si>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</si>
  <si>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</si>
  <si>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</si>
  <si>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</si>
  <si>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</si>
  <si>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</si>
  <si>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</si>
  <si>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</si>
  <si>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</si>
  <si>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</si>
  <si>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</si>
  <si>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</si>
  <si>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</si>
  <si>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</si>
  <si>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</si>
  <si>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</si>
  <si>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</si>
  <si>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</si>
  <si>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</si>
  <si>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</si>
  <si>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</si>
  <si>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</si>
  <si>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</si>
  <si>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</si>
  <si>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</si>
  <si>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</si>
  <si>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</si>
  <si>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</si>
  <si>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</si>
  <si>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</si>
  <si>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</si>
  <si>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</si>
  <si>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</si>
  <si>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</si>
  <si>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</si>
  <si>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</si>
  <si>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</si>
  <si>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</si>
  <si>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</si>
  <si>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</si>
  <si>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</si>
  <si>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</si>
  <si>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</si>
  <si>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</si>
  <si>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</si>
  <si>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</si>
  <si>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</si>
  <si>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</si>
  <si>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</si>
  <si>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</si>
  <si>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</si>
  <si>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</si>
  <si>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</si>
  <si>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</si>
  <si>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</si>
  <si>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</si>
  <si>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</si>
  <si>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</si>
  <si>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</si>
  <si>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</si>
  <si>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</si>
  <si>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</si>
  <si>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</si>
  <si>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</si>
  <si>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</si>
  <si>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</si>
  <si>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</si>
  <si>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</si>
  <si>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</si>
  <si>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</si>
  <si>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</si>
  <si>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</si>
  <si>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</si>
  <si>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</si>
  <si>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</si>
  <si>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</si>
  <si>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</si>
  <si>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</si>
  <si>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</si>
  <si>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</si>
  <si>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</si>
  <si>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</si>
  <si>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</si>
  <si>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</si>
  <si>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</si>
  <si>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</si>
  <si>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</si>
  <si>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</si>
  <si>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</si>
  <si>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</si>
  <si>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</si>
  <si>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</si>
  <si>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</si>
  <si>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</si>
  <si>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</si>
  <si>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</si>
  <si>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</si>
  <si>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</si>
  <si>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</si>
  <si>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</si>
  <si>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</si>
  <si>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</si>
  <si>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</si>
  <si>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</si>
  <si>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</si>
  <si>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</si>
  <si>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</si>
  <si>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</si>
  <si>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</si>
  <si>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</si>
  <si>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</si>
  <si>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</si>
  <si>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</si>
  <si>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</si>
  <si>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</si>
  <si>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</si>
  <si>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</si>
  <si>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</si>
  <si>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</si>
  <si>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</si>
  <si>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</si>
  <si>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</si>
  <si>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</si>
  <si>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</si>
  <si>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</si>
  <si>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</si>
  <si>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</si>
  <si>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</si>
  <si>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</si>
  <si>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</si>
  <si>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</si>
  <si>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</si>
  <si>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</si>
  <si>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</si>
  <si>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</si>
  <si>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</si>
  <si>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</si>
  <si>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</si>
  <si>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</si>
  <si>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</si>
  <si>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</si>
  <si>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</si>
  <si>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</si>
  <si>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</si>
  <si>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</si>
  <si>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</si>
  <si>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</si>
  <si>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</si>
  <si>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</si>
  <si>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</si>
  <si>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</si>
  <si>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</si>
  <si>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</si>
  <si>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</si>
  <si>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</si>
  <si>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</si>
  <si>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</si>
  <si>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</si>
  <si>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</si>
  <si>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</si>
  <si>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</si>
  <si>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</si>
  <si>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</si>
  <si>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</si>
  <si>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</si>
  <si>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</si>
  <si>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</si>
  <si>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</si>
  <si>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</si>
  <si>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</si>
  <si>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</si>
  <si>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</si>
  <si>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</si>
  <si>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</si>
  <si>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</si>
  <si>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</si>
  <si>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</si>
  <si>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</si>
  <si>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</si>
  <si>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</si>
  <si>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</si>
  <si>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</si>
  <si>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</si>
  <si>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</si>
  <si>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</si>
  <si>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</si>
  <si>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</si>
  <si>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</si>
  <si>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</si>
  <si>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</si>
  <si>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</si>
  <si>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</si>
  <si>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</si>
  <si>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</si>
  <si>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</si>
  <si>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</si>
  <si>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</si>
  <si>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</si>
  <si>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</si>
  <si>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</si>
  <si>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</si>
  <si>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</si>
  <si>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</si>
  <si>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</si>
  <si>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</si>
  <si>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</si>
  <si>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</si>
  <si>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</si>
  <si>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</si>
  <si>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</si>
  <si>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</si>
  <si>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</si>
  <si>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</si>
  <si>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</si>
  <si>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</si>
  <si>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</si>
  <si>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</si>
  <si>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</si>
  <si>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</si>
  <si>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</si>
  <si>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</si>
  <si>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</si>
  <si>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</si>
  <si>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</si>
  <si>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</si>
  <si>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</si>
  <si>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</si>
  <si>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</si>
  <si>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</si>
  <si>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</si>
  <si>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</si>
  <si>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</si>
  <si>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</si>
  <si>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</si>
  <si>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</si>
  <si>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</si>
  <si>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</si>
  <si>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</si>
  <si>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</si>
  <si>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</si>
  <si>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</si>
  <si>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</si>
  <si>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</si>
  <si>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</si>
  <si>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</si>
  <si>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</si>
  <si>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</si>
  <si>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</si>
  <si>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</si>
  <si>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</si>
  <si>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</si>
  <si>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</si>
  <si>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</si>
  <si>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</si>
  <si>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</si>
  <si>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</si>
  <si>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</si>
  <si>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</si>
  <si>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</si>
  <si>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</si>
  <si>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</si>
  <si>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</si>
  <si>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</si>
  <si>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</si>
  <si>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</si>
  <si>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</si>
  <si>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</si>
  <si>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</si>
  <si>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</si>
  <si>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</si>
  <si>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</si>
  <si>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</si>
  <si>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</si>
  <si>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</si>
  <si>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</si>
  <si>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</si>
  <si>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</si>
  <si>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</si>
  <si>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</si>
  <si>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</si>
  <si>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</si>
  <si>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</si>
  <si>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</si>
  <si>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</si>
  <si>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</si>
  <si>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</si>
  <si>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</si>
  <si>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</si>
  <si>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</si>
  <si>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</si>
  <si>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</si>
  <si>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</si>
  <si>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</si>
  <si>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</si>
  <si>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</si>
  <si>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</si>
  <si>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</si>
  <si>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</si>
  <si>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</si>
  <si>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</si>
  <si>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</si>
  <si>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</si>
  <si>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</si>
  <si>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</si>
  <si>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</si>
  <si>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</si>
  <si>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</si>
  <si>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</si>
  <si>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</si>
  <si>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</si>
  <si>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</si>
  <si>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</si>
  <si>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</si>
  <si>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</si>
  <si>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</si>
  <si>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</si>
  <si>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</si>
  <si>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</si>
  <si>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</si>
  <si>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</si>
  <si>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</si>
  <si>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</si>
  <si>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</si>
  <si>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</si>
  <si>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</si>
  <si>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</si>
  <si>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</si>
  <si>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</si>
  <si>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</si>
  <si>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</si>
  <si>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</si>
  <si>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</si>
  <si>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</si>
  <si>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</si>
  <si>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</si>
  <si>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</si>
  <si>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</si>
  <si>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</si>
  <si>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</si>
  <si>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</si>
  <si>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</si>
  <si>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</si>
  <si>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</si>
  <si>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</si>
  <si>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</si>
  <si>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</si>
  <si>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</si>
  <si>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</si>
  <si>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</si>
  <si>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</si>
  <si>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</si>
  <si>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</si>
  <si>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</si>
  <si>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</si>
  <si>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</si>
  <si>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</si>
  <si>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</si>
  <si>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</si>
  <si>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</si>
  <si>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</si>
  <si>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</si>
  <si>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</si>
  <si>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</si>
  <si>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</si>
  <si>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</si>
  <si>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</si>
  <si>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</si>
  <si>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</si>
  <si>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</si>
  <si>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</si>
  <si>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</si>
  <si>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</si>
  <si>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</si>
  <si>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</si>
  <si>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</si>
  <si>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</si>
  <si>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</si>
  <si>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</si>
  <si>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</si>
  <si>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</si>
  <si>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</si>
  <si>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</si>
  <si>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</si>
  <si>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</si>
  <si>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</si>
  <si>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</si>
  <si>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</si>
  <si>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</si>
  <si>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</si>
  <si>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</si>
  <si>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</si>
  <si>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</si>
  <si>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</si>
  <si>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</si>
  <si>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</si>
  <si>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</si>
  <si>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</si>
  <si>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</si>
  <si>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</si>
  <si>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</si>
  <si>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</si>
  <si>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</si>
  <si>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</si>
  <si>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</si>
  <si>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</si>
  <si>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</si>
  <si>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</si>
  <si>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</si>
  <si>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</si>
  <si>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</si>
  <si>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</si>
  <si>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</si>
  <si>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</si>
  <si>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</si>
  <si>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</si>
  <si>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</si>
  <si>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</si>
  <si>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</si>
  <si>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</si>
  <si>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</si>
  <si>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</si>
  <si>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</si>
  <si>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</si>
  <si>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</si>
  <si>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</si>
  <si>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</si>
  <si>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</si>
  <si>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</si>
  <si>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</si>
  <si>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</si>
  <si>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</si>
  <si>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</si>
  <si>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</si>
  <si>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</si>
  <si>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</si>
  <si>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</si>
  <si>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</si>
  <si>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</si>
  <si>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</si>
  <si>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</si>
  <si>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</si>
  <si>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</si>
  <si>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</si>
  <si>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</si>
  <si>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</si>
  <si>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</si>
  <si>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</si>
  <si>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</si>
  <si>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</si>
  <si>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</si>
  <si>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</si>
  <si>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</si>
  <si>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</si>
  <si>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</si>
  <si>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</si>
  <si>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</si>
  <si>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</si>
  <si>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</si>
  <si>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</si>
  <si>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</si>
  <si>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</si>
  <si>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</si>
  <si>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</si>
  <si>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</si>
  <si>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</si>
  <si>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</si>
  <si>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</si>
  <si>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</si>
  <si>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</si>
  <si>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</si>
  <si>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</si>
  <si>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</si>
  <si>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</si>
  <si>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</si>
  <si>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</si>
  <si>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</si>
  <si>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</si>
  <si>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</si>
  <si>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</si>
  <si>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</si>
  <si>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</si>
  <si>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</si>
  <si>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</si>
  <si>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</si>
  <si>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</si>
  <si>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</si>
  <si>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</si>
  <si>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</si>
  <si>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</si>
  <si>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</si>
  <si>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</si>
  <si>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</si>
  <si>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</si>
  <si>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</si>
  <si>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</si>
  <si>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</si>
  <si>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</si>
  <si>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</si>
  <si>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</si>
  <si>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</si>
  <si>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</si>
  <si>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</si>
  <si>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</si>
  <si>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</si>
  <si>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</si>
  <si>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</si>
  <si>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</si>
  <si>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</si>
  <si>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</si>
  <si>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</si>
  <si>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</si>
  <si>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</si>
  <si>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</si>
  <si>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</si>
  <si>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</si>
  <si>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</si>
  <si>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</si>
  <si>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</si>
  <si>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</si>
  <si>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</si>
  <si>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</si>
  <si>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</si>
  <si>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</si>
  <si>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</si>
  <si>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</si>
  <si>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</si>
  <si>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</si>
  <si>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</si>
  <si>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</si>
  <si>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</si>
  <si>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</si>
  <si>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</si>
  <si>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</si>
  <si>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</si>
  <si>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</si>
  <si>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</si>
  <si>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</si>
  <si>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</si>
  <si>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</si>
  <si>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</si>
  <si>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</si>
  <si>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</si>
  <si>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</si>
  <si>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</si>
  <si>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</si>
  <si>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</si>
  <si>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</si>
  <si>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</si>
  <si>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</si>
  <si>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</si>
  <si>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</si>
  <si>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</si>
  <si>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</si>
  <si>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</si>
  <si>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</si>
  <si>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</si>
  <si>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</si>
  <si>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</si>
  <si>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</si>
  <si>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</si>
  <si>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</si>
  <si>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</si>
  <si>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</si>
  <si>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</si>
  <si>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</si>
  <si>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</si>
  <si>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</si>
  <si>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</si>
  <si>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</si>
  <si>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</si>
  <si>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</si>
  <si>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</si>
  <si>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</si>
  <si>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</si>
  <si>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</si>
  <si>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</si>
  <si>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</si>
  <si>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</si>
  <si>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</si>
  <si>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</si>
  <si>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</si>
  <si>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</si>
  <si>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</si>
  <si>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</si>
  <si>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</si>
  <si>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</si>
  <si>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</si>
  <si>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</si>
  <si>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</si>
  <si>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</si>
  <si>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</si>
  <si>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</si>
  <si>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</si>
  <si>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</si>
  <si>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</si>
  <si>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</si>
  <si>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</si>
  <si>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</si>
  <si>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</si>
  <si>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</si>
  <si>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Sandra Alvarez Bernal</t>
  </si>
  <si>
    <t>Diana Astrid Chaparro Manosalva</t>
  </si>
  <si>
    <t>Enrique Castiblanco Bedoya</t>
  </si>
  <si>
    <t>Edgar Mauricio Avila Palomino</t>
  </si>
  <si>
    <t>María Teresa Guerra Mantilla</t>
  </si>
  <si>
    <t>LUIS ALFREDO REYES PARRA</t>
  </si>
  <si>
    <t xml:space="preserve">De acuerdo a la consuklta efectuada con rol de Control Interno, la entidad ha cargado 747 pagos en total, de los cuales 43 corresponden al primer semestre de 2025. </t>
  </si>
  <si>
    <t xml:space="preserve">Abogados Activos: 
La diferencia de 4 abogados activos se sustenta en 4 funcionarios retirados en el primer semestre de 2025, pero inactivados del sistema en julio de 2025.
Abogados Retirados:
La diferencia real (absoluta) es de 6 abogados: 3 abogados retirados en el primer semestre e inactivados en julio de 2025; 2 abogados retirados en 2024 e inactivados en primer semestre de 2025 y 1 abogado retirado pero con rol activo aun. </t>
  </si>
  <si>
    <t xml:space="preserve">A 30-06-2025 no existen procesos arbitrales Activos. El unico proceso ya terminado en el año 2013, fue registrado en ekogui en el 2018, por parte de la ANDJE. 
</t>
  </si>
  <si>
    <t xml:space="preserve">Es importante tener en cuenta que los listados de fichas gestionadas, fueron extraidos del sistema eKoui, el día: 13-08-25 </t>
  </si>
  <si>
    <t>Las funcionarias titulares de los roles Jefe Jurídico y Administrador Entidad, asi como sus equipos de trabajo, desarrollan autocapacitación de manera permanente e incluso brindan fomación a los abogados que ingresan a las labores litigiosas. Igualmente, actualizaron esta capacitación a través d elos modulos preparados por la ANDJE y expidieron certificado en el mes de agosto del presente año.   
De igual forma, en el caso del Rol de Control Interno, los funcionarios a cargo de la elaboracion de la certificación realizan capacitacion semestralmente, con el fin de realizar la misma de manera decuada, observando las actualiacion de la ANDJE.</t>
  </si>
  <si>
    <t xml:space="preserve">1.	Es importante aclarar que el listado de activos de ekogui se generó el día 04-08-2025, por lo cual, las diferencias se explican según ese corte, asi: diferencia real de 101 procesos, agrupables en las siguientes variables: 
a. Procesos registrados en eKOGUI pero no reportados por las DS: 15 
b. Procesos reportados por las DS pero no registrados en eKOGUI: 86 
2. Los 58 procesos sin calificación del riesgo están en etapa de inicio y fijación del litigio de los cuales 54 se encuentran en actuación de Auto que admite la demanda; 
3. De los 1.089 procesos con probabilidad Alta de perder el caso y provisión igual a cero (0), el 99% (1.075) corresponde a acciones de nulidad y restablecimiento del derecho y otras nulidades.  </t>
  </si>
  <si>
    <t xml:space="preserve">Esta certificación es consolidada por parte del jefe de la Oficina de Control Interno en el nivel central de la entidad y agrupa a las 40 dependencias creadas para la DIAN en el sistema eKOGUI. </t>
  </si>
  <si>
    <t xml:space="preserve">A la fecha de elaboración de la presenta Cerificación, 2 de los procesos notificados no han sido regisrados en eKOGUI.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</si>
</sst>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wrapText="1"/>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abSelected="1" topLeftCell="B1" zoomScale="80" zoomScaleNormal="80" workbookViewId="0">
      <selection activeCell="E4" sqref="E4"/>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0" t="s">
        <v>548</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7">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7">
      <c r="B6" s="107" t="s">
        <v>616</v>
      </c>
      <c r="C6" s="107"/>
      <c r="E6" s="114" t="s">
        <v>477</v>
      </c>
      <c r="F6" s="114"/>
      <c r="G6" s="114"/>
      <c r="H6" s="115"/>
      <c r="I6" s="112" t="s">
        <v>481</v>
      </c>
      <c r="J6" s="113"/>
      <c r="K6" s="11"/>
      <c r="L6" s="11"/>
      <c r="M6" s="11"/>
      <c r="N6" s="11"/>
      <c r="O6" s="11"/>
      <c r="P6" s="11"/>
      <c r="Q6" s="11"/>
      <c r="R6" s="11"/>
      <c r="S6" s="11"/>
      <c r="T6" s="11"/>
      <c r="U6" s="11"/>
      <c r="V6" s="11"/>
      <c r="AI6" s="57" t="s">
        <v>482</v>
      </c>
    </row>
    <row r="7" spans="2:35" ht="14.25" customHeight="1">
      <c r="B7" s="107"/>
      <c r="C7" s="107"/>
      <c r="E7" s="11"/>
      <c r="F7" s="11"/>
      <c r="G7" s="11"/>
      <c r="H7" s="11"/>
      <c r="I7" s="11"/>
      <c r="J7" s="11"/>
      <c r="K7" s="11"/>
      <c r="L7" s="11"/>
      <c r="M7" s="11"/>
      <c r="N7" s="11"/>
      <c r="O7" s="11"/>
      <c r="P7" s="11"/>
      <c r="Q7" s="11"/>
      <c r="R7" s="11"/>
      <c r="S7" s="11"/>
      <c r="T7" s="11"/>
      <c r="U7" s="11"/>
      <c r="V7" s="11"/>
      <c r="AI7" s="57" t="s">
        <v>480</v>
      </c>
    </row>
    <row r="8" spans="2:35">
      <c r="B8" s="107" t="s">
        <v>0</v>
      </c>
      <c r="C8" s="107"/>
      <c r="AI8" s="57"/>
    </row>
    <row r="9" spans="2:35" ht="15" customHeight="1">
      <c r="B9" s="107"/>
      <c r="C9" s="107"/>
      <c r="E9" s="116" t="s">
        <v>597</v>
      </c>
      <c r="F9" s="116"/>
      <c r="G9" s="116"/>
      <c r="H9" s="116"/>
      <c r="I9" s="116"/>
      <c r="J9" s="116"/>
      <c r="K9" s="116"/>
      <c r="L9" s="116"/>
      <c r="M9" s="116"/>
      <c r="N9" s="116"/>
      <c r="O9" s="116"/>
      <c r="P9" s="116"/>
      <c r="Q9" s="116"/>
      <c r="R9" s="116"/>
      <c r="S9" s="116"/>
      <c r="T9" s="116"/>
      <c r="U9" s="116"/>
      <c r="V9" s="116"/>
    </row>
    <row r="10" spans="2:35">
      <c r="B10" s="107" t="s">
        <v>1</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617</v>
      </c>
      <c r="C12" s="107"/>
      <c r="E12" s="12"/>
      <c r="F12" s="12"/>
      <c r="G12" s="12"/>
      <c r="H12" s="12"/>
      <c r="I12" s="12"/>
      <c r="J12" s="12"/>
      <c r="K12" s="12"/>
      <c r="L12" s="12"/>
      <c r="M12" s="12"/>
      <c r="N12" s="12"/>
      <c r="O12" s="12"/>
      <c r="P12" s="12"/>
      <c r="Q12" s="12"/>
      <c r="R12" s="12"/>
      <c r="S12" s="12"/>
      <c r="T12" s="12"/>
      <c r="U12" s="12"/>
      <c r="V12" s="12"/>
    </row>
    <row r="13" spans="2:35">
      <c r="B13" s="107"/>
      <c r="C13" s="107"/>
      <c r="E13" s="12" t="s">
        <v>596</v>
      </c>
      <c r="F13" s="12"/>
      <c r="G13" s="12"/>
      <c r="H13" s="12"/>
      <c r="I13" s="12"/>
      <c r="J13" s="12"/>
      <c r="K13" s="12"/>
      <c r="L13" s="12"/>
      <c r="M13" s="12"/>
      <c r="N13" s="12"/>
      <c r="O13" s="12"/>
      <c r="P13" s="12"/>
      <c r="Q13" s="12"/>
      <c r="R13" s="12"/>
      <c r="S13" s="12"/>
      <c r="T13" s="12"/>
      <c r="U13" s="12"/>
      <c r="V13" s="12"/>
    </row>
    <row r="14" spans="2:35" ht="19.5" customHeight="1">
      <c r="B14" s="107" t="s">
        <v>2</v>
      </c>
      <c r="C14" s="107"/>
      <c r="E14" s="13"/>
      <c r="F14" s="13"/>
      <c r="G14" s="108" t="s">
        <v>459</v>
      </c>
      <c r="H14" s="108"/>
      <c r="I14" s="12"/>
      <c r="L14" s="109"/>
      <c r="M14" s="109"/>
      <c r="N14" s="108" t="s">
        <v>460</v>
      </c>
      <c r="O14" s="108"/>
      <c r="S14" s="109"/>
      <c r="T14" s="109"/>
      <c r="U14" s="108" t="s">
        <v>461</v>
      </c>
      <c r="V14" s="108"/>
    </row>
    <row r="15" spans="2:35">
      <c r="B15" s="107"/>
      <c r="C15" s="107"/>
      <c r="E15" s="13"/>
      <c r="F15" s="13"/>
      <c r="G15" s="108"/>
      <c r="H15" s="108"/>
      <c r="I15" s="12"/>
      <c r="L15" s="109"/>
      <c r="M15" s="109"/>
      <c r="N15" s="108"/>
      <c r="O15" s="108"/>
      <c r="S15" s="109"/>
      <c r="T15" s="109"/>
      <c r="U15" s="108"/>
      <c r="V15" s="108"/>
    </row>
    <row r="16" spans="2:35">
      <c r="B16" s="107" t="s">
        <v>3</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538</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431</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618</v>
      </c>
      <c r="C22" s="107"/>
      <c r="E22" s="117" t="s">
        <v>458</v>
      </c>
      <c r="F22" s="117"/>
      <c r="G22" s="117"/>
      <c r="H22" s="117"/>
      <c r="I22" s="117"/>
      <c r="J22" s="117"/>
      <c r="K22" s="117"/>
      <c r="L22" s="117"/>
      <c r="M22" s="117"/>
      <c r="N22" s="117"/>
      <c r="O22" s="117"/>
      <c r="P22" s="117"/>
      <c r="Q22" s="117"/>
      <c r="R22" s="117"/>
      <c r="S22" s="117"/>
      <c r="T22" s="118" t="s">
        <v>598</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headerFooter>
    <oddFooter>&amp;R_x000D_&amp;1#&amp;"Calibri"&amp;10&amp;K000000 Información Pública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50" t="s">
        <v>558</v>
      </c>
      <c r="B1" s="250"/>
      <c r="C1" s="250"/>
      <c r="D1" s="250"/>
      <c r="E1" s="250"/>
      <c r="F1" s="250"/>
      <c r="G1" s="250"/>
      <c r="H1" s="250"/>
      <c r="I1" s="250"/>
      <c r="J1" s="250"/>
      <c r="K1" s="250"/>
      <c r="L1" s="250"/>
      <c r="M1" s="250"/>
      <c r="N1" s="250"/>
      <c r="O1" s="250"/>
      <c r="P1" s="249" t="s">
        <v>559</v>
      </c>
      <c r="Q1" s="249"/>
      <c r="R1" s="249"/>
      <c r="S1" s="249"/>
      <c r="T1" s="249"/>
      <c r="U1" s="249"/>
      <c r="V1" s="249"/>
      <c r="W1" s="249"/>
      <c r="X1" s="249"/>
      <c r="Y1" s="249"/>
      <c r="Z1" s="238" t="s">
        <v>560</v>
      </c>
      <c r="AA1" s="238"/>
      <c r="AB1" s="238"/>
      <c r="AC1" s="238"/>
      <c r="AD1" s="240" t="s">
        <v>564</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567</v>
      </c>
      <c r="BD1" s="244"/>
      <c r="BE1" s="244"/>
      <c r="BF1" s="245"/>
      <c r="BG1" s="240" t="s">
        <v>568</v>
      </c>
      <c r="BH1" s="241"/>
      <c r="BI1" s="241"/>
      <c r="BJ1" s="241"/>
      <c r="BK1" s="241"/>
      <c r="BL1" s="241"/>
      <c r="BM1" s="241"/>
      <c r="BN1" s="241"/>
      <c r="BO1" s="241"/>
      <c r="BP1" s="241"/>
      <c r="BQ1" s="242"/>
      <c r="BR1" s="238" t="s">
        <v>569</v>
      </c>
      <c r="BS1" s="238"/>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6" t="s">
        <v>518</v>
      </c>
      <c r="BD2" s="247"/>
      <c r="BE2" s="246" t="s">
        <v>519</v>
      </c>
      <c r="BF2" s="247"/>
      <c r="BG2" s="246" t="s">
        <v>511</v>
      </c>
      <c r="BH2" s="247"/>
      <c r="BI2" s="246" t="s">
        <v>493</v>
      </c>
      <c r="BJ2" s="248"/>
      <c r="BK2" s="248"/>
      <c r="BL2" s="248"/>
      <c r="BM2" s="248"/>
      <c r="BN2" s="247"/>
      <c r="BO2" s="246" t="s">
        <v>494</v>
      </c>
      <c r="BP2" s="248"/>
      <c r="BQ2" s="247"/>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45502</v>
      </c>
      <c r="B4" s="49" t="str">
        <f>+Usuarios!$K$11</f>
        <v>Sandra Alvarez Bernal</v>
      </c>
      <c r="C4" s="48">
        <f>+Usuarios!$O$11</f>
        <v>45502</v>
      </c>
      <c r="D4" s="48">
        <f>+Usuarios!$H$13</f>
        <v>43140</v>
      </c>
      <c r="E4" s="49" t="str">
        <f>+Usuarios!$K$13</f>
        <v>Diana Astrid Chaparro Manosalva</v>
      </c>
      <c r="F4" s="48">
        <f>+Usuarios!$O$13</f>
        <v>0</v>
      </c>
      <c r="G4" s="48">
        <f>+Usuarios!$H$15</f>
        <v>42538</v>
      </c>
      <c r="H4" s="49" t="str">
        <f>+Usuarios!$K$15</f>
        <v>Enrique Castiblanco Bedoya</v>
      </c>
      <c r="I4" s="48">
        <f>+Usuarios!$O$15</f>
        <v>45693</v>
      </c>
      <c r="J4" s="48">
        <f>+Usuarios!$H$17</f>
        <v>45403</v>
      </c>
      <c r="K4" s="49" t="str">
        <f>+Usuarios!$K$17</f>
        <v>Edgar Mauricio Avila Palomino</v>
      </c>
      <c r="L4" s="48">
        <f>+Usuarios!$O$17</f>
        <v>45720</v>
      </c>
      <c r="M4" s="48">
        <f>+Usuarios!$H$19</f>
        <v>42653</v>
      </c>
      <c r="N4" s="49" t="str">
        <f>+Usuarios!$K$19</f>
        <v>María Teresa Guerra Mantilla</v>
      </c>
      <c r="O4" s="48">
        <f>+Usuarios!$O$19</f>
        <v>0</v>
      </c>
      <c r="P4" s="76">
        <f>+Abogados!$G$9</f>
        <v>353</v>
      </c>
      <c r="Q4" s="76">
        <f>+Abogados!$J$9</f>
        <v>357</v>
      </c>
      <c r="R4" s="76">
        <f>+Abogados!$M$9</f>
        <v>135</v>
      </c>
      <c r="S4" s="76">
        <f>+Abogados!$P$9</f>
        <v>133</v>
      </c>
      <c r="T4" s="76">
        <f>+Abogados!$I$19</f>
        <v>89</v>
      </c>
      <c r="U4" s="76">
        <f>+Abogados!$I$21</f>
        <v>89</v>
      </c>
      <c r="V4" s="76">
        <f>+Abogados!I23</f>
        <v>89</v>
      </c>
      <c r="W4" s="76">
        <f>+Abogados!$P$19</f>
        <v>322</v>
      </c>
      <c r="X4" s="76">
        <f>+Abogados!$P$21</f>
        <v>18</v>
      </c>
      <c r="Y4" s="76">
        <f>+Abogados!$P$23</f>
        <v>13</v>
      </c>
      <c r="Z4" s="76">
        <f>+'Registro Casos'!$P$10</f>
        <v>653</v>
      </c>
      <c r="AA4" s="76">
        <f>+'Registro Casos'!$P$13</f>
        <v>651</v>
      </c>
      <c r="AB4" s="76">
        <f>+'Registro Casos'!$P$16</f>
        <v>482</v>
      </c>
      <c r="AC4" s="76">
        <f>+'Registro Casos'!$P$19</f>
        <v>169</v>
      </c>
      <c r="AD4" s="76">
        <f>+Judiciales!$L$12</f>
        <v>7450</v>
      </c>
      <c r="AE4" s="76">
        <f>+Judiciales!$L$14</f>
        <v>7379</v>
      </c>
      <c r="AF4" s="76">
        <f>+Judiciales!$L$16</f>
        <v>36</v>
      </c>
      <c r="AG4" s="76">
        <f>+Judiciales!$L$21</f>
        <v>592</v>
      </c>
      <c r="AH4" s="76">
        <f>+Judiciales!$L$23</f>
        <v>639</v>
      </c>
      <c r="AI4" s="76">
        <f>+Judiciales!$L$32</f>
        <v>159</v>
      </c>
      <c r="AJ4" s="76">
        <f>+Judiciales!$L$34</f>
        <v>120</v>
      </c>
      <c r="AK4" s="76">
        <f>+Judiciales!$L$36</f>
        <v>35</v>
      </c>
      <c r="AL4" s="76">
        <f>+Judiciales!$L$38</f>
        <v>11</v>
      </c>
      <c r="AM4" s="76">
        <f>+Judiciales!$L$40</f>
        <v>6</v>
      </c>
      <c r="AN4" s="76">
        <f>+Judiciales!$U$12</f>
        <v>132</v>
      </c>
      <c r="AO4" s="76">
        <f>+Judiciales!$U$14</f>
        <v>132</v>
      </c>
      <c r="AP4" s="76">
        <f>+Judiciales!$U$16</f>
        <v>132</v>
      </c>
      <c r="AQ4" s="76">
        <f>+Judiciales!$U$21</f>
        <v>7314</v>
      </c>
      <c r="AR4" s="76">
        <f>+Judiciales!$U$23</f>
        <v>7244</v>
      </c>
      <c r="AS4" s="76">
        <f>+Judiciales!$U$25</f>
        <v>12</v>
      </c>
      <c r="AT4" s="76">
        <f>+Judiciales!$U$27</f>
        <v>58</v>
      </c>
      <c r="AU4" s="76">
        <f>+Judiciales!$S$32</f>
        <v>1856</v>
      </c>
      <c r="AV4" s="76">
        <f>+Judiciales!$T$32</f>
        <v>1089</v>
      </c>
      <c r="AW4" s="76">
        <f>+Judiciales!$S$34</f>
        <v>3608</v>
      </c>
      <c r="AX4" s="76">
        <f>+Judiciales!$T$34</f>
        <v>3606</v>
      </c>
      <c r="AY4" s="76">
        <f>+Judiciales!$S$36</f>
        <v>1031</v>
      </c>
      <c r="AZ4" s="76">
        <f>+Judiciales!$T$36</f>
        <v>1031</v>
      </c>
      <c r="BA4" s="76">
        <f>+Judiciales!$S$38</f>
        <v>761</v>
      </c>
      <c r="BB4" s="76">
        <f>+Judiciales!$T$38</f>
        <v>761</v>
      </c>
      <c r="BC4" s="76">
        <f>+Arbitramentos!$L$11</f>
        <v>0</v>
      </c>
      <c r="BD4" s="76">
        <f>+Arbitramentos!$L$13</f>
        <v>0</v>
      </c>
      <c r="BE4" s="76">
        <f>+Arbitramentos!$U$11</f>
        <v>1</v>
      </c>
      <c r="BF4" s="76">
        <f>+Arbitramentos!$U$13</f>
        <v>1</v>
      </c>
      <c r="BG4" s="49" t="str">
        <f>+'Comité de conciliación'!$R$8</f>
        <v>NO</v>
      </c>
      <c r="BH4" s="49" t="str">
        <f>+'Comité de conciliación'!$R$10</f>
        <v>SI</v>
      </c>
      <c r="BI4" s="76">
        <f>+'Comité de conciliación'!$J$15</f>
        <v>0</v>
      </c>
      <c r="BJ4" s="76">
        <f>+'Comité de conciliación'!$L$15</f>
        <v>0</v>
      </c>
      <c r="BK4" s="76">
        <f>+'Comité de conciliación'!$J$16</f>
        <v>6</v>
      </c>
      <c r="BL4" s="76">
        <f>+'Comité de conciliación'!$L$16</f>
        <v>325</v>
      </c>
      <c r="BM4" s="76">
        <f>+'Comité de conciliación'!$J$17</f>
        <v>26</v>
      </c>
      <c r="BN4" s="76">
        <f>+'Comité de conciliación'!$L$17</f>
        <v>844</v>
      </c>
      <c r="BO4" s="76">
        <f>+'Comité de conciliación'!$J$20</f>
        <v>0</v>
      </c>
      <c r="BP4" s="76">
        <f>+'Comité de conciliación'!$J$21</f>
        <v>16</v>
      </c>
      <c r="BQ4" s="76">
        <f>+'Comité de conciliación'!$J$22</f>
        <v>335</v>
      </c>
      <c r="BR4" s="49" t="str">
        <f>+Pagos!$R$9</f>
        <v>SI</v>
      </c>
      <c r="BS4" s="76">
        <f>+Pagos!R11</f>
        <v>747</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headerFooter>
    <oddFooter>&amp;R_x000D_&amp;1#&amp;"Calibri"&amp;10&amp;K000000 Información 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5"/>
  <cols>
    <col min="1" max="1" width="23.28515625" customWidth="1"/>
    <col min="2" max="2" width="29.85546875" bestFit="1" customWidth="1"/>
    <col min="3" max="3" width="11.85546875" bestFit="1" customWidth="1"/>
    <col min="5" max="5" width="88.710937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75">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SI</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headerFooter>
    <oddFooter>&amp;R_x000D_&amp;1#&amp;"Calibri"&amp;10&amp;K000000 Información 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xmlns:xlrd2="http://schemas.microsoft.com/office/spreadsheetml/2017/richdata2" ref="A2:A419">
    <sortCondition ref="A2:A419"/>
  </sortState>
  <pageMargins left="0.7" right="0.7" top="0.75" bottom="0.75" header="0.3" footer="0.3"/>
  <headerFooter>
    <oddFooter>&amp;R_x000D_&amp;1#&amp;"Calibri"&amp;10&amp;K000000 Información 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B12" zoomScale="80" zoomScaleNormal="80" workbookViewId="0">
      <selection activeCell="K19" sqref="K19:N20"/>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9" width="9.140625" style="6"/>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38" t="s">
        <v>0</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535</v>
      </c>
      <c r="F5" s="116"/>
      <c r="G5" s="116"/>
      <c r="H5" s="116"/>
      <c r="I5" s="116"/>
      <c r="J5" s="116"/>
      <c r="K5" s="116"/>
      <c r="L5" s="116"/>
      <c r="M5" s="116"/>
      <c r="N5" s="116"/>
      <c r="O5" s="116"/>
      <c r="P5" s="116"/>
      <c r="Q5" s="116"/>
      <c r="R5" s="20"/>
      <c r="S5" s="20"/>
      <c r="T5" s="143" t="s">
        <v>620</v>
      </c>
      <c r="U5" s="143"/>
      <c r="V5" s="143"/>
    </row>
    <row r="6" spans="2:22" ht="18.75" customHeight="1">
      <c r="B6" s="107" t="s">
        <v>616</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0</v>
      </c>
      <c r="C8" s="107"/>
      <c r="E8" s="134" t="s">
        <v>433</v>
      </c>
      <c r="F8" s="134"/>
      <c r="G8" s="140"/>
      <c r="H8" s="134" t="s">
        <v>571</v>
      </c>
      <c r="I8" s="134"/>
      <c r="J8" s="140"/>
      <c r="K8" s="134" t="s">
        <v>640</v>
      </c>
      <c r="L8" s="134"/>
      <c r="M8" s="134"/>
      <c r="N8" s="135"/>
      <c r="O8" s="136" t="s">
        <v>552</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1</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529</v>
      </c>
      <c r="F11" s="141"/>
      <c r="G11" s="142"/>
      <c r="H11" s="130">
        <v>45502</v>
      </c>
      <c r="I11" s="137"/>
      <c r="J11" s="145"/>
      <c r="K11" s="127" t="s">
        <v>649</v>
      </c>
      <c r="L11" s="128"/>
      <c r="M11" s="128"/>
      <c r="N11" s="129"/>
      <c r="O11" s="131">
        <v>45502</v>
      </c>
      <c r="P11" s="137"/>
      <c r="Q11" s="137"/>
      <c r="T11" s="143"/>
      <c r="U11" s="143"/>
      <c r="V11" s="143"/>
    </row>
    <row r="12" spans="2:22" ht="24" customHeight="1">
      <c r="B12" s="107" t="s">
        <v>617</v>
      </c>
      <c r="C12" s="107"/>
      <c r="E12" s="141"/>
      <c r="F12" s="141"/>
      <c r="G12" s="142"/>
      <c r="H12" s="146"/>
      <c r="I12" s="137"/>
      <c r="J12" s="145"/>
      <c r="K12" s="127"/>
      <c r="L12" s="128"/>
      <c r="M12" s="128"/>
      <c r="N12" s="129"/>
      <c r="O12" s="137"/>
      <c r="P12" s="137"/>
      <c r="Q12" s="137"/>
      <c r="R12" s="59">
        <f>IFERROR(LOOKUP(O11,Administrador!$H$9:$H$11,Administrador!$I$9:$I$11),0)</f>
        <v>2</v>
      </c>
      <c r="S12" s="59" t="str">
        <f>IF(R12=0,1,"")</f>
        <v/>
      </c>
      <c r="T12" s="118" t="s">
        <v>598</v>
      </c>
      <c r="U12" s="118"/>
      <c r="V12" s="118"/>
    </row>
    <row r="13" spans="2:22" ht="24" customHeight="1">
      <c r="B13" s="107"/>
      <c r="C13" s="107"/>
      <c r="E13" s="132" t="s">
        <v>530</v>
      </c>
      <c r="F13" s="132"/>
      <c r="G13" s="133"/>
      <c r="H13" s="122">
        <v>43140</v>
      </c>
      <c r="I13" s="147"/>
      <c r="J13" s="148"/>
      <c r="K13" s="119" t="s">
        <v>650</v>
      </c>
      <c r="L13" s="120"/>
      <c r="M13" s="120"/>
      <c r="N13" s="121"/>
      <c r="O13" s="122"/>
      <c r="P13" s="123"/>
      <c r="Q13" s="123"/>
      <c r="R13" s="59"/>
      <c r="S13" s="59"/>
      <c r="T13" s="118"/>
      <c r="U13" s="118"/>
      <c r="V13" s="118"/>
    </row>
    <row r="14" spans="2:22" ht="24" customHeight="1">
      <c r="B14" s="107" t="s">
        <v>2</v>
      </c>
      <c r="C14" s="107"/>
      <c r="E14" s="132"/>
      <c r="F14" s="132"/>
      <c r="G14" s="133"/>
      <c r="H14" s="149"/>
      <c r="I14" s="147"/>
      <c r="J14" s="148"/>
      <c r="K14" s="119"/>
      <c r="L14" s="120"/>
      <c r="M14" s="120"/>
      <c r="N14" s="121"/>
      <c r="O14" s="122"/>
      <c r="P14" s="123"/>
      <c r="Q14" s="123"/>
      <c r="R14" s="59">
        <f>IFERROR(LOOKUP(O13,Administrador!$H$9:$H$11,Administrador!$I$9:$I$11),0)</f>
        <v>0</v>
      </c>
      <c r="S14" s="59">
        <f>IF(R14=0,1,"")</f>
        <v>1</v>
      </c>
      <c r="T14" s="144"/>
      <c r="U14" s="144"/>
      <c r="V14" s="144"/>
    </row>
    <row r="15" spans="2:22" ht="24" customHeight="1">
      <c r="B15" s="107"/>
      <c r="C15" s="107"/>
      <c r="E15" s="141" t="s">
        <v>531</v>
      </c>
      <c r="F15" s="141"/>
      <c r="G15" s="142"/>
      <c r="H15" s="130">
        <v>42538</v>
      </c>
      <c r="I15" s="137"/>
      <c r="J15" s="145"/>
      <c r="K15" s="127" t="s">
        <v>651</v>
      </c>
      <c r="L15" s="128"/>
      <c r="M15" s="128"/>
      <c r="N15" s="129"/>
      <c r="O15" s="130">
        <v>45693</v>
      </c>
      <c r="P15" s="131"/>
      <c r="Q15" s="131"/>
      <c r="R15" s="59"/>
      <c r="S15" s="59"/>
    </row>
    <row r="16" spans="2:22" ht="24" customHeight="1">
      <c r="B16" s="107" t="s">
        <v>3</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641</v>
      </c>
      <c r="U16" s="125"/>
      <c r="V16" s="125"/>
    </row>
    <row r="17" spans="2:22" ht="24" customHeight="1">
      <c r="B17" s="107"/>
      <c r="C17" s="107"/>
      <c r="E17" s="132" t="s">
        <v>532</v>
      </c>
      <c r="F17" s="132"/>
      <c r="G17" s="133"/>
      <c r="H17" s="122">
        <v>45403</v>
      </c>
      <c r="I17" s="147"/>
      <c r="J17" s="148"/>
      <c r="K17" s="119" t="s">
        <v>652</v>
      </c>
      <c r="L17" s="120"/>
      <c r="M17" s="120"/>
      <c r="N17" s="121"/>
      <c r="O17" s="122">
        <v>45720</v>
      </c>
      <c r="P17" s="123"/>
      <c r="Q17" s="123"/>
      <c r="S17" s="59"/>
      <c r="T17" s="125"/>
      <c r="U17" s="125"/>
      <c r="V17" s="125"/>
    </row>
    <row r="18" spans="2:22" ht="24" customHeight="1">
      <c r="B18" s="107" t="s">
        <v>538</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533</v>
      </c>
      <c r="F19" s="141"/>
      <c r="G19" s="142"/>
      <c r="H19" s="130">
        <v>42653</v>
      </c>
      <c r="I19" s="137"/>
      <c r="J19" s="145"/>
      <c r="K19" s="127" t="s">
        <v>653</v>
      </c>
      <c r="L19" s="128"/>
      <c r="M19" s="128"/>
      <c r="N19" s="129"/>
      <c r="O19" s="130"/>
      <c r="P19" s="131"/>
      <c r="Q19" s="131"/>
      <c r="S19" s="59"/>
      <c r="T19" s="125"/>
      <c r="U19" s="125"/>
      <c r="V19" s="125"/>
    </row>
    <row r="20" spans="2:22" ht="24" customHeight="1">
      <c r="B20" s="107" t="s">
        <v>431</v>
      </c>
      <c r="C20" s="107"/>
      <c r="E20" s="141"/>
      <c r="F20" s="141"/>
      <c r="G20" s="142"/>
      <c r="H20" s="146"/>
      <c r="I20" s="137"/>
      <c r="J20" s="145"/>
      <c r="K20" s="127"/>
      <c r="L20" s="128"/>
      <c r="M20" s="128"/>
      <c r="N20" s="129"/>
      <c r="O20" s="130"/>
      <c r="P20" s="131"/>
      <c r="Q20" s="131"/>
      <c r="R20" s="59">
        <f>IFERROR(LOOKUP(O19,Administrador!$H$9:$H$11,Administrador!$I$9:$I$11),0)</f>
        <v>0</v>
      </c>
      <c r="S20" s="59">
        <f>IF(R20=0,1,"")</f>
        <v>1</v>
      </c>
      <c r="T20" s="125"/>
      <c r="U20" s="125"/>
      <c r="V20" s="125"/>
    </row>
    <row r="21" spans="2:22" ht="24" customHeight="1">
      <c r="B21" s="107"/>
      <c r="C21" s="107"/>
      <c r="T21" s="125"/>
      <c r="U21" s="125"/>
      <c r="V21" s="125"/>
    </row>
    <row r="22" spans="2:22" ht="37.5" customHeight="1">
      <c r="B22" s="107" t="s">
        <v>618</v>
      </c>
      <c r="C22" s="107"/>
      <c r="E22" s="124" t="s">
        <v>619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t="s">
        <v>659</v>
      </c>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disablePrompts="1"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headerFooter>
    <oddFooter>&amp;R_x000D_&amp;1#&amp;"Calibri"&amp;10&amp;K000000 Información Pública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20" zoomScale="90" zoomScaleNormal="90" workbookViewId="0">
      <selection activeCell="P19" sqref="P19:Q20"/>
    </sheetView>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38" t="s">
        <v>1</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2" t="s">
        <v>534</v>
      </c>
      <c r="F5" s="152"/>
      <c r="G5" s="152"/>
      <c r="H5" s="152"/>
      <c r="I5" s="152"/>
      <c r="J5" s="152"/>
      <c r="K5" s="152"/>
      <c r="L5" s="152"/>
      <c r="M5" s="152"/>
      <c r="N5" s="152"/>
      <c r="O5" s="152"/>
      <c r="P5" s="152"/>
      <c r="Q5" s="152"/>
      <c r="R5" s="73"/>
      <c r="S5" s="143" t="s">
        <v>621</v>
      </c>
      <c r="T5" s="143"/>
      <c r="U5" s="143"/>
      <c r="V5" s="45"/>
    </row>
    <row r="6" spans="2:22">
      <c r="B6" s="107" t="s">
        <v>616</v>
      </c>
      <c r="C6" s="107"/>
      <c r="E6" s="152"/>
      <c r="F6" s="152"/>
      <c r="G6" s="152"/>
      <c r="H6" s="152"/>
      <c r="I6" s="152"/>
      <c r="J6" s="152"/>
      <c r="K6" s="152"/>
      <c r="L6" s="152"/>
      <c r="M6" s="152"/>
      <c r="N6" s="152"/>
      <c r="O6" s="152"/>
      <c r="P6" s="152"/>
      <c r="Q6" s="152"/>
      <c r="R6" s="73"/>
      <c r="S6" s="143"/>
      <c r="T6" s="143"/>
      <c r="U6" s="143"/>
      <c r="V6" s="45"/>
    </row>
    <row r="7" spans="2:22">
      <c r="B7" s="107"/>
      <c r="C7" s="107"/>
      <c r="P7" s="7"/>
      <c r="Q7" s="8"/>
      <c r="R7" s="73"/>
      <c r="S7" s="143"/>
      <c r="T7" s="143"/>
      <c r="U7" s="143"/>
      <c r="V7" s="45"/>
    </row>
    <row r="8" spans="2:22">
      <c r="B8" s="107" t="s">
        <v>0</v>
      </c>
      <c r="C8" s="107"/>
      <c r="H8" s="9"/>
      <c r="I8" s="9"/>
      <c r="J8" s="9"/>
      <c r="K8" s="9"/>
      <c r="L8" s="9"/>
      <c r="M8" s="9"/>
      <c r="S8" s="143"/>
      <c r="T8" s="143"/>
      <c r="U8" s="143"/>
      <c r="V8" s="45"/>
    </row>
    <row r="9" spans="2:22" ht="20.25" customHeight="1">
      <c r="B9" s="107"/>
      <c r="C9" s="107"/>
      <c r="G9" s="153">
        <v>353</v>
      </c>
      <c r="H9" s="153"/>
      <c r="J9" s="153">
        <v>357</v>
      </c>
      <c r="K9" s="153"/>
      <c r="M9" s="153">
        <v>135</v>
      </c>
      <c r="N9" s="153"/>
      <c r="P9" s="153">
        <v>133</v>
      </c>
      <c r="Q9" s="153"/>
      <c r="S9" s="143"/>
      <c r="T9" s="143"/>
      <c r="U9" s="143"/>
      <c r="V9" s="45"/>
    </row>
    <row r="10" spans="2:22" ht="20.25" customHeight="1">
      <c r="B10" s="107" t="s">
        <v>1</v>
      </c>
      <c r="C10" s="107"/>
      <c r="G10" s="153"/>
      <c r="H10" s="153"/>
      <c r="J10" s="153"/>
      <c r="K10" s="153"/>
      <c r="M10" s="153"/>
      <c r="N10" s="153"/>
      <c r="P10" s="153"/>
      <c r="Q10" s="153"/>
      <c r="S10" s="143"/>
      <c r="T10" s="143"/>
      <c r="U10" s="143"/>
      <c r="V10" s="45"/>
    </row>
    <row r="11" spans="2:22" ht="20.25" customHeight="1">
      <c r="B11" s="107"/>
      <c r="C11" s="107"/>
      <c r="G11" s="153"/>
      <c r="H11" s="153"/>
      <c r="J11" s="153"/>
      <c r="K11" s="153"/>
      <c r="M11" s="153"/>
      <c r="N11" s="153"/>
      <c r="P11" s="153"/>
      <c r="Q11" s="153"/>
      <c r="S11" s="143"/>
      <c r="T11" s="143"/>
      <c r="U11" s="143"/>
      <c r="V11" s="45"/>
    </row>
    <row r="12" spans="2:22" ht="20.25" customHeight="1">
      <c r="B12" s="107" t="s">
        <v>617</v>
      </c>
      <c r="C12" s="107"/>
      <c r="G12" s="162" t="s">
        <v>542</v>
      </c>
      <c r="H12" s="162"/>
      <c r="J12" s="162" t="s">
        <v>543</v>
      </c>
      <c r="K12" s="162"/>
      <c r="M12" s="162" t="s">
        <v>544</v>
      </c>
      <c r="N12" s="162"/>
      <c r="P12" s="162" t="s">
        <v>545</v>
      </c>
      <c r="Q12" s="162"/>
      <c r="S12" s="118" t="s">
        <v>598</v>
      </c>
      <c r="T12" s="118"/>
      <c r="U12" s="118"/>
      <c r="V12" s="118"/>
    </row>
    <row r="13" spans="2:22" ht="20.25" customHeight="1">
      <c r="B13" s="107"/>
      <c r="C13" s="107"/>
      <c r="G13" s="162"/>
      <c r="H13" s="162"/>
      <c r="J13" s="162"/>
      <c r="K13" s="162"/>
      <c r="M13" s="162"/>
      <c r="N13" s="162"/>
      <c r="P13" s="162"/>
      <c r="Q13" s="162"/>
      <c r="S13" s="118"/>
      <c r="T13" s="118"/>
      <c r="U13" s="118"/>
      <c r="V13" s="118"/>
    </row>
    <row r="14" spans="2:22" ht="20.25" customHeight="1">
      <c r="B14" s="107" t="s">
        <v>2</v>
      </c>
      <c r="C14" s="107"/>
      <c r="G14" s="162"/>
      <c r="H14" s="162"/>
      <c r="J14" s="162"/>
      <c r="K14" s="162"/>
      <c r="M14" s="162"/>
      <c r="N14" s="162"/>
      <c r="P14" s="162"/>
      <c r="Q14" s="162"/>
      <c r="S14" s="161"/>
      <c r="T14" s="161"/>
      <c r="U14" s="161"/>
      <c r="V14" s="161"/>
    </row>
    <row r="15" spans="2:22">
      <c r="B15" s="107"/>
      <c r="C15" s="107"/>
      <c r="E15" s="89"/>
      <c r="F15" s="89"/>
      <c r="G15" s="89"/>
      <c r="H15" s="57">
        <f>+J9*25%</f>
        <v>89.25</v>
      </c>
      <c r="I15" s="57">
        <f>+INT(IF(J9&lt;10,J9,IF(H15&lt;10,10,H15)))</f>
        <v>89</v>
      </c>
      <c r="J15" s="89"/>
      <c r="K15" s="89"/>
      <c r="L15" s="89"/>
      <c r="M15" s="89"/>
      <c r="N15" s="89"/>
      <c r="O15" s="89"/>
      <c r="P15" s="89"/>
      <c r="Q15" s="89"/>
    </row>
    <row r="16" spans="2:22" ht="25.5" customHeight="1">
      <c r="B16" s="107" t="s">
        <v>3</v>
      </c>
      <c r="C16" s="107"/>
      <c r="E16" s="89"/>
      <c r="F16" s="89"/>
      <c r="G16" s="89"/>
      <c r="H16" s="89"/>
      <c r="I16" s="89"/>
      <c r="J16" s="89"/>
      <c r="K16" s="89"/>
      <c r="L16" s="89"/>
      <c r="M16" s="89"/>
      <c r="N16" s="89"/>
      <c r="O16" s="89"/>
      <c r="P16" s="89"/>
      <c r="Q16" s="89"/>
      <c r="S16" s="125" t="s">
        <v>642</v>
      </c>
      <c r="T16" s="125"/>
      <c r="U16" s="125"/>
      <c r="V16" s="125"/>
    </row>
    <row r="17" spans="2:22" ht="25.5" customHeight="1">
      <c r="B17" s="107"/>
      <c r="C17" s="107"/>
      <c r="E17" s="154" t="str">
        <f>"Seleccione una muestra de "&amp;I15&amp;" abogados activos y complete los siguientes datos:"</f>
        <v>Seleccione una muestra de 89 abogados activos y complete los siguientes datos:</v>
      </c>
      <c r="F17" s="154"/>
      <c r="G17" s="154"/>
      <c r="H17" s="154"/>
      <c r="I17" s="154"/>
      <c r="J17" s="154"/>
      <c r="K17" s="90"/>
      <c r="L17" s="154" t="s">
        <v>485</v>
      </c>
      <c r="M17" s="154"/>
      <c r="N17" s="154"/>
      <c r="O17" s="154"/>
      <c r="P17" s="154"/>
      <c r="Q17" s="154"/>
      <c r="S17" s="125"/>
      <c r="T17" s="125"/>
      <c r="U17" s="125"/>
      <c r="V17" s="125"/>
    </row>
    <row r="18" spans="2:22" ht="36" customHeight="1">
      <c r="B18" s="107" t="s">
        <v>538</v>
      </c>
      <c r="C18" s="107"/>
      <c r="E18" s="154"/>
      <c r="F18" s="154"/>
      <c r="G18" s="154"/>
      <c r="H18" s="154"/>
      <c r="I18" s="154"/>
      <c r="J18" s="154"/>
      <c r="K18" s="90"/>
      <c r="L18" s="154"/>
      <c r="M18" s="154"/>
      <c r="N18" s="154"/>
      <c r="O18" s="154"/>
      <c r="P18" s="154"/>
      <c r="Q18" s="154"/>
      <c r="S18" s="125"/>
      <c r="T18" s="125"/>
      <c r="U18" s="125"/>
      <c r="V18" s="125"/>
    </row>
    <row r="19" spans="2:22" ht="25.5" customHeight="1">
      <c r="B19" s="107"/>
      <c r="C19" s="107"/>
      <c r="E19" s="155" t="str">
        <f>"De la muestra de "&amp;I15&amp;", cuantos tienen el nombre correcto"</f>
        <v>De la muestra de 89, cuantos tienen el nombre correcto</v>
      </c>
      <c r="F19" s="155"/>
      <c r="G19" s="155"/>
      <c r="H19" s="155"/>
      <c r="I19" s="157">
        <v>89</v>
      </c>
      <c r="J19" s="158"/>
      <c r="K19" s="90"/>
      <c r="L19" s="155" t="s">
        <v>546</v>
      </c>
      <c r="M19" s="155"/>
      <c r="N19" s="155"/>
      <c r="O19" s="155"/>
      <c r="P19" s="157">
        <v>322</v>
      </c>
      <c r="Q19" s="158"/>
      <c r="S19" s="125"/>
      <c r="T19" s="125"/>
      <c r="U19" s="125"/>
      <c r="V19" s="125"/>
    </row>
    <row r="20" spans="2:22" ht="20.25" customHeight="1">
      <c r="B20" s="107" t="s">
        <v>431</v>
      </c>
      <c r="C20" s="107"/>
      <c r="E20" s="155"/>
      <c r="F20" s="155"/>
      <c r="G20" s="155"/>
      <c r="H20" s="155"/>
      <c r="I20" s="157"/>
      <c r="J20" s="158"/>
      <c r="K20" s="90"/>
      <c r="L20" s="155"/>
      <c r="M20" s="155"/>
      <c r="N20" s="155"/>
      <c r="O20" s="155"/>
      <c r="P20" s="157"/>
      <c r="Q20" s="158"/>
      <c r="R20" s="104">
        <f>+P19*1</f>
        <v>322</v>
      </c>
      <c r="S20" s="125"/>
      <c r="T20" s="125"/>
      <c r="U20" s="125"/>
      <c r="V20" s="125"/>
    </row>
    <row r="21" spans="2:22" ht="26.25" customHeight="1">
      <c r="B21" s="107"/>
      <c r="C21" s="107"/>
      <c r="E21" s="156" t="str">
        <f>"De la muestra de "&amp;I15&amp;", cuantos tienen el correo electrónico correcto"</f>
        <v>De la muestra de 89, cuantos tienen el correo electrónico correcto</v>
      </c>
      <c r="F21" s="156"/>
      <c r="G21" s="156"/>
      <c r="H21" s="156"/>
      <c r="I21" s="159">
        <v>89</v>
      </c>
      <c r="J21" s="160"/>
      <c r="K21" s="90"/>
      <c r="L21" s="156" t="s">
        <v>547</v>
      </c>
      <c r="M21" s="156"/>
      <c r="N21" s="156"/>
      <c r="O21" s="156"/>
      <c r="P21" s="159">
        <v>18</v>
      </c>
      <c r="Q21" s="160"/>
      <c r="R21" s="74"/>
      <c r="S21" s="125"/>
      <c r="T21" s="125"/>
      <c r="U21" s="125"/>
      <c r="V21" s="125"/>
    </row>
    <row r="22" spans="2:22" ht="42" customHeight="1">
      <c r="B22" s="107" t="s">
        <v>618</v>
      </c>
      <c r="C22" s="107"/>
      <c r="E22" s="156"/>
      <c r="F22" s="156"/>
      <c r="G22" s="156"/>
      <c r="H22" s="156"/>
      <c r="I22" s="159"/>
      <c r="J22" s="160"/>
      <c r="K22" s="90"/>
      <c r="L22" s="156"/>
      <c r="M22" s="156"/>
      <c r="N22" s="156"/>
      <c r="O22" s="156"/>
      <c r="P22" s="159"/>
      <c r="Q22" s="160"/>
      <c r="R22" s="104">
        <f>+P21*1</f>
        <v>18</v>
      </c>
      <c r="S22" s="125"/>
      <c r="T22" s="125"/>
      <c r="U22" s="125"/>
      <c r="V22" s="125"/>
    </row>
    <row r="23" spans="2:22" ht="20.25" customHeight="1">
      <c r="E23" s="155" t="str">
        <f>"De la muestra de "&amp;I15&amp;", cuantos tienen tipo de vinculación de planta"</f>
        <v>De la muestra de 89, cuantos tienen tipo de vinculación de planta</v>
      </c>
      <c r="F23" s="155"/>
      <c r="G23" s="155"/>
      <c r="H23" s="155"/>
      <c r="I23" s="157">
        <v>89</v>
      </c>
      <c r="J23" s="158"/>
      <c r="K23" s="90"/>
      <c r="L23" s="155" t="s">
        <v>486</v>
      </c>
      <c r="M23" s="155"/>
      <c r="N23" s="155"/>
      <c r="O23" s="155"/>
      <c r="P23" s="157">
        <v>13</v>
      </c>
      <c r="Q23" s="158"/>
      <c r="R23" s="74"/>
      <c r="S23" s="125"/>
      <c r="T23" s="125"/>
      <c r="U23" s="125"/>
      <c r="V23" s="125"/>
    </row>
    <row r="24" spans="2:22" ht="20.25" customHeight="1">
      <c r="E24" s="155"/>
      <c r="F24" s="155"/>
      <c r="G24" s="155"/>
      <c r="H24" s="155"/>
      <c r="I24" s="157"/>
      <c r="J24" s="158"/>
      <c r="K24" s="90"/>
      <c r="L24" s="155"/>
      <c r="M24" s="155"/>
      <c r="N24" s="155"/>
      <c r="O24" s="155"/>
      <c r="P24" s="157"/>
      <c r="Q24" s="158"/>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619</v>
      </c>
      <c r="F26" s="124"/>
      <c r="G26" s="124"/>
      <c r="H26" s="124"/>
      <c r="I26" s="124"/>
      <c r="J26" s="124"/>
      <c r="K26" s="124"/>
      <c r="L26" s="124"/>
      <c r="M26" s="124"/>
      <c r="N26" s="124"/>
      <c r="O26" s="124"/>
      <c r="P26" s="124"/>
      <c r="Q26" s="124"/>
      <c r="S26" s="125"/>
      <c r="T26" s="125"/>
      <c r="U26" s="125"/>
      <c r="V26" s="125"/>
    </row>
    <row r="27" spans="2:22">
      <c r="E27" s="150" t="s">
        <v>656</v>
      </c>
      <c r="F27" s="151"/>
      <c r="G27" s="151"/>
      <c r="H27" s="151"/>
      <c r="I27" s="151"/>
      <c r="J27" s="151"/>
      <c r="K27" s="151"/>
      <c r="L27" s="151"/>
      <c r="M27" s="151"/>
      <c r="N27" s="151"/>
      <c r="O27" s="151"/>
      <c r="P27" s="151"/>
      <c r="Q27" s="151"/>
      <c r="S27" s="125"/>
      <c r="T27" s="125"/>
      <c r="U27" s="125"/>
      <c r="V27" s="125"/>
    </row>
    <row r="28" spans="2:22">
      <c r="E28" s="151"/>
      <c r="F28" s="151"/>
      <c r="G28" s="151"/>
      <c r="H28" s="151"/>
      <c r="I28" s="151"/>
      <c r="J28" s="151"/>
      <c r="K28" s="151"/>
      <c r="L28" s="151"/>
      <c r="M28" s="151"/>
      <c r="N28" s="151"/>
      <c r="O28" s="151"/>
      <c r="P28" s="151"/>
      <c r="Q28" s="151"/>
      <c r="S28" s="125"/>
      <c r="T28" s="125"/>
      <c r="U28" s="125"/>
      <c r="V28" s="125"/>
    </row>
    <row r="29" spans="2:22">
      <c r="E29" s="151"/>
      <c r="F29" s="151"/>
      <c r="G29" s="151"/>
      <c r="H29" s="151"/>
      <c r="I29" s="151"/>
      <c r="J29" s="151"/>
      <c r="K29" s="151"/>
      <c r="L29" s="151"/>
      <c r="M29" s="151"/>
      <c r="N29" s="151"/>
      <c r="O29" s="151"/>
      <c r="P29" s="151"/>
      <c r="Q29" s="151"/>
      <c r="S29" s="125"/>
      <c r="T29" s="125"/>
      <c r="U29" s="125"/>
      <c r="V29" s="125"/>
    </row>
    <row r="30" spans="2:22">
      <c r="E30" s="151"/>
      <c r="F30" s="151"/>
      <c r="G30" s="151"/>
      <c r="H30" s="151"/>
      <c r="I30" s="151"/>
      <c r="J30" s="151"/>
      <c r="K30" s="151"/>
      <c r="L30" s="151"/>
      <c r="M30" s="151"/>
      <c r="N30" s="151"/>
      <c r="O30" s="151"/>
      <c r="P30" s="151"/>
      <c r="Q30" s="151"/>
      <c r="S30" s="125"/>
      <c r="T30" s="125"/>
      <c r="U30" s="125"/>
      <c r="V30" s="125"/>
    </row>
    <row r="31" spans="2:22">
      <c r="E31" s="151"/>
      <c r="F31" s="151"/>
      <c r="G31" s="151"/>
      <c r="H31" s="151"/>
      <c r="I31" s="151"/>
      <c r="J31" s="151"/>
      <c r="K31" s="151"/>
      <c r="L31" s="151"/>
      <c r="M31" s="151"/>
      <c r="N31" s="151"/>
      <c r="O31" s="151"/>
      <c r="P31" s="151"/>
      <c r="Q31" s="151"/>
      <c r="S31" s="125"/>
      <c r="T31" s="125"/>
      <c r="U31" s="125"/>
      <c r="V31" s="125"/>
    </row>
    <row r="32" spans="2:22">
      <c r="E32" s="151"/>
      <c r="F32" s="151"/>
      <c r="G32" s="151"/>
      <c r="H32" s="151"/>
      <c r="I32" s="151"/>
      <c r="J32" s="151"/>
      <c r="K32" s="151"/>
      <c r="L32" s="151"/>
      <c r="M32" s="151"/>
      <c r="N32" s="151"/>
      <c r="O32" s="151"/>
      <c r="P32" s="151"/>
      <c r="Q32" s="151"/>
      <c r="S32" s="125"/>
      <c r="T32" s="125"/>
      <c r="U32" s="125"/>
      <c r="V32" s="125"/>
    </row>
    <row r="33" spans="5:22">
      <c r="E33" s="151"/>
      <c r="F33" s="151"/>
      <c r="G33" s="151"/>
      <c r="H33" s="151"/>
      <c r="I33" s="151"/>
      <c r="J33" s="151"/>
      <c r="K33" s="151"/>
      <c r="L33" s="151"/>
      <c r="M33" s="151"/>
      <c r="N33" s="151"/>
      <c r="O33" s="151"/>
      <c r="P33" s="151"/>
      <c r="Q33" s="151"/>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headerFooter>
    <oddFooter>&amp;R_x000D_&amp;1#&amp;"Calibri"&amp;10&amp;K000000 Información Pública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19" zoomScaleNormal="100" workbookViewId="0">
      <selection activeCell="E23" sqref="E23:R26"/>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38" t="s">
        <v>549</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616</v>
      </c>
      <c r="C6" s="107"/>
      <c r="E6" s="152" t="s">
        <v>550</v>
      </c>
      <c r="F6" s="152"/>
      <c r="G6" s="152"/>
      <c r="H6" s="152"/>
      <c r="I6" s="152"/>
      <c r="J6" s="152"/>
      <c r="K6" s="152"/>
      <c r="L6" s="152"/>
      <c r="M6" s="152"/>
      <c r="N6" s="152"/>
      <c r="O6" s="152"/>
      <c r="P6" s="152"/>
      <c r="Q6" s="152"/>
      <c r="R6" s="152"/>
      <c r="T6" s="143" t="s">
        <v>622</v>
      </c>
      <c r="U6" s="143"/>
      <c r="V6" s="143"/>
    </row>
    <row r="7" spans="2:22">
      <c r="B7" s="107"/>
      <c r="C7" s="107"/>
      <c r="E7" s="152"/>
      <c r="F7" s="152"/>
      <c r="G7" s="152"/>
      <c r="H7" s="152"/>
      <c r="I7" s="152"/>
      <c r="J7" s="152"/>
      <c r="K7" s="152"/>
      <c r="L7" s="152"/>
      <c r="M7" s="152"/>
      <c r="N7" s="152"/>
      <c r="O7" s="152"/>
      <c r="P7" s="152"/>
      <c r="Q7" s="152"/>
      <c r="R7" s="152"/>
      <c r="T7" s="143"/>
      <c r="U7" s="143"/>
      <c r="V7" s="143"/>
    </row>
    <row r="8" spans="2:22" ht="14.65" customHeight="1">
      <c r="B8" s="107" t="s">
        <v>0</v>
      </c>
      <c r="C8" s="107"/>
      <c r="P8" s="16"/>
      <c r="Q8" s="16"/>
      <c r="R8" s="16"/>
      <c r="T8" s="143"/>
      <c r="U8" s="143"/>
      <c r="V8" s="143"/>
    </row>
    <row r="9" spans="2:22" ht="19.5" customHeight="1">
      <c r="B9" s="107"/>
      <c r="C9" s="107"/>
      <c r="T9" s="143"/>
      <c r="U9" s="143"/>
      <c r="V9" s="143"/>
    </row>
    <row r="10" spans="2:22" ht="26.25" customHeight="1">
      <c r="B10" s="107" t="s">
        <v>1</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653</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617</v>
      </c>
      <c r="C12" s="107"/>
      <c r="G12" s="44"/>
      <c r="H12" s="44"/>
      <c r="I12" s="44"/>
      <c r="J12" s="44"/>
      <c r="K12" s="44"/>
      <c r="L12" s="44"/>
      <c r="M12" s="44"/>
      <c r="N12" s="44"/>
      <c r="O12" s="44"/>
      <c r="P12" s="75"/>
      <c r="T12" s="143"/>
      <c r="U12" s="143"/>
      <c r="V12" s="143"/>
    </row>
    <row r="13" spans="2:22" ht="37.5" customHeight="1">
      <c r="B13" s="107"/>
      <c r="C13" s="107"/>
      <c r="G13" s="163" t="s">
        <v>643</v>
      </c>
      <c r="H13" s="163"/>
      <c r="I13" s="163"/>
      <c r="J13" s="163"/>
      <c r="K13" s="163"/>
      <c r="L13" s="163"/>
      <c r="M13" s="163"/>
      <c r="N13" s="163"/>
      <c r="O13" s="164"/>
      <c r="P13" s="166">
        <v>651</v>
      </c>
      <c r="T13" s="143"/>
      <c r="U13" s="143"/>
      <c r="V13" s="143"/>
    </row>
    <row r="14" spans="2:22" ht="30" customHeight="1">
      <c r="B14" s="107" t="s">
        <v>2</v>
      </c>
      <c r="C14" s="107"/>
      <c r="G14" s="163"/>
      <c r="H14" s="163"/>
      <c r="I14" s="163"/>
      <c r="J14" s="163"/>
      <c r="K14" s="163"/>
      <c r="L14" s="163"/>
      <c r="M14" s="163"/>
      <c r="N14" s="163"/>
      <c r="O14" s="164"/>
      <c r="P14" s="166"/>
      <c r="T14" s="118" t="s">
        <v>598</v>
      </c>
      <c r="U14" s="118"/>
      <c r="V14" s="118"/>
    </row>
    <row r="15" spans="2:22" ht="42" customHeight="1">
      <c r="B15" s="107"/>
      <c r="C15" s="107"/>
      <c r="P15" s="75"/>
      <c r="T15" s="118"/>
      <c r="U15" s="118"/>
      <c r="V15" s="118"/>
    </row>
    <row r="16" spans="2:22" ht="35.25" customHeight="1">
      <c r="B16" s="107" t="s">
        <v>3</v>
      </c>
      <c r="C16" s="107"/>
      <c r="G16" s="167" t="s">
        <v>644</v>
      </c>
      <c r="H16" s="167"/>
      <c r="I16" s="167"/>
      <c r="J16" s="167"/>
      <c r="K16" s="167"/>
      <c r="L16" s="167"/>
      <c r="M16" s="167"/>
      <c r="N16" s="167"/>
      <c r="O16" s="168"/>
      <c r="P16" s="166">
        <v>482</v>
      </c>
      <c r="T16" s="17"/>
      <c r="U16" s="17"/>
      <c r="V16" s="17"/>
    </row>
    <row r="17" spans="2:22" ht="30.75" customHeight="1">
      <c r="B17" s="107"/>
      <c r="C17" s="107"/>
      <c r="G17" s="167"/>
      <c r="H17" s="167"/>
      <c r="I17" s="167"/>
      <c r="J17" s="167"/>
      <c r="K17" s="167"/>
      <c r="L17" s="167"/>
      <c r="M17" s="167"/>
      <c r="N17" s="167"/>
      <c r="O17" s="168"/>
      <c r="P17" s="166"/>
    </row>
    <row r="18" spans="2:22" ht="54" customHeight="1">
      <c r="B18" s="107" t="s">
        <v>538</v>
      </c>
      <c r="C18" s="107"/>
      <c r="G18" s="44"/>
      <c r="H18" s="44"/>
      <c r="I18" s="44"/>
      <c r="J18" s="44"/>
      <c r="K18" s="44"/>
      <c r="L18" s="44"/>
      <c r="M18" s="44"/>
      <c r="N18" s="44"/>
      <c r="O18" s="44"/>
      <c r="P18" s="75"/>
      <c r="S18" s="18"/>
      <c r="T18" s="125" t="s">
        <v>646</v>
      </c>
      <c r="U18" s="125"/>
      <c r="V18" s="125"/>
    </row>
    <row r="19" spans="2:22" ht="26.45" customHeight="1">
      <c r="B19" s="107"/>
      <c r="C19" s="107"/>
      <c r="G19" s="163" t="s">
        <v>645</v>
      </c>
      <c r="H19" s="163"/>
      <c r="I19" s="163"/>
      <c r="J19" s="163"/>
      <c r="K19" s="163"/>
      <c r="L19" s="163"/>
      <c r="M19" s="163"/>
      <c r="N19" s="163"/>
      <c r="O19" s="164"/>
      <c r="P19" s="165">
        <f>+P13-P16</f>
        <v>169</v>
      </c>
      <c r="T19" s="125"/>
      <c r="U19" s="125"/>
      <c r="V19" s="125"/>
    </row>
    <row r="20" spans="2:22" ht="27" customHeight="1">
      <c r="B20" s="107" t="s">
        <v>431</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618</v>
      </c>
      <c r="C22" s="107"/>
      <c r="E22" s="124" t="s">
        <v>619</v>
      </c>
      <c r="F22" s="124"/>
      <c r="G22" s="124"/>
      <c r="H22" s="124"/>
      <c r="I22" s="124"/>
      <c r="J22" s="124"/>
      <c r="K22" s="124"/>
      <c r="L22" s="124"/>
      <c r="M22" s="124"/>
      <c r="N22" s="124"/>
      <c r="O22" s="124"/>
      <c r="P22" s="124"/>
      <c r="Q22" s="124"/>
      <c r="R22" s="124"/>
      <c r="T22" s="125"/>
      <c r="U22" s="125"/>
      <c r="V22" s="125"/>
    </row>
    <row r="23" spans="2:22" ht="28.5" customHeight="1">
      <c r="E23" s="150" t="s">
        <v>662</v>
      </c>
      <c r="F23" s="150"/>
      <c r="G23" s="150"/>
      <c r="H23" s="150"/>
      <c r="I23" s="150"/>
      <c r="J23" s="150"/>
      <c r="K23" s="150"/>
      <c r="L23" s="150"/>
      <c r="M23" s="150"/>
      <c r="N23" s="150"/>
      <c r="O23" s="150"/>
      <c r="P23" s="150"/>
      <c r="Q23" s="150"/>
      <c r="R23" s="150"/>
      <c r="T23" s="125"/>
      <c r="U23" s="125"/>
      <c r="V23" s="125"/>
    </row>
    <row r="24" spans="2:22" ht="28.5" customHeight="1">
      <c r="E24" s="150"/>
      <c r="F24" s="150"/>
      <c r="G24" s="150"/>
      <c r="H24" s="150"/>
      <c r="I24" s="150"/>
      <c r="J24" s="150"/>
      <c r="K24" s="150"/>
      <c r="L24" s="150"/>
      <c r="M24" s="150"/>
      <c r="N24" s="150"/>
      <c r="O24" s="150"/>
      <c r="P24" s="150"/>
      <c r="Q24" s="150"/>
      <c r="R24" s="150"/>
      <c r="T24" s="125"/>
      <c r="U24" s="125"/>
      <c r="V24" s="125"/>
    </row>
    <row r="25" spans="2:22" ht="28.5" customHeight="1">
      <c r="E25" s="150"/>
      <c r="F25" s="150"/>
      <c r="G25" s="150"/>
      <c r="H25" s="150"/>
      <c r="I25" s="150"/>
      <c r="J25" s="150"/>
      <c r="K25" s="150"/>
      <c r="L25" s="150"/>
      <c r="M25" s="150"/>
      <c r="N25" s="150"/>
      <c r="O25" s="150"/>
      <c r="P25" s="150"/>
      <c r="Q25" s="150"/>
      <c r="R25" s="150"/>
      <c r="T25" s="125"/>
      <c r="U25" s="125"/>
      <c r="V25" s="125"/>
    </row>
    <row r="26" spans="2:22" ht="22.5" customHeight="1">
      <c r="E26" s="150"/>
      <c r="F26" s="150"/>
      <c r="G26" s="150"/>
      <c r="H26" s="150"/>
      <c r="I26" s="150"/>
      <c r="J26" s="150"/>
      <c r="K26" s="150"/>
      <c r="L26" s="150"/>
      <c r="M26" s="150"/>
      <c r="N26" s="150"/>
      <c r="O26" s="150"/>
      <c r="P26" s="150"/>
      <c r="Q26" s="150"/>
      <c r="R26" s="150"/>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headerFooter>
    <oddFooter>&amp;R_x000D_&amp;1#&amp;"Calibri"&amp;10&amp;K000000 Información Pública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32" zoomScale="80" zoomScaleNormal="80" workbookViewId="0">
      <selection activeCell="E30" sqref="E30:K31"/>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38" t="s">
        <v>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616</v>
      </c>
      <c r="C6" s="107"/>
      <c r="E6" s="152" t="s">
        <v>528</v>
      </c>
      <c r="F6" s="152"/>
      <c r="G6" s="152"/>
      <c r="H6" s="152"/>
      <c r="I6" s="152"/>
      <c r="J6" s="152"/>
      <c r="K6" s="152"/>
      <c r="L6" s="152"/>
      <c r="M6" s="152"/>
      <c r="N6" s="152"/>
      <c r="O6" s="152"/>
      <c r="P6" s="152"/>
      <c r="Q6" s="152"/>
      <c r="R6" s="152"/>
      <c r="S6" s="152"/>
      <c r="T6" s="152"/>
      <c r="U6" s="152"/>
      <c r="V6" s="16"/>
      <c r="W6" s="143" t="s">
        <v>623</v>
      </c>
      <c r="X6" s="143"/>
      <c r="Y6" s="143"/>
    </row>
    <row r="7" spans="1:25">
      <c r="B7" s="107"/>
      <c r="C7" s="107"/>
      <c r="E7" s="152"/>
      <c r="F7" s="152"/>
      <c r="G7" s="152"/>
      <c r="H7" s="152"/>
      <c r="I7" s="152"/>
      <c r="J7" s="152"/>
      <c r="K7" s="152"/>
      <c r="L7" s="152"/>
      <c r="M7" s="152"/>
      <c r="N7" s="152"/>
      <c r="O7" s="152"/>
      <c r="P7" s="152"/>
      <c r="Q7" s="152"/>
      <c r="R7" s="152"/>
      <c r="S7" s="152"/>
      <c r="T7" s="152"/>
      <c r="U7" s="152"/>
      <c r="V7" s="16"/>
      <c r="W7" s="143"/>
      <c r="X7" s="143"/>
      <c r="Y7" s="143"/>
    </row>
    <row r="8" spans="1:25">
      <c r="B8" s="107" t="s">
        <v>0</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1</v>
      </c>
      <c r="C10" s="107"/>
      <c r="E10" s="134" t="str">
        <f>"Procesos activos al "&amp;Administrador!B5&amp;"DE "&amp;Administrador!B4</f>
        <v>Procesos activos al 30 DE JUNIO DE 2025</v>
      </c>
      <c r="F10" s="134"/>
      <c r="G10" s="134"/>
      <c r="H10" s="134"/>
      <c r="I10" s="134"/>
      <c r="J10" s="134"/>
      <c r="K10" s="134"/>
      <c r="L10" s="134" t="s">
        <v>468</v>
      </c>
      <c r="M10" s="70"/>
      <c r="N10" s="134" t="s">
        <v>629</v>
      </c>
      <c r="O10" s="134"/>
      <c r="P10" s="134"/>
      <c r="Q10" s="134"/>
      <c r="R10" s="134"/>
      <c r="S10" s="134"/>
      <c r="T10" s="134"/>
      <c r="U10" s="134" t="s">
        <v>468</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617</v>
      </c>
      <c r="C12" s="107"/>
      <c r="E12" s="175" t="s">
        <v>436</v>
      </c>
      <c r="F12" s="175"/>
      <c r="G12" s="175"/>
      <c r="H12" s="175"/>
      <c r="I12" s="175"/>
      <c r="J12" s="175"/>
      <c r="K12" s="190"/>
      <c r="L12" s="169">
        <v>7450</v>
      </c>
      <c r="M12" s="68"/>
      <c r="N12" s="193" t="s">
        <v>442</v>
      </c>
      <c r="O12" s="193"/>
      <c r="P12" s="193"/>
      <c r="Q12" s="193"/>
      <c r="R12" s="193"/>
      <c r="S12" s="193"/>
      <c r="T12" s="194"/>
      <c r="U12" s="189">
        <v>132</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2</v>
      </c>
      <c r="C14" s="107"/>
      <c r="E14" s="191" t="s">
        <v>574</v>
      </c>
      <c r="F14" s="191"/>
      <c r="G14" s="191"/>
      <c r="H14" s="191"/>
      <c r="I14" s="191"/>
      <c r="J14" s="191"/>
      <c r="K14" s="192"/>
      <c r="L14" s="187">
        <v>7379</v>
      </c>
      <c r="M14" s="186"/>
      <c r="N14" s="195" t="s">
        <v>572</v>
      </c>
      <c r="O14" s="195"/>
      <c r="P14" s="195"/>
      <c r="Q14" s="195"/>
      <c r="R14" s="195"/>
      <c r="S14" s="195"/>
      <c r="T14" s="196"/>
      <c r="U14" s="187">
        <v>132</v>
      </c>
      <c r="W14" s="118" t="s">
        <v>598</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3</v>
      </c>
      <c r="C16" s="107"/>
      <c r="E16" s="175" t="s">
        <v>628</v>
      </c>
      <c r="F16" s="175"/>
      <c r="G16" s="175"/>
      <c r="H16" s="175"/>
      <c r="I16" s="175"/>
      <c r="J16" s="175"/>
      <c r="K16" s="190"/>
      <c r="L16" s="169">
        <v>36</v>
      </c>
      <c r="M16" s="68"/>
      <c r="N16" s="199" t="s">
        <v>630</v>
      </c>
      <c r="O16" s="199"/>
      <c r="P16" s="199"/>
      <c r="Q16" s="199"/>
      <c r="R16" s="199"/>
      <c r="S16" s="199"/>
      <c r="T16" s="200"/>
      <c r="U16" s="189">
        <v>132</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538</v>
      </c>
      <c r="C18" s="107"/>
      <c r="N18" s="22"/>
      <c r="O18" s="22"/>
      <c r="P18" s="22"/>
      <c r="Q18" s="22"/>
      <c r="R18" s="22"/>
      <c r="S18" s="22"/>
      <c r="T18" s="22"/>
      <c r="U18" s="23"/>
      <c r="W18" s="125" t="s">
        <v>632</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468</v>
      </c>
      <c r="M19" s="70"/>
      <c r="N19" s="134" t="s">
        <v>470</v>
      </c>
      <c r="O19" s="134"/>
      <c r="P19" s="134"/>
      <c r="Q19" s="134"/>
      <c r="R19" s="134"/>
      <c r="S19" s="134"/>
      <c r="T19" s="134"/>
      <c r="U19" s="134" t="s">
        <v>468</v>
      </c>
      <c r="W19" s="125"/>
      <c r="X19" s="125"/>
      <c r="Y19" s="125"/>
    </row>
    <row r="20" spans="2:25">
      <c r="B20" s="107" t="s">
        <v>431</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592</v>
      </c>
      <c r="M21" s="43"/>
      <c r="N21" s="193" t="str">
        <f>"Cantidad de procesos activos ekOGUI - Calidad demandado"</f>
        <v>Cantidad de procesos activos ekOGUI - Calidad demandado</v>
      </c>
      <c r="O21" s="193"/>
      <c r="P21" s="193"/>
      <c r="Q21" s="193"/>
      <c r="R21" s="193"/>
      <c r="S21" s="193"/>
      <c r="T21" s="194"/>
      <c r="U21" s="188">
        <v>7314</v>
      </c>
      <c r="W21" s="125"/>
      <c r="X21" s="125"/>
      <c r="Y21" s="125"/>
    </row>
    <row r="22" spans="2:25" ht="37.5" customHeight="1">
      <c r="B22" s="107" t="s">
        <v>618</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639</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7244</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159.75</v>
      </c>
      <c r="L25" s="54">
        <f>+INT(IF(L23&lt;10,L23,IF(K25&lt;10,10,K25)))</f>
        <v>159</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12</v>
      </c>
      <c r="W25" s="125"/>
      <c r="X25" s="125"/>
      <c r="Y25" s="125"/>
    </row>
    <row r="26" spans="2:25" ht="26.25" customHeight="1">
      <c r="E26" s="134" t="str">
        <f>"Seleccione "&amp;L25&amp;" procesos terminados en el primer semestre de "&amp;Administrador!A8&amp;" y diligencie la siguiente tabla:"</f>
        <v>Seleccione 159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603</v>
      </c>
      <c r="O27" s="170"/>
      <c r="P27" s="170"/>
      <c r="Q27" s="170"/>
      <c r="R27" s="170"/>
      <c r="S27" s="170"/>
      <c r="T27" s="171"/>
      <c r="U27" s="172">
        <v>58</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5"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469</v>
      </c>
      <c r="F30" s="134"/>
      <c r="G30" s="134"/>
      <c r="H30" s="134"/>
      <c r="I30" s="134"/>
      <c r="J30" s="134"/>
      <c r="K30" s="134"/>
      <c r="L30" s="134" t="s">
        <v>468</v>
      </c>
      <c r="M30" s="93"/>
      <c r="N30" s="134" t="s">
        <v>631</v>
      </c>
      <c r="O30" s="134"/>
      <c r="P30" s="134"/>
      <c r="Q30" s="134"/>
      <c r="R30" s="135"/>
      <c r="S30" s="135" t="s">
        <v>473</v>
      </c>
      <c r="T30" s="134" t="s">
        <v>472</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437</v>
      </c>
      <c r="F32" s="178"/>
      <c r="G32" s="178"/>
      <c r="H32" s="178"/>
      <c r="I32" s="178"/>
      <c r="J32" s="178"/>
      <c r="K32" s="179"/>
      <c r="L32" s="204">
        <f>+L25</f>
        <v>159</v>
      </c>
      <c r="M32" s="93"/>
      <c r="N32" s="175" t="s">
        <v>471</v>
      </c>
      <c r="O32" s="175"/>
      <c r="P32" s="175"/>
      <c r="Q32" s="175"/>
      <c r="R32" s="176"/>
      <c r="S32" s="173">
        <v>1856</v>
      </c>
      <c r="T32" s="174">
        <v>1089</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438</v>
      </c>
      <c r="F34" s="180"/>
      <c r="G34" s="180"/>
      <c r="H34" s="180"/>
      <c r="I34" s="180"/>
      <c r="J34" s="180"/>
      <c r="K34" s="181"/>
      <c r="L34" s="187">
        <v>120</v>
      </c>
      <c r="M34" s="93"/>
      <c r="N34" s="191" t="s">
        <v>443</v>
      </c>
      <c r="O34" s="191"/>
      <c r="P34" s="191"/>
      <c r="Q34" s="191"/>
      <c r="R34" s="201"/>
      <c r="S34" s="184">
        <v>3608</v>
      </c>
      <c r="T34" s="177">
        <v>3606</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439</v>
      </c>
      <c r="F36" s="182"/>
      <c r="G36" s="182"/>
      <c r="H36" s="182"/>
      <c r="I36" s="182"/>
      <c r="J36" s="182"/>
      <c r="K36" s="183"/>
      <c r="L36" s="169">
        <v>35</v>
      </c>
      <c r="M36" s="93"/>
      <c r="N36" s="175" t="s">
        <v>444</v>
      </c>
      <c r="O36" s="175"/>
      <c r="P36" s="175"/>
      <c r="Q36" s="175"/>
      <c r="R36" s="176"/>
      <c r="S36" s="173">
        <v>1031</v>
      </c>
      <c r="T36" s="174">
        <v>1031</v>
      </c>
      <c r="U36" s="169"/>
      <c r="V36" s="10">
        <f>+S32-T32</f>
        <v>767</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440</v>
      </c>
      <c r="F38" s="180"/>
      <c r="G38" s="180"/>
      <c r="H38" s="180"/>
      <c r="I38" s="180"/>
      <c r="J38" s="180"/>
      <c r="K38" s="181"/>
      <c r="L38" s="187">
        <v>11</v>
      </c>
      <c r="M38" s="68"/>
      <c r="N38" s="197" t="s">
        <v>445</v>
      </c>
      <c r="O38" s="197"/>
      <c r="P38" s="197"/>
      <c r="Q38" s="197"/>
      <c r="R38" s="198"/>
      <c r="S38" s="184">
        <v>761</v>
      </c>
      <c r="T38" s="177">
        <v>761</v>
      </c>
      <c r="U38" s="172"/>
      <c r="V38" s="10">
        <f>+S34-T34</f>
        <v>2</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441</v>
      </c>
      <c r="F40" s="178"/>
      <c r="G40" s="178"/>
      <c r="H40" s="178"/>
      <c r="I40" s="178"/>
      <c r="J40" s="178"/>
      <c r="K40" s="179"/>
      <c r="L40" s="169">
        <v>6</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619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t="s">
        <v>660</v>
      </c>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headerFooter>
    <oddFooter>&amp;R_x000D_&amp;1#&amp;"Calibri"&amp;10&amp;K000000 Información Pública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C8" zoomScale="80" zoomScaleNormal="80" workbookViewId="0">
      <selection activeCell="U13" sqref="U13:U14"/>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38" t="s">
        <v>3</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2" t="s">
        <v>537</v>
      </c>
      <c r="F5" s="152"/>
      <c r="G5" s="152"/>
      <c r="H5" s="152"/>
      <c r="I5" s="152"/>
      <c r="J5" s="152"/>
      <c r="K5" s="152"/>
      <c r="L5" s="152"/>
      <c r="M5" s="152"/>
      <c r="N5" s="152"/>
      <c r="O5" s="152"/>
      <c r="P5" s="152"/>
      <c r="Q5" s="152"/>
      <c r="R5" s="152"/>
      <c r="S5" s="152"/>
      <c r="T5" s="152"/>
      <c r="U5" s="152"/>
      <c r="V5" s="12"/>
      <c r="W5" s="143" t="s">
        <v>624</v>
      </c>
      <c r="X5" s="143"/>
      <c r="Y5" s="143"/>
    </row>
    <row r="6" spans="2:25">
      <c r="B6" s="107" t="s">
        <v>616</v>
      </c>
      <c r="C6" s="107"/>
      <c r="E6" s="152"/>
      <c r="F6" s="152"/>
      <c r="G6" s="152"/>
      <c r="H6" s="152"/>
      <c r="I6" s="152"/>
      <c r="J6" s="152"/>
      <c r="K6" s="152"/>
      <c r="L6" s="152"/>
      <c r="M6" s="152"/>
      <c r="N6" s="152"/>
      <c r="O6" s="152"/>
      <c r="P6" s="152"/>
      <c r="Q6" s="152"/>
      <c r="R6" s="152"/>
      <c r="S6" s="152"/>
      <c r="T6" s="152"/>
      <c r="U6" s="152"/>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0</v>
      </c>
      <c r="C8" s="107"/>
      <c r="W8" s="143"/>
      <c r="X8" s="143"/>
      <c r="Y8" s="143"/>
    </row>
    <row r="9" spans="2:25">
      <c r="B9" s="107"/>
      <c r="C9" s="107"/>
      <c r="E9" s="208" t="s">
        <v>3</v>
      </c>
      <c r="F9" s="208"/>
      <c r="G9" s="208"/>
      <c r="H9" s="208"/>
      <c r="I9" s="208"/>
      <c r="J9" s="208"/>
      <c r="K9" s="209"/>
      <c r="L9" s="206" t="s">
        <v>468</v>
      </c>
      <c r="M9" s="71"/>
      <c r="N9" s="208" t="s">
        <v>3</v>
      </c>
      <c r="O9" s="208"/>
      <c r="P9" s="208"/>
      <c r="Q9" s="208"/>
      <c r="R9" s="208"/>
      <c r="S9" s="208"/>
      <c r="T9" s="209"/>
      <c r="U9" s="206" t="s">
        <v>468</v>
      </c>
      <c r="W9" s="143"/>
      <c r="X9" s="143"/>
      <c r="Y9" s="143"/>
    </row>
    <row r="10" spans="2:25" ht="20.25" customHeight="1">
      <c r="B10" s="107" t="s">
        <v>1</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1</v>
      </c>
      <c r="W11" s="143"/>
      <c r="X11" s="143"/>
      <c r="Y11" s="143"/>
    </row>
    <row r="12" spans="2:25" ht="24.75" customHeight="1">
      <c r="B12" s="107" t="s">
        <v>617</v>
      </c>
      <c r="C12" s="107"/>
      <c r="E12" s="193"/>
      <c r="F12" s="193"/>
      <c r="G12" s="193"/>
      <c r="H12" s="193"/>
      <c r="I12" s="193"/>
      <c r="J12" s="193"/>
      <c r="K12" s="194"/>
      <c r="L12" s="205"/>
      <c r="M12" s="70"/>
      <c r="N12" s="193"/>
      <c r="O12" s="193"/>
      <c r="P12" s="193"/>
      <c r="Q12" s="193"/>
      <c r="R12" s="193"/>
      <c r="S12" s="193"/>
      <c r="T12" s="194"/>
      <c r="U12" s="169"/>
      <c r="W12" s="118" t="s">
        <v>598</v>
      </c>
      <c r="X12" s="118"/>
      <c r="Y12" s="118"/>
    </row>
    <row r="13" spans="2:25" ht="24.75" customHeight="1">
      <c r="B13" s="107"/>
      <c r="C13" s="107"/>
      <c r="E13" s="195" t="s">
        <v>582</v>
      </c>
      <c r="F13" s="195"/>
      <c r="G13" s="195"/>
      <c r="H13" s="195"/>
      <c r="I13" s="195"/>
      <c r="J13" s="195"/>
      <c r="K13" s="196"/>
      <c r="L13" s="207">
        <v>0</v>
      </c>
      <c r="M13" s="70"/>
      <c r="N13" s="195" t="s">
        <v>583</v>
      </c>
      <c r="O13" s="195"/>
      <c r="P13" s="195"/>
      <c r="Q13" s="195"/>
      <c r="R13" s="195"/>
      <c r="S13" s="195"/>
      <c r="T13" s="196"/>
      <c r="U13" s="187">
        <v>1</v>
      </c>
      <c r="W13" s="118"/>
      <c r="X13" s="118"/>
      <c r="Y13" s="118"/>
    </row>
    <row r="14" spans="2:25" ht="20.25" customHeight="1">
      <c r="B14" s="107" t="s">
        <v>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3</v>
      </c>
      <c r="C16" s="107"/>
    </row>
    <row r="17" spans="2:21" ht="27" customHeight="1">
      <c r="B17" s="107"/>
      <c r="C17" s="107"/>
      <c r="E17" s="124" t="s">
        <v>619</v>
      </c>
      <c r="F17" s="124"/>
      <c r="G17" s="124"/>
      <c r="H17" s="124"/>
      <c r="I17" s="124"/>
      <c r="J17" s="124"/>
      <c r="K17" s="124"/>
      <c r="L17" s="124"/>
      <c r="M17" s="124"/>
      <c r="N17" s="124"/>
      <c r="O17" s="124"/>
      <c r="P17" s="124"/>
      <c r="Q17" s="124"/>
      <c r="R17" s="124"/>
      <c r="S17" s="124"/>
      <c r="T17" s="124"/>
      <c r="U17" s="124"/>
    </row>
    <row r="18" spans="2:21" ht="39" customHeight="1">
      <c r="B18" s="107" t="s">
        <v>538</v>
      </c>
      <c r="C18" s="107"/>
      <c r="E18" s="126" t="s">
        <v>657</v>
      </c>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431</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618</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headerFooter>
    <oddFooter>&amp;R_x000D_&amp;1#&amp;"Calibri"&amp;10&amp;K000000 Información Pública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16" zoomScale="80" zoomScaleNormal="80" workbookViewId="0">
      <selection activeCell="J21" sqref="J21:K22"/>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38" t="s">
        <v>538</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2" t="s">
        <v>536</v>
      </c>
      <c r="F5" s="152"/>
      <c r="G5" s="152"/>
      <c r="H5" s="152"/>
      <c r="I5" s="152"/>
      <c r="J5" s="152"/>
      <c r="K5" s="152"/>
      <c r="L5" s="152"/>
      <c r="M5" s="152"/>
      <c r="N5" s="152"/>
      <c r="O5" s="152"/>
      <c r="P5" s="152"/>
      <c r="Q5" s="152"/>
      <c r="R5" s="152"/>
      <c r="T5" s="143" t="s">
        <v>625</v>
      </c>
      <c r="U5" s="143"/>
      <c r="V5" s="143"/>
    </row>
    <row r="6" spans="2:22">
      <c r="B6" s="107" t="s">
        <v>616</v>
      </c>
      <c r="C6" s="107"/>
      <c r="E6" s="152"/>
      <c r="F6" s="152"/>
      <c r="G6" s="152"/>
      <c r="H6" s="152"/>
      <c r="I6" s="152"/>
      <c r="J6" s="152"/>
      <c r="K6" s="152"/>
      <c r="L6" s="152"/>
      <c r="M6" s="152"/>
      <c r="N6" s="152"/>
      <c r="O6" s="152"/>
      <c r="P6" s="152"/>
      <c r="Q6" s="152"/>
      <c r="R6" s="152"/>
      <c r="T6" s="143"/>
      <c r="U6" s="143"/>
      <c r="V6" s="143"/>
    </row>
    <row r="7" spans="2:22" ht="14.65" customHeight="1">
      <c r="B7" s="107"/>
      <c r="C7" s="107"/>
      <c r="P7" s="16"/>
      <c r="Q7" s="16"/>
      <c r="R7" s="16"/>
      <c r="T7" s="143"/>
      <c r="U7" s="143"/>
      <c r="V7" s="143"/>
    </row>
    <row r="8" spans="2:22" ht="19.5" customHeight="1">
      <c r="B8" s="107" t="s">
        <v>0</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475</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1</v>
      </c>
      <c r="C10" s="107"/>
      <c r="E10" s="211" t="s">
        <v>586</v>
      </c>
      <c r="F10" s="211"/>
      <c r="G10" s="211"/>
      <c r="H10" s="211"/>
      <c r="I10" s="211"/>
      <c r="J10" s="211"/>
      <c r="K10" s="211"/>
      <c r="L10" s="211"/>
      <c r="M10" s="211"/>
      <c r="N10" s="211"/>
      <c r="O10" s="211"/>
      <c r="P10" s="211"/>
      <c r="Q10" s="211"/>
      <c r="R10" s="212" t="s">
        <v>636</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617</v>
      </c>
      <c r="C12" s="107"/>
      <c r="T12" s="143"/>
      <c r="U12" s="143"/>
      <c r="V12" s="143"/>
    </row>
    <row r="13" spans="2:22">
      <c r="B13" s="107"/>
      <c r="C13" s="107"/>
      <c r="E13" s="210" t="s">
        <v>493</v>
      </c>
      <c r="F13" s="210"/>
      <c r="G13" s="210"/>
      <c r="H13" s="210"/>
      <c r="I13" s="210"/>
      <c r="J13" s="210"/>
      <c r="K13" s="210"/>
      <c r="L13" s="210"/>
      <c r="M13" s="210"/>
      <c r="N13" s="210"/>
      <c r="O13" s="210"/>
      <c r="T13" s="118" t="s">
        <v>598</v>
      </c>
      <c r="U13" s="118"/>
      <c r="V13" s="118"/>
    </row>
    <row r="14" spans="2:22" ht="20.25" customHeight="1">
      <c r="B14" s="107" t="s">
        <v>2</v>
      </c>
      <c r="C14" s="107"/>
      <c r="E14" s="210"/>
      <c r="F14" s="210"/>
      <c r="G14" s="210"/>
      <c r="H14" s="210"/>
      <c r="I14" s="210"/>
      <c r="J14" s="213" t="s">
        <v>487</v>
      </c>
      <c r="K14" s="213"/>
      <c r="L14" s="213" t="s">
        <v>488</v>
      </c>
      <c r="M14" s="213"/>
      <c r="N14" s="213" t="s">
        <v>489</v>
      </c>
      <c r="O14" s="213"/>
      <c r="T14" s="118"/>
      <c r="U14" s="118"/>
      <c r="V14" s="118"/>
    </row>
    <row r="15" spans="2:22" ht="30.75" customHeight="1">
      <c r="B15" s="107"/>
      <c r="C15" s="107"/>
      <c r="E15" s="175" t="s">
        <v>588</v>
      </c>
      <c r="F15" s="175"/>
      <c r="G15" s="175"/>
      <c r="H15" s="175"/>
      <c r="I15" s="176"/>
      <c r="J15" s="174">
        <v>0</v>
      </c>
      <c r="K15" s="217"/>
      <c r="L15" s="174">
        <v>0</v>
      </c>
      <c r="M15" s="217"/>
      <c r="N15" s="215">
        <f>+J15+L15</f>
        <v>0</v>
      </c>
      <c r="O15" s="215"/>
      <c r="T15" s="17"/>
      <c r="U15" s="17"/>
      <c r="V15" s="17"/>
    </row>
    <row r="16" spans="2:22" ht="30.75" customHeight="1">
      <c r="B16" s="107" t="s">
        <v>3</v>
      </c>
      <c r="C16" s="107"/>
      <c r="E16" s="191" t="s">
        <v>589</v>
      </c>
      <c r="F16" s="191"/>
      <c r="G16" s="191"/>
      <c r="H16" s="191"/>
      <c r="I16" s="201"/>
      <c r="J16" s="177">
        <v>6</v>
      </c>
      <c r="K16" s="218"/>
      <c r="L16" s="177">
        <v>325</v>
      </c>
      <c r="M16" s="218"/>
      <c r="N16" s="216">
        <f>+J16+L16</f>
        <v>331</v>
      </c>
      <c r="O16" s="216"/>
    </row>
    <row r="17" spans="2:19" ht="30.75" customHeight="1">
      <c r="B17" s="107"/>
      <c r="C17" s="107"/>
      <c r="E17" s="175" t="s">
        <v>590</v>
      </c>
      <c r="F17" s="175"/>
      <c r="G17" s="175"/>
      <c r="H17" s="175"/>
      <c r="I17" s="176"/>
      <c r="J17" s="174">
        <v>26</v>
      </c>
      <c r="K17" s="217"/>
      <c r="L17" s="174">
        <v>844</v>
      </c>
      <c r="M17" s="217"/>
      <c r="N17" s="215">
        <f>+J17+L17</f>
        <v>870</v>
      </c>
      <c r="O17" s="215"/>
      <c r="S17" s="18"/>
    </row>
    <row r="18" spans="2:19" ht="20.25" customHeight="1">
      <c r="B18" s="107" t="s">
        <v>538</v>
      </c>
      <c r="C18" s="107"/>
      <c r="S18" s="18"/>
    </row>
    <row r="19" spans="2:19" ht="27" customHeight="1">
      <c r="B19" s="107"/>
      <c r="C19" s="107"/>
      <c r="E19" s="213" t="s">
        <v>494</v>
      </c>
      <c r="F19" s="213"/>
      <c r="G19" s="213"/>
      <c r="H19" s="213"/>
      <c r="I19" s="213"/>
      <c r="J19" s="214" t="s">
        <v>468</v>
      </c>
      <c r="K19" s="214"/>
    </row>
    <row r="20" spans="2:19" ht="30.75" customHeight="1">
      <c r="B20" s="107" t="s">
        <v>431</v>
      </c>
      <c r="C20" s="107"/>
      <c r="E20" s="175" t="s">
        <v>490</v>
      </c>
      <c r="F20" s="175"/>
      <c r="G20" s="175"/>
      <c r="H20" s="175"/>
      <c r="I20" s="176"/>
      <c r="J20" s="174">
        <v>0</v>
      </c>
      <c r="K20" s="169"/>
    </row>
    <row r="21" spans="2:19" ht="30.75" customHeight="1">
      <c r="B21" s="107"/>
      <c r="C21" s="107"/>
      <c r="E21" s="191" t="s">
        <v>491</v>
      </c>
      <c r="F21" s="191"/>
      <c r="G21" s="191"/>
      <c r="H21" s="191"/>
      <c r="I21" s="201"/>
      <c r="J21" s="177">
        <v>16</v>
      </c>
      <c r="K21" s="172"/>
    </row>
    <row r="22" spans="2:19" ht="39" customHeight="1">
      <c r="B22" s="107" t="s">
        <v>618</v>
      </c>
      <c r="C22" s="107"/>
      <c r="E22" s="175" t="s">
        <v>492</v>
      </c>
      <c r="F22" s="175"/>
      <c r="G22" s="175"/>
      <c r="H22" s="175"/>
      <c r="I22" s="176"/>
      <c r="J22" s="174">
        <v>335</v>
      </c>
      <c r="K22" s="169"/>
    </row>
    <row r="23" spans="2:19">
      <c r="O23" s="19"/>
    </row>
    <row r="24" spans="2:19" ht="27.75" customHeight="1">
      <c r="E24" s="124" t="s">
        <v>619</v>
      </c>
      <c r="F24" s="124"/>
      <c r="G24" s="124"/>
      <c r="H24" s="124"/>
      <c r="I24" s="124"/>
      <c r="J24" s="124"/>
      <c r="K24" s="124"/>
      <c r="L24" s="124"/>
      <c r="M24" s="124"/>
      <c r="N24" s="124"/>
      <c r="O24" s="124"/>
      <c r="P24" s="124"/>
      <c r="Q24" s="124"/>
      <c r="R24" s="124"/>
    </row>
    <row r="25" spans="2:19" ht="15.75" customHeight="1">
      <c r="E25" s="126" t="s">
        <v>658</v>
      </c>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headerFooter>
    <oddFooter>&amp;R_x000D_&amp;1#&amp;"Calibri"&amp;10&amp;K000000 Información Pública</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8" zoomScaleNormal="100" workbookViewId="0">
      <selection activeCell="E17" sqref="E17:S21"/>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38" t="s">
        <v>431</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2" t="s">
        <v>635</v>
      </c>
      <c r="F5" s="152"/>
      <c r="G5" s="152"/>
      <c r="H5" s="152"/>
      <c r="I5" s="152"/>
      <c r="J5" s="152"/>
      <c r="K5" s="152"/>
      <c r="L5" s="152"/>
      <c r="M5" s="152"/>
      <c r="N5" s="152"/>
      <c r="O5" s="152"/>
      <c r="P5" s="152"/>
      <c r="Q5" s="152"/>
      <c r="R5" s="152"/>
      <c r="S5" s="152"/>
      <c r="U5" s="143" t="s">
        <v>626</v>
      </c>
      <c r="V5" s="143"/>
      <c r="W5" s="143"/>
    </row>
    <row r="6" spans="2:23" ht="19.5" customHeight="1">
      <c r="B6" s="107" t="s">
        <v>616</v>
      </c>
      <c r="C6" s="107"/>
      <c r="E6" s="152"/>
      <c r="F6" s="152"/>
      <c r="G6" s="152"/>
      <c r="H6" s="152"/>
      <c r="I6" s="152"/>
      <c r="J6" s="152"/>
      <c r="K6" s="152"/>
      <c r="L6" s="152"/>
      <c r="M6" s="152"/>
      <c r="N6" s="152"/>
      <c r="O6" s="152"/>
      <c r="P6" s="152"/>
      <c r="Q6" s="152"/>
      <c r="R6" s="152"/>
      <c r="S6" s="152"/>
      <c r="U6" s="143"/>
      <c r="V6" s="143"/>
      <c r="W6" s="143"/>
    </row>
    <row r="7" spans="2:23" ht="19.5" customHeight="1">
      <c r="B7" s="107"/>
      <c r="C7" s="107"/>
      <c r="S7" s="89"/>
      <c r="T7" s="89"/>
      <c r="U7" s="143"/>
      <c r="V7" s="143"/>
      <c r="W7" s="143"/>
    </row>
    <row r="8" spans="2:23" ht="19.5" customHeight="1">
      <c r="B8" s="107" t="s">
        <v>0</v>
      </c>
      <c r="C8" s="107"/>
      <c r="S8" s="89"/>
      <c r="T8" s="89"/>
      <c r="U8" s="143"/>
      <c r="V8" s="143"/>
      <c r="W8" s="143"/>
    </row>
    <row r="9" spans="2:23" ht="11.25" customHeight="1">
      <c r="B9" s="107"/>
      <c r="C9" s="107"/>
      <c r="E9" s="221" t="s">
        <v>615</v>
      </c>
      <c r="F9" s="221"/>
      <c r="G9" s="221"/>
      <c r="H9" s="221"/>
      <c r="I9" s="221"/>
      <c r="J9" s="221"/>
      <c r="K9" s="221"/>
      <c r="L9" s="221"/>
      <c r="M9" s="221"/>
      <c r="N9" s="221"/>
      <c r="O9" s="221"/>
      <c r="P9" s="221"/>
      <c r="Q9" s="221"/>
      <c r="R9" s="212" t="s">
        <v>636</v>
      </c>
      <c r="S9" s="212"/>
      <c r="T9" s="89"/>
      <c r="U9" s="143"/>
      <c r="V9" s="143"/>
      <c r="W9" s="143"/>
    </row>
    <row r="10" spans="2:23" ht="20.25" customHeight="1">
      <c r="B10" s="107" t="s">
        <v>1</v>
      </c>
      <c r="C10" s="107"/>
      <c r="E10" s="221"/>
      <c r="F10" s="221"/>
      <c r="G10" s="221"/>
      <c r="H10" s="221"/>
      <c r="I10" s="221"/>
      <c r="J10" s="221"/>
      <c r="K10" s="221"/>
      <c r="L10" s="221"/>
      <c r="M10" s="221"/>
      <c r="N10" s="221"/>
      <c r="O10" s="221"/>
      <c r="P10" s="221"/>
      <c r="Q10" s="221"/>
      <c r="R10" s="212"/>
      <c r="S10" s="212"/>
      <c r="T10" s="57">
        <f>IF(R9="SI",1," ")</f>
        <v>1</v>
      </c>
      <c r="U10" s="143"/>
      <c r="V10" s="143"/>
      <c r="W10" s="143"/>
    </row>
    <row r="11" spans="2:23" ht="15.75" customHeight="1">
      <c r="B11" s="107"/>
      <c r="C11" s="107"/>
      <c r="E11" s="219" t="str">
        <f>IFERROR(IF(T10=1,"¿Cuántos pagos ha relacionado la entidad en ekOGUI?",IF(T10=_xleta.NOT,"")),"")</f>
        <v>¿Cuántos pagos ha relacionado la entidad en ekOGUI?</v>
      </c>
      <c r="F11" s="219"/>
      <c r="G11" s="219"/>
      <c r="H11" s="219"/>
      <c r="I11" s="219"/>
      <c r="J11" s="219"/>
      <c r="K11" s="219"/>
      <c r="L11" s="219"/>
      <c r="M11" s="219"/>
      <c r="N11" s="219"/>
      <c r="O11" s="219"/>
      <c r="P11" s="219"/>
      <c r="Q11" s="219"/>
      <c r="R11" s="220">
        <v>747</v>
      </c>
      <c r="S11" s="220"/>
      <c r="T11" s="89"/>
      <c r="U11" s="143"/>
      <c r="V11" s="143"/>
      <c r="W11" s="143"/>
    </row>
    <row r="12" spans="2:23" ht="15.75" customHeight="1">
      <c r="B12" s="107" t="s">
        <v>617</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598</v>
      </c>
      <c r="V13" s="118"/>
      <c r="W13" s="118"/>
    </row>
    <row r="14" spans="2:23" ht="16.5" customHeight="1">
      <c r="B14" s="107" t="s">
        <v>2</v>
      </c>
      <c r="C14" s="107"/>
      <c r="U14" s="118"/>
      <c r="V14" s="118"/>
      <c r="W14" s="118"/>
    </row>
    <row r="15" spans="2:23" ht="20.25" customHeight="1">
      <c r="B15" s="107"/>
      <c r="C15" s="107"/>
      <c r="U15" s="17"/>
      <c r="V15" s="17"/>
      <c r="W15" s="17"/>
    </row>
    <row r="16" spans="2:23" ht="18" customHeight="1">
      <c r="B16" s="107" t="s">
        <v>3</v>
      </c>
      <c r="C16" s="107"/>
      <c r="E16" s="124" t="s">
        <v>619</v>
      </c>
      <c r="F16" s="124"/>
      <c r="G16" s="124"/>
      <c r="H16" s="124"/>
      <c r="I16" s="124"/>
      <c r="J16" s="124"/>
      <c r="K16" s="124"/>
      <c r="L16" s="124"/>
      <c r="M16" s="124"/>
      <c r="N16" s="124"/>
      <c r="O16" s="124"/>
      <c r="P16" s="124"/>
      <c r="Q16" s="124"/>
      <c r="R16" s="124"/>
      <c r="S16" s="124"/>
    </row>
    <row r="17" spans="2:19" ht="19.5" customHeight="1">
      <c r="B17" s="107"/>
      <c r="C17" s="107"/>
      <c r="E17" s="150" t="s">
        <v>655</v>
      </c>
      <c r="F17" s="150"/>
      <c r="G17" s="150"/>
      <c r="H17" s="150"/>
      <c r="I17" s="150"/>
      <c r="J17" s="150"/>
      <c r="K17" s="150"/>
      <c r="L17" s="150"/>
      <c r="M17" s="150"/>
      <c r="N17" s="150"/>
      <c r="O17" s="150"/>
      <c r="P17" s="150"/>
      <c r="Q17" s="150"/>
      <c r="R17" s="150"/>
      <c r="S17" s="150"/>
    </row>
    <row r="18" spans="2:19" ht="20.25" customHeight="1">
      <c r="B18" s="107" t="s">
        <v>538</v>
      </c>
      <c r="C18" s="107"/>
      <c r="E18" s="150"/>
      <c r="F18" s="150"/>
      <c r="G18" s="150"/>
      <c r="H18" s="150"/>
      <c r="I18" s="150"/>
      <c r="J18" s="150"/>
      <c r="K18" s="150"/>
      <c r="L18" s="150"/>
      <c r="M18" s="150"/>
      <c r="N18" s="150"/>
      <c r="O18" s="150"/>
      <c r="P18" s="150"/>
      <c r="Q18" s="150"/>
      <c r="R18" s="150"/>
      <c r="S18" s="150"/>
    </row>
    <row r="19" spans="2:19" ht="23.25" customHeight="1">
      <c r="B19" s="107"/>
      <c r="C19" s="107"/>
      <c r="E19" s="150"/>
      <c r="F19" s="150"/>
      <c r="G19" s="150"/>
      <c r="H19" s="150"/>
      <c r="I19" s="150"/>
      <c r="J19" s="150"/>
      <c r="K19" s="150"/>
      <c r="L19" s="150"/>
      <c r="M19" s="150"/>
      <c r="N19" s="150"/>
      <c r="O19" s="150"/>
      <c r="P19" s="150"/>
      <c r="Q19" s="150"/>
      <c r="R19" s="150"/>
      <c r="S19" s="150"/>
    </row>
    <row r="20" spans="2:19">
      <c r="B20" s="107" t="s">
        <v>431</v>
      </c>
      <c r="C20" s="107"/>
      <c r="E20" s="150"/>
      <c r="F20" s="150"/>
      <c r="G20" s="150"/>
      <c r="H20" s="150"/>
      <c r="I20" s="150"/>
      <c r="J20" s="150"/>
      <c r="K20" s="150"/>
      <c r="L20" s="150"/>
      <c r="M20" s="150"/>
      <c r="N20" s="150"/>
      <c r="O20" s="150"/>
      <c r="P20" s="150"/>
      <c r="Q20" s="150"/>
      <c r="R20" s="150"/>
      <c r="S20" s="150"/>
    </row>
    <row r="21" spans="2:19" ht="13.5" customHeight="1">
      <c r="B21" s="107"/>
      <c r="C21" s="107"/>
      <c r="E21" s="150"/>
      <c r="F21" s="150"/>
      <c r="G21" s="150"/>
      <c r="H21" s="150"/>
      <c r="I21" s="150"/>
      <c r="J21" s="150"/>
      <c r="K21" s="150"/>
      <c r="L21" s="150"/>
      <c r="M21" s="150"/>
      <c r="N21" s="150"/>
      <c r="O21" s="150"/>
      <c r="P21" s="150"/>
      <c r="Q21" s="150"/>
      <c r="R21" s="150"/>
      <c r="S21" s="150"/>
    </row>
    <row r="22" spans="2:19" ht="45.75" customHeight="1">
      <c r="B22" s="107" t="s">
        <v>618</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headerFooter>
    <oddFooter>&amp;R_x000D_&amp;1#&amp;"Calibri"&amp;10&amp;K000000 Información Pública</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opLeftCell="C1" zoomScaleNormal="100" workbookViewId="0">
      <selection activeCell="H4" sqref="H4:I4"/>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9" t="s">
        <v>627</v>
      </c>
      <c r="M2" s="229"/>
      <c r="N2" s="229"/>
    </row>
    <row r="3" spans="1:23" ht="38.1" customHeight="1">
      <c r="C3" s="30"/>
      <c r="D3" s="30"/>
      <c r="E3" s="30"/>
      <c r="F3" s="27"/>
      <c r="G3" s="30"/>
      <c r="H3" s="154" t="s">
        <v>432</v>
      </c>
      <c r="I3" s="154"/>
      <c r="J3" s="31"/>
      <c r="L3" s="229"/>
      <c r="M3" s="229"/>
      <c r="N3" s="229"/>
    </row>
    <row r="4" spans="1:23" ht="21.75" customHeight="1">
      <c r="C4" s="30"/>
      <c r="D4" s="30"/>
      <c r="E4" s="30"/>
      <c r="F4" s="27"/>
      <c r="G4" s="30"/>
      <c r="H4" s="233">
        <v>45884</v>
      </c>
      <c r="I4" s="234"/>
      <c r="J4" s="32"/>
      <c r="L4" s="229"/>
      <c r="M4" s="229"/>
      <c r="N4" s="229"/>
    </row>
    <row r="5" spans="1:23">
      <c r="C5" s="30"/>
      <c r="D5" s="30"/>
      <c r="E5" s="30"/>
      <c r="F5" s="30"/>
      <c r="G5" s="30"/>
      <c r="H5" s="30"/>
      <c r="I5" s="32"/>
      <c r="J5" s="32"/>
      <c r="K5" s="33"/>
      <c r="L5" s="229"/>
      <c r="M5" s="229"/>
      <c r="N5" s="229"/>
      <c r="O5" s="33"/>
    </row>
    <row r="6" spans="1:23" ht="24" customHeight="1">
      <c r="A6" s="228" t="s">
        <v>616</v>
      </c>
      <c r="B6" s="228"/>
      <c r="C6" s="30"/>
      <c r="D6" s="231" t="s">
        <v>451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0</v>
      </c>
      <c r="B8" s="228"/>
      <c r="C8" s="30"/>
      <c r="D8" s="30"/>
      <c r="E8" s="30"/>
      <c r="F8" s="30"/>
      <c r="G8" s="30"/>
      <c r="H8" s="30"/>
      <c r="I8" s="30"/>
      <c r="J8" s="35"/>
      <c r="K8" s="36"/>
      <c r="L8" s="230" t="s">
        <v>598</v>
      </c>
      <c r="M8" s="230"/>
      <c r="N8" s="230"/>
      <c r="O8" s="36"/>
    </row>
    <row r="9" spans="1:23" ht="16.5" customHeight="1">
      <c r="A9" s="228"/>
      <c r="B9" s="228"/>
      <c r="C9" s="30"/>
      <c r="D9" s="30"/>
      <c r="E9" s="30"/>
      <c r="F9" s="30"/>
      <c r="G9" s="30"/>
      <c r="H9" s="30"/>
      <c r="I9" s="30"/>
      <c r="J9" s="35">
        <f>+VLOOKUP(E10,Administrador!$E$2:$F$338,2,0)</f>
        <v>2</v>
      </c>
      <c r="K9" s="36"/>
      <c r="L9" s="37"/>
      <c r="M9" s="37"/>
      <c r="N9" s="37"/>
      <c r="O9" s="36"/>
    </row>
    <row r="10" spans="1:23" ht="53.25" customHeight="1">
      <c r="A10" s="228" t="s">
        <v>1</v>
      </c>
      <c r="B10" s="228"/>
      <c r="C10" s="30"/>
      <c r="D10" s="65" t="s">
        <v>551</v>
      </c>
      <c r="E10" s="232" t="s">
        <v>153</v>
      </c>
      <c r="F10" s="232"/>
      <c r="G10" s="232"/>
      <c r="H10" s="232"/>
      <c r="I10" s="232"/>
      <c r="J10" s="30"/>
      <c r="L10" s="38"/>
      <c r="M10" s="38"/>
      <c r="N10" s="38"/>
    </row>
    <row r="11" spans="1:23" ht="30.75" customHeight="1">
      <c r="A11" s="228"/>
      <c r="B11" s="228"/>
      <c r="C11" s="30"/>
      <c r="D11" s="67" t="str">
        <f>IFERROR(IF(J9=1,"Digite el nombre de la Entidad",IF(J9=2,"Digite el nombre de la Seccional","")),"")</f>
        <v>Digite el nombre de la Seccional</v>
      </c>
      <c r="E11" s="235"/>
      <c r="F11" s="235"/>
      <c r="G11" s="235"/>
      <c r="H11" s="235"/>
      <c r="I11" s="235"/>
      <c r="J11" s="30"/>
      <c r="L11" s="38"/>
      <c r="M11" s="38"/>
      <c r="N11" s="38"/>
    </row>
    <row r="12" spans="1:23" ht="19.5" customHeight="1">
      <c r="A12" s="228" t="s">
        <v>617</v>
      </c>
      <c r="B12" s="228"/>
      <c r="C12" s="30"/>
      <c r="D12" s="106"/>
      <c r="E12" s="30"/>
      <c r="F12" s="30"/>
      <c r="G12" s="30"/>
      <c r="H12" s="30"/>
      <c r="I12" s="30"/>
      <c r="J12" s="39"/>
      <c r="W12" s="28" t="s">
        <v>452</v>
      </c>
    </row>
    <row r="13" spans="1:23" ht="40.5" customHeight="1">
      <c r="A13" s="228"/>
      <c r="B13" s="228"/>
      <c r="C13" s="30"/>
      <c r="D13" s="66" t="s">
        <v>541</v>
      </c>
      <c r="E13" s="232" t="s">
        <v>654</v>
      </c>
      <c r="F13" s="232"/>
      <c r="G13" s="232"/>
      <c r="H13" s="232"/>
      <c r="I13" s="232"/>
      <c r="J13" s="30"/>
      <c r="W13" s="28" t="s">
        <v>453</v>
      </c>
    </row>
    <row r="14" spans="1:23" ht="21.75" customHeight="1">
      <c r="A14" s="228" t="s">
        <v>2</v>
      </c>
      <c r="B14" s="228"/>
      <c r="C14" s="30"/>
      <c r="D14" s="30"/>
      <c r="E14" s="56"/>
      <c r="F14" s="30"/>
      <c r="G14" s="30"/>
      <c r="H14" s="30"/>
      <c r="I14" s="40"/>
      <c r="J14" s="30"/>
      <c r="W14" s="28" t="s">
        <v>454</v>
      </c>
    </row>
    <row r="15" spans="1:23" ht="28.5" customHeight="1">
      <c r="A15" s="228"/>
      <c r="B15" s="228"/>
      <c r="C15" s="30"/>
      <c r="D15" s="62" t="s">
        <v>446</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455</v>
      </c>
      <c r="H15" s="154" t="str">
        <f>IF(AND(Arbitramentos!L13="", Arbitramentos!U13=""), "Falta diligenciar", IF(Arbitramentos!L13="", "Falta diligenciar", IF(Arbitramentos!U13="", "Falta diligenciar",IF(H17="", "Falta diligenciar",""))))</f>
        <v/>
      </c>
      <c r="I15" s="154"/>
      <c r="J15" s="30"/>
    </row>
    <row r="16" spans="1:23" ht="28.5" customHeight="1">
      <c r="A16" s="228" t="s">
        <v>3</v>
      </c>
      <c r="B16" s="228"/>
      <c r="C16" s="30"/>
      <c r="D16" s="72" t="s">
        <v>599</v>
      </c>
      <c r="E16" s="77">
        <f>(COUNTA(Usuarios!K11:N20)/5)</f>
        <v>1</v>
      </c>
      <c r="F16" s="30"/>
      <c r="G16" s="72" t="s">
        <v>611</v>
      </c>
      <c r="H16" s="236">
        <f>IF(Arbitramentos!$L$13="", "", Arbitramentos!$L$13)</f>
        <v>0</v>
      </c>
      <c r="I16" s="236"/>
      <c r="J16" s="30"/>
    </row>
    <row r="17" spans="1:10" ht="28.5" customHeight="1">
      <c r="A17" s="228"/>
      <c r="B17" s="228"/>
      <c r="C17" s="30"/>
      <c r="D17" s="99" t="s">
        <v>648</v>
      </c>
      <c r="E17" s="102">
        <f>(COUNTA(Usuarios!O11:Q20)/5)</f>
        <v>0.6</v>
      </c>
      <c r="F17" s="30"/>
      <c r="G17" s="78" t="s">
        <v>447</v>
      </c>
      <c r="H17" s="237">
        <f>IF(OR(ISBLANK(Arbitramentos!L13), ISBLANK(Arbitramentos!L11)), "", IF(AND(Arbitramentos!L13=0, Arbitramentos!L11=0), 0, IFERROR(Arbitramentos!L13/Arbitramentos!L11, "")))</f>
        <v>0</v>
      </c>
      <c r="I17" s="237"/>
      <c r="J17" s="30"/>
    </row>
    <row r="18" spans="1:10" ht="28.5" customHeight="1">
      <c r="A18" s="228" t="s">
        <v>538</v>
      </c>
      <c r="B18" s="228"/>
      <c r="C18" s="30"/>
      <c r="D18" s="72" t="s">
        <v>555</v>
      </c>
      <c r="E18" s="100">
        <f>+Abogados!$J$9</f>
        <v>357</v>
      </c>
      <c r="F18" s="30"/>
      <c r="G18" s="72" t="s">
        <v>612</v>
      </c>
      <c r="H18" s="236">
        <f>IF(Arbitramentos!$U$13="", "", Arbitramentos!$U$13)</f>
        <v>1</v>
      </c>
      <c r="I18" s="236"/>
      <c r="J18" s="30"/>
    </row>
    <row r="19" spans="1:10" ht="28.5" customHeight="1">
      <c r="A19" s="228"/>
      <c r="B19" s="228"/>
      <c r="C19" s="30"/>
      <c r="D19" s="99" t="s">
        <v>600</v>
      </c>
      <c r="E19" s="101">
        <f>IFERROR((+Abogados!I19+Abogados!I21)/(Abogados!I15*2)," ")</f>
        <v>1</v>
      </c>
      <c r="F19" s="30"/>
      <c r="G19" s="78"/>
      <c r="H19" s="226"/>
      <c r="I19" s="226"/>
      <c r="J19" s="30"/>
    </row>
    <row r="20" spans="1:10" ht="28.5" customHeight="1">
      <c r="A20" s="228" t="s">
        <v>431</v>
      </c>
      <c r="B20" s="228"/>
      <c r="C20" s="30"/>
      <c r="D20" s="72" t="s">
        <v>647</v>
      </c>
      <c r="E20" s="103">
        <f>IFERROR((+Abogados!R20+Abogados!R22+Abogados!R24)/(E18)," ")</f>
        <v>0.95238095238095233</v>
      </c>
      <c r="F20" s="30"/>
      <c r="G20" s="42"/>
      <c r="H20" s="227"/>
      <c r="I20" s="227"/>
      <c r="J20" s="30"/>
    </row>
    <row r="21" spans="1:10" ht="28.5" customHeight="1">
      <c r="A21" s="228"/>
      <c r="B21" s="228"/>
      <c r="C21" s="30"/>
      <c r="D21" s="30"/>
      <c r="E21" s="30"/>
      <c r="F21" s="30"/>
      <c r="G21" s="30"/>
      <c r="H21" s="30"/>
      <c r="I21" s="30"/>
      <c r="J21" s="30"/>
    </row>
    <row r="22" spans="1:10" ht="34.5" customHeight="1">
      <c r="A22" s="228" t="s">
        <v>618</v>
      </c>
      <c r="B22" s="228"/>
      <c r="C22" s="30"/>
      <c r="D22" s="62" t="s">
        <v>604</v>
      </c>
      <c r="E22" s="82" t="str">
        <f>IF(AND('Registro Casos'!P10=""), "Falta diligenciar", IF('Registro Casos'!P13="", "Falta diligenciar", IF('Registro Casos'!P16="", "Falta diligenciar",IF('Registro Casos'!P19="", "Falta diligenciar",""))))</f>
        <v/>
      </c>
      <c r="F22" s="30"/>
      <c r="G22" s="62" t="s">
        <v>539</v>
      </c>
      <c r="H22" s="154" t="str">
        <f>IF(AND('Comité de conciliación'!R8="",'Comité de conciliación'!R10=""),"Falta diligenciar",IF('Comité de conciliación'!J20="","Falta diligenciar",IF('Comité de conciliación'!J21="","Falta diligenciar",IF('Comité de conciliación'!J22="","Falta diligenciar",""))))</f>
        <v/>
      </c>
      <c r="I22" s="154"/>
      <c r="J22" s="30"/>
    </row>
    <row r="23" spans="1:10" ht="28.5" customHeight="1">
      <c r="C23" s="30"/>
      <c r="D23" s="72" t="s">
        <v>607</v>
      </c>
      <c r="E23" s="83">
        <f>+'Registro Casos'!$P$10</f>
        <v>653</v>
      </c>
      <c r="F23" s="41"/>
      <c r="G23" s="72" t="s">
        <v>457</v>
      </c>
      <c r="H23" s="97" t="str">
        <f>+'Comité de conciliación'!$R$8</f>
        <v>NO</v>
      </c>
      <c r="I23" s="97"/>
      <c r="J23" s="30"/>
    </row>
    <row r="24" spans="1:10" ht="28.5" customHeight="1">
      <c r="C24" s="30"/>
      <c r="D24" s="78" t="s">
        <v>608</v>
      </c>
      <c r="E24" s="84">
        <f>+'Registro Casos'!$P$13</f>
        <v>651</v>
      </c>
      <c r="F24" s="41"/>
      <c r="G24" s="78" t="s">
        <v>637</v>
      </c>
      <c r="H24" s="95" t="str">
        <f>+'Comité de conciliación'!$R$10</f>
        <v>SI</v>
      </c>
      <c r="I24" s="95"/>
      <c r="J24" s="30"/>
    </row>
    <row r="25" spans="1:10" ht="28.5" customHeight="1">
      <c r="C25" s="30"/>
      <c r="D25" s="72" t="s">
        <v>638</v>
      </c>
      <c r="E25" s="85">
        <f>+'Registro Casos'!$P$16</f>
        <v>482</v>
      </c>
      <c r="F25" s="41"/>
      <c r="G25" s="72" t="s">
        <v>500</v>
      </c>
      <c r="H25" s="96">
        <f>+'Comité de conciliación'!$J$20+'Comité de conciliación'!$J$21+'Comité de conciliación'!$J$22</f>
        <v>351</v>
      </c>
      <c r="I25" s="96"/>
      <c r="J25" s="30"/>
    </row>
    <row r="26" spans="1:10" ht="28.5" customHeight="1">
      <c r="C26" s="30"/>
      <c r="D26" s="78" t="s">
        <v>639</v>
      </c>
      <c r="E26" s="86">
        <f>+'Registro Casos'!$P$19</f>
        <v>169</v>
      </c>
      <c r="F26" s="41"/>
      <c r="G26" s="42"/>
      <c r="H26" s="227"/>
      <c r="I26" s="227"/>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4" t="str">
        <f>IF(AND(Pagos!R9="",Pagos!R11=""),"Falta diligenciar",IF(Pagos!R9="","Falta diligenciar",""))</f>
        <v/>
      </c>
      <c r="I28" s="154"/>
      <c r="J28" s="30"/>
    </row>
    <row r="29" spans="1:10" ht="28.5" customHeight="1">
      <c r="C29" s="30"/>
      <c r="D29" s="72" t="s">
        <v>601</v>
      </c>
      <c r="E29" s="80">
        <f>+Judiciales!$L$14</f>
        <v>7379</v>
      </c>
      <c r="F29" s="30"/>
      <c r="G29" s="72" t="s">
        <v>614</v>
      </c>
      <c r="H29" s="97" t="str">
        <f>+Pagos!R9</f>
        <v>SI</v>
      </c>
      <c r="I29" s="97"/>
      <c r="J29" s="30"/>
    </row>
    <row r="30" spans="1:10" ht="28.5" customHeight="1">
      <c r="C30" s="30"/>
      <c r="D30" s="78" t="s">
        <v>447</v>
      </c>
      <c r="E30" s="79">
        <f>IFERROR(+Judiciales!L14/Judiciales!L12," ")</f>
        <v>0.99046979865771811</v>
      </c>
      <c r="F30" s="30"/>
      <c r="G30" s="78" t="s">
        <v>613</v>
      </c>
      <c r="H30" s="98">
        <f>+Pagos!R11</f>
        <v>747</v>
      </c>
      <c r="I30" s="98"/>
      <c r="J30" s="30"/>
    </row>
    <row r="31" spans="1:10" ht="28.5" customHeight="1">
      <c r="C31" s="30"/>
      <c r="D31" s="72" t="s">
        <v>448</v>
      </c>
      <c r="E31" s="105">
        <f>IFERROR(+Judiciales!U14/Judiciales!U12,"0")</f>
        <v>1</v>
      </c>
      <c r="F31" s="60"/>
      <c r="G31" s="60"/>
      <c r="H31" s="60"/>
      <c r="I31" s="60"/>
      <c r="J31" s="30"/>
    </row>
    <row r="32" spans="1:10" ht="28.5" customHeight="1">
      <c r="C32" s="30"/>
      <c r="D32" s="78" t="s">
        <v>602</v>
      </c>
      <c r="E32" s="81">
        <f>IFERROR(+Judiciales!L14/Abogados!J9," ")</f>
        <v>20.669467787114847</v>
      </c>
      <c r="F32" s="60"/>
      <c r="G32" s="60"/>
      <c r="H32" s="60"/>
      <c r="I32" s="60"/>
      <c r="J32" s="30"/>
    </row>
    <row r="33" spans="3:10">
      <c r="C33" s="30"/>
      <c r="D33" s="72" t="s">
        <v>449</v>
      </c>
      <c r="E33" s="77">
        <f>IFERROR((+Judiciales!V42+Judiciales!V40+Judiciales!V38)/(Judiciales!S38+Judiciales!S36+Judiciales!S34+Judiciales!S32)," ")</f>
        <v>2.7563395810363837E-4</v>
      </c>
      <c r="F33" s="60"/>
      <c r="G33" s="60"/>
      <c r="H33" s="60"/>
      <c r="I33" s="60"/>
      <c r="J33" s="30"/>
    </row>
    <row r="34" spans="3:10">
      <c r="C34" s="30"/>
      <c r="D34" s="60"/>
      <c r="E34" s="60"/>
      <c r="F34" s="60"/>
      <c r="G34" s="60"/>
      <c r="H34" s="60"/>
      <c r="I34" s="60"/>
      <c r="J34" s="30"/>
    </row>
    <row r="35" spans="3:10">
      <c r="C35" s="30"/>
      <c r="D35" s="221" t="s">
        <v>484</v>
      </c>
      <c r="E35" s="221"/>
      <c r="F35" s="221"/>
      <c r="G35" s="221"/>
      <c r="H35" s="221"/>
      <c r="I35" s="221"/>
      <c r="J35" s="30"/>
    </row>
    <row r="36" spans="3:10">
      <c r="C36" s="30"/>
      <c r="D36" s="225" t="s">
        <v>661</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609</v>
      </c>
      <c r="E43" s="223"/>
      <c r="F43" s="223"/>
      <c r="G43" s="223"/>
      <c r="H43" s="223"/>
      <c r="I43" s="223"/>
      <c r="J43" s="30"/>
    </row>
    <row r="44" spans="3:10" ht="20.25" customHeight="1">
      <c r="C44" s="30"/>
      <c r="D44" s="223"/>
      <c r="E44" s="223"/>
      <c r="F44" s="223"/>
      <c r="G44" s="223"/>
      <c r="H44" s="223"/>
      <c r="I44" s="223"/>
      <c r="J44" s="30"/>
    </row>
    <row r="45" spans="3:10" ht="22.5" customHeight="1">
      <c r="C45" s="30"/>
      <c r="D45" s="224" t="s">
        <v>610</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22"/>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headerFooter>
    <oddFooter>&amp;R_x000D_&amp;1#&amp;"Calibri"&amp;10&amp;K000000 Información Pública</oddFooter>
  </headerFooter>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 xmlns="f3b700b9-9514-4083-93d8-eb737e4ac97e" xsi:nil="true"/>
    <_x002d_ xmlns="f3b700b9-9514-4083-93d8-eb737e4ac97e">CERTIFICACIÓN SISTEMA ÚNICO DE GESTIÓN E INFORMACIÓN DE ACTIVIDAD LITIGIOSA DEL ESTADO</_x002d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174120C66CEB8479FCDA08F358B67DD" ma:contentTypeVersion="3" ma:contentTypeDescription="Crear nuevo documento." ma:contentTypeScope="" ma:versionID="72f413777ab6a876d4f22ecca23463e7">
  <xsd:schema xmlns:xsd="http://www.w3.org/2001/XMLSchema" xmlns:xs="http://www.w3.org/2001/XMLSchema" xmlns:p="http://schemas.microsoft.com/office/2006/metadata/properties" xmlns:ns2="f3b700b9-9514-4083-93d8-eb737e4ac97e" xmlns:ns3="2febaad4-4a94-47d8-bd40-dd72d5026160" targetNamespace="http://schemas.microsoft.com/office/2006/metadata/properties" ma:root="true" ma:fieldsID="1d2530077ed23e170985665ca2f2428b" ns2:_="" ns3:_="">
    <xsd:import namespace="f3b700b9-9514-4083-93d8-eb737e4ac97e"/>
    <xsd:import namespace="2febaad4-4a94-47d8-bd40-dd72d5026160"/>
    <xsd:element name="properties">
      <xsd:complexType>
        <xsd:sequence>
          <xsd:element name="documentManagement">
            <xsd:complexType>
              <xsd:all>
                <xsd:element ref="ns2:_x002d_" minOccurs="0"/>
                <xsd:element ref="ns3:SharedWithUser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700b9-9514-4083-93d8-eb737e4ac97e" elementFormDefault="qualified">
    <xsd:import namespace="http://schemas.microsoft.com/office/2006/documentManagement/types"/>
    <xsd:import namespace="http://schemas.microsoft.com/office/infopath/2007/PartnerControls"/>
    <xsd:element name="_x002d_" ma:index="8" nillable="true" ma:displayName="-" ma:internalName="_x002d_">
      <xsd:simpleType>
        <xsd:restriction base="dms:Text">
          <xsd:maxLength value="255"/>
        </xsd:restriction>
      </xsd:simpleType>
    </xsd:element>
    <xsd:element name="No" ma:index="10" nillable="true" ma:displayName="No" ma:internalName="No">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2.xml><?xml version="1.0" encoding="utf-8"?>
<ds:datastoreItem xmlns:ds="http://schemas.openxmlformats.org/officeDocument/2006/customXml" ds:itemID="{D358E5D7-2628-4318-AA98-C397282CBE0A}">
  <ds:schemaRefs>
    <ds:schemaRef ds:uri="http://www.w3.org/XML/1998/namespace"/>
    <ds:schemaRef ds:uri="http://purl.org/dc/terms/"/>
    <ds:schemaRef ds:uri="http://purl.org/dc/elements/1.1/"/>
    <ds:schemaRef ds:uri="http://schemas.microsoft.com/sharepoint/v3"/>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219CBF0-2B4A-4F0C-85BB-EFEB61B1FB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ANDJ</dc:creator>
  <cp:keywords/>
  <dc:description/>
  <cp:lastModifiedBy>Omar Ivan Colmenares Murcia</cp:lastModifiedBy>
  <cp:revision/>
  <cp:lastPrinted>2025-08-19T13:18:22Z</cp:lastPrinted>
  <dcterms:created xsi:type="dcterms:W3CDTF">2020-06-25T21:16:25Z</dcterms:created>
  <dcterms:modified xsi:type="dcterms:W3CDTF">2025-08-20T15:53:29Z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0x0101000174120C66CEB8479FCDA08F358B67DD</vt:lpwstr>
  </property>
  <property fmtid="{D5CDD505-2E9C-101B-9397-08002B2CF9AE}" pid="3" name="MSIP_Label_9238af61-cfb1-43e3-a724-fe68a71eee05_Enabled">
    <vt:lpwstr>true</vt:lpwstr>
  </property>
  <property fmtid="{D5CDD505-2E9C-101B-9397-08002B2CF9AE}" pid="4" name="MSIP_Label_9238af61-cfb1-43e3-a724-fe68a71eee05_SetDate">
    <vt:lpwstr>2025-08-06T16:23:19Z</vt:lpwstr>
  </property>
  <property fmtid="{D5CDD505-2E9C-101B-9397-08002B2CF9AE}" pid="5" name="MSIP_Label_9238af61-cfb1-43e3-a724-fe68a71eee05_Method">
    <vt:lpwstr>Privileged</vt:lpwstr>
  </property>
  <property fmtid="{D5CDD505-2E9C-101B-9397-08002B2CF9AE}" pid="6" name="MSIP_Label_9238af61-cfb1-43e3-a724-fe68a71eee05_Name">
    <vt:lpwstr>Pública</vt:lpwstr>
  </property>
  <property fmtid="{D5CDD505-2E9C-101B-9397-08002B2CF9AE}" pid="7" name="MSIP_Label_9238af61-cfb1-43e3-a724-fe68a71eee05_SiteId">
    <vt:lpwstr>fab26e5a-737a-4438-8ccd-8e465ecf21d8</vt:lpwstr>
  </property>
  <property fmtid="{D5CDD505-2E9C-101B-9397-08002B2CF9AE}" pid="8" name="MSIP_Label_9238af61-cfb1-43e3-a724-fe68a71eee05_ActionId">
    <vt:lpwstr>d18808e2-12b9-4fdc-ac0a-49b7f8200d53</vt:lpwstr>
  </property>
  <property fmtid="{D5CDD505-2E9C-101B-9397-08002B2CF9AE}" pid="9" name="MSIP_Label_9238af61-cfb1-43e3-a724-fe68a71eee05_ContentBits">
    <vt:lpwstr>2</vt:lpwstr>
  </property>
</Properties>
</file>