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ARTINEZV\Desktop\INFORME EKOGUI FINAL\"/>
    </mc:Choice>
  </mc:AlternateContent>
  <xr:revisionPtr revIDLastSave="0" documentId="13_ncr:1_{A7162A44-8B7E-482B-BA16-763BD4E8B106}" xr6:coauthVersionLast="47" xr6:coauthVersionMax="47" xr10:uidLastSave="{00000000-0000-0000-0000-000000000000}"/>
  <bookViews>
    <workbookView xWindow="-120" yWindow="-120" windowWidth="24240" windowHeight="13140" tabRatio="863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<sst xmlns="http://schemas.openxmlformats.org/spreadsheetml/2006/main" count="276" uniqueCount="202">
  <si>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</si>
  <si>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</si>
  <si>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</si>
  <si>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</si>
  <si>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</si>
  <si>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</si>
  <si>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</si>
  <si>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</si>
  <si>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</si>
  <si>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</si>
  <si>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</si>
  <si>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</si>
  <si>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</si>
  <si>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</si>
  <si>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</si>
  <si>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</si>
  <si>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</si>
  <si>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</si>
  <si>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</si>
  <si>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</si>
  <si>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</si>
  <si>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</si>
  <si>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</si>
  <si>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</si>
  <si>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</si>
  <si>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</si>
  <si>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</si>
  <si>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</si>
  <si>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</si>
  <si>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</si>
  <si>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</si>
  <si>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</si>
  <si>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</si>
  <si>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</si>
  <si>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</si>
  <si>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</si>
  <si>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</si>
  <si>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</si>
  <si>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</si>
  <si>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</si>
  <si>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</si>
  <si>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</si>
  <si>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</si>
  <si>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</si>
  <si>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</si>
  <si>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</si>
  <si>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</si>
  <si>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</si>
  <si>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</si>
  <si>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</si>
  <si>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</si>
  <si>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</si>
  <si>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</si>
  <si>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</si>
  <si>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</si>
  <si>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</si>
  <si>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</si>
  <si>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</si>
  <si>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</si>
  <si>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</si>
  <si>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</si>
  <si>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</si>
  <si>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</si>
  <si>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</si>
  <si>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</si>
  <si>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</si>
  <si>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</si>
  <si>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</si>
  <si>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</si>
  <si>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</si>
  <si>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</si>
  <si>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</si>
  <si>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Provisión incorrecta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</si>
  <si>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</si>
  <si>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</si>
  <si>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</si>
  <si>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</si>
  <si>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</si>
  <si>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</si>
  <si>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</si>
  <si>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</si>
  <si>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</si>
  <si>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</si>
  <si>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</si>
  <si>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</si>
  <si>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</si>
  <si>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</si>
  <si>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</si>
  <si>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</si>
  <si>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</si>
  <si>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</si>
  <si>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</si>
  <si>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</si>
  <si>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</si>
  <si>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</si>
  <si>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</si>
  <si>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</si>
  <si>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</si>
  <si>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</si>
  <si>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</si>
  <si>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</si>
  <si>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</si>
  <si>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</si>
  <si>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</si>
  <si>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</si>
  <si>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</si>
  <si>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</si>
  <si>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</si>
  <si>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</si>
  <si>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</si>
  <si>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</si>
  <si>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</si>
  <si>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</si>
  <si>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</si>
  <si>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</si>
  <si>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</si>
  <si>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</si>
  <si>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</si>
  <si>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</si>
  <si>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</si>
  <si>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</si>
  <si>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</si>
  <si>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</si>
  <si>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</si>
  <si>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</si>
  <si>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</si>
  <si>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</si>
  <si>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</si>
  <si>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</si>
  <si>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</si>
  <si>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</si>
  <si>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</si>
  <si>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</si>
  <si>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</si>
  <si>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</si>
  <si>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</si>
  <si>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</si>
  <si>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</si>
  <si>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</si>
  <si>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</si>
  <si>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</si>
  <si>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</si>
  <si>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</si>
  <si>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</si>
  <si>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</si>
  <si>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</si>
  <si>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</si>
  <si>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</si>
  <si>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Abogados al 30 de junio de 2022</t>
  </si>
  <si>
    <t>ABOGADOS ACTIVOS AL 30-06-2022</t>
  </si>
  <si>
    <t>PROCESOS ACTIVOS AL 30 DE JUNIO DE 2022</t>
  </si>
  <si>
    <t>(1) Con fecha de registro anterior al 15-06-2022</t>
  </si>
  <si>
    <t>PROCESOS TERMINADOS PRIMER SEMESTRE 2022</t>
  </si>
  <si>
    <t>TERMINADOS EN EKOGUI DURANTE PRIMER SEMESTRE 2022 (2)</t>
  </si>
  <si>
    <t>(2) Con fecha de actuación en 2022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</si>
  <si>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</si>
  <si>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(4)Equivalente a un valor indexado de $33.000 millones a 30 de junio de 2022</t>
  </si>
  <si>
    <t>PREJUDICIALES ACTIVAS AL 30-06-2022</t>
  </si>
  <si>
    <t>REGISTRO POSTERIOR AL 31/12/2021</t>
  </si>
  <si>
    <t>REGISTRO EN PRIMER SEMESTRE DE 2021 Y ANTERIORES</t>
  </si>
  <si>
    <t>REGISTRO ENTRE  1 DE JULIO Y 31 DE DICIEMBRE DE 2021</t>
  </si>
  <si>
    <t>CANTIDAD DE ABOGADOS LITIGANDO SEGUN JURIDICA</t>
  </si>
  <si>
    <t>RETIRADOS EN LA ENTIDAD PRIMER SEMESTRE 2022 SEGÚN JURIDICA</t>
  </si>
  <si>
    <t>CANTIDAD DE PROCESOS ACTIVOS SEGÚN JURIDICA</t>
  </si>
  <si>
    <t>PROCESOS TERMINADOS DURANTE PRIMER SEMESTRE 2022 SEGÚN JURIDICA</t>
  </si>
  <si>
    <t>PROCESO TERMINADOS EN EKOGUI AL 30 DE JUNIO 2022</t>
  </si>
  <si>
    <t>PROCESOS ACTIVOS EN EKOGUI CON ESTADO TERMINADO(3)</t>
  </si>
  <si>
    <t>Cantidad de procesos de más de 33.000 SMMLV SEGÚN JURIDICA</t>
  </si>
  <si>
    <t>PROCESOS ACTIVOS EN EKOGUI  EN CALIDAD DEMANDADO AL 30-06-2022</t>
  </si>
  <si>
    <t>PROCESOS EN EKOGUI CON CALIFICACIÓN PRIMER SEMESTRE 2022</t>
  </si>
  <si>
    <t>PROCESOS EN EKOGUI CON CALIFICACIÓN ANTERIOR A 31-12-2021</t>
  </si>
  <si>
    <t>PROCESOS EN EKOGUI SIN CALIFICACIÓN</t>
  </si>
  <si>
    <t>(6) Solo se consideran los procesos activos en e-Kogui - calidad demandado al 30 de JUNIO de 2022 que tengan calificación de riesgo</t>
  </si>
  <si>
    <t>TOTAL PREJUDICIALES ACTIVOS SEGÚN JURIDICA</t>
  </si>
  <si>
    <t>ARBITRAMENTOS ACTIVOS AL 30-06-2022 SEGÚN JURIDICA</t>
  </si>
  <si>
    <t>TOTAL ARBITRAMENTOS TERMINADOS  AL 30-06-2022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</si>
  <si>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</si>
  <si>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</si>
  <si>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TOTAL PREJUDICIALES TERMINADOS I SEM. 2022 SEGÚN JURIDICA</t>
  </si>
  <si>
    <t>ARBITRAMENTOS ACTIVOS REGISTRADOS EN EKOGUI</t>
  </si>
  <si>
    <t>INACTIVADOS EN EKOGUI PRIMER SEMESTRE 2022</t>
  </si>
  <si>
    <t>Realiza Pagos por SIIF</t>
  </si>
  <si>
    <t>NOMBRE ENTIDAD QUE REPORTA</t>
  </si>
  <si>
    <t>NOMBRE JEFE CONTROL INTERNO QUE REPORTA</t>
  </si>
  <si>
    <t>calificar o cualificar o comparar a las entidades, no hay valores buenos ni malos. No es una hoja de validaciÓn</t>
  </si>
  <si>
    <t>Uso del Módulo Pagos</t>
  </si>
  <si>
    <t>TERMINADOS EN EKOGUI ÚLTIMA ACTUACIÓN  I SEM. 2022</t>
  </si>
  <si>
    <t>Su entidad utilizo el modulo de pagos en 2022-I?</t>
  </si>
  <si>
    <t>PREJUDICIALES TERMINADAS PRIMER SEMESTRE 2022</t>
  </si>
  <si>
    <t>DANIEL GUSTAVO CACERES GUTIERREZ</t>
  </si>
  <si>
    <t>DIANA ASTRID CHAPARRO MANOSALVA</t>
  </si>
  <si>
    <t>ESTEBAN ALVAREZ NIEVES</t>
  </si>
  <si>
    <t>ENRIQUE CASTIBLANCO BEDOYA</t>
  </si>
  <si>
    <t>SANDRA LILIANA MONDRAGON JIMENEZ</t>
  </si>
  <si>
    <t xml:space="preserve">MARIA TERESA GUERRA MANTILLA </t>
  </si>
  <si>
    <t xml:space="preserve">ABOGADOS ACTIVOS:  La diferencia se origina en: 1 funcionario de la DSI Bogotá que se retiró de funciones en mayo pero se inactiva solo hasta 31/08/22; Una Funcionaria de la DSA Medellín que figura en ekogui con 2 numeros de cédula diferentes y Una Funcionaria de DSIA Armenia retirada por pensión en 2021 y aun sin inactivar de ekogui.
ABOGADOS INACTIVOS: La diferencia de Abogados retirados VS Inactivos en ekogui se origina en dos retiros de las seccionales de: Aduanas Barranquiila e Impuestos Bogotá, que fueron inactivados en el mes de agosto de 2022. </t>
  </si>
  <si>
    <t xml:space="preserve">*PROC MAYOR CUANTIA:se detectó 1 sin pieza de la demanda, informado por la Seccional Monteria a la 
ANDJE Oficio No.1120000201-0263  23-07-2019, repartido de manera erronea. #eKogui 840814
*PROCESOS SIN CALIFICACION RIESGO- Se registran en ekogui 109 proc. sin calificacion, de los cuales 106 se encuentran en etapa de inicio y fijacion del litigio y 3 en etapa de FALLO.  
*CONDENAS. Existe una diferencia entre los procesos que generan erogación económica y los registrados con condena mayor a CERO en 2 casos. Uno de ellos la condena fue en ABSTRACTO. </t>
  </si>
  <si>
    <t xml:space="preserve">*ACTUALIZACION. 
De acuerdo con la información recibida de parte de los responsables, en la veificacion efectuada se detecta: de las 20 Conciliaciones de la muestra, 17 se encuentran terminadas pendientes de actualizar en el sistema; de las 3 restantes , una se encuentra activa pero corresponde a un error de radicación de la ANDJE y 2 no fueron recepcionadas por la entidad. </t>
  </si>
  <si>
    <t>El unico arbitramento de la entidad se encuentra registrado en el sistema y fue terminado en el año 2013.</t>
  </si>
  <si>
    <t>Por circunstancia especial DIAN, el Enlace de Pagos solo puede 
relacionar pagos del nivel central. Los demás se efecúan vinculando 
los procesos de las diferentes seccionales al NC.</t>
  </si>
  <si>
    <t>Ninguna</t>
  </si>
  <si>
    <t xml:space="preserve">UAE - DIRECCION DE IMPUESTOS Y ADUANAS NACIONALES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</si>
</sst>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3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 applyFont="1"/>
    <xf numFmtId="164" fontId="15" fillId="0" borderId="0" xfId="2" applyNumberFormat="1"/>
    <xf numFmtId="0" fontId="15" fillId="4" borderId="0" xfId="2" applyFont="1" applyFill="1"/>
    <xf numFmtId="0" fontId="15" fillId="4" borderId="0" xfId="2" applyFont="1" applyFill="1" applyBorder="1"/>
    <xf numFmtId="0" fontId="15" fillId="4" borderId="0" xfId="2" applyFont="1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Fill="1" applyBorder="1" applyProtection="1">
      <protection hidden="1"/>
    </xf>
    <xf numFmtId="0" fontId="0" fillId="2" borderId="0" xfId="0" applyFill="1" applyBorder="1" applyAlignment="1">
      <alignment horizontal="center"/>
    </xf>
    <xf numFmtId="0" fontId="4" fillId="2" borderId="0" xfId="0" applyFont="1" applyFill="1" applyProtection="1"/>
    <xf numFmtId="0" fontId="0" fillId="2" borderId="0" xfId="0" applyFill="1" applyBorder="1" applyAlignment="1" applyProtection="1"/>
    <xf numFmtId="0" fontId="0" fillId="0" borderId="0" xfId="0" applyBorder="1" applyProtection="1"/>
    <xf numFmtId="0" fontId="0" fillId="2" borderId="5" xfId="0" applyFill="1" applyBorder="1" applyProtection="1"/>
    <xf numFmtId="0" fontId="0" fillId="0" borderId="0" xfId="0" applyFill="1" applyProtection="1"/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Border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3" xfId="0" applyFill="1" applyBorder="1" applyAlignment="1" applyProtection="1">
      <alignment horizontal="center" vertical="top"/>
      <protection locked="0"/>
    </xf>
    <xf numFmtId="0" fontId="0" fillId="6" borderId="27" xfId="0" applyFill="1" applyBorder="1" applyAlignment="1" applyProtection="1">
      <alignment horizontal="center" vertical="top"/>
      <protection locked="0"/>
    </xf>
    <xf numFmtId="0" fontId="0" fillId="6" borderId="24" xfId="0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5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tabSelected="1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92" t="s">
        <v>75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</row>
    <row r="4" spans="2:15" ht="23.25" x14ac:dyDescent="0.35">
      <c r="B4" s="92" t="s">
        <v>11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95" t="s">
        <v>87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7"/>
    </row>
    <row r="7" spans="2:15" x14ac:dyDescent="0.25">
      <c r="B7" s="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fESCBRSONm1O8Dc0JOnjB+qZOu1d6CiIMR9AFNICnNkTv8GeL/e0JsFltcWbeY82mSirBMQYcES73YQY5x/fMQ==" saltValue="rfeIy2Ycu5WCYD7kyrPZ3g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zoomScale="89" zoomScaleNormal="89" workbookViewId="0"/>
  </sheetViews>
  <sheetFormatPr baseColWidth="10" defaultColWidth="11.375" defaultRowHeight="15" x14ac:dyDescent="0.25"/>
  <cols>
    <col min="1" max="1" width="6.375" style="1" customWidth="1"/>
    <col min="2" max="2" width="34.25" style="1" customWidth="1"/>
    <col min="3" max="3" width="13.25" style="1" customWidth="1"/>
    <col min="4" max="4" width="27.375" style="1" customWidth="1"/>
    <col min="5" max="5" width="57.375" style="1" customWidth="1"/>
    <col min="6" max="6" width="30.125" style="1" customWidth="1"/>
    <col min="7" max="7" width="15.75" style="1" customWidth="1"/>
    <col min="8" max="9" width="11.375" style="42"/>
    <col min="10" max="10" width="11.875" style="42" bestFit="1" customWidth="1"/>
    <col min="11" max="16384" width="11.37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96" t="s">
        <v>105</v>
      </c>
      <c r="C7" s="97"/>
      <c r="D7" s="97"/>
      <c r="E7" s="97"/>
      <c r="F7" s="97"/>
      <c r="G7" s="98"/>
      <c r="T7" s="1" t="s">
        <v>12</v>
      </c>
    </row>
    <row r="8" spans="2:20" ht="15.75" thickBot="1" x14ac:dyDescent="0.3">
      <c r="B8" s="14"/>
      <c r="C8" s="15"/>
      <c r="D8" s="104" t="s">
        <v>143</v>
      </c>
      <c r="E8" s="104"/>
      <c r="F8" s="15"/>
      <c r="G8" s="16"/>
      <c r="T8" s="1" t="s">
        <v>13</v>
      </c>
    </row>
    <row r="9" spans="2:20" ht="15.75" thickBot="1" x14ac:dyDescent="0.3">
      <c r="B9" s="102" t="s">
        <v>107</v>
      </c>
      <c r="C9" s="103"/>
      <c r="D9" s="79">
        <v>44810</v>
      </c>
      <c r="E9" s="15"/>
      <c r="F9" s="15"/>
      <c r="G9" s="16"/>
      <c r="T9" s="1" t="s">
        <v>14</v>
      </c>
    </row>
    <row r="10" spans="2:20" x14ac:dyDescent="0.25">
      <c r="B10" s="14" t="s">
        <v>145</v>
      </c>
      <c r="C10" s="15"/>
      <c r="D10" s="15"/>
      <c r="E10" s="15"/>
      <c r="F10" s="15"/>
      <c r="G10" s="67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76</v>
      </c>
    </row>
    <row r="12" spans="2:20" x14ac:dyDescent="0.25">
      <c r="B12" s="21" t="s">
        <v>0</v>
      </c>
      <c r="C12" s="78" t="s">
        <v>12</v>
      </c>
      <c r="D12" s="79">
        <v>44691</v>
      </c>
      <c r="E12" s="78" t="s">
        <v>189</v>
      </c>
      <c r="F12" s="79"/>
      <c r="G12" s="80" t="str">
        <f>+IF(C12="SI",IF(F12&lt;$G$10,"DESACTUALIZADO",""),"")</f>
        <v>DESACTUALIZADO</v>
      </c>
      <c r="H12" s="42">
        <f t="shared" ref="H12:H17" si="0">+IF(C12="N/A",1,0)</f>
        <v>0</v>
      </c>
      <c r="I12" s="42">
        <f t="shared" ref="I12:I17" si="1">+IF(C12="Si",1,0)</f>
        <v>1</v>
      </c>
      <c r="J12" s="42">
        <f t="shared" ref="J12:J17" si="2">+IF(C12="No",1,0)</f>
        <v>0</v>
      </c>
    </row>
    <row r="13" spans="2:20" x14ac:dyDescent="0.25">
      <c r="B13" s="21" t="s">
        <v>1</v>
      </c>
      <c r="C13" s="78" t="s">
        <v>12</v>
      </c>
      <c r="D13" s="79">
        <v>43140</v>
      </c>
      <c r="E13" s="78" t="s">
        <v>190</v>
      </c>
      <c r="F13" s="79">
        <v>44146</v>
      </c>
      <c r="G13" s="80" t="str">
        <f t="shared" ref="G13:G17" si="3">+IF(C13="SI",IF(F13&lt;$G$10,"DESACTUALIZADO",""),"")</f>
        <v/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78" t="s">
        <v>12</v>
      </c>
      <c r="D14" s="79">
        <v>44245</v>
      </c>
      <c r="E14" s="78" t="s">
        <v>191</v>
      </c>
      <c r="F14" s="78"/>
      <c r="G14" s="80" t="str">
        <f t="shared" si="3"/>
        <v>DESACTUALIZADO</v>
      </c>
      <c r="H14" s="42">
        <f t="shared" si="0"/>
        <v>0</v>
      </c>
      <c r="I14" s="42">
        <f t="shared" si="1"/>
        <v>1</v>
      </c>
      <c r="J14" s="42">
        <f t="shared" si="2"/>
        <v>0</v>
      </c>
      <c r="T14" s="48">
        <v>43545</v>
      </c>
    </row>
    <row r="15" spans="2:20" x14ac:dyDescent="0.25">
      <c r="B15" s="21" t="s">
        <v>3</v>
      </c>
      <c r="C15" s="78" t="s">
        <v>12</v>
      </c>
      <c r="D15" s="79">
        <v>42538</v>
      </c>
      <c r="E15" s="78" t="s">
        <v>192</v>
      </c>
      <c r="F15" s="79">
        <v>44790</v>
      </c>
      <c r="G15" s="80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78" t="s">
        <v>12</v>
      </c>
      <c r="D16" s="79">
        <v>44280</v>
      </c>
      <c r="E16" s="78" t="s">
        <v>193</v>
      </c>
      <c r="F16" s="79">
        <v>44335</v>
      </c>
      <c r="G16" s="80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78" t="s">
        <v>12</v>
      </c>
      <c r="D17" s="79">
        <v>42653</v>
      </c>
      <c r="E17" s="78" t="s">
        <v>194</v>
      </c>
      <c r="F17" s="79">
        <v>44512</v>
      </c>
      <c r="G17" s="80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62" t="s">
        <v>90</v>
      </c>
      <c r="C19" s="99"/>
      <c r="D19" s="100"/>
      <c r="E19" s="100"/>
      <c r="F19" s="100"/>
      <c r="G19" s="101"/>
    </row>
  </sheetData>
  <sheetProtection algorithmName="SHA-512" hashValue="guBwrDrRnk1KuL1QTxzhX+93X5l/aUSlJP3gAz5OjRJbKk1gJlGrcA8FEPrUFZMHmi3icEReOMBE9XonogNp0w==" saltValue="7DocmJkL4AB8U+xMv4KRd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58" priority="38" operator="containsText" text="N/A">
      <formula>NOT(ISERROR(SEARCH("N/A",C12)))</formula>
    </cfRule>
    <cfRule type="containsBlanks" dxfId="57" priority="46">
      <formula>LEN(TRIM(C12))=0</formula>
    </cfRule>
  </conditionalFormatting>
  <conditionalFormatting sqref="D9">
    <cfRule type="containsBlanks" dxfId="56" priority="45">
      <formula>LEN(TRIM(D9))=0</formula>
    </cfRule>
  </conditionalFormatting>
  <conditionalFormatting sqref="C19">
    <cfRule type="containsBlanks" dxfId="55" priority="39">
      <formula>LEN(TRIM(C19))=0</formula>
    </cfRule>
  </conditionalFormatting>
  <conditionalFormatting sqref="D12">
    <cfRule type="containsBlanks" dxfId="54" priority="25">
      <formula>LEN(TRIM(D12))=0</formula>
    </cfRule>
  </conditionalFormatting>
  <conditionalFormatting sqref="D12">
    <cfRule type="expression" dxfId="53" priority="24">
      <formula>OR($C$12="No",$C$12="N/A")</formula>
    </cfRule>
  </conditionalFormatting>
  <conditionalFormatting sqref="D13:D17">
    <cfRule type="containsBlanks" dxfId="52" priority="23">
      <formula>LEN(TRIM(D13))=0</formula>
    </cfRule>
  </conditionalFormatting>
  <conditionalFormatting sqref="D13:D17">
    <cfRule type="expression" dxfId="51" priority="22">
      <formula>OR($C$12="No",$C$12="N/A")</formula>
    </cfRule>
  </conditionalFormatting>
  <conditionalFormatting sqref="D14">
    <cfRule type="expression" dxfId="50" priority="21">
      <formula>OR($C$14="No",$C$14="N/A")</formula>
    </cfRule>
  </conditionalFormatting>
  <conditionalFormatting sqref="D13">
    <cfRule type="expression" dxfId="49" priority="20">
      <formula>OR($C$13="No",$C$13="N/A")</formula>
    </cfRule>
  </conditionalFormatting>
  <conditionalFormatting sqref="D15">
    <cfRule type="expression" dxfId="48" priority="19">
      <formula>OR($C$15="No",$C$15="N/A")</formula>
    </cfRule>
  </conditionalFormatting>
  <conditionalFormatting sqref="D16">
    <cfRule type="expression" dxfId="47" priority="18">
      <formula>OR($C$16="No",$C$16="N/A")</formula>
    </cfRule>
  </conditionalFormatting>
  <conditionalFormatting sqref="D17">
    <cfRule type="expression" dxfId="46" priority="17">
      <formula>OR($C$17="No",$C$17="N/A")</formula>
    </cfRule>
  </conditionalFormatting>
  <conditionalFormatting sqref="E12:E17">
    <cfRule type="containsBlanks" dxfId="45" priority="16">
      <formula>LEN(TRIM(E12))=0</formula>
    </cfRule>
  </conditionalFormatting>
  <conditionalFormatting sqref="E12">
    <cfRule type="expression" dxfId="44" priority="15">
      <formula>OR($C$12="No",$C$12="N/A")</formula>
    </cfRule>
  </conditionalFormatting>
  <conditionalFormatting sqref="E14">
    <cfRule type="expression" dxfId="43" priority="14">
      <formula>OR($C$14="No",$C$14="N/A")</formula>
    </cfRule>
  </conditionalFormatting>
  <conditionalFormatting sqref="E13">
    <cfRule type="expression" dxfId="42" priority="13">
      <formula>OR($C$13="No",$C$13="N/A")</formula>
    </cfRule>
  </conditionalFormatting>
  <conditionalFormatting sqref="E15">
    <cfRule type="expression" dxfId="41" priority="12">
      <formula>OR($C$15="No",$C$15="N/A")</formula>
    </cfRule>
  </conditionalFormatting>
  <conditionalFormatting sqref="E16">
    <cfRule type="expression" dxfId="40" priority="11">
      <formula>OR($C$16="No",$C$16="N/A")</formula>
    </cfRule>
  </conditionalFormatting>
  <conditionalFormatting sqref="E17">
    <cfRule type="expression" dxfId="39" priority="10">
      <formula>OR($C$17="No",$C$17="N/A")</formula>
    </cfRule>
  </conditionalFormatting>
  <conditionalFormatting sqref="E17">
    <cfRule type="expression" dxfId="38" priority="9">
      <formula>OR($C$13="No",$C$13="N/A")</formula>
    </cfRule>
  </conditionalFormatting>
  <conditionalFormatting sqref="F12:F17">
    <cfRule type="containsBlanks" dxfId="37" priority="8">
      <formula>LEN(TRIM(F12))=0</formula>
    </cfRule>
  </conditionalFormatting>
  <conditionalFormatting sqref="F12">
    <cfRule type="expression" dxfId="36" priority="7">
      <formula>OR($C$12="No",$C$12="N/A")</formula>
    </cfRule>
  </conditionalFormatting>
  <conditionalFormatting sqref="F14">
    <cfRule type="expression" dxfId="35" priority="6">
      <formula>OR($C$14="No",$C$14="N/A")</formula>
    </cfRule>
  </conditionalFormatting>
  <conditionalFormatting sqref="F13">
    <cfRule type="expression" dxfId="34" priority="5">
      <formula>OR($C$13="No",$C$13="N/A")</formula>
    </cfRule>
  </conditionalFormatting>
  <conditionalFormatting sqref="F15">
    <cfRule type="expression" dxfId="33" priority="4">
      <formula>OR($C$15="No",$C$15="N/A")</formula>
    </cfRule>
  </conditionalFormatting>
  <conditionalFormatting sqref="F16">
    <cfRule type="expression" dxfId="32" priority="3">
      <formula>OR($C$16="No",$C$16="N/A")</formula>
    </cfRule>
  </conditionalFormatting>
  <conditionalFormatting sqref="F17">
    <cfRule type="expression" dxfId="31" priority="2">
      <formula>OR($C$17="No",$C$17="N/A")</formula>
    </cfRule>
  </conditionalFormatting>
  <conditionalFormatting sqref="F13:F17">
    <cfRule type="expression" dxfId="30" priority="1">
      <formula>OR($C$12="No",$C$12="N/A")</formula>
    </cfRule>
  </conditionalFormatting>
  <dataValidations count="5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44742</formula1>
      <formula2>44823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 F12:F17" xr:uid="{00000000-0002-0000-0100-000004000000}">
      <formula1>40544</formula1>
      <formula2>44823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zoomScale="91" zoomScaleNormal="91" workbookViewId="0"/>
  </sheetViews>
  <sheetFormatPr baseColWidth="10" defaultColWidth="11.375" defaultRowHeight="15" x14ac:dyDescent="0.25"/>
  <cols>
    <col min="1" max="1" width="3.875" style="1" customWidth="1"/>
    <col min="2" max="2" width="11.375" style="1"/>
    <col min="3" max="3" width="58.625" style="1" customWidth="1"/>
    <col min="4" max="4" width="20.875" style="1" customWidth="1"/>
    <col min="5" max="5" width="6.25" style="1" customWidth="1"/>
    <col min="6" max="6" width="41.375" style="1" customWidth="1"/>
    <col min="7" max="7" width="24.125" style="1" customWidth="1"/>
    <col min="8" max="8" width="7.25" style="1" customWidth="1"/>
    <col min="9" max="16384" width="11.37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19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 t="s">
        <v>143</v>
      </c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107</v>
      </c>
      <c r="D7" s="79">
        <v>44810</v>
      </c>
      <c r="E7" s="26"/>
      <c r="F7" s="105" t="str">
        <f>"Seleccione una muestra de "&amp;V3&amp;" abogados activos y complete la siguiente tabla"</f>
        <v>Seleccione una muestra de 19 abogados activos y complete la siguiente tabla</v>
      </c>
      <c r="G7" s="106"/>
      <c r="H7" s="33"/>
    </row>
    <row r="8" spans="2:22" x14ac:dyDescent="0.25">
      <c r="B8" s="14"/>
      <c r="D8" s="15"/>
      <c r="E8" s="15"/>
      <c r="F8" s="107"/>
      <c r="G8" s="108"/>
      <c r="H8" s="16"/>
      <c r="T8" s="1" t="s">
        <v>13</v>
      </c>
    </row>
    <row r="9" spans="2:22" ht="23.25" x14ac:dyDescent="0.25">
      <c r="B9" s="14"/>
      <c r="C9" s="34" t="s">
        <v>148</v>
      </c>
      <c r="E9" s="6"/>
      <c r="F9" s="24" t="s">
        <v>94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149</v>
      </c>
      <c r="D10" s="23" t="s">
        <v>23</v>
      </c>
      <c r="E10" s="6"/>
      <c r="F10" s="20" t="s">
        <v>91</v>
      </c>
      <c r="G10" s="78">
        <v>18</v>
      </c>
      <c r="H10" s="16"/>
    </row>
    <row r="11" spans="2:22" x14ac:dyDescent="0.25">
      <c r="B11" s="14"/>
      <c r="C11" s="20" t="s">
        <v>161</v>
      </c>
      <c r="D11" s="78">
        <v>192</v>
      </c>
      <c r="E11" s="6"/>
      <c r="F11" s="20" t="s">
        <v>92</v>
      </c>
      <c r="G11" s="78">
        <v>19</v>
      </c>
      <c r="H11" s="16"/>
    </row>
    <row r="12" spans="2:22" x14ac:dyDescent="0.25">
      <c r="B12" s="14"/>
      <c r="C12" s="20" t="s">
        <v>22</v>
      </c>
      <c r="D12" s="78">
        <v>195</v>
      </c>
      <c r="E12" s="6"/>
      <c r="F12" s="20" t="s">
        <v>93</v>
      </c>
      <c r="G12" s="78">
        <v>19</v>
      </c>
      <c r="H12" s="16"/>
    </row>
    <row r="13" spans="2:22" x14ac:dyDescent="0.25">
      <c r="B13" s="14"/>
      <c r="C13" s="20" t="s">
        <v>26</v>
      </c>
      <c r="D13" s="78">
        <v>192</v>
      </c>
      <c r="E13" s="6"/>
      <c r="F13" s="52" t="s">
        <v>99</v>
      </c>
      <c r="G13" s="51"/>
      <c r="H13" s="16"/>
    </row>
    <row r="14" spans="2:22" x14ac:dyDescent="0.25">
      <c r="B14" s="14"/>
      <c r="E14" s="6"/>
      <c r="F14" s="53" t="s">
        <v>100</v>
      </c>
      <c r="G14" s="54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103</v>
      </c>
      <c r="G16" s="24" t="s">
        <v>19</v>
      </c>
      <c r="H16" s="16"/>
    </row>
    <row r="17" spans="2:8" x14ac:dyDescent="0.25">
      <c r="B17" s="14"/>
      <c r="C17" s="20" t="s">
        <v>162</v>
      </c>
      <c r="D17" s="78">
        <v>14</v>
      </c>
      <c r="E17" s="6"/>
      <c r="F17" s="20" t="s">
        <v>106</v>
      </c>
      <c r="G17" s="78">
        <v>168</v>
      </c>
      <c r="H17" s="16"/>
    </row>
    <row r="18" spans="2:8" x14ac:dyDescent="0.25">
      <c r="B18" s="14"/>
      <c r="C18" s="20" t="s">
        <v>180</v>
      </c>
      <c r="D18" s="78">
        <v>12</v>
      </c>
      <c r="E18" s="6"/>
      <c r="F18" s="49" t="s">
        <v>77</v>
      </c>
      <c r="G18" s="78">
        <v>2</v>
      </c>
      <c r="H18" s="16"/>
    </row>
    <row r="19" spans="2:8" x14ac:dyDescent="0.25">
      <c r="B19" s="14"/>
      <c r="C19" s="59"/>
      <c r="E19" s="6"/>
      <c r="F19" s="20" t="s">
        <v>96</v>
      </c>
      <c r="G19" s="78">
        <v>2</v>
      </c>
      <c r="H19" s="16"/>
    </row>
    <row r="20" spans="2:8" x14ac:dyDescent="0.25">
      <c r="B20" s="14"/>
      <c r="C20" s="59"/>
      <c r="E20" s="6"/>
      <c r="F20" s="20" t="s">
        <v>25</v>
      </c>
      <c r="G20" s="78">
        <v>20</v>
      </c>
      <c r="H20" s="16"/>
    </row>
    <row r="21" spans="2:8" x14ac:dyDescent="0.25">
      <c r="B21" s="14"/>
      <c r="C21" s="82" t="s">
        <v>95</v>
      </c>
      <c r="D21" s="83"/>
      <c r="E21" s="84"/>
      <c r="F21" s="86"/>
      <c r="G21" s="86"/>
      <c r="H21" s="85"/>
    </row>
    <row r="22" spans="2:8" x14ac:dyDescent="0.25">
      <c r="B22" s="14"/>
      <c r="C22" s="109" t="s">
        <v>195</v>
      </c>
      <c r="D22" s="110"/>
      <c r="E22" s="110"/>
      <c r="F22" s="110"/>
      <c r="G22" s="111"/>
      <c r="H22" s="16"/>
    </row>
    <row r="23" spans="2:8" x14ac:dyDescent="0.25">
      <c r="B23" s="14"/>
      <c r="C23" s="112"/>
      <c r="D23" s="113"/>
      <c r="E23" s="113"/>
      <c r="F23" s="113"/>
      <c r="G23" s="114"/>
      <c r="H23" s="16"/>
    </row>
    <row r="24" spans="2:8" x14ac:dyDescent="0.25">
      <c r="B24" s="14"/>
      <c r="C24" s="112"/>
      <c r="D24" s="113"/>
      <c r="E24" s="113"/>
      <c r="F24" s="113"/>
      <c r="G24" s="114"/>
      <c r="H24" s="16"/>
    </row>
    <row r="25" spans="2:8" x14ac:dyDescent="0.25">
      <c r="B25" s="14"/>
      <c r="C25" s="115"/>
      <c r="D25" s="116"/>
      <c r="E25" s="116"/>
      <c r="F25" s="116"/>
      <c r="G25" s="117"/>
      <c r="H25" s="16"/>
    </row>
    <row r="26" spans="2:8" ht="15.75" thickBot="1" x14ac:dyDescent="0.3">
      <c r="B26" s="17"/>
      <c r="C26" s="18"/>
      <c r="D26" s="18"/>
      <c r="E26" s="18"/>
      <c r="F26" s="18"/>
      <c r="G26" s="18"/>
      <c r="H26" s="19"/>
    </row>
  </sheetData>
  <sheetProtection algorithmName="SHA-512" hashValue="8RVfEKhnYWfIrZgxadx6Lc2rQDLeuKO1UW4AlYqnO3coVmDLUoIAogyz2Won+/zis7CW1pAtLh7Ek1Vaki8u8w==" saltValue="vQUyMhNw20AE2MFLVmAxDA==" spinCount="100000" sheet="1" objects="1" scenarios="1"/>
  <mergeCells count="2">
    <mergeCell ref="F7:G8"/>
    <mergeCell ref="C22:G25"/>
  </mergeCells>
  <conditionalFormatting sqref="C22">
    <cfRule type="containsBlanks" dxfId="29" priority="13">
      <formula>LEN(TRIM(C22))=0</formula>
    </cfRule>
  </conditionalFormatting>
  <conditionalFormatting sqref="D7">
    <cfRule type="containsBlanks" dxfId="28" priority="5">
      <formula>LEN(TRIM(D7))=0</formula>
    </cfRule>
  </conditionalFormatting>
  <conditionalFormatting sqref="D11:D13">
    <cfRule type="containsBlanks" dxfId="27" priority="4">
      <formula>LEN(TRIM(D11))=0</formula>
    </cfRule>
  </conditionalFormatting>
  <conditionalFormatting sqref="D17:D18">
    <cfRule type="containsBlanks" dxfId="26" priority="3">
      <formula>LEN(TRIM(D17))=0</formula>
    </cfRule>
  </conditionalFormatting>
  <conditionalFormatting sqref="G10:G12">
    <cfRule type="containsBlanks" dxfId="25" priority="2">
      <formula>LEN(TRIM(G10))=0</formula>
    </cfRule>
  </conditionalFormatting>
  <conditionalFormatting sqref="G17:G20">
    <cfRule type="containsBlanks" dxfId="24" priority="1">
      <formula>LEN(TRIM(G17))=0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44742</formula1>
      <formula2>44823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zoomScale="70" zoomScaleNormal="70" workbookViewId="0"/>
  </sheetViews>
  <sheetFormatPr baseColWidth="10" defaultColWidth="11.375" defaultRowHeight="15" x14ac:dyDescent="0.25"/>
  <cols>
    <col min="1" max="1" width="3.875" style="1" customWidth="1"/>
    <col min="2" max="2" width="11.375" style="1"/>
    <col min="3" max="3" width="70.25" style="1" customWidth="1"/>
    <col min="4" max="4" width="15.25" style="1" customWidth="1"/>
    <col min="5" max="5" width="6.25" style="1" customWidth="1"/>
    <col min="6" max="6" width="70.125" style="1" customWidth="1"/>
    <col min="7" max="7" width="16.875" style="1" customWidth="1"/>
    <col min="8" max="8" width="15.25" style="1" customWidth="1"/>
    <col min="9" max="9" width="7.25" style="1" customWidth="1"/>
    <col min="10" max="16384" width="11.37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51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23" t="s">
        <v>65</v>
      </c>
      <c r="D6" s="123"/>
      <c r="E6" s="123"/>
      <c r="F6" s="123"/>
      <c r="G6" s="123"/>
      <c r="H6" s="123"/>
      <c r="I6" s="33"/>
    </row>
    <row r="7" spans="2:23" x14ac:dyDescent="0.25">
      <c r="B7" s="14"/>
      <c r="C7" s="15"/>
      <c r="D7" s="27"/>
      <c r="E7" s="81" t="s">
        <v>143</v>
      </c>
      <c r="F7" s="27"/>
      <c r="G7" s="15"/>
      <c r="H7" s="15"/>
      <c r="I7" s="16"/>
      <c r="U7" s="1" t="s">
        <v>13</v>
      </c>
    </row>
    <row r="8" spans="2:23" x14ac:dyDescent="0.25">
      <c r="B8" s="14"/>
      <c r="C8" s="23" t="s">
        <v>107</v>
      </c>
      <c r="D8" s="79">
        <v>44810</v>
      </c>
      <c r="E8" s="6"/>
      <c r="F8" s="37" t="s">
        <v>102</v>
      </c>
      <c r="G8" s="91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167</v>
      </c>
      <c r="G9" s="78">
        <v>111</v>
      </c>
      <c r="H9" s="15"/>
      <c r="I9" s="16"/>
    </row>
    <row r="10" spans="2:23" x14ac:dyDescent="0.25">
      <c r="B10" s="14"/>
      <c r="C10" s="23" t="s">
        <v>150</v>
      </c>
      <c r="D10" s="23" t="s">
        <v>23</v>
      </c>
      <c r="E10" s="6"/>
      <c r="F10" s="20" t="s">
        <v>57</v>
      </c>
      <c r="G10" s="78">
        <v>111</v>
      </c>
      <c r="H10" s="15"/>
      <c r="I10" s="16"/>
    </row>
    <row r="11" spans="2:23" x14ac:dyDescent="0.25">
      <c r="B11" s="14"/>
      <c r="C11" s="20" t="s">
        <v>163</v>
      </c>
      <c r="D11" s="78">
        <v>6681</v>
      </c>
      <c r="E11" s="6"/>
      <c r="F11" s="20" t="s">
        <v>79</v>
      </c>
      <c r="G11" s="78">
        <v>110</v>
      </c>
      <c r="H11" s="15"/>
      <c r="I11" s="16"/>
    </row>
    <row r="12" spans="2:23" x14ac:dyDescent="0.25">
      <c r="B12" s="14"/>
      <c r="C12" s="20" t="s">
        <v>28</v>
      </c>
      <c r="D12" s="78">
        <v>6617</v>
      </c>
      <c r="E12" s="6"/>
      <c r="F12" s="38" t="s">
        <v>156</v>
      </c>
      <c r="I12" s="16"/>
    </row>
    <row r="13" spans="2:23" x14ac:dyDescent="0.25">
      <c r="B13" s="14"/>
      <c r="C13" s="20" t="s">
        <v>78</v>
      </c>
      <c r="D13" s="78">
        <v>75</v>
      </c>
      <c r="E13" s="6"/>
      <c r="F13" s="38" t="s">
        <v>80</v>
      </c>
      <c r="I13" s="16"/>
    </row>
    <row r="14" spans="2:23" x14ac:dyDescent="0.25">
      <c r="B14" s="14"/>
      <c r="C14" s="38" t="s">
        <v>151</v>
      </c>
      <c r="E14" s="6"/>
      <c r="F14" s="24" t="s">
        <v>32</v>
      </c>
      <c r="G14" s="23" t="s">
        <v>23</v>
      </c>
      <c r="I14" s="16"/>
    </row>
    <row r="15" spans="2:23" x14ac:dyDescent="0.25">
      <c r="B15" s="14"/>
      <c r="C15" s="23" t="s">
        <v>152</v>
      </c>
      <c r="D15" s="23" t="s">
        <v>23</v>
      </c>
      <c r="E15" s="6"/>
      <c r="F15" s="20" t="s">
        <v>168</v>
      </c>
      <c r="G15" s="78">
        <v>6533</v>
      </c>
      <c r="I15" s="16"/>
    </row>
    <row r="16" spans="2:23" x14ac:dyDescent="0.25">
      <c r="B16" s="14"/>
      <c r="C16" s="20" t="s">
        <v>164</v>
      </c>
      <c r="D16" s="78">
        <v>545</v>
      </c>
      <c r="E16" s="6"/>
      <c r="F16" s="20" t="s">
        <v>169</v>
      </c>
      <c r="G16" s="78">
        <v>6246</v>
      </c>
      <c r="H16" s="15"/>
      <c r="I16" s="16"/>
    </row>
    <row r="17" spans="2:9" x14ac:dyDescent="0.25">
      <c r="B17" s="14"/>
      <c r="C17" s="20" t="s">
        <v>153</v>
      </c>
      <c r="D17" s="78">
        <v>516</v>
      </c>
      <c r="E17" s="6"/>
      <c r="F17" s="20" t="s">
        <v>170</v>
      </c>
      <c r="G17" s="78">
        <v>178</v>
      </c>
      <c r="H17" s="15"/>
      <c r="I17" s="16"/>
    </row>
    <row r="18" spans="2:9" x14ac:dyDescent="0.25">
      <c r="B18" s="14"/>
      <c r="C18" s="38" t="s">
        <v>154</v>
      </c>
      <c r="E18" s="6"/>
      <c r="F18" s="20" t="s">
        <v>171</v>
      </c>
      <c r="G18" s="78">
        <v>109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0" t="s">
        <v>31</v>
      </c>
      <c r="D20" s="50" t="s">
        <v>23</v>
      </c>
      <c r="E20" s="6"/>
      <c r="F20" s="39" t="s">
        <v>101</v>
      </c>
      <c r="G20" s="50" t="s">
        <v>144</v>
      </c>
      <c r="H20" s="40" t="s">
        <v>64</v>
      </c>
      <c r="I20" s="16"/>
    </row>
    <row r="21" spans="2:9" x14ac:dyDescent="0.25">
      <c r="B21" s="14"/>
      <c r="C21" s="60" t="s">
        <v>165</v>
      </c>
      <c r="D21" s="78">
        <v>10247</v>
      </c>
      <c r="E21" s="6"/>
      <c r="F21" s="20" t="s">
        <v>60</v>
      </c>
      <c r="G21" s="78">
        <v>1368</v>
      </c>
      <c r="H21" s="78">
        <v>600</v>
      </c>
      <c r="I21" s="16"/>
    </row>
    <row r="22" spans="2:9" ht="15" customHeight="1" x14ac:dyDescent="0.25">
      <c r="B22" s="14"/>
      <c r="C22" s="60" t="s">
        <v>166</v>
      </c>
      <c r="D22" s="78">
        <v>55</v>
      </c>
      <c r="E22" s="6"/>
      <c r="F22" s="20" t="s">
        <v>61</v>
      </c>
      <c r="G22" s="78">
        <v>3517</v>
      </c>
      <c r="H22" s="78">
        <v>3511</v>
      </c>
      <c r="I22" s="16"/>
    </row>
    <row r="23" spans="2:9" x14ac:dyDescent="0.25">
      <c r="B23" s="14"/>
      <c r="C23" s="66" t="s">
        <v>155</v>
      </c>
      <c r="D23" s="66"/>
      <c r="E23" s="6"/>
      <c r="F23" s="20" t="s">
        <v>62</v>
      </c>
      <c r="G23" s="78">
        <v>1010</v>
      </c>
      <c r="H23" s="78">
        <v>1010</v>
      </c>
      <c r="I23" s="16"/>
    </row>
    <row r="24" spans="2:9" x14ac:dyDescent="0.25">
      <c r="B24" s="14"/>
      <c r="C24" s="15"/>
      <c r="E24" s="6"/>
      <c r="F24" s="20" t="s">
        <v>63</v>
      </c>
      <c r="G24" s="78">
        <v>529</v>
      </c>
      <c r="H24" s="78">
        <v>529</v>
      </c>
      <c r="I24" s="16"/>
    </row>
    <row r="25" spans="2:9" ht="30" customHeight="1" x14ac:dyDescent="0.25">
      <c r="B25" s="14"/>
      <c r="C25" s="68" t="str">
        <f>"Seleccione "&amp;W3&amp;" procesos teminados en el  primer semestre de 2022 y llene la siguiente tabla:"</f>
        <v>Seleccione 51 procesos teminados en el  primer semestre de 2022 y llene la siguiente tabla:</v>
      </c>
      <c r="D25" s="63"/>
      <c r="E25" s="6"/>
      <c r="F25" s="124" t="s">
        <v>172</v>
      </c>
      <c r="G25" s="124"/>
      <c r="H25" s="124"/>
      <c r="I25" s="16"/>
    </row>
    <row r="26" spans="2:9" ht="15.75" thickBot="1" x14ac:dyDescent="0.3">
      <c r="B26" s="14"/>
      <c r="C26" s="64"/>
      <c r="D26" s="65"/>
      <c r="E26" s="6"/>
      <c r="F26" s="61"/>
      <c r="G26" s="15"/>
      <c r="H26" s="15"/>
      <c r="I26" s="16"/>
    </row>
    <row r="27" spans="2:9" x14ac:dyDescent="0.25">
      <c r="B27" s="14"/>
      <c r="C27" s="50" t="s">
        <v>89</v>
      </c>
      <c r="D27" s="50" t="s">
        <v>23</v>
      </c>
      <c r="E27" s="6"/>
      <c r="F27" s="118" t="s">
        <v>88</v>
      </c>
      <c r="G27" s="119"/>
      <c r="H27" s="120"/>
      <c r="I27" s="16"/>
    </row>
    <row r="28" spans="2:9" x14ac:dyDescent="0.25">
      <c r="B28" s="14"/>
      <c r="C28" s="20" t="s">
        <v>81</v>
      </c>
      <c r="D28" s="78">
        <v>51</v>
      </c>
      <c r="E28" s="6"/>
      <c r="F28" s="121" t="s">
        <v>196</v>
      </c>
      <c r="G28" s="122"/>
      <c r="H28" s="122"/>
      <c r="I28" s="16"/>
    </row>
    <row r="29" spans="2:9" x14ac:dyDescent="0.25">
      <c r="B29" s="14"/>
      <c r="C29" s="20" t="s">
        <v>82</v>
      </c>
      <c r="D29" s="78">
        <v>43</v>
      </c>
      <c r="E29" s="6"/>
      <c r="F29" s="122"/>
      <c r="G29" s="122"/>
      <c r="H29" s="122"/>
      <c r="I29" s="16"/>
    </row>
    <row r="30" spans="2:9" x14ac:dyDescent="0.25">
      <c r="B30" s="14"/>
      <c r="C30" s="20" t="s">
        <v>83</v>
      </c>
      <c r="D30" s="78">
        <v>14</v>
      </c>
      <c r="E30" s="6"/>
      <c r="F30" s="122"/>
      <c r="G30" s="122"/>
      <c r="H30" s="122"/>
      <c r="I30" s="16"/>
    </row>
    <row r="31" spans="2:9" x14ac:dyDescent="0.25">
      <c r="B31" s="14"/>
      <c r="C31" s="20" t="s">
        <v>84</v>
      </c>
      <c r="D31" s="78">
        <v>3</v>
      </c>
      <c r="E31" s="6"/>
      <c r="F31" s="122"/>
      <c r="G31" s="122"/>
      <c r="H31" s="122"/>
      <c r="I31" s="16"/>
    </row>
    <row r="32" spans="2:9" x14ac:dyDescent="0.25">
      <c r="B32" s="14"/>
      <c r="C32" s="20" t="s">
        <v>85</v>
      </c>
      <c r="D32" s="78">
        <v>1</v>
      </c>
      <c r="E32" s="6"/>
      <c r="F32" s="122"/>
      <c r="G32" s="122"/>
      <c r="H32" s="122"/>
      <c r="I32" s="16"/>
    </row>
    <row r="33" spans="2:9" x14ac:dyDescent="0.25">
      <c r="B33" s="14"/>
      <c r="C33" s="15"/>
      <c r="E33" s="6"/>
      <c r="F33" s="122"/>
      <c r="G33" s="122"/>
      <c r="H33" s="122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B9V84//xA42RdCAYWxnnmge3JebK6lrTBnVqgqUZdoaV3dQ6rZl/I6IC2ReFAYckWa0swdX3mj/vDzzbeCdsaQ==" saltValue="dyWH2baFBv95gWeLj1vbeg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20">
      <formula>LEN(TRIM(D8))=0</formula>
    </cfRule>
  </conditionalFormatting>
  <conditionalFormatting sqref="F28">
    <cfRule type="containsBlanks" dxfId="22" priority="10">
      <formula>LEN(TRIM(F28))=0</formula>
    </cfRule>
  </conditionalFormatting>
  <conditionalFormatting sqref="D11">
    <cfRule type="containsBlanks" dxfId="21" priority="9">
      <formula>LEN(TRIM(D11))=0</formula>
    </cfRule>
  </conditionalFormatting>
  <conditionalFormatting sqref="D12:D13">
    <cfRule type="containsBlanks" dxfId="20" priority="8">
      <formula>LEN(TRIM(D12))=0</formula>
    </cfRule>
  </conditionalFormatting>
  <conditionalFormatting sqref="D16:D17">
    <cfRule type="containsBlanks" dxfId="19" priority="7">
      <formula>LEN(TRIM(D16))=0</formula>
    </cfRule>
  </conditionalFormatting>
  <conditionalFormatting sqref="D21:D22">
    <cfRule type="containsBlanks" dxfId="18" priority="6">
      <formula>LEN(TRIM(D21))=0</formula>
    </cfRule>
  </conditionalFormatting>
  <conditionalFormatting sqref="D28:D32">
    <cfRule type="containsBlanks" dxfId="17" priority="5">
      <formula>LEN(TRIM(D28))=0</formula>
    </cfRule>
  </conditionalFormatting>
  <conditionalFormatting sqref="G9">
    <cfRule type="containsBlanks" dxfId="16" priority="4">
      <formula>LEN(TRIM(G9))=0</formula>
    </cfRule>
  </conditionalFormatting>
  <conditionalFormatting sqref="G10:G11">
    <cfRule type="containsBlanks" dxfId="15" priority="3">
      <formula>LEN(TRIM(G10))=0</formula>
    </cfRule>
  </conditionalFormatting>
  <conditionalFormatting sqref="G15:G18">
    <cfRule type="containsBlanks" dxfId="14" priority="2">
      <formula>LEN(TRIM(G15))=0</formula>
    </cfRule>
  </conditionalFormatting>
  <conditionalFormatting sqref="G21:H24">
    <cfRule type="containsBlanks" dxfId="13" priority="1">
      <formula>LEN(TRIM(G21))=0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44742</formula1>
      <formula2>44823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A23" sqref="A23"/>
    </sheetView>
  </sheetViews>
  <sheetFormatPr baseColWidth="10" defaultColWidth="11.375" defaultRowHeight="15" x14ac:dyDescent="0.25"/>
  <cols>
    <col min="1" max="1" width="3.875" style="1" customWidth="1"/>
    <col min="2" max="2" width="11.375" style="1"/>
    <col min="3" max="3" width="57.875" style="1" customWidth="1"/>
    <col min="4" max="4" width="20.875" style="1" customWidth="1"/>
    <col min="5" max="5" width="6.25" style="1" customWidth="1"/>
    <col min="6" max="6" width="47.875" style="1" bestFit="1" customWidth="1"/>
    <col min="7" max="7" width="24.125" style="1" customWidth="1"/>
    <col min="8" max="8" width="7.25" style="1" customWidth="1"/>
    <col min="9" max="16384" width="11.37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122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20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23" t="s">
        <v>146</v>
      </c>
      <c r="D7" s="123"/>
      <c r="E7" s="123"/>
      <c r="F7" s="123"/>
      <c r="G7" s="123"/>
      <c r="H7" s="33"/>
    </row>
    <row r="8" spans="2:22" x14ac:dyDescent="0.25">
      <c r="B8" s="14"/>
      <c r="C8" s="15"/>
      <c r="D8" s="15"/>
      <c r="E8" s="89" t="s">
        <v>143</v>
      </c>
      <c r="H8" s="16"/>
      <c r="T8" s="1" t="s">
        <v>13</v>
      </c>
    </row>
    <row r="9" spans="2:22" ht="15" customHeight="1" x14ac:dyDescent="0.25">
      <c r="B9" s="14"/>
      <c r="C9" s="23" t="s">
        <v>157</v>
      </c>
      <c r="D9" s="23" t="s">
        <v>23</v>
      </c>
      <c r="E9" s="6"/>
      <c r="F9" s="105" t="str">
        <f>"Seleccione una muestra de "&amp;V3&amp;" prejudiciales activos registrados antes de 1 de enero de 2022 y complete la siguiente tabla"</f>
        <v>Seleccione una muestra de 20 prejudiciales activos registrados antes de 1 de enero de 2022 y complete la siguiente tabla</v>
      </c>
      <c r="G9" s="106"/>
      <c r="H9" s="16"/>
      <c r="T9" s="1" t="s">
        <v>14</v>
      </c>
    </row>
    <row r="10" spans="2:22" x14ac:dyDescent="0.25">
      <c r="B10" s="14"/>
      <c r="C10" s="20" t="s">
        <v>173</v>
      </c>
      <c r="D10" s="78">
        <v>83</v>
      </c>
      <c r="E10" s="6"/>
      <c r="F10" s="107"/>
      <c r="G10" s="108"/>
      <c r="H10" s="16"/>
    </row>
    <row r="11" spans="2:22" x14ac:dyDescent="0.25">
      <c r="B11" s="14"/>
      <c r="C11" s="20" t="s">
        <v>52</v>
      </c>
      <c r="D11" s="78">
        <v>314</v>
      </c>
      <c r="E11" s="6"/>
      <c r="F11" s="24" t="s">
        <v>31</v>
      </c>
      <c r="G11" s="24" t="s">
        <v>54</v>
      </c>
      <c r="H11" s="16"/>
    </row>
    <row r="12" spans="2:22" x14ac:dyDescent="0.25">
      <c r="B12" s="14"/>
      <c r="C12" s="20" t="s">
        <v>158</v>
      </c>
      <c r="D12" s="78">
        <v>192</v>
      </c>
      <c r="E12" s="6"/>
      <c r="F12" s="36" t="s">
        <v>55</v>
      </c>
      <c r="G12" s="78">
        <v>3</v>
      </c>
      <c r="H12" s="16"/>
    </row>
    <row r="13" spans="2:22" x14ac:dyDescent="0.25">
      <c r="B13" s="14"/>
      <c r="C13" s="20" t="s">
        <v>160</v>
      </c>
      <c r="D13" s="78">
        <v>90</v>
      </c>
      <c r="E13" s="6"/>
      <c r="F13" s="20" t="s">
        <v>147</v>
      </c>
      <c r="G13" s="78">
        <v>17</v>
      </c>
      <c r="H13" s="16"/>
    </row>
    <row r="14" spans="2:22" x14ac:dyDescent="0.25">
      <c r="B14" s="14"/>
      <c r="C14" s="20" t="s">
        <v>159</v>
      </c>
      <c r="D14" s="78">
        <v>32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188</v>
      </c>
      <c r="D16" s="23" t="s">
        <v>23</v>
      </c>
      <c r="E16" s="6"/>
      <c r="F16" s="125" t="s">
        <v>88</v>
      </c>
      <c r="G16" s="125"/>
      <c r="H16" s="16"/>
    </row>
    <row r="17" spans="2:8" x14ac:dyDescent="0.25">
      <c r="B17" s="14"/>
      <c r="C17" s="20" t="s">
        <v>178</v>
      </c>
      <c r="D17" s="78">
        <v>188</v>
      </c>
      <c r="E17" s="6"/>
      <c r="F17" s="121" t="s">
        <v>197</v>
      </c>
      <c r="G17" s="122"/>
      <c r="H17" s="16"/>
    </row>
    <row r="18" spans="2:8" x14ac:dyDescent="0.25">
      <c r="B18" s="14"/>
      <c r="C18" s="20" t="s">
        <v>186</v>
      </c>
      <c r="D18" s="78">
        <v>85</v>
      </c>
      <c r="E18" s="6"/>
      <c r="F18" s="122"/>
      <c r="G18" s="122"/>
      <c r="H18" s="16"/>
    </row>
    <row r="19" spans="2:8" x14ac:dyDescent="0.25">
      <c r="B19" s="14"/>
      <c r="C19"/>
      <c r="D19"/>
      <c r="E19" s="6"/>
      <c r="F19" s="122"/>
      <c r="G19" s="122"/>
      <c r="H19" s="16"/>
    </row>
    <row r="20" spans="2:8" x14ac:dyDescent="0.25">
      <c r="B20" s="14"/>
      <c r="C20"/>
      <c r="D20"/>
      <c r="E20" s="6"/>
      <c r="F20" s="122"/>
      <c r="G20" s="122"/>
      <c r="H20" s="16"/>
    </row>
    <row r="21" spans="2:8" x14ac:dyDescent="0.25">
      <c r="B21" s="14"/>
      <c r="E21" s="6"/>
      <c r="F21" s="122"/>
      <c r="G21" s="122"/>
      <c r="H21" s="16"/>
    </row>
    <row r="22" spans="2:8" x14ac:dyDescent="0.25">
      <c r="B22" s="14"/>
      <c r="C22" s="15"/>
      <c r="D22" s="15"/>
      <c r="E22" s="6"/>
      <c r="F22" s="122"/>
      <c r="G22" s="122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svhajHmZp9AW3z0s3psyvbzJM7AG57NBZ3aSvG/MK/u+6T2QMDmKr+b/gZnu0nJ5FMgkhc8sZSNof1p69Z0VLA==" saltValue="VE+jH07BMJ4HdVIsUGdhqQ==" spinCount="100000" sheet="1" objects="1" scenarios="1"/>
  <mergeCells count="4">
    <mergeCell ref="F9:G10"/>
    <mergeCell ref="C7:G7"/>
    <mergeCell ref="F16:G16"/>
    <mergeCell ref="F17:G22"/>
  </mergeCells>
  <conditionalFormatting sqref="F17">
    <cfRule type="containsBlanks" dxfId="12" priority="4">
      <formula>LEN(TRIM(F17))=0</formula>
    </cfRule>
  </conditionalFormatting>
  <conditionalFormatting sqref="D10:D14">
    <cfRule type="containsBlanks" dxfId="11" priority="3">
      <formula>LEN(TRIM(D10))=0</formula>
    </cfRule>
  </conditionalFormatting>
  <conditionalFormatting sqref="D17:D18">
    <cfRule type="containsBlanks" dxfId="10" priority="2">
      <formula>LEN(TRIM(D17))=0</formula>
    </cfRule>
  </conditionalFormatting>
  <conditionalFormatting sqref="G12:G13">
    <cfRule type="containsBlanks" dxfId="9" priority="1">
      <formula>LEN(TRIM(G12))=0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/>
  </sheetViews>
  <sheetFormatPr baseColWidth="10" defaultColWidth="11.375" defaultRowHeight="15" x14ac:dyDescent="0.25"/>
  <cols>
    <col min="1" max="1" width="3.875" style="1" customWidth="1"/>
    <col min="2" max="2" width="11.375" style="1"/>
    <col min="3" max="3" width="53.625" style="1" customWidth="1"/>
    <col min="4" max="4" width="20.875" style="1" customWidth="1"/>
    <col min="5" max="5" width="6.25" style="1" customWidth="1"/>
    <col min="6" max="6" width="64.625" style="1" customWidth="1"/>
    <col min="7" max="7" width="21.75" style="1" customWidth="1"/>
    <col min="8" max="8" width="7.25" style="1" customWidth="1"/>
    <col min="9" max="16384" width="11.37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67</v>
      </c>
      <c r="D6" s="35"/>
      <c r="E6" s="26"/>
      <c r="F6"/>
      <c r="G6"/>
      <c r="H6" s="33"/>
    </row>
    <row r="7" spans="2:22" x14ac:dyDescent="0.25">
      <c r="B7" s="14"/>
      <c r="C7" s="15" t="s">
        <v>143</v>
      </c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67</v>
      </c>
      <c r="D8" s="23" t="s">
        <v>23</v>
      </c>
      <c r="E8" s="6"/>
      <c r="F8" s="23" t="s">
        <v>67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174</v>
      </c>
      <c r="D9" s="78">
        <v>0</v>
      </c>
      <c r="E9" s="6"/>
      <c r="F9" s="20" t="s">
        <v>175</v>
      </c>
      <c r="G9" s="78">
        <v>1</v>
      </c>
      <c r="H9" s="16"/>
    </row>
    <row r="10" spans="2:22" x14ac:dyDescent="0.25">
      <c r="B10" s="14"/>
      <c r="C10" s="20" t="s">
        <v>179</v>
      </c>
      <c r="D10" s="78">
        <v>0</v>
      </c>
      <c r="E10" s="6"/>
      <c r="F10" s="20" t="s">
        <v>86</v>
      </c>
      <c r="G10" s="78">
        <v>1</v>
      </c>
      <c r="H10" s="16"/>
    </row>
    <row r="11" spans="2:22" x14ac:dyDescent="0.25">
      <c r="B11" s="14"/>
      <c r="C11" s="15"/>
      <c r="D11" s="55"/>
      <c r="E11" s="6"/>
      <c r="F11" s="15"/>
      <c r="G11" s="56"/>
      <c r="H11" s="16"/>
    </row>
    <row r="12" spans="2:22" x14ac:dyDescent="0.25">
      <c r="B12" s="14"/>
      <c r="C12" s="57" t="s">
        <v>90</v>
      </c>
      <c r="D12" s="55"/>
      <c r="E12" s="6"/>
      <c r="F12" s="15"/>
      <c r="G12" s="56"/>
      <c r="H12" s="16"/>
      <c r="T12" s="1">
        <f>IF(D9="",0,1)</f>
        <v>1</v>
      </c>
    </row>
    <row r="13" spans="2:22" x14ac:dyDescent="0.25">
      <c r="B13" s="14"/>
      <c r="C13" s="126" t="s">
        <v>198</v>
      </c>
      <c r="D13" s="110"/>
      <c r="E13" s="110"/>
      <c r="F13" s="110"/>
      <c r="G13" s="111"/>
      <c r="H13" s="16"/>
    </row>
    <row r="14" spans="2:22" x14ac:dyDescent="0.25">
      <c r="B14" s="14"/>
      <c r="C14" s="112"/>
      <c r="D14" s="113"/>
      <c r="E14" s="113"/>
      <c r="F14" s="113"/>
      <c r="G14" s="114"/>
      <c r="H14" s="16"/>
    </row>
    <row r="15" spans="2:22" x14ac:dyDescent="0.25">
      <c r="B15" s="14"/>
      <c r="C15" s="112"/>
      <c r="D15" s="113"/>
      <c r="E15" s="113"/>
      <c r="F15" s="113"/>
      <c r="G15" s="114"/>
      <c r="H15" s="16"/>
    </row>
    <row r="16" spans="2:22" x14ac:dyDescent="0.25">
      <c r="B16" s="14"/>
      <c r="C16" s="115"/>
      <c r="D16" s="116"/>
      <c r="E16" s="116"/>
      <c r="F16" s="116"/>
      <c r="G16" s="117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+FCFzMTUyQz9xCbsVZjWh6VfuEuNyvSas18p2Zc+tciO//oKW2KvySRCIuGHsJUxL58937RSbcNcAVq208JAUg==" saltValue="SyOhJUcB2fukD14ffgbYiQ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/>
  </sheetViews>
  <sheetFormatPr baseColWidth="10" defaultColWidth="11.375" defaultRowHeight="15" x14ac:dyDescent="0.25"/>
  <cols>
    <col min="1" max="1" width="3.875" style="1" customWidth="1"/>
    <col min="2" max="2" width="11.375" style="1"/>
    <col min="3" max="3" width="44.125" style="1" customWidth="1"/>
    <col min="4" max="4" width="20.875" style="1" customWidth="1"/>
    <col min="5" max="5" width="6.25" style="1" customWidth="1"/>
    <col min="6" max="6" width="36.375" style="1" customWidth="1"/>
    <col min="7" max="7" width="24.125" style="1" customWidth="1"/>
    <col min="8" max="8" width="7.25" style="1" customWidth="1"/>
    <col min="9" max="16384" width="11.37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 t="e">
        <f>+IF(D10&lt;=10,D10,IF(ROUNDDOWN(D10*10%,0)&gt;10,10,ROUNDDOWN(D10*10%,0)))</f>
        <v>#VALUE!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23" t="s">
        <v>8</v>
      </c>
      <c r="D6" s="123"/>
      <c r="E6" s="26"/>
      <c r="F6"/>
      <c r="G6"/>
      <c r="H6" s="33"/>
      <c r="T6" s="1" t="s">
        <v>12</v>
      </c>
    </row>
    <row r="7" spans="2:22" x14ac:dyDescent="0.25">
      <c r="B7" s="14"/>
      <c r="C7" s="15" t="s">
        <v>143</v>
      </c>
      <c r="D7" s="15"/>
      <c r="E7" s="15"/>
      <c r="F7" s="58" t="s">
        <v>90</v>
      </c>
      <c r="G7"/>
      <c r="H7" s="16"/>
      <c r="T7" s="1" t="s">
        <v>13</v>
      </c>
    </row>
    <row r="8" spans="2:22" x14ac:dyDescent="0.25">
      <c r="B8" s="14"/>
      <c r="C8" s="23" t="s">
        <v>30</v>
      </c>
      <c r="D8" s="23" t="s">
        <v>23</v>
      </c>
      <c r="E8" s="6"/>
      <c r="F8" s="109" t="s">
        <v>199</v>
      </c>
      <c r="G8" s="111"/>
      <c r="H8" s="16"/>
      <c r="T8" s="1" t="s">
        <v>14</v>
      </c>
    </row>
    <row r="9" spans="2:22" x14ac:dyDescent="0.25">
      <c r="B9" s="14"/>
      <c r="C9" s="20" t="s">
        <v>71</v>
      </c>
      <c r="D9" s="78" t="s">
        <v>12</v>
      </c>
      <c r="E9" s="6"/>
      <c r="F9" s="112"/>
      <c r="G9" s="114"/>
      <c r="H9" s="16"/>
    </row>
    <row r="10" spans="2:22" x14ac:dyDescent="0.25">
      <c r="B10" s="14"/>
      <c r="C10" s="20" t="s">
        <v>187</v>
      </c>
      <c r="D10" s="78" t="s">
        <v>12</v>
      </c>
      <c r="E10" s="6"/>
      <c r="F10" s="115"/>
      <c r="G10" s="117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5qujBfQQ7RZMhSfW3LqfxXxVuPd8KbOJQKh15P8GKG8cOXsJPu3apxq/6MgUYGlAEizpvLIU3x8ux0MZK7Zg3A==" saltValue="jV6bSp1iEYBcnSzTRXO6Og==" spinCount="100000" sheet="1" objects="1" scenarios="1"/>
  <mergeCells count="2">
    <mergeCell ref="C6:D6"/>
    <mergeCell ref="F8:G10"/>
  </mergeCells>
  <conditionalFormatting sqref="D9">
    <cfRule type="containsBlanks" dxfId="5" priority="3">
      <formula>LEN(TRIM(D9))=0</formula>
    </cfRule>
  </conditionalFormatting>
  <conditionalFormatting sqref="F8">
    <cfRule type="containsBlanks" dxfId="4" priority="2">
      <formula>LEN(TRIM(F8))=0</formula>
    </cfRule>
  </conditionalFormatting>
  <conditionalFormatting sqref="D10">
    <cfRule type="containsBlanks" dxfId="3" priority="1">
      <formula>LEN(TRIM(D10))=0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zoomScale="85" zoomScaleNormal="85" workbookViewId="0">
      <selection activeCell="J21" sqref="J21"/>
    </sheetView>
  </sheetViews>
  <sheetFormatPr baseColWidth="10" defaultRowHeight="15" x14ac:dyDescent="0.25"/>
  <cols>
    <col min="2" max="2" width="42.75" customWidth="1"/>
    <col min="3" max="3" width="14.625" bestFit="1" customWidth="1"/>
    <col min="5" max="5" width="33" bestFit="1" customWidth="1"/>
    <col min="6" max="6" width="14.625" bestFit="1" customWidth="1"/>
  </cols>
  <sheetData>
    <row r="2" spans="2:13" ht="18.75" x14ac:dyDescent="0.3">
      <c r="B2" s="133" t="s">
        <v>10</v>
      </c>
      <c r="C2" s="133"/>
      <c r="D2" s="133"/>
      <c r="E2" s="133"/>
      <c r="F2" s="133"/>
      <c r="G2" s="133"/>
      <c r="H2" s="46"/>
      <c r="I2" s="46"/>
      <c r="J2" s="46"/>
      <c r="K2" s="46"/>
      <c r="L2" s="46"/>
      <c r="M2" s="47"/>
    </row>
    <row r="3" spans="2:13" ht="18.75" x14ac:dyDescent="0.3">
      <c r="B3" s="133" t="s">
        <v>11</v>
      </c>
      <c r="C3" s="133"/>
      <c r="D3" s="133"/>
      <c r="E3" s="133"/>
      <c r="F3" s="133"/>
      <c r="G3" s="133"/>
      <c r="H3" s="46"/>
      <c r="I3" s="46"/>
      <c r="J3" s="46"/>
      <c r="K3" s="46"/>
      <c r="L3" s="46"/>
      <c r="M3" s="47"/>
    </row>
    <row r="4" spans="2:13" ht="24" thickBot="1" x14ac:dyDescent="0.4">
      <c r="B4" s="41"/>
      <c r="C4" s="90"/>
      <c r="D4" s="90" t="s">
        <v>177</v>
      </c>
      <c r="E4" s="41"/>
      <c r="F4" s="41"/>
      <c r="G4" s="41"/>
      <c r="H4" s="41"/>
      <c r="I4" s="41"/>
      <c r="J4" s="41"/>
      <c r="K4" s="41"/>
      <c r="L4" s="41"/>
      <c r="M4" s="41"/>
    </row>
    <row r="5" spans="2:13" ht="15.75" thickBot="1" x14ac:dyDescent="0.3">
      <c r="B5" t="s">
        <v>182</v>
      </c>
      <c r="C5" s="127" t="s">
        <v>201</v>
      </c>
      <c r="D5" s="128"/>
      <c r="E5" s="128"/>
      <c r="F5" s="128"/>
      <c r="G5" s="129"/>
      <c r="H5" s="6"/>
      <c r="I5" s="6"/>
      <c r="J5" s="6"/>
    </row>
    <row r="6" spans="2:13" ht="15.75" thickBot="1" x14ac:dyDescent="0.3">
      <c r="B6" t="s">
        <v>183</v>
      </c>
      <c r="C6" s="130" t="s">
        <v>192</v>
      </c>
      <c r="D6" s="131"/>
      <c r="E6" s="131"/>
      <c r="F6" s="131"/>
      <c r="G6" s="132"/>
      <c r="H6" s="45"/>
      <c r="I6" s="45"/>
      <c r="J6" s="45"/>
    </row>
    <row r="7" spans="2:13" x14ac:dyDescent="0.25">
      <c r="H7" s="6"/>
      <c r="I7" s="6"/>
      <c r="J7" s="6"/>
    </row>
    <row r="8" spans="2:13" x14ac:dyDescent="0.25">
      <c r="B8" t="s">
        <v>37</v>
      </c>
      <c r="C8" s="44" t="str">
        <f>+IF(SUM(USUARIOS!I12:J17)=0,"Falta diligenciar","")</f>
        <v/>
      </c>
      <c r="E8" t="s">
        <v>74</v>
      </c>
      <c r="F8" s="44" t="str">
        <f>+IF(PREJUDICIALES!$D$10="","Falta  actualizar","")</f>
        <v/>
      </c>
    </row>
    <row r="9" spans="2:13" x14ac:dyDescent="0.25">
      <c r="B9" s="43" t="s">
        <v>40</v>
      </c>
      <c r="C9" s="88">
        <f>+SUM(USUARIOS!I12:I17)/(6-SUM(USUARIOS!H12:H17))</f>
        <v>1</v>
      </c>
      <c r="E9" s="43" t="s">
        <v>45</v>
      </c>
      <c r="F9" s="87">
        <f>+PREJUDICIALES!$D$11</f>
        <v>314</v>
      </c>
    </row>
    <row r="10" spans="2:13" x14ac:dyDescent="0.25">
      <c r="B10" s="43" t="s">
        <v>38</v>
      </c>
      <c r="C10" s="87">
        <f>+ABOGADOS!$D$12+SUM(USUARIOS!I12:I17)</f>
        <v>201</v>
      </c>
      <c r="E10" s="43" t="s">
        <v>43</v>
      </c>
      <c r="F10" s="88">
        <f>IFERROR(PREJUDICIALES!$D$11/PREJUDICIALES!$D$10,"")</f>
        <v>3.7831325301204819</v>
      </c>
    </row>
    <row r="11" spans="2:13" x14ac:dyDescent="0.25">
      <c r="B11" s="43" t="s">
        <v>9</v>
      </c>
      <c r="C11" s="87" t="s">
        <v>104</v>
      </c>
      <c r="E11" s="43" t="s">
        <v>46</v>
      </c>
      <c r="F11" s="88">
        <f>IFERROR(PREJUDICIALES!$G$13/PREJUDICIALES!$V$3,"")</f>
        <v>0.85</v>
      </c>
    </row>
    <row r="12" spans="2:13" x14ac:dyDescent="0.25">
      <c r="B12" s="43" t="s">
        <v>39</v>
      </c>
      <c r="C12" s="88">
        <f>IFERROR((ABOGADOS!$G$17+ABOGADOS!$G$18+ABOGADOS!$G$19*0.5)/ABOGADOS!D12,"")</f>
        <v>0.87692307692307692</v>
      </c>
    </row>
    <row r="13" spans="2:13" x14ac:dyDescent="0.25">
      <c r="E13" t="s">
        <v>67</v>
      </c>
      <c r="F13" s="44" t="str">
        <f>+IF(ARBITRAMENTOS!T17=0,"Falta  actualizar","")</f>
        <v/>
      </c>
    </row>
    <row r="14" spans="2:13" x14ac:dyDescent="0.25">
      <c r="B14" t="s">
        <v>73</v>
      </c>
      <c r="C14" s="44" t="str">
        <f>+IF(JUDICIALES!$D$11="","Falta  actualizar","")</f>
        <v/>
      </c>
      <c r="E14" s="43" t="s">
        <v>44</v>
      </c>
      <c r="F14" s="87">
        <f>+ARBITRAMENTOS!D10</f>
        <v>0</v>
      </c>
    </row>
    <row r="15" spans="2:13" x14ac:dyDescent="0.25">
      <c r="B15" s="43" t="s">
        <v>41</v>
      </c>
      <c r="C15" s="87">
        <f>+JUDICIALES!$D$12</f>
        <v>6617</v>
      </c>
      <c r="E15" s="43" t="s">
        <v>43</v>
      </c>
      <c r="F15" s="88" t="str">
        <f>IFERROR(ARBITRAMENTOS!D10/ARBITRAMENTOS!D9,"")</f>
        <v/>
      </c>
    </row>
    <row r="16" spans="2:13" x14ac:dyDescent="0.25">
      <c r="B16" s="43" t="s">
        <v>43</v>
      </c>
      <c r="C16" s="88">
        <f>IFERROR(JUDICIALES!$D$12/JUDICIALES!$D$11,"")</f>
        <v>0.99042059571920371</v>
      </c>
    </row>
    <row r="17" spans="2:6" x14ac:dyDescent="0.25">
      <c r="B17" s="43" t="s">
        <v>47</v>
      </c>
      <c r="C17" s="88">
        <f>IFERROR(JUDICIALES!$G$11/JUDICIALES!$G$10,"")</f>
        <v>0.99099099099099097</v>
      </c>
      <c r="E17" t="s">
        <v>70</v>
      </c>
      <c r="F17" s="44" t="str">
        <f>+IF(PAGOS!D9="","Falta  actualizar","")</f>
        <v/>
      </c>
    </row>
    <row r="18" spans="2:6" x14ac:dyDescent="0.25">
      <c r="B18" s="43" t="s">
        <v>42</v>
      </c>
      <c r="C18" s="87">
        <f>IFERROR(C15/ABOGADOS!$D$12,"")</f>
        <v>33.93333333333333</v>
      </c>
      <c r="E18" s="43" t="s">
        <v>185</v>
      </c>
      <c r="F18" s="87" t="str">
        <f>+IF(PAGOS!D10="No","No","Si")</f>
        <v>Si</v>
      </c>
    </row>
    <row r="19" spans="2:6" x14ac:dyDescent="0.25">
      <c r="B19" s="43" t="s">
        <v>72</v>
      </c>
      <c r="C19" s="88">
        <f>IFERROR(1-(JUDICIALES!$H$22+JUDICIALES!$H$23+JUDICIALES!$H$24)/(JUDICIALES!$G$22+JUDICIALES!$G$23+JUDICIALES!$G$24),"")</f>
        <v>1.1867088607594445E-3</v>
      </c>
      <c r="E19" s="43" t="s">
        <v>181</v>
      </c>
      <c r="F19" s="87" t="str">
        <f>+IF(PAGOS!D9="No","No aplica","Si")</f>
        <v>Si</v>
      </c>
    </row>
    <row r="21" spans="2:6" ht="15.75" thickBot="1" x14ac:dyDescent="0.3"/>
    <row r="22" spans="2:6" x14ac:dyDescent="0.25">
      <c r="B22" s="2" t="s">
        <v>90</v>
      </c>
      <c r="C22" s="3"/>
      <c r="D22" s="3"/>
      <c r="E22" s="3"/>
      <c r="F22" s="4"/>
    </row>
    <row r="23" spans="2:6" x14ac:dyDescent="0.25">
      <c r="B23" s="126" t="s">
        <v>200</v>
      </c>
      <c r="C23" s="110"/>
      <c r="D23" s="110"/>
      <c r="E23" s="110"/>
      <c r="F23" s="111"/>
    </row>
    <row r="24" spans="2:6" x14ac:dyDescent="0.25">
      <c r="B24" s="112"/>
      <c r="C24" s="113"/>
      <c r="D24" s="113"/>
      <c r="E24" s="113"/>
      <c r="F24" s="114"/>
    </row>
    <row r="25" spans="2:6" x14ac:dyDescent="0.25">
      <c r="B25" s="112"/>
      <c r="C25" s="113"/>
      <c r="D25" s="113"/>
      <c r="E25" s="113"/>
      <c r="F25" s="114"/>
    </row>
    <row r="26" spans="2:6" x14ac:dyDescent="0.25">
      <c r="B26" s="115"/>
      <c r="C26" s="116"/>
      <c r="D26" s="116"/>
      <c r="E26" s="116"/>
      <c r="F26" s="117"/>
    </row>
    <row r="27" spans="2:6" x14ac:dyDescent="0.25">
      <c r="B27" t="s">
        <v>176</v>
      </c>
    </row>
    <row r="28" spans="2:6" x14ac:dyDescent="0.25">
      <c r="B28" t="s">
        <v>184</v>
      </c>
    </row>
  </sheetData>
  <sheetProtection algorithmName="SHA-512" hashValue="MI9IAg9m6njNGmuBCGKgMta3QjAcMvvvmQcsk91qXfKK89k6AsSUy+qvJRfgCqbJjnNMaffzwJpEaNlzAWfS9g==" saltValue="KYBE4UEMNlJg3uLSyGLzn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dataValidations count="2">
    <dataValidation allowBlank="1" showInputMessage="1" showErrorMessage="1" promptTitle="Nombres y Apellidos" prompt="Diligencie los nombres y apellidos del jefe de control interno que esta reportando" sqref="C6:G6" xr:uid="{00000000-0002-0000-0700-000000000000}"/>
    <dataValidation allowBlank="1" showInputMessage="1" showErrorMessage="1" promptTitle="Nombre entidad que reporta" prompt="Diligenciar Nombre de entidad" sqref="C5:G5" xr:uid="{00000000-0002-0000-0700-000001000000}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zoomScaleNormal="100" workbookViewId="0">
      <selection activeCell="A3" sqref="A3"/>
    </sheetView>
  </sheetViews>
  <sheetFormatPr baseColWidth="10" defaultColWidth="10.75" defaultRowHeight="15" x14ac:dyDescent="0.25"/>
  <cols>
    <col min="1" max="1" width="34.625" style="69" customWidth="1"/>
    <col min="2" max="2" width="29.625" style="69" customWidth="1"/>
    <col min="3" max="16384" width="10.75" style="69"/>
  </cols>
  <sheetData>
    <row r="2" spans="1:67" x14ac:dyDescent="0.25">
      <c r="A2" s="72" t="s">
        <v>36</v>
      </c>
      <c r="B2" s="72" t="s">
        <v>108</v>
      </c>
      <c r="C2" s="72" t="s">
        <v>21</v>
      </c>
      <c r="D2" s="72" t="s">
        <v>22</v>
      </c>
      <c r="E2" s="72" t="s">
        <v>26</v>
      </c>
      <c r="F2" s="72" t="s">
        <v>20</v>
      </c>
      <c r="G2" s="72" t="s">
        <v>97</v>
      </c>
      <c r="H2" s="73" t="s">
        <v>98</v>
      </c>
      <c r="I2" s="74" t="s">
        <v>109</v>
      </c>
      <c r="J2" s="74" t="s">
        <v>110</v>
      </c>
      <c r="K2" s="74" t="s">
        <v>111</v>
      </c>
      <c r="L2" s="74" t="s">
        <v>112</v>
      </c>
      <c r="M2" s="74" t="s">
        <v>113</v>
      </c>
      <c r="N2" s="74" t="s">
        <v>114</v>
      </c>
      <c r="O2" s="74" t="s">
        <v>115</v>
      </c>
      <c r="P2" s="72" t="s">
        <v>27</v>
      </c>
      <c r="Q2" s="72" t="s">
        <v>28</v>
      </c>
      <c r="R2" s="72" t="s">
        <v>29</v>
      </c>
      <c r="S2" s="72" t="s">
        <v>116</v>
      </c>
      <c r="T2" s="72" t="s">
        <v>117</v>
      </c>
      <c r="U2" s="72" t="s">
        <v>35</v>
      </c>
      <c r="V2" s="72" t="s">
        <v>118</v>
      </c>
      <c r="W2" s="72" t="s">
        <v>81</v>
      </c>
      <c r="X2" s="72" t="s">
        <v>82</v>
      </c>
      <c r="Y2" s="72" t="s">
        <v>83</v>
      </c>
      <c r="Z2" s="72" t="s">
        <v>84</v>
      </c>
      <c r="AA2" s="72" t="s">
        <v>85</v>
      </c>
      <c r="AB2" s="74" t="s">
        <v>119</v>
      </c>
      <c r="AC2" s="74" t="s">
        <v>120</v>
      </c>
      <c r="AD2" s="74" t="s">
        <v>121</v>
      </c>
      <c r="AE2" s="72" t="s">
        <v>33</v>
      </c>
      <c r="AF2" s="72" t="s">
        <v>58</v>
      </c>
      <c r="AG2" s="72" t="s">
        <v>59</v>
      </c>
      <c r="AH2" s="72" t="s">
        <v>34</v>
      </c>
      <c r="AI2" s="72" t="s">
        <v>122</v>
      </c>
      <c r="AJ2" s="72" t="s">
        <v>123</v>
      </c>
      <c r="AK2" s="72" t="s">
        <v>124</v>
      </c>
      <c r="AL2" s="72" t="s">
        <v>125</v>
      </c>
      <c r="AM2" s="72" t="s">
        <v>126</v>
      </c>
      <c r="AN2" s="72" t="s">
        <v>127</v>
      </c>
      <c r="AO2" s="72" t="s">
        <v>128</v>
      </c>
      <c r="AP2" s="72" t="s">
        <v>129</v>
      </c>
      <c r="AQ2" s="75" t="s">
        <v>51</v>
      </c>
      <c r="AR2" s="75" t="s">
        <v>52</v>
      </c>
      <c r="AS2" s="75" t="s">
        <v>48</v>
      </c>
      <c r="AT2" s="75" t="s">
        <v>49</v>
      </c>
      <c r="AU2" s="75" t="s">
        <v>50</v>
      </c>
      <c r="AV2" s="75" t="s">
        <v>53</v>
      </c>
      <c r="AW2" s="75" t="s">
        <v>66</v>
      </c>
      <c r="AX2" s="75" t="s">
        <v>55</v>
      </c>
      <c r="AY2" s="75" t="s">
        <v>56</v>
      </c>
      <c r="AZ2" s="75" t="s">
        <v>68</v>
      </c>
      <c r="BA2" s="75" t="s">
        <v>69</v>
      </c>
      <c r="BB2" s="76" t="s">
        <v>130</v>
      </c>
      <c r="BC2" s="76" t="s">
        <v>86</v>
      </c>
      <c r="BD2" s="77" t="s">
        <v>131</v>
      </c>
      <c r="BE2" s="77" t="s">
        <v>132</v>
      </c>
      <c r="BF2" s="77" t="s">
        <v>133</v>
      </c>
      <c r="BG2" s="77" t="s">
        <v>134</v>
      </c>
      <c r="BH2" s="77" t="s">
        <v>135</v>
      </c>
      <c r="BI2" s="77" t="s">
        <v>136</v>
      </c>
      <c r="BJ2" s="77" t="s">
        <v>137</v>
      </c>
      <c r="BK2" s="77" t="s">
        <v>138</v>
      </c>
      <c r="BL2" s="77" t="s">
        <v>139</v>
      </c>
      <c r="BM2" s="77" t="s">
        <v>140</v>
      </c>
      <c r="BN2" s="77" t="s">
        <v>141</v>
      </c>
      <c r="BO2" s="77" t="s">
        <v>142</v>
      </c>
    </row>
    <row r="3" spans="1:67" x14ac:dyDescent="0.25">
      <c r="A3" s="69" t="str">
        <f>'Resumen General'!C5</f>
        <v xml:space="preserve">UAE - DIRECCION DE IMPUESTOS Y ADUANAS NACIONALES </v>
      </c>
      <c r="B3" s="69" t="str">
        <f>'Resumen General'!C6</f>
        <v>ENRIQUE CASTIBLANCO BEDOYA</v>
      </c>
      <c r="C3" s="69">
        <f>+ABOGADOS!D11</f>
        <v>192</v>
      </c>
      <c r="D3" s="69">
        <f>+ABOGADOS!D12</f>
        <v>195</v>
      </c>
      <c r="E3" s="69">
        <f>+ABOGADOS!D13</f>
        <v>192</v>
      </c>
      <c r="F3" s="69">
        <f>+ABOGADOS!D14</f>
        <v>0</v>
      </c>
      <c r="G3" s="69">
        <f>+ABOGADOS!D17</f>
        <v>14</v>
      </c>
      <c r="H3" s="69">
        <f>+ABOGADOS!D18</f>
        <v>12</v>
      </c>
      <c r="I3" s="69">
        <f>+ABOGADOS!G10</f>
        <v>18</v>
      </c>
      <c r="J3" s="69">
        <f>+ABOGADOS!G11</f>
        <v>19</v>
      </c>
      <c r="K3" s="69">
        <f>+ABOGADOS!G12</f>
        <v>19</v>
      </c>
      <c r="L3" s="69">
        <f>+ABOGADOS!G17</f>
        <v>168</v>
      </c>
      <c r="M3" s="69">
        <f>+ABOGADOS!G18</f>
        <v>2</v>
      </c>
      <c r="N3" s="69">
        <f>+ABOGADOS!G19</f>
        <v>2</v>
      </c>
      <c r="O3" s="69">
        <f>+ABOGADOS!G20</f>
        <v>20</v>
      </c>
      <c r="P3" s="69">
        <f>+JUDICIALES!D11</f>
        <v>6681</v>
      </c>
      <c r="Q3" s="69">
        <f>+JUDICIALES!D12</f>
        <v>6617</v>
      </c>
      <c r="R3" s="69">
        <f>+JUDICIALES!D13</f>
        <v>75</v>
      </c>
      <c r="S3" s="69">
        <f>+JUDICIALES!D16</f>
        <v>545</v>
      </c>
      <c r="T3" s="69">
        <f>+JUDICIALES!D17</f>
        <v>516</v>
      </c>
      <c r="U3" s="69">
        <f>+JUDICIALES!D21</f>
        <v>10247</v>
      </c>
      <c r="V3" s="69">
        <f>+JUDICIALES!D22</f>
        <v>55</v>
      </c>
      <c r="W3" s="69">
        <f>JUDICIALES!D28</f>
        <v>51</v>
      </c>
      <c r="X3" s="69">
        <f>JUDICIALES!D29</f>
        <v>43</v>
      </c>
      <c r="Y3" s="69">
        <f>JUDICIALES!D30</f>
        <v>14</v>
      </c>
      <c r="Z3" s="69">
        <f>JUDICIALES!D31</f>
        <v>3</v>
      </c>
      <c r="AA3" s="69">
        <f>JUDICIALES!D32</f>
        <v>1</v>
      </c>
      <c r="AB3" s="69">
        <f>+JUDICIALES!G9</f>
        <v>111</v>
      </c>
      <c r="AC3" s="69">
        <f>+JUDICIALES!G10</f>
        <v>111</v>
      </c>
      <c r="AD3" s="69">
        <f>+JUDICIALES!G11</f>
        <v>110</v>
      </c>
      <c r="AE3" s="69">
        <f>+JUDICIALES!G15</f>
        <v>6533</v>
      </c>
      <c r="AF3" s="69">
        <f>+JUDICIALES!G16</f>
        <v>6246</v>
      </c>
      <c r="AG3" s="69">
        <f>+JUDICIALES!G17</f>
        <v>178</v>
      </c>
      <c r="AH3" s="69">
        <f>+JUDICIALES!G18</f>
        <v>109</v>
      </c>
      <c r="AI3" s="69">
        <f>+JUDICIALES!G21</f>
        <v>1368</v>
      </c>
      <c r="AJ3" s="69">
        <f>+JUDICIALES!G22</f>
        <v>3517</v>
      </c>
      <c r="AK3" s="69">
        <f>+JUDICIALES!G23</f>
        <v>1010</v>
      </c>
      <c r="AL3" s="69">
        <f>+JUDICIALES!G24</f>
        <v>529</v>
      </c>
      <c r="AM3" s="69">
        <f>+JUDICIALES!H21</f>
        <v>600</v>
      </c>
      <c r="AN3" s="69">
        <f>+JUDICIALES!H22</f>
        <v>3511</v>
      </c>
      <c r="AO3" s="69">
        <f>+JUDICIALES!H23</f>
        <v>1010</v>
      </c>
      <c r="AP3" s="69">
        <f>+JUDICIALES!H24</f>
        <v>529</v>
      </c>
      <c r="AQ3" s="69">
        <f>+PREJUDICIALES!D10</f>
        <v>83</v>
      </c>
      <c r="AR3" s="69">
        <f>+PREJUDICIALES!D11</f>
        <v>314</v>
      </c>
      <c r="AS3" s="69">
        <f>+PREJUDICIALES!D12</f>
        <v>192</v>
      </c>
      <c r="AT3" s="69">
        <f>+PREJUDICIALES!D13</f>
        <v>90</v>
      </c>
      <c r="AU3" s="69">
        <f>+PREJUDICIALES!D14</f>
        <v>32</v>
      </c>
      <c r="AV3" s="69">
        <f>+PREJUDICIALES!D17</f>
        <v>188</v>
      </c>
      <c r="AW3" s="69">
        <f>+PREJUDICIALES!D18</f>
        <v>85</v>
      </c>
      <c r="AX3" s="69">
        <f>+PREJUDICIALES!G12</f>
        <v>3</v>
      </c>
      <c r="AY3" s="69">
        <f>+PREJUDICIALES!G13</f>
        <v>17</v>
      </c>
      <c r="AZ3" s="69">
        <f>+ARBITRAMENTOS!D9</f>
        <v>0</v>
      </c>
      <c r="BA3" s="69">
        <f>+ARBITRAMENTOS!D10</f>
        <v>0</v>
      </c>
      <c r="BB3" s="69">
        <f>ARBITRAMENTOS!G9</f>
        <v>1</v>
      </c>
      <c r="BC3" s="69">
        <f>ARBITRAMENTOS!G10</f>
        <v>1</v>
      </c>
      <c r="BD3" s="69" t="str">
        <f>+PAGOS!D9</f>
        <v>Si</v>
      </c>
      <c r="BE3" s="69" t="str">
        <f>+PAGOS!D10</f>
        <v>Si</v>
      </c>
      <c r="BF3" s="70">
        <f>USUARIOS!D9</f>
        <v>44810</v>
      </c>
      <c r="BG3" s="70">
        <f>ABOGADOS!D7</f>
        <v>44810</v>
      </c>
      <c r="BH3" s="70">
        <f>JUDICIALES!D8</f>
        <v>44810</v>
      </c>
      <c r="BI3" s="69">
        <f>+USUARIOS!C19</f>
        <v>0</v>
      </c>
      <c r="BJ3" s="69" t="str">
        <f>+ABOGADOS!C22</f>
        <v xml:space="preserve">ABOGADOS ACTIVOS:  La diferencia se origina en: 1 funcionario de la DSI Bogotá que se retiró de funciones en mayo pero se inactiva solo hasta 31/08/22; Una Funcionaria de la DSA Medellín que figura en ekogui con 2 numeros de cédula diferentes y Una Funcionaria de DSIA Armenia retirada por pensión en 2021 y aun sin inactivar de ekogui.
ABOGADOS INACTIVOS: La diferencia de Abogados retirados VS Inactivos en ekogui se origina en dos retiros de las seccionales de: Aduanas Barranquiila e Impuestos Bogotá, que fueron inactivados en el mes de agosto de 2022. </v>
      </c>
      <c r="BK3" s="69" t="str">
        <f>+JUDICIALES!F28</f>
        <v xml:space="preserve">*PROC MAYOR CUANTIA:se detectó 1 sin pieza de la demanda, informado por la Seccional Monteria a la 
ANDJE Oficio No.1120000201-0263  23-07-2019, repartido de manera erronea. #eKogui 840814
*PROCESOS SIN CALIFICACION RIESGO- Se registran en ekogui 109 proc. sin calificacion, de los cuales 106 se encuentran en etapa de inicio y fijacion del litigio y 3 en etapa de FALLO.  
*CONDENAS. Existe una diferencia entre los procesos que generan erogación económica y los registrados con condena mayor a CERO en 2 casos. Uno de ellos la condena fue en ABSTRACTO. </v>
      </c>
      <c r="BL3" s="69" t="str">
        <f>+PREJUDICIALES!F17</f>
        <v xml:space="preserve">*ACTUALIZACION. 
De acuerdo con la información recibida de parte de los responsables, en la veificacion efectuada se detecta: de las 20 Conciliaciones de la muestra, 17 se encuentran terminadas pendientes de actualizar en el sistema; de las 3 restantes , una se encuentra activa pero corresponde a un error de radicación de la ANDJE y 2 no fueron recepcionadas por la entidad. </v>
      </c>
      <c r="BM3" s="69" t="str">
        <f>+ARBITRAMENTOS!C13</f>
        <v>El unico arbitramento de la entidad se encuentra registrado en el sistema y fue terminado en el año 2013.</v>
      </c>
      <c r="BN3" s="69" t="str">
        <f>+PAGOS!F8</f>
        <v>Por circunstancia especial DIAN, el Enlace de Pagos solo puede 
relacionar pagos del nivel central. Los demás se efecúan vinculando 
los procesos de las diferentes seccionales al NC.</v>
      </c>
      <c r="BO3" s="69" t="str">
        <f>'Resumen General'!B23</f>
        <v>Ninguna</v>
      </c>
    </row>
    <row r="12" spans="1:67" x14ac:dyDescent="0.25">
      <c r="A12" s="69" t="s">
        <v>36</v>
      </c>
      <c r="B12" s="69" t="s">
        <v>15</v>
      </c>
      <c r="C12" s="72" t="s">
        <v>16</v>
      </c>
      <c r="D12" s="72" t="s">
        <v>6</v>
      </c>
      <c r="E12" s="72" t="s">
        <v>7</v>
      </c>
      <c r="F12" s="72" t="s">
        <v>17</v>
      </c>
      <c r="G12" s="72" t="s">
        <v>76</v>
      </c>
    </row>
    <row r="13" spans="1:67" x14ac:dyDescent="0.25">
      <c r="A13" s="69" t="str">
        <f t="shared" ref="A13:A18" si="0">$A$3</f>
        <v xml:space="preserve">UAE - DIRECCION DE IMPUESTOS Y ADUANAS NACIONALES </v>
      </c>
      <c r="B13" s="69" t="s">
        <v>0</v>
      </c>
      <c r="C13" s="69" t="str">
        <f>USUARIOS!C12</f>
        <v>Si</v>
      </c>
      <c r="D13" s="71">
        <f>USUARIOS!D12</f>
        <v>44691</v>
      </c>
      <c r="E13" s="69" t="str">
        <f>USUARIOS!E12</f>
        <v>DANIEL GUSTAVO CACERES GUTIERREZ</v>
      </c>
      <c r="F13" s="71">
        <f>USUARIOS!F12</f>
        <v>0</v>
      </c>
      <c r="G13" s="69" t="str">
        <f>USUARIOS!G12</f>
        <v>DESACTUALIZADO</v>
      </c>
    </row>
    <row r="14" spans="1:67" x14ac:dyDescent="0.25">
      <c r="A14" s="69" t="str">
        <f t="shared" si="0"/>
        <v xml:space="preserve">UAE - DIRECCION DE IMPUESTOS Y ADUANAS NACIONALES </v>
      </c>
      <c r="B14" s="69" t="s">
        <v>1</v>
      </c>
      <c r="C14" s="69" t="str">
        <f>USUARIOS!C13</f>
        <v>Si</v>
      </c>
      <c r="D14" s="71">
        <f>USUARIOS!D13</f>
        <v>43140</v>
      </c>
      <c r="E14" s="69" t="str">
        <f>USUARIOS!E13</f>
        <v>DIANA ASTRID CHAPARRO MANOSALVA</v>
      </c>
      <c r="F14" s="71">
        <f>USUARIOS!F13</f>
        <v>44146</v>
      </c>
      <c r="G14" s="69" t="str">
        <f>USUARIOS!G13</f>
        <v/>
      </c>
    </row>
    <row r="15" spans="1:67" x14ac:dyDescent="0.25">
      <c r="A15" s="69" t="str">
        <f t="shared" si="0"/>
        <v xml:space="preserve">UAE - DIRECCION DE IMPUESTOS Y ADUANAS NACIONALES </v>
      </c>
      <c r="B15" s="69" t="s">
        <v>2</v>
      </c>
      <c r="C15" s="69" t="str">
        <f>USUARIOS!C14</f>
        <v>Si</v>
      </c>
      <c r="D15" s="71">
        <f>USUARIOS!D14</f>
        <v>44245</v>
      </c>
      <c r="E15" s="69" t="str">
        <f>USUARIOS!E14</f>
        <v>ESTEBAN ALVAREZ NIEVES</v>
      </c>
      <c r="F15" s="71">
        <f>USUARIOS!F14</f>
        <v>0</v>
      </c>
      <c r="G15" s="69" t="str">
        <f>USUARIOS!G14</f>
        <v>DESACTUALIZADO</v>
      </c>
    </row>
    <row r="16" spans="1:67" x14ac:dyDescent="0.25">
      <c r="A16" s="69" t="str">
        <f t="shared" si="0"/>
        <v xml:space="preserve">UAE - DIRECCION DE IMPUESTOS Y ADUANAS NACIONALES </v>
      </c>
      <c r="B16" s="69" t="s">
        <v>3</v>
      </c>
      <c r="C16" s="69" t="str">
        <f>USUARIOS!C15</f>
        <v>Si</v>
      </c>
      <c r="D16" s="71">
        <f>USUARIOS!D15</f>
        <v>42538</v>
      </c>
      <c r="E16" s="69" t="str">
        <f>USUARIOS!E15</f>
        <v>ENRIQUE CASTIBLANCO BEDOYA</v>
      </c>
      <c r="F16" s="71">
        <f>USUARIOS!F15</f>
        <v>44790</v>
      </c>
      <c r="G16" s="69" t="str">
        <f>USUARIOS!G15</f>
        <v/>
      </c>
    </row>
    <row r="17" spans="1:7" x14ac:dyDescent="0.25">
      <c r="A17" s="69" t="str">
        <f t="shared" si="0"/>
        <v xml:space="preserve">UAE - DIRECCION DE IMPUESTOS Y ADUANAS NACIONALES </v>
      </c>
      <c r="B17" s="69" t="s">
        <v>4</v>
      </c>
      <c r="C17" s="69" t="str">
        <f>USUARIOS!C16</f>
        <v>Si</v>
      </c>
      <c r="D17" s="71">
        <f>USUARIOS!D16</f>
        <v>44280</v>
      </c>
      <c r="E17" s="69" t="str">
        <f>USUARIOS!E16</f>
        <v>SANDRA LILIANA MONDRAGON JIMENEZ</v>
      </c>
      <c r="F17" s="71">
        <f>USUARIOS!F16</f>
        <v>44335</v>
      </c>
      <c r="G17" s="69" t="str">
        <f>USUARIOS!G16</f>
        <v/>
      </c>
    </row>
    <row r="18" spans="1:7" x14ac:dyDescent="0.25">
      <c r="A18" s="69" t="str">
        <f t="shared" si="0"/>
        <v xml:space="preserve">UAE - DIRECCION DE IMPUESTOS Y ADUANAS NACIONALES </v>
      </c>
      <c r="B18" s="69" t="s">
        <v>5</v>
      </c>
      <c r="C18" s="69" t="str">
        <f>USUARIOS!C17</f>
        <v>Si</v>
      </c>
      <c r="D18" s="71">
        <f>USUARIOS!D17</f>
        <v>42653</v>
      </c>
      <c r="E18" s="69" t="str">
        <f>USUARIOS!E17</f>
        <v xml:space="preserve">MARIA TERESA GUERRA MANTILLA </v>
      </c>
      <c r="F18" s="71">
        <f>USUARIOS!F17</f>
        <v>44512</v>
      </c>
      <c r="G18" s="69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74120C66CEB8479FCDA08F358B67DD" ma:contentTypeVersion="3" ma:contentTypeDescription="Crear nuevo documento." ma:contentTypeScope="" ma:versionID="72f413777ab6a876d4f22ecca23463e7">
  <xsd:schema xmlns:xsd="http://www.w3.org/2001/XMLSchema" xmlns:xs="http://www.w3.org/2001/XMLSchema" xmlns:p="http://schemas.microsoft.com/office/2006/metadata/properties" xmlns:ns2="f3b700b9-9514-4083-93d8-eb737e4ac97e" xmlns:ns3="2febaad4-4a94-47d8-bd40-dd72d5026160" targetNamespace="http://schemas.microsoft.com/office/2006/metadata/properties" ma:root="true" ma:fieldsID="1d2530077ed23e170985665ca2f2428b" ns2:_="" ns3:_="">
    <xsd:import namespace="f3b700b9-9514-4083-93d8-eb737e4ac97e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2d_" minOccurs="0"/>
                <xsd:element ref="ns3:SharedWithUsers" minOccurs="0"/>
                <xsd:element ref="ns2: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700b9-9514-4083-93d8-eb737e4ac97e" elementFormDefault="qualified">
    <xsd:import namespace="http://schemas.microsoft.com/office/2006/documentManagement/types"/>
    <xsd:import namespace="http://schemas.microsoft.com/office/infopath/2007/PartnerControls"/>
    <xsd:element name="_x002d_" ma:index="8" nillable="true" ma:displayName="-" ma:internalName="_x002d_">
      <xsd:simpleType>
        <xsd:restriction base="dms:Text">
          <xsd:maxLength value="255"/>
        </xsd:restriction>
      </xsd:simpleType>
    </xsd:element>
    <xsd:element name="No" ma:index="10" nillable="true" ma:displayName="No" ma:internalName="No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 xmlns="f3b700b9-9514-4083-93d8-eb737e4ac97e" xsi:nil="true"/>
    <_x002d_ xmlns="f3b700b9-9514-4083-93d8-eb737e4ac97e">CERTIFICACIÓN SISTEMA ÚNICO DE GESTIÓN E INFORMACIÓN DE ACTIVIDAD LITIGIOSA DEL ESTADO</_x002d_>
  </documentManagement>
</p:properties>
</file>

<file path=customXml/itemProps1.xml><?xml version="1.0" encoding="utf-8"?>
<ds:datastoreItem xmlns:ds="http://schemas.openxmlformats.org/officeDocument/2006/customXml" ds:itemID="{6A12CCCF-3490-4551-A4F0-33FB5689DC9F}"/>
</file>

<file path=customXml/itemProps2.xml><?xml version="1.0" encoding="utf-8"?>
<ds:datastoreItem xmlns:ds="http://schemas.openxmlformats.org/officeDocument/2006/customXml" ds:itemID="{B4CEAB08-A23B-463D-A975-D3B0E8185AD9}"/>
</file>

<file path=customXml/itemProps3.xml><?xml version="1.0" encoding="utf-8"?>
<ds:datastoreItem xmlns:ds="http://schemas.openxmlformats.org/officeDocument/2006/customXml" ds:itemID="{40B3C31E-7467-4089-9625-1EC9EE4CA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Juan Pablo Garzón Peraza</dc:creator>
  <cp:lastModifiedBy>Lucero Martinez Viancha</cp:lastModifiedBy>
  <dcterms:created xsi:type="dcterms:W3CDTF">2020-06-25T21:16:25Z</dcterms:created>
  <dcterms:modified xsi:type="dcterms:W3CDTF">2022-09-20T14:56:59Z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0x0101000174120C66CEB8479FCDA08F358B67DD</vt:lpwstr>
  </property>
</Properties>
</file>